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ttps://d.docs.live.net/46b5e63763813a18/Desktop/"/>
    </mc:Choice>
  </mc:AlternateContent>
  <xr:revisionPtr revIDLastSave="18" documentId="8_{05AFD6BD-55A5-49AA-9D0F-C4BCE68A58A4}" xr6:coauthVersionLast="47" xr6:coauthVersionMax="47" xr10:uidLastSave="{8E699519-A923-410C-8FA2-A644A38A1348}"/>
  <bookViews>
    <workbookView xWindow="-108" yWindow="-108" windowWidth="23256" windowHeight="12456" tabRatio="805" activeTab="8" xr2:uid="{00000000-000D-0000-FFFF-FFFF00000000}"/>
  </bookViews>
  <sheets>
    <sheet name="Index" sheetId="21" r:id="rId1"/>
    <sheet name="Assumptions" sheetId="24" r:id="rId2"/>
    <sheet name="Historical" sheetId="18" r:id="rId3"/>
    <sheet name="Cost Buildup" sheetId="25" r:id="rId4"/>
    <sheet name="Model" sheetId="19" r:id="rId5"/>
    <sheet name="Cash Flow" sheetId="28" r:id="rId6"/>
    <sheet name="Supporting Schedules" sheetId="26" r:id="rId7"/>
    <sheet name=" DCF Valuation" sheetId="27" r:id="rId8"/>
    <sheet name="Ratios Analysis" sheetId="22" r:id="rId9"/>
    <sheet name="Common Sizing Statement" sheetId="23" r:id="rId10"/>
    <sheet name="Equity Beta" sheetId="6" r:id="rId11"/>
    <sheet name="WACC" sheetId="7" r:id="rId12"/>
    <sheet name="Comps" sheetId="8" r:id="rId13"/>
    <sheet name="Comps_Data" sheetId="9" r:id="rId14"/>
    <sheet name="Market Return" sheetId="11" r:id="rId15"/>
    <sheet name="Summary" sheetId="20" r:id="rId16"/>
  </sheets>
  <externalReferences>
    <externalReference r:id="rId17"/>
  </externalReferences>
  <definedNames>
    <definedName name="__FDS_HYPERLINK_TOGGLE_STATE__" hidden="1">"ON"</definedName>
    <definedName name="_Order1" hidden="1">0</definedName>
    <definedName name="IQ_EPS_PRIMARY_HIGH_EST" hidden="1">"c2228"</definedName>
  </definedNames>
  <calcPr calcId="191029"/>
</workbook>
</file>

<file path=xl/calcChain.xml><?xml version="1.0" encoding="utf-8"?>
<calcChain xmlns="http://schemas.openxmlformats.org/spreadsheetml/2006/main">
  <c r="E10" i="28" l="1"/>
  <c r="F10" i="28"/>
  <c r="G10" i="28"/>
  <c r="H10" i="28"/>
  <c r="I25" i="27" s="1"/>
  <c r="I10" i="28"/>
  <c r="J10" i="28"/>
  <c r="K10" i="28"/>
  <c r="L10" i="28"/>
  <c r="M10" i="28"/>
  <c r="N10" i="28"/>
  <c r="O10" i="28"/>
  <c r="P10" i="28"/>
  <c r="Q10" i="28"/>
  <c r="R10" i="28"/>
  <c r="S10" i="28"/>
  <c r="J15" i="19"/>
  <c r="H34" i="19"/>
  <c r="I34" i="19"/>
  <c r="L34" i="19"/>
  <c r="E30" i="26"/>
  <c r="H15" i="19" s="1"/>
  <c r="F30" i="26"/>
  <c r="I15" i="19" s="1"/>
  <c r="G30" i="26"/>
  <c r="H30" i="26"/>
  <c r="K15" i="19" s="1"/>
  <c r="I30" i="26"/>
  <c r="L15" i="19" s="1"/>
  <c r="E29" i="26"/>
  <c r="F27" i="26" s="1"/>
  <c r="F29" i="26"/>
  <c r="I50" i="19" s="1"/>
  <c r="G29" i="26"/>
  <c r="J50" i="19" s="1"/>
  <c r="H29" i="26"/>
  <c r="K50" i="19" s="1"/>
  <c r="I29" i="26"/>
  <c r="L50" i="19" s="1"/>
  <c r="E23" i="26"/>
  <c r="H13" i="19" s="1"/>
  <c r="F23" i="26"/>
  <c r="I13" i="19" s="1"/>
  <c r="G23" i="26"/>
  <c r="J13" i="19" s="1"/>
  <c r="H23" i="26"/>
  <c r="K13" i="19" s="1"/>
  <c r="I23" i="26"/>
  <c r="L13" i="19" s="1"/>
  <c r="E24" i="26"/>
  <c r="F24" i="26"/>
  <c r="G24" i="26"/>
  <c r="J34" i="19" s="1"/>
  <c r="H24" i="26"/>
  <c r="K34" i="19" s="1"/>
  <c r="I24" i="26"/>
  <c r="F21" i="26"/>
  <c r="C4" i="7"/>
  <c r="J14" i="11"/>
  <c r="J16" i="11" s="1"/>
  <c r="E171" i="18"/>
  <c r="E136" i="18"/>
  <c r="E12" i="28" s="1"/>
  <c r="E123" i="18"/>
  <c r="E124" i="18" s="1"/>
  <c r="E138" i="18" s="1"/>
  <c r="E141" i="18" s="1"/>
  <c r="E174" i="18" s="1"/>
  <c r="E86" i="18"/>
  <c r="E73" i="18"/>
  <c r="E71" i="18"/>
  <c r="G61" i="18"/>
  <c r="F61" i="18"/>
  <c r="F63" i="18" s="1"/>
  <c r="E61" i="18"/>
  <c r="I49" i="18"/>
  <c r="E49" i="18"/>
  <c r="E65" i="18" s="1"/>
  <c r="E24" i="18"/>
  <c r="E16" i="18"/>
  <c r="E9" i="18"/>
  <c r="I157" i="18"/>
  <c r="E157" i="18"/>
  <c r="E98" i="18"/>
  <c r="E100" i="18" s="1"/>
  <c r="E63" i="18"/>
  <c r="H18" i="19"/>
  <c r="F171" i="18"/>
  <c r="G171" i="18"/>
  <c r="H171" i="18"/>
  <c r="I171" i="18"/>
  <c r="F157" i="18"/>
  <c r="G157" i="18"/>
  <c r="H157" i="18"/>
  <c r="F123" i="18"/>
  <c r="F124" i="18" s="1"/>
  <c r="G123" i="18"/>
  <c r="G11" i="28" s="1"/>
  <c r="H123" i="18"/>
  <c r="H11" i="28" s="1"/>
  <c r="I123" i="18"/>
  <c r="I124" i="18" s="1"/>
  <c r="F98" i="18"/>
  <c r="F100" i="18" s="1"/>
  <c r="G98" i="18"/>
  <c r="G100" i="18" s="1"/>
  <c r="H98" i="18"/>
  <c r="H100" i="18" s="1"/>
  <c r="I98" i="18"/>
  <c r="I100" i="18" s="1"/>
  <c r="F86" i="18"/>
  <c r="G86" i="18"/>
  <c r="H86" i="18"/>
  <c r="I86" i="18"/>
  <c r="F71" i="18"/>
  <c r="F73" i="18" s="1"/>
  <c r="G71" i="18"/>
  <c r="G73" i="18" s="1"/>
  <c r="H71" i="18"/>
  <c r="H73" i="18" s="1"/>
  <c r="I71" i="18"/>
  <c r="I73" i="18" s="1"/>
  <c r="G63" i="18"/>
  <c r="H61" i="18"/>
  <c r="H63" i="18" s="1"/>
  <c r="I61" i="18"/>
  <c r="I63" i="18" s="1"/>
  <c r="F49" i="18"/>
  <c r="G49" i="18"/>
  <c r="H49" i="18"/>
  <c r="F24" i="18"/>
  <c r="I18" i="19" s="1"/>
  <c r="G24" i="18"/>
  <c r="J18" i="19" s="1"/>
  <c r="H24" i="18"/>
  <c r="K18" i="19" s="1"/>
  <c r="I24" i="18"/>
  <c r="L18" i="19" s="1"/>
  <c r="F16" i="18"/>
  <c r="G16" i="18"/>
  <c r="H16" i="18"/>
  <c r="I16" i="18"/>
  <c r="F9" i="18"/>
  <c r="G9" i="18"/>
  <c r="H9" i="18"/>
  <c r="I9" i="18"/>
  <c r="AI12" i="6"/>
  <c r="S5" i="6" s="1"/>
  <c r="AE12" i="6"/>
  <c r="AA12" i="6"/>
  <c r="S3" i="6" s="1"/>
  <c r="W12" i="6"/>
  <c r="S12" i="6"/>
  <c r="O4" i="6" s="1"/>
  <c r="O12" i="6"/>
  <c r="O3" i="6" s="1"/>
  <c r="J11" i="7" s="1"/>
  <c r="K12" i="6"/>
  <c r="O6" i="6" s="1"/>
  <c r="G12" i="6"/>
  <c r="F6" i="28"/>
  <c r="G6" i="28" s="1"/>
  <c r="H6" i="28" s="1"/>
  <c r="I6" i="28" s="1"/>
  <c r="J6" i="28" s="1"/>
  <c r="K6" i="28" s="1"/>
  <c r="L6" i="28" s="1"/>
  <c r="M6" i="28" s="1"/>
  <c r="N6" i="28" s="1"/>
  <c r="O6" i="28" s="1"/>
  <c r="P6" i="28" s="1"/>
  <c r="Q6" i="28" s="1"/>
  <c r="R6" i="28" s="1"/>
  <c r="S6" i="28" s="1"/>
  <c r="E34" i="28"/>
  <c r="I29" i="28"/>
  <c r="H29" i="28"/>
  <c r="G29" i="28"/>
  <c r="F29" i="28"/>
  <c r="E29" i="28"/>
  <c r="I28" i="28"/>
  <c r="H28" i="28"/>
  <c r="G28" i="28"/>
  <c r="F28" i="28"/>
  <c r="E28" i="28"/>
  <c r="I27" i="28"/>
  <c r="H27" i="28"/>
  <c r="G27" i="28"/>
  <c r="F27" i="28"/>
  <c r="E27" i="28"/>
  <c r="I26" i="28"/>
  <c r="H26" i="28"/>
  <c r="G26" i="28"/>
  <c r="F26" i="28"/>
  <c r="E26" i="28"/>
  <c r="I25" i="28"/>
  <c r="H25" i="28"/>
  <c r="G25" i="28"/>
  <c r="F25" i="28"/>
  <c r="E25" i="28"/>
  <c r="I21" i="28"/>
  <c r="H21" i="28"/>
  <c r="G21" i="28"/>
  <c r="F21" i="28"/>
  <c r="E21" i="28"/>
  <c r="I20" i="28"/>
  <c r="H20" i="28"/>
  <c r="G20" i="28"/>
  <c r="F20" i="28"/>
  <c r="E20" i="28"/>
  <c r="I19" i="28"/>
  <c r="H19" i="28"/>
  <c r="G19" i="28"/>
  <c r="F19" i="28"/>
  <c r="E19" i="28"/>
  <c r="I18" i="28"/>
  <c r="H18" i="28"/>
  <c r="G18" i="28"/>
  <c r="F18" i="28"/>
  <c r="E18" i="28"/>
  <c r="I17" i="28"/>
  <c r="H17" i="28"/>
  <c r="G17" i="28"/>
  <c r="F17" i="28"/>
  <c r="E17" i="28"/>
  <c r="I16" i="28"/>
  <c r="H16" i="28"/>
  <c r="G16" i="28"/>
  <c r="F16" i="28"/>
  <c r="E16" i="28"/>
  <c r="J25" i="27"/>
  <c r="H25" i="27"/>
  <c r="G25" i="27"/>
  <c r="F25" i="27"/>
  <c r="I9" i="28"/>
  <c r="H9" i="28"/>
  <c r="G9" i="28"/>
  <c r="F9" i="28"/>
  <c r="E9" i="28"/>
  <c r="O35" i="27"/>
  <c r="J35" i="27"/>
  <c r="J41" i="27" s="1"/>
  <c r="K24" i="27"/>
  <c r="I20" i="27"/>
  <c r="H20" i="27"/>
  <c r="G20" i="27"/>
  <c r="F20" i="27"/>
  <c r="L19" i="27"/>
  <c r="L18" i="27" s="1"/>
  <c r="G19" i="27"/>
  <c r="H19" i="27" s="1"/>
  <c r="I19" i="27" s="1"/>
  <c r="J19" i="27" s="1"/>
  <c r="K18" i="27"/>
  <c r="K17" i="27"/>
  <c r="L17" i="27" s="1"/>
  <c r="M17" i="27" s="1"/>
  <c r="N17" i="27" s="1"/>
  <c r="O17" i="27" s="1"/>
  <c r="P17" i="27" s="1"/>
  <c r="Q17" i="27" s="1"/>
  <c r="R17" i="27" s="1"/>
  <c r="S17" i="27" s="1"/>
  <c r="T17" i="27" s="1"/>
  <c r="G17" i="27"/>
  <c r="H17" i="27" s="1"/>
  <c r="I17" i="27" s="1"/>
  <c r="J17" i="27" s="1"/>
  <c r="D10" i="27"/>
  <c r="G27" i="24"/>
  <c r="G28" i="24" s="1"/>
  <c r="F5" i="26"/>
  <c r="G5" i="26" s="1"/>
  <c r="H5" i="26" s="1"/>
  <c r="I5" i="26" s="1"/>
  <c r="J5" i="26" s="1"/>
  <c r="K5" i="26" s="1"/>
  <c r="L5" i="26" s="1"/>
  <c r="M5" i="26" s="1"/>
  <c r="N5" i="26" s="1"/>
  <c r="O5" i="26" s="1"/>
  <c r="P5" i="26" s="1"/>
  <c r="Q5" i="26" s="1"/>
  <c r="R5" i="26" s="1"/>
  <c r="S5" i="26" s="1"/>
  <c r="I10" i="26"/>
  <c r="H10" i="26"/>
  <c r="G10" i="26"/>
  <c r="F10" i="26"/>
  <c r="E10" i="26"/>
  <c r="I9" i="26"/>
  <c r="H9" i="26"/>
  <c r="G9" i="26"/>
  <c r="F9" i="26"/>
  <c r="E9" i="26"/>
  <c r="I8" i="26"/>
  <c r="H8" i="26"/>
  <c r="G8" i="26"/>
  <c r="F8" i="26"/>
  <c r="E8" i="26"/>
  <c r="E35" i="25"/>
  <c r="F35" i="25"/>
  <c r="G35" i="25"/>
  <c r="H35" i="25"/>
  <c r="I35" i="25"/>
  <c r="N15" i="20"/>
  <c r="M15" i="20"/>
  <c r="L15" i="20"/>
  <c r="N13" i="20"/>
  <c r="L13" i="20"/>
  <c r="M12" i="20"/>
  <c r="M13" i="20" s="1"/>
  <c r="I13" i="9"/>
  <c r="H13" i="9"/>
  <c r="G13" i="9"/>
  <c r="I12" i="9"/>
  <c r="H12" i="9"/>
  <c r="G12" i="9"/>
  <c r="I11" i="9"/>
  <c r="H11" i="9"/>
  <c r="G11" i="9"/>
  <c r="I10" i="9"/>
  <c r="H10" i="9"/>
  <c r="G10" i="9"/>
  <c r="I9" i="9"/>
  <c r="H9" i="9"/>
  <c r="G9" i="9"/>
  <c r="I8" i="9"/>
  <c r="H8" i="9"/>
  <c r="G8" i="9"/>
  <c r="I7" i="9"/>
  <c r="H7" i="9"/>
  <c r="G7" i="9"/>
  <c r="F1" i="9"/>
  <c r="E25" i="8"/>
  <c r="H25" i="8" s="1"/>
  <c r="G24" i="8"/>
  <c r="G25" i="8" s="1"/>
  <c r="F24" i="8"/>
  <c r="H24" i="8" s="1"/>
  <c r="J24" i="8" s="1"/>
  <c r="E24" i="8"/>
  <c r="I25" i="8"/>
  <c r="I24" i="8"/>
  <c r="I23" i="8" a="1"/>
  <c r="I23" i="8"/>
  <c r="G23" i="8"/>
  <c r="R19" i="8"/>
  <c r="Q19" i="8"/>
  <c r="N19" i="8"/>
  <c r="M19" i="8"/>
  <c r="L19" i="8"/>
  <c r="J19" i="8"/>
  <c r="P19" i="8" s="1"/>
  <c r="I19" i="8"/>
  <c r="H19" i="8"/>
  <c r="G19" i="8"/>
  <c r="F19" i="8"/>
  <c r="E19" i="8"/>
  <c r="C19" i="8"/>
  <c r="R17" i="8"/>
  <c r="Q17" i="8"/>
  <c r="R16" i="8"/>
  <c r="Q16" i="8"/>
  <c r="R14" i="8"/>
  <c r="Q14" i="8"/>
  <c r="N14" i="8"/>
  <c r="L14" i="8"/>
  <c r="J14" i="8"/>
  <c r="M14" i="8" s="1"/>
  <c r="I14" i="8"/>
  <c r="H14" i="8"/>
  <c r="G14" i="8"/>
  <c r="F14" i="8"/>
  <c r="E14" i="8"/>
  <c r="C14" i="8"/>
  <c r="R13" i="8"/>
  <c r="Q13" i="8"/>
  <c r="N13" i="8"/>
  <c r="L13" i="8"/>
  <c r="I13" i="8"/>
  <c r="H13" i="8"/>
  <c r="G13" i="8"/>
  <c r="J13" i="8" s="1"/>
  <c r="F13" i="8"/>
  <c r="E13" i="8"/>
  <c r="C13" i="8"/>
  <c r="R12" i="8"/>
  <c r="Q12" i="8"/>
  <c r="N12" i="8"/>
  <c r="L12" i="8"/>
  <c r="I12" i="8"/>
  <c r="H12" i="8"/>
  <c r="G12" i="8"/>
  <c r="J12" i="8" s="1"/>
  <c r="F12" i="8"/>
  <c r="E12" i="8"/>
  <c r="C12" i="8"/>
  <c r="R11" i="8"/>
  <c r="Q11" i="8"/>
  <c r="N11" i="8"/>
  <c r="L11" i="8"/>
  <c r="J11" i="8"/>
  <c r="M11" i="8" s="1"/>
  <c r="I11" i="8"/>
  <c r="H11" i="8"/>
  <c r="G11" i="8"/>
  <c r="F11" i="8"/>
  <c r="E11" i="8"/>
  <c r="C11" i="8"/>
  <c r="R10" i="8"/>
  <c r="Q10" i="8"/>
  <c r="N10" i="8"/>
  <c r="L10" i="8"/>
  <c r="J10" i="8"/>
  <c r="M10" i="8" s="1"/>
  <c r="I10" i="8"/>
  <c r="H10" i="8"/>
  <c r="G10" i="8"/>
  <c r="F10" i="8"/>
  <c r="E10" i="8"/>
  <c r="C10" i="8"/>
  <c r="R9" i="8"/>
  <c r="Q9" i="8"/>
  <c r="N9" i="8"/>
  <c r="L9" i="8"/>
  <c r="J9" i="8"/>
  <c r="P9" i="8" s="1"/>
  <c r="I9" i="8"/>
  <c r="H9" i="8"/>
  <c r="G9" i="8"/>
  <c r="F9" i="8"/>
  <c r="E9" i="8"/>
  <c r="C9" i="8"/>
  <c r="C2" i="8"/>
  <c r="F21" i="7"/>
  <c r="E32" i="7" s="1"/>
  <c r="E33" i="7" s="1"/>
  <c r="E21" i="7"/>
  <c r="E31" i="7" s="1"/>
  <c r="C21" i="7"/>
  <c r="I19" i="7"/>
  <c r="I18" i="7"/>
  <c r="F16" i="7"/>
  <c r="E16" i="7"/>
  <c r="C16" i="7"/>
  <c r="F15" i="7"/>
  <c r="C15" i="7"/>
  <c r="F14" i="7"/>
  <c r="E14" i="7"/>
  <c r="C14" i="7"/>
  <c r="F13" i="7"/>
  <c r="E13" i="7"/>
  <c r="C13" i="7"/>
  <c r="F12" i="7"/>
  <c r="H12" i="7" s="1"/>
  <c r="E12" i="7"/>
  <c r="C12" i="7"/>
  <c r="F11" i="7"/>
  <c r="E11" i="7"/>
  <c r="C11" i="7"/>
  <c r="AI219" i="6"/>
  <c r="AE219" i="6"/>
  <c r="AA219" i="6"/>
  <c r="W219" i="6"/>
  <c r="S219" i="6"/>
  <c r="O219" i="6"/>
  <c r="K219" i="6"/>
  <c r="G219" i="6"/>
  <c r="AI218" i="6"/>
  <c r="AE218" i="6"/>
  <c r="AA218" i="6"/>
  <c r="W218" i="6"/>
  <c r="S218" i="6"/>
  <c r="O218" i="6"/>
  <c r="K218" i="6"/>
  <c r="G218" i="6"/>
  <c r="AI217" i="6"/>
  <c r="AE217" i="6"/>
  <c r="AA217" i="6"/>
  <c r="W217" i="6"/>
  <c r="S217" i="6"/>
  <c r="O217" i="6"/>
  <c r="K217" i="6"/>
  <c r="G217" i="6"/>
  <c r="AI216" i="6"/>
  <c r="AE216" i="6"/>
  <c r="AA216" i="6"/>
  <c r="W216" i="6"/>
  <c r="S216" i="6"/>
  <c r="O216" i="6"/>
  <c r="K216" i="6"/>
  <c r="G216" i="6"/>
  <c r="AI215" i="6"/>
  <c r="AE215" i="6"/>
  <c r="AA215" i="6"/>
  <c r="W215" i="6"/>
  <c r="S215" i="6"/>
  <c r="O215" i="6"/>
  <c r="K215" i="6"/>
  <c r="G215" i="6"/>
  <c r="AI214" i="6"/>
  <c r="AE214" i="6"/>
  <c r="AA214" i="6"/>
  <c r="W214" i="6"/>
  <c r="S214" i="6"/>
  <c r="O214" i="6"/>
  <c r="K214" i="6"/>
  <c r="G214" i="6"/>
  <c r="AI213" i="6"/>
  <c r="AE213" i="6"/>
  <c r="AA213" i="6"/>
  <c r="W213" i="6"/>
  <c r="S213" i="6"/>
  <c r="O213" i="6"/>
  <c r="K213" i="6"/>
  <c r="G213" i="6"/>
  <c r="AI212" i="6"/>
  <c r="AE212" i="6"/>
  <c r="AA212" i="6"/>
  <c r="W212" i="6"/>
  <c r="S212" i="6"/>
  <c r="O212" i="6"/>
  <c r="K212" i="6"/>
  <c r="G212" i="6"/>
  <c r="AI211" i="6"/>
  <c r="AE211" i="6"/>
  <c r="AA211" i="6"/>
  <c r="W211" i="6"/>
  <c r="S211" i="6"/>
  <c r="O211" i="6"/>
  <c r="K211" i="6"/>
  <c r="G211" i="6"/>
  <c r="AI210" i="6"/>
  <c r="AE210" i="6"/>
  <c r="AA210" i="6"/>
  <c r="W210" i="6"/>
  <c r="S210" i="6"/>
  <c r="O210" i="6"/>
  <c r="K210" i="6"/>
  <c r="G210" i="6"/>
  <c r="AI209" i="6"/>
  <c r="AE209" i="6"/>
  <c r="AA209" i="6"/>
  <c r="W209" i="6"/>
  <c r="S209" i="6"/>
  <c r="O209" i="6"/>
  <c r="K209" i="6"/>
  <c r="G209" i="6"/>
  <c r="AI208" i="6"/>
  <c r="AE208" i="6"/>
  <c r="AA208" i="6"/>
  <c r="W208" i="6"/>
  <c r="S208" i="6"/>
  <c r="O208" i="6"/>
  <c r="K208" i="6"/>
  <c r="G208" i="6"/>
  <c r="AI207" i="6"/>
  <c r="AE207" i="6"/>
  <c r="AA207" i="6"/>
  <c r="W207" i="6"/>
  <c r="S207" i="6"/>
  <c r="O207" i="6"/>
  <c r="K207" i="6"/>
  <c r="G207" i="6"/>
  <c r="AI206" i="6"/>
  <c r="AE206" i="6"/>
  <c r="AA206" i="6"/>
  <c r="W206" i="6"/>
  <c r="S206" i="6"/>
  <c r="O206" i="6"/>
  <c r="K206" i="6"/>
  <c r="G206" i="6"/>
  <c r="AI205" i="6"/>
  <c r="AE205" i="6"/>
  <c r="AA205" i="6"/>
  <c r="W205" i="6"/>
  <c r="S205" i="6"/>
  <c r="O205" i="6"/>
  <c r="K205" i="6"/>
  <c r="G205" i="6"/>
  <c r="AI204" i="6"/>
  <c r="AE204" i="6"/>
  <c r="AA204" i="6"/>
  <c r="W204" i="6"/>
  <c r="S204" i="6"/>
  <c r="O204" i="6"/>
  <c r="K204" i="6"/>
  <c r="G204" i="6"/>
  <c r="AI203" i="6"/>
  <c r="AE203" i="6"/>
  <c r="AA203" i="6"/>
  <c r="W203" i="6"/>
  <c r="S203" i="6"/>
  <c r="O203" i="6"/>
  <c r="K203" i="6"/>
  <c r="G203" i="6"/>
  <c r="AI202" i="6"/>
  <c r="AE202" i="6"/>
  <c r="AA202" i="6"/>
  <c r="W202" i="6"/>
  <c r="S202" i="6"/>
  <c r="O202" i="6"/>
  <c r="K202" i="6"/>
  <c r="G202" i="6"/>
  <c r="AI201" i="6"/>
  <c r="AE201" i="6"/>
  <c r="AA201" i="6"/>
  <c r="W201" i="6"/>
  <c r="S201" i="6"/>
  <c r="O201" i="6"/>
  <c r="K201" i="6"/>
  <c r="G201" i="6"/>
  <c r="AI200" i="6"/>
  <c r="AE200" i="6"/>
  <c r="AA200" i="6"/>
  <c r="W200" i="6"/>
  <c r="S200" i="6"/>
  <c r="O200" i="6"/>
  <c r="K200" i="6"/>
  <c r="G200" i="6"/>
  <c r="AI199" i="6"/>
  <c r="AE199" i="6"/>
  <c r="AA199" i="6"/>
  <c r="W199" i="6"/>
  <c r="S199" i="6"/>
  <c r="O199" i="6"/>
  <c r="K199" i="6"/>
  <c r="G199" i="6"/>
  <c r="AI198" i="6"/>
  <c r="AE198" i="6"/>
  <c r="AA198" i="6"/>
  <c r="W198" i="6"/>
  <c r="S198" i="6"/>
  <c r="O198" i="6"/>
  <c r="K198" i="6"/>
  <c r="G198" i="6"/>
  <c r="AI197" i="6"/>
  <c r="AE197" i="6"/>
  <c r="AA197" i="6"/>
  <c r="W197" i="6"/>
  <c r="S197" i="6"/>
  <c r="O197" i="6"/>
  <c r="K197" i="6"/>
  <c r="G197" i="6"/>
  <c r="AI196" i="6"/>
  <c r="AE196" i="6"/>
  <c r="AA196" i="6"/>
  <c r="W196" i="6"/>
  <c r="S196" i="6"/>
  <c r="O196" i="6"/>
  <c r="K196" i="6"/>
  <c r="G196" i="6"/>
  <c r="AI195" i="6"/>
  <c r="AE195" i="6"/>
  <c r="AA195" i="6"/>
  <c r="W195" i="6"/>
  <c r="S195" i="6"/>
  <c r="O195" i="6"/>
  <c r="K195" i="6"/>
  <c r="G195" i="6"/>
  <c r="AI194" i="6"/>
  <c r="AE194" i="6"/>
  <c r="AA194" i="6"/>
  <c r="W194" i="6"/>
  <c r="S194" i="6"/>
  <c r="O194" i="6"/>
  <c r="K194" i="6"/>
  <c r="G194" i="6"/>
  <c r="AI193" i="6"/>
  <c r="AE193" i="6"/>
  <c r="AA193" i="6"/>
  <c r="W193" i="6"/>
  <c r="S193" i="6"/>
  <c r="O193" i="6"/>
  <c r="K193" i="6"/>
  <c r="G193" i="6"/>
  <c r="AI192" i="6"/>
  <c r="AE192" i="6"/>
  <c r="AA192" i="6"/>
  <c r="W192" i="6"/>
  <c r="S192" i="6"/>
  <c r="O192" i="6"/>
  <c r="K192" i="6"/>
  <c r="G192" i="6"/>
  <c r="AI191" i="6"/>
  <c r="AE191" i="6"/>
  <c r="AA191" i="6"/>
  <c r="W191" i="6"/>
  <c r="S191" i="6"/>
  <c r="O191" i="6"/>
  <c r="K191" i="6"/>
  <c r="G191" i="6"/>
  <c r="AI190" i="6"/>
  <c r="AE190" i="6"/>
  <c r="AA190" i="6"/>
  <c r="W190" i="6"/>
  <c r="S190" i="6"/>
  <c r="O190" i="6"/>
  <c r="K190" i="6"/>
  <c r="G190" i="6"/>
  <c r="AI189" i="6"/>
  <c r="AE189" i="6"/>
  <c r="AA189" i="6"/>
  <c r="W189" i="6"/>
  <c r="S189" i="6"/>
  <c r="O189" i="6"/>
  <c r="K189" i="6"/>
  <c r="G189" i="6"/>
  <c r="AI188" i="6"/>
  <c r="AE188" i="6"/>
  <c r="AA188" i="6"/>
  <c r="W188" i="6"/>
  <c r="S188" i="6"/>
  <c r="O188" i="6"/>
  <c r="K188" i="6"/>
  <c r="G188" i="6"/>
  <c r="AI187" i="6"/>
  <c r="AE187" i="6"/>
  <c r="AA187" i="6"/>
  <c r="W187" i="6"/>
  <c r="S187" i="6"/>
  <c r="O187" i="6"/>
  <c r="K187" i="6"/>
  <c r="G187" i="6"/>
  <c r="AI186" i="6"/>
  <c r="AE186" i="6"/>
  <c r="AA186" i="6"/>
  <c r="W186" i="6"/>
  <c r="S186" i="6"/>
  <c r="O186" i="6"/>
  <c r="K186" i="6"/>
  <c r="G186" i="6"/>
  <c r="AI185" i="6"/>
  <c r="AE185" i="6"/>
  <c r="AA185" i="6"/>
  <c r="W185" i="6"/>
  <c r="S185" i="6"/>
  <c r="O185" i="6"/>
  <c r="K185" i="6"/>
  <c r="G185" i="6"/>
  <c r="AI184" i="6"/>
  <c r="AE184" i="6"/>
  <c r="AA184" i="6"/>
  <c r="W184" i="6"/>
  <c r="S184" i="6"/>
  <c r="O184" i="6"/>
  <c r="K184" i="6"/>
  <c r="G184" i="6"/>
  <c r="AI183" i="6"/>
  <c r="AE183" i="6"/>
  <c r="AA183" i="6"/>
  <c r="W183" i="6"/>
  <c r="S183" i="6"/>
  <c r="O183" i="6"/>
  <c r="K183" i="6"/>
  <c r="G183" i="6"/>
  <c r="AI182" i="6"/>
  <c r="AE182" i="6"/>
  <c r="AA182" i="6"/>
  <c r="W182" i="6"/>
  <c r="S182" i="6"/>
  <c r="O182" i="6"/>
  <c r="K182" i="6"/>
  <c r="G182" i="6"/>
  <c r="AI181" i="6"/>
  <c r="AE181" i="6"/>
  <c r="AA181" i="6"/>
  <c r="W181" i="6"/>
  <c r="S181" i="6"/>
  <c r="O181" i="6"/>
  <c r="K181" i="6"/>
  <c r="G181" i="6"/>
  <c r="AI180" i="6"/>
  <c r="AE180" i="6"/>
  <c r="AA180" i="6"/>
  <c r="W180" i="6"/>
  <c r="S180" i="6"/>
  <c r="O180" i="6"/>
  <c r="K180" i="6"/>
  <c r="G180" i="6"/>
  <c r="AI179" i="6"/>
  <c r="AE179" i="6"/>
  <c r="AA179" i="6"/>
  <c r="W179" i="6"/>
  <c r="S179" i="6"/>
  <c r="O179" i="6"/>
  <c r="K179" i="6"/>
  <c r="G179" i="6"/>
  <c r="AI178" i="6"/>
  <c r="AE178" i="6"/>
  <c r="AA178" i="6"/>
  <c r="W178" i="6"/>
  <c r="S178" i="6"/>
  <c r="O178" i="6"/>
  <c r="K178" i="6"/>
  <c r="G178" i="6"/>
  <c r="AI177" i="6"/>
  <c r="AE177" i="6"/>
  <c r="AA177" i="6"/>
  <c r="W177" i="6"/>
  <c r="S177" i="6"/>
  <c r="O177" i="6"/>
  <c r="K177" i="6"/>
  <c r="G177" i="6"/>
  <c r="AI176" i="6"/>
  <c r="AE176" i="6"/>
  <c r="AA176" i="6"/>
  <c r="W176" i="6"/>
  <c r="S176" i="6"/>
  <c r="O176" i="6"/>
  <c r="K176" i="6"/>
  <c r="G176" i="6"/>
  <c r="AI175" i="6"/>
  <c r="AE175" i="6"/>
  <c r="AA175" i="6"/>
  <c r="W175" i="6"/>
  <c r="S175" i="6"/>
  <c r="O175" i="6"/>
  <c r="K175" i="6"/>
  <c r="G175" i="6"/>
  <c r="AI174" i="6"/>
  <c r="AE174" i="6"/>
  <c r="AA174" i="6"/>
  <c r="W174" i="6"/>
  <c r="S174" i="6"/>
  <c r="O174" i="6"/>
  <c r="K174" i="6"/>
  <c r="G174" i="6"/>
  <c r="AI173" i="6"/>
  <c r="AE173" i="6"/>
  <c r="AA173" i="6"/>
  <c r="W173" i="6"/>
  <c r="S173" i="6"/>
  <c r="O173" i="6"/>
  <c r="K173" i="6"/>
  <c r="G173" i="6"/>
  <c r="AI172" i="6"/>
  <c r="AE172" i="6"/>
  <c r="AA172" i="6"/>
  <c r="W172" i="6"/>
  <c r="S172" i="6"/>
  <c r="O172" i="6"/>
  <c r="K172" i="6"/>
  <c r="G172" i="6"/>
  <c r="AI171" i="6"/>
  <c r="AE171" i="6"/>
  <c r="AA171" i="6"/>
  <c r="W171" i="6"/>
  <c r="S171" i="6"/>
  <c r="O171" i="6"/>
  <c r="K171" i="6"/>
  <c r="G171" i="6"/>
  <c r="AI170" i="6"/>
  <c r="AE170" i="6"/>
  <c r="AA170" i="6"/>
  <c r="W170" i="6"/>
  <c r="S170" i="6"/>
  <c r="O170" i="6"/>
  <c r="K170" i="6"/>
  <c r="G170" i="6"/>
  <c r="AI169" i="6"/>
  <c r="AE169" i="6"/>
  <c r="AA169" i="6"/>
  <c r="W169" i="6"/>
  <c r="S169" i="6"/>
  <c r="O169" i="6"/>
  <c r="K169" i="6"/>
  <c r="G169" i="6"/>
  <c r="AI168" i="6"/>
  <c r="AE168" i="6"/>
  <c r="AA168" i="6"/>
  <c r="W168" i="6"/>
  <c r="S168" i="6"/>
  <c r="O168" i="6"/>
  <c r="K168" i="6"/>
  <c r="G168" i="6"/>
  <c r="AI167" i="6"/>
  <c r="AE167" i="6"/>
  <c r="AA167" i="6"/>
  <c r="W167" i="6"/>
  <c r="S167" i="6"/>
  <c r="O167" i="6"/>
  <c r="K167" i="6"/>
  <c r="G167" i="6"/>
  <c r="AI166" i="6"/>
  <c r="AE166" i="6"/>
  <c r="AA166" i="6"/>
  <c r="W166" i="6"/>
  <c r="S166" i="6"/>
  <c r="O166" i="6"/>
  <c r="K166" i="6"/>
  <c r="G166" i="6"/>
  <c r="AI165" i="6"/>
  <c r="AE165" i="6"/>
  <c r="AA165" i="6"/>
  <c r="W165" i="6"/>
  <c r="S165" i="6"/>
  <c r="O165" i="6"/>
  <c r="K165" i="6"/>
  <c r="G165" i="6"/>
  <c r="AI164" i="6"/>
  <c r="AE164" i="6"/>
  <c r="AA164" i="6"/>
  <c r="W164" i="6"/>
  <c r="S164" i="6"/>
  <c r="O164" i="6"/>
  <c r="K164" i="6"/>
  <c r="G164" i="6"/>
  <c r="AI163" i="6"/>
  <c r="AE163" i="6"/>
  <c r="AA163" i="6"/>
  <c r="W163" i="6"/>
  <c r="S163" i="6"/>
  <c r="O163" i="6"/>
  <c r="K163" i="6"/>
  <c r="G163" i="6"/>
  <c r="AI162" i="6"/>
  <c r="AE162" i="6"/>
  <c r="AA162" i="6"/>
  <c r="W162" i="6"/>
  <c r="S162" i="6"/>
  <c r="O162" i="6"/>
  <c r="K162" i="6"/>
  <c r="G162" i="6"/>
  <c r="AI161" i="6"/>
  <c r="AE161" i="6"/>
  <c r="AA161" i="6"/>
  <c r="W161" i="6"/>
  <c r="S161" i="6"/>
  <c r="O161" i="6"/>
  <c r="K161" i="6"/>
  <c r="G161" i="6"/>
  <c r="AI160" i="6"/>
  <c r="AE160" i="6"/>
  <c r="AA160" i="6"/>
  <c r="W160" i="6"/>
  <c r="S160" i="6"/>
  <c r="O160" i="6"/>
  <c r="K160" i="6"/>
  <c r="G160" i="6"/>
  <c r="AI159" i="6"/>
  <c r="AE159" i="6"/>
  <c r="AA159" i="6"/>
  <c r="W159" i="6"/>
  <c r="S159" i="6"/>
  <c r="O159" i="6"/>
  <c r="K159" i="6"/>
  <c r="G159" i="6"/>
  <c r="AI158" i="6"/>
  <c r="AE158" i="6"/>
  <c r="AA158" i="6"/>
  <c r="W158" i="6"/>
  <c r="S158" i="6"/>
  <c r="O158" i="6"/>
  <c r="K158" i="6"/>
  <c r="G158" i="6"/>
  <c r="AI157" i="6"/>
  <c r="AE157" i="6"/>
  <c r="AA157" i="6"/>
  <c r="W157" i="6"/>
  <c r="S157" i="6"/>
  <c r="O157" i="6"/>
  <c r="K157" i="6"/>
  <c r="G157" i="6"/>
  <c r="AI156" i="6"/>
  <c r="AE156" i="6"/>
  <c r="AA156" i="6"/>
  <c r="W156" i="6"/>
  <c r="S156" i="6"/>
  <c r="O156" i="6"/>
  <c r="K156" i="6"/>
  <c r="G156" i="6"/>
  <c r="AI155" i="6"/>
  <c r="AE155" i="6"/>
  <c r="AA155" i="6"/>
  <c r="W155" i="6"/>
  <c r="S155" i="6"/>
  <c r="O155" i="6"/>
  <c r="K155" i="6"/>
  <c r="G155" i="6"/>
  <c r="AI154" i="6"/>
  <c r="AE154" i="6"/>
  <c r="AA154" i="6"/>
  <c r="W154" i="6"/>
  <c r="S154" i="6"/>
  <c r="O154" i="6"/>
  <c r="K154" i="6"/>
  <c r="G154" i="6"/>
  <c r="AI153" i="6"/>
  <c r="AE153" i="6"/>
  <c r="AA153" i="6"/>
  <c r="W153" i="6"/>
  <c r="S153" i="6"/>
  <c r="O153" i="6"/>
  <c r="K153" i="6"/>
  <c r="G153" i="6"/>
  <c r="AI152" i="6"/>
  <c r="AE152" i="6"/>
  <c r="AA152" i="6"/>
  <c r="W152" i="6"/>
  <c r="S152" i="6"/>
  <c r="O152" i="6"/>
  <c r="K152" i="6"/>
  <c r="G152" i="6"/>
  <c r="AI151" i="6"/>
  <c r="AE151" i="6"/>
  <c r="AA151" i="6"/>
  <c r="W151" i="6"/>
  <c r="S151" i="6"/>
  <c r="O151" i="6"/>
  <c r="K151" i="6"/>
  <c r="G151" i="6"/>
  <c r="AI150" i="6"/>
  <c r="AE150" i="6"/>
  <c r="AA150" i="6"/>
  <c r="W150" i="6"/>
  <c r="S150" i="6"/>
  <c r="O150" i="6"/>
  <c r="K150" i="6"/>
  <c r="G150" i="6"/>
  <c r="AI149" i="6"/>
  <c r="AE149" i="6"/>
  <c r="AA149" i="6"/>
  <c r="W149" i="6"/>
  <c r="S149" i="6"/>
  <c r="O149" i="6"/>
  <c r="K149" i="6"/>
  <c r="G149" i="6"/>
  <c r="AI148" i="6"/>
  <c r="AE148" i="6"/>
  <c r="AA148" i="6"/>
  <c r="W148" i="6"/>
  <c r="S148" i="6"/>
  <c r="O148" i="6"/>
  <c r="K148" i="6"/>
  <c r="G148" i="6"/>
  <c r="AI147" i="6"/>
  <c r="AE147" i="6"/>
  <c r="AA147" i="6"/>
  <c r="W147" i="6"/>
  <c r="S147" i="6"/>
  <c r="O147" i="6"/>
  <c r="K147" i="6"/>
  <c r="G147" i="6"/>
  <c r="AI146" i="6"/>
  <c r="AE146" i="6"/>
  <c r="AA146" i="6"/>
  <c r="W146" i="6"/>
  <c r="S146" i="6"/>
  <c r="O146" i="6"/>
  <c r="K146" i="6"/>
  <c r="G146" i="6"/>
  <c r="AI145" i="6"/>
  <c r="AE145" i="6"/>
  <c r="AA145" i="6"/>
  <c r="W145" i="6"/>
  <c r="S145" i="6"/>
  <c r="O145" i="6"/>
  <c r="K145" i="6"/>
  <c r="G145" i="6"/>
  <c r="AI144" i="6"/>
  <c r="AE144" i="6"/>
  <c r="AA144" i="6"/>
  <c r="W144" i="6"/>
  <c r="S144" i="6"/>
  <c r="O144" i="6"/>
  <c r="K144" i="6"/>
  <c r="G144" i="6"/>
  <c r="AI143" i="6"/>
  <c r="AE143" i="6"/>
  <c r="AA143" i="6"/>
  <c r="W143" i="6"/>
  <c r="S143" i="6"/>
  <c r="O143" i="6"/>
  <c r="K143" i="6"/>
  <c r="G143" i="6"/>
  <c r="AI142" i="6"/>
  <c r="AE142" i="6"/>
  <c r="AA142" i="6"/>
  <c r="W142" i="6"/>
  <c r="S142" i="6"/>
  <c r="O142" i="6"/>
  <c r="K142" i="6"/>
  <c r="G142" i="6"/>
  <c r="AI141" i="6"/>
  <c r="AE141" i="6"/>
  <c r="AA141" i="6"/>
  <c r="W141" i="6"/>
  <c r="S141" i="6"/>
  <c r="O141" i="6"/>
  <c r="K141" i="6"/>
  <c r="G141" i="6"/>
  <c r="AI140" i="6"/>
  <c r="AE140" i="6"/>
  <c r="AA140" i="6"/>
  <c r="W140" i="6"/>
  <c r="S140" i="6"/>
  <c r="O140" i="6"/>
  <c r="K140" i="6"/>
  <c r="G140" i="6"/>
  <c r="AI139" i="6"/>
  <c r="AE139" i="6"/>
  <c r="AA139" i="6"/>
  <c r="W139" i="6"/>
  <c r="S139" i="6"/>
  <c r="O139" i="6"/>
  <c r="K139" i="6"/>
  <c r="G139" i="6"/>
  <c r="AI138" i="6"/>
  <c r="AE138" i="6"/>
  <c r="AA138" i="6"/>
  <c r="W138" i="6"/>
  <c r="S138" i="6"/>
  <c r="O138" i="6"/>
  <c r="K138" i="6"/>
  <c r="G138" i="6"/>
  <c r="AI137" i="6"/>
  <c r="AE137" i="6"/>
  <c r="AA137" i="6"/>
  <c r="W137" i="6"/>
  <c r="S137" i="6"/>
  <c r="O137" i="6"/>
  <c r="K137" i="6"/>
  <c r="G137" i="6"/>
  <c r="AI136" i="6"/>
  <c r="AE136" i="6"/>
  <c r="AA136" i="6"/>
  <c r="W136" i="6"/>
  <c r="S136" i="6"/>
  <c r="O136" i="6"/>
  <c r="K136" i="6"/>
  <c r="G136" i="6"/>
  <c r="AI135" i="6"/>
  <c r="AE135" i="6"/>
  <c r="AA135" i="6"/>
  <c r="W135" i="6"/>
  <c r="S135" i="6"/>
  <c r="O135" i="6"/>
  <c r="K135" i="6"/>
  <c r="G135" i="6"/>
  <c r="AI134" i="6"/>
  <c r="AE134" i="6"/>
  <c r="AA134" i="6"/>
  <c r="W134" i="6"/>
  <c r="S134" i="6"/>
  <c r="O134" i="6"/>
  <c r="K134" i="6"/>
  <c r="G134" i="6"/>
  <c r="AI133" i="6"/>
  <c r="AE133" i="6"/>
  <c r="AA133" i="6"/>
  <c r="W133" i="6"/>
  <c r="S133" i="6"/>
  <c r="O133" i="6"/>
  <c r="K133" i="6"/>
  <c r="G133" i="6"/>
  <c r="AI132" i="6"/>
  <c r="AE132" i="6"/>
  <c r="AA132" i="6"/>
  <c r="W132" i="6"/>
  <c r="S132" i="6"/>
  <c r="O132" i="6"/>
  <c r="K132" i="6"/>
  <c r="G132" i="6"/>
  <c r="AI131" i="6"/>
  <c r="AE131" i="6"/>
  <c r="AA131" i="6"/>
  <c r="W131" i="6"/>
  <c r="S131" i="6"/>
  <c r="O131" i="6"/>
  <c r="K131" i="6"/>
  <c r="G131" i="6"/>
  <c r="AI130" i="6"/>
  <c r="AE130" i="6"/>
  <c r="AA130" i="6"/>
  <c r="W130" i="6"/>
  <c r="S130" i="6"/>
  <c r="O130" i="6"/>
  <c r="K130" i="6"/>
  <c r="G130" i="6"/>
  <c r="AI129" i="6"/>
  <c r="AE129" i="6"/>
  <c r="AA129" i="6"/>
  <c r="W129" i="6"/>
  <c r="S129" i="6"/>
  <c r="O129" i="6"/>
  <c r="K129" i="6"/>
  <c r="G129" i="6"/>
  <c r="AI128" i="6"/>
  <c r="AE128" i="6"/>
  <c r="AA128" i="6"/>
  <c r="W128" i="6"/>
  <c r="S128" i="6"/>
  <c r="O128" i="6"/>
  <c r="K128" i="6"/>
  <c r="G128" i="6"/>
  <c r="AI127" i="6"/>
  <c r="AE127" i="6"/>
  <c r="AA127" i="6"/>
  <c r="W127" i="6"/>
  <c r="S127" i="6"/>
  <c r="O127" i="6"/>
  <c r="K127" i="6"/>
  <c r="G127" i="6"/>
  <c r="AI126" i="6"/>
  <c r="AE126" i="6"/>
  <c r="AA126" i="6"/>
  <c r="W126" i="6"/>
  <c r="S126" i="6"/>
  <c r="O126" i="6"/>
  <c r="K126" i="6"/>
  <c r="G126" i="6"/>
  <c r="AI125" i="6"/>
  <c r="AE125" i="6"/>
  <c r="AA125" i="6"/>
  <c r="W125" i="6"/>
  <c r="S125" i="6"/>
  <c r="O125" i="6"/>
  <c r="K125" i="6"/>
  <c r="G125" i="6"/>
  <c r="AI124" i="6"/>
  <c r="AE124" i="6"/>
  <c r="AA124" i="6"/>
  <c r="W124" i="6"/>
  <c r="S124" i="6"/>
  <c r="O124" i="6"/>
  <c r="K124" i="6"/>
  <c r="G124" i="6"/>
  <c r="AI123" i="6"/>
  <c r="AE123" i="6"/>
  <c r="AA123" i="6"/>
  <c r="W123" i="6"/>
  <c r="S123" i="6"/>
  <c r="O123" i="6"/>
  <c r="K123" i="6"/>
  <c r="G123" i="6"/>
  <c r="AI122" i="6"/>
  <c r="AE122" i="6"/>
  <c r="AA122" i="6"/>
  <c r="W122" i="6"/>
  <c r="S122" i="6"/>
  <c r="O122" i="6"/>
  <c r="K122" i="6"/>
  <c r="G122" i="6"/>
  <c r="AI121" i="6"/>
  <c r="AE121" i="6"/>
  <c r="AA121" i="6"/>
  <c r="W121" i="6"/>
  <c r="S121" i="6"/>
  <c r="O121" i="6"/>
  <c r="K121" i="6"/>
  <c r="G121" i="6"/>
  <c r="AI120" i="6"/>
  <c r="AE120" i="6"/>
  <c r="AA120" i="6"/>
  <c r="W120" i="6"/>
  <c r="S120" i="6"/>
  <c r="O120" i="6"/>
  <c r="K120" i="6"/>
  <c r="G120" i="6"/>
  <c r="AI119" i="6"/>
  <c r="AE119" i="6"/>
  <c r="AA119" i="6"/>
  <c r="W119" i="6"/>
  <c r="S119" i="6"/>
  <c r="O119" i="6"/>
  <c r="K119" i="6"/>
  <c r="G119" i="6"/>
  <c r="AI118" i="6"/>
  <c r="AE118" i="6"/>
  <c r="AA118" i="6"/>
  <c r="W118" i="6"/>
  <c r="S118" i="6"/>
  <c r="O118" i="6"/>
  <c r="K118" i="6"/>
  <c r="G118" i="6"/>
  <c r="AI117" i="6"/>
  <c r="AE117" i="6"/>
  <c r="AA117" i="6"/>
  <c r="W117" i="6"/>
  <c r="S117" i="6"/>
  <c r="O117" i="6"/>
  <c r="K117" i="6"/>
  <c r="G117" i="6"/>
  <c r="AI116" i="6"/>
  <c r="AE116" i="6"/>
  <c r="AA116" i="6"/>
  <c r="W116" i="6"/>
  <c r="S116" i="6"/>
  <c r="O116" i="6"/>
  <c r="K116" i="6"/>
  <c r="G116" i="6"/>
  <c r="AI115" i="6"/>
  <c r="AE115" i="6"/>
  <c r="AA115" i="6"/>
  <c r="W115" i="6"/>
  <c r="S115" i="6"/>
  <c r="O115" i="6"/>
  <c r="K115" i="6"/>
  <c r="G115" i="6"/>
  <c r="AI114" i="6"/>
  <c r="AE114" i="6"/>
  <c r="AA114" i="6"/>
  <c r="W114" i="6"/>
  <c r="S114" i="6"/>
  <c r="O114" i="6"/>
  <c r="K114" i="6"/>
  <c r="G114" i="6"/>
  <c r="AI113" i="6"/>
  <c r="AE113" i="6"/>
  <c r="AA113" i="6"/>
  <c r="W113" i="6"/>
  <c r="S113" i="6"/>
  <c r="O113" i="6"/>
  <c r="K113" i="6"/>
  <c r="G113" i="6"/>
  <c r="AI112" i="6"/>
  <c r="AE112" i="6"/>
  <c r="AA112" i="6"/>
  <c r="W112" i="6"/>
  <c r="S112" i="6"/>
  <c r="O112" i="6"/>
  <c r="K112" i="6"/>
  <c r="G112" i="6"/>
  <c r="AI111" i="6"/>
  <c r="AE111" i="6"/>
  <c r="AA111" i="6"/>
  <c r="W111" i="6"/>
  <c r="S111" i="6"/>
  <c r="O111" i="6"/>
  <c r="K111" i="6"/>
  <c r="G111" i="6"/>
  <c r="AI110" i="6"/>
  <c r="AE110" i="6"/>
  <c r="AA110" i="6"/>
  <c r="W110" i="6"/>
  <c r="S110" i="6"/>
  <c r="O110" i="6"/>
  <c r="K110" i="6"/>
  <c r="G110" i="6"/>
  <c r="AI109" i="6"/>
  <c r="AE109" i="6"/>
  <c r="AA109" i="6"/>
  <c r="W109" i="6"/>
  <c r="S109" i="6"/>
  <c r="O109" i="6"/>
  <c r="K109" i="6"/>
  <c r="G109" i="6"/>
  <c r="AI108" i="6"/>
  <c r="AE108" i="6"/>
  <c r="AA108" i="6"/>
  <c r="W108" i="6"/>
  <c r="S108" i="6"/>
  <c r="O108" i="6"/>
  <c r="K108" i="6"/>
  <c r="G108" i="6"/>
  <c r="AI107" i="6"/>
  <c r="AE107" i="6"/>
  <c r="AA107" i="6"/>
  <c r="W107" i="6"/>
  <c r="S107" i="6"/>
  <c r="O107" i="6"/>
  <c r="K107" i="6"/>
  <c r="G107" i="6"/>
  <c r="AI106" i="6"/>
  <c r="AE106" i="6"/>
  <c r="AA106" i="6"/>
  <c r="W106" i="6"/>
  <c r="S106" i="6"/>
  <c r="O106" i="6"/>
  <c r="K106" i="6"/>
  <c r="G106" i="6"/>
  <c r="AI105" i="6"/>
  <c r="AE105" i="6"/>
  <c r="AA105" i="6"/>
  <c r="W105" i="6"/>
  <c r="S105" i="6"/>
  <c r="O105" i="6"/>
  <c r="K105" i="6"/>
  <c r="G105" i="6"/>
  <c r="AI104" i="6"/>
  <c r="AE104" i="6"/>
  <c r="AA104" i="6"/>
  <c r="W104" i="6"/>
  <c r="S104" i="6"/>
  <c r="O104" i="6"/>
  <c r="K104" i="6"/>
  <c r="G104" i="6"/>
  <c r="AI103" i="6"/>
  <c r="AE103" i="6"/>
  <c r="AA103" i="6"/>
  <c r="W103" i="6"/>
  <c r="S103" i="6"/>
  <c r="O103" i="6"/>
  <c r="K103" i="6"/>
  <c r="G103" i="6"/>
  <c r="AI102" i="6"/>
  <c r="AE102" i="6"/>
  <c r="AA102" i="6"/>
  <c r="W102" i="6"/>
  <c r="S102" i="6"/>
  <c r="O102" i="6"/>
  <c r="K102" i="6"/>
  <c r="G102" i="6"/>
  <c r="AI101" i="6"/>
  <c r="AE101" i="6"/>
  <c r="AA101" i="6"/>
  <c r="W101" i="6"/>
  <c r="S101" i="6"/>
  <c r="O101" i="6"/>
  <c r="K101" i="6"/>
  <c r="G101" i="6"/>
  <c r="AI100" i="6"/>
  <c r="AE100" i="6"/>
  <c r="AA100" i="6"/>
  <c r="W100" i="6"/>
  <c r="S100" i="6"/>
  <c r="O100" i="6"/>
  <c r="K100" i="6"/>
  <c r="G100" i="6"/>
  <c r="AI99" i="6"/>
  <c r="AE99" i="6"/>
  <c r="AA99" i="6"/>
  <c r="W99" i="6"/>
  <c r="S99" i="6"/>
  <c r="O99" i="6"/>
  <c r="K99" i="6"/>
  <c r="G99" i="6"/>
  <c r="AI98" i="6"/>
  <c r="AE98" i="6"/>
  <c r="AA98" i="6"/>
  <c r="W98" i="6"/>
  <c r="S98" i="6"/>
  <c r="O98" i="6"/>
  <c r="K98" i="6"/>
  <c r="G98" i="6"/>
  <c r="AI97" i="6"/>
  <c r="AE97" i="6"/>
  <c r="AA97" i="6"/>
  <c r="W97" i="6"/>
  <c r="S97" i="6"/>
  <c r="O97" i="6"/>
  <c r="K97" i="6"/>
  <c r="G97" i="6"/>
  <c r="AI96" i="6"/>
  <c r="AE96" i="6"/>
  <c r="AA96" i="6"/>
  <c r="W96" i="6"/>
  <c r="S96" i="6"/>
  <c r="O96" i="6"/>
  <c r="K96" i="6"/>
  <c r="G96" i="6"/>
  <c r="AI95" i="6"/>
  <c r="AE95" i="6"/>
  <c r="AA95" i="6"/>
  <c r="W95" i="6"/>
  <c r="S95" i="6"/>
  <c r="O95" i="6"/>
  <c r="K95" i="6"/>
  <c r="G95" i="6"/>
  <c r="AI94" i="6"/>
  <c r="AE94" i="6"/>
  <c r="AA94" i="6"/>
  <c r="W94" i="6"/>
  <c r="S94" i="6"/>
  <c r="O94" i="6"/>
  <c r="K94" i="6"/>
  <c r="G94" i="6"/>
  <c r="AI93" i="6"/>
  <c r="AE93" i="6"/>
  <c r="AA93" i="6"/>
  <c r="W93" i="6"/>
  <c r="S93" i="6"/>
  <c r="O93" i="6"/>
  <c r="K93" i="6"/>
  <c r="G93" i="6"/>
  <c r="AI92" i="6"/>
  <c r="AE92" i="6"/>
  <c r="AA92" i="6"/>
  <c r="W92" i="6"/>
  <c r="S92" i="6"/>
  <c r="O92" i="6"/>
  <c r="K92" i="6"/>
  <c r="G92" i="6"/>
  <c r="AI91" i="6"/>
  <c r="AE91" i="6"/>
  <c r="AA91" i="6"/>
  <c r="W91" i="6"/>
  <c r="S91" i="6"/>
  <c r="O91" i="6"/>
  <c r="K91" i="6"/>
  <c r="G91" i="6"/>
  <c r="AI90" i="6"/>
  <c r="AE90" i="6"/>
  <c r="AA90" i="6"/>
  <c r="W90" i="6"/>
  <c r="S90" i="6"/>
  <c r="O90" i="6"/>
  <c r="K90" i="6"/>
  <c r="G90" i="6"/>
  <c r="AI89" i="6"/>
  <c r="AE89" i="6"/>
  <c r="AA89" i="6"/>
  <c r="W89" i="6"/>
  <c r="S89" i="6"/>
  <c r="O89" i="6"/>
  <c r="K89" i="6"/>
  <c r="G89" i="6"/>
  <c r="AI88" i="6"/>
  <c r="AE88" i="6"/>
  <c r="AA88" i="6"/>
  <c r="W88" i="6"/>
  <c r="S88" i="6"/>
  <c r="O88" i="6"/>
  <c r="K88" i="6"/>
  <c r="G88" i="6"/>
  <c r="AI87" i="6"/>
  <c r="AE87" i="6"/>
  <c r="AA87" i="6"/>
  <c r="W87" i="6"/>
  <c r="S87" i="6"/>
  <c r="O87" i="6"/>
  <c r="K87" i="6"/>
  <c r="G87" i="6"/>
  <c r="AI86" i="6"/>
  <c r="AE86" i="6"/>
  <c r="AA86" i="6"/>
  <c r="W86" i="6"/>
  <c r="S86" i="6"/>
  <c r="O86" i="6"/>
  <c r="K86" i="6"/>
  <c r="G86" i="6"/>
  <c r="AI85" i="6"/>
  <c r="AE85" i="6"/>
  <c r="AA85" i="6"/>
  <c r="W85" i="6"/>
  <c r="S85" i="6"/>
  <c r="O85" i="6"/>
  <c r="K85" i="6"/>
  <c r="G85" i="6"/>
  <c r="AI84" i="6"/>
  <c r="AE84" i="6"/>
  <c r="AA84" i="6"/>
  <c r="W84" i="6"/>
  <c r="S84" i="6"/>
  <c r="O84" i="6"/>
  <c r="K84" i="6"/>
  <c r="G84" i="6"/>
  <c r="AI83" i="6"/>
  <c r="AE83" i="6"/>
  <c r="AA83" i="6"/>
  <c r="W83" i="6"/>
  <c r="S83" i="6"/>
  <c r="O83" i="6"/>
  <c r="K83" i="6"/>
  <c r="G83" i="6"/>
  <c r="AI82" i="6"/>
  <c r="AE82" i="6"/>
  <c r="AA82" i="6"/>
  <c r="W82" i="6"/>
  <c r="S82" i="6"/>
  <c r="O82" i="6"/>
  <c r="K82" i="6"/>
  <c r="G82" i="6"/>
  <c r="AI81" i="6"/>
  <c r="AE81" i="6"/>
  <c r="AA81" i="6"/>
  <c r="W81" i="6"/>
  <c r="S81" i="6"/>
  <c r="O81" i="6"/>
  <c r="K81" i="6"/>
  <c r="G81" i="6"/>
  <c r="AI80" i="6"/>
  <c r="AE80" i="6"/>
  <c r="AA80" i="6"/>
  <c r="W80" i="6"/>
  <c r="S80" i="6"/>
  <c r="O80" i="6"/>
  <c r="K80" i="6"/>
  <c r="G80" i="6"/>
  <c r="AI79" i="6"/>
  <c r="AE79" i="6"/>
  <c r="AA79" i="6"/>
  <c r="W79" i="6"/>
  <c r="S79" i="6"/>
  <c r="O79" i="6"/>
  <c r="K79" i="6"/>
  <c r="G79" i="6"/>
  <c r="AI78" i="6"/>
  <c r="AE78" i="6"/>
  <c r="AA78" i="6"/>
  <c r="W78" i="6"/>
  <c r="S78" i="6"/>
  <c r="O78" i="6"/>
  <c r="K78" i="6"/>
  <c r="G78" i="6"/>
  <c r="AI77" i="6"/>
  <c r="AE77" i="6"/>
  <c r="AA77" i="6"/>
  <c r="W77" i="6"/>
  <c r="S77" i="6"/>
  <c r="O77" i="6"/>
  <c r="K77" i="6"/>
  <c r="G77" i="6"/>
  <c r="AI76" i="6"/>
  <c r="AE76" i="6"/>
  <c r="AA76" i="6"/>
  <c r="W76" i="6"/>
  <c r="S76" i="6"/>
  <c r="O76" i="6"/>
  <c r="K76" i="6"/>
  <c r="G76" i="6"/>
  <c r="AI75" i="6"/>
  <c r="AE75" i="6"/>
  <c r="AA75" i="6"/>
  <c r="W75" i="6"/>
  <c r="S75" i="6"/>
  <c r="O75" i="6"/>
  <c r="K75" i="6"/>
  <c r="G75" i="6"/>
  <c r="AI74" i="6"/>
  <c r="AE74" i="6"/>
  <c r="AA74" i="6"/>
  <c r="W74" i="6"/>
  <c r="S74" i="6"/>
  <c r="O74" i="6"/>
  <c r="K74" i="6"/>
  <c r="G74" i="6"/>
  <c r="AI73" i="6"/>
  <c r="AE73" i="6"/>
  <c r="AA73" i="6"/>
  <c r="W73" i="6"/>
  <c r="S73" i="6"/>
  <c r="O73" i="6"/>
  <c r="K73" i="6"/>
  <c r="G73" i="6"/>
  <c r="AI72" i="6"/>
  <c r="AE72" i="6"/>
  <c r="AA72" i="6"/>
  <c r="W72" i="6"/>
  <c r="S72" i="6"/>
  <c r="O72" i="6"/>
  <c r="K72" i="6"/>
  <c r="G72" i="6"/>
  <c r="AI71" i="6"/>
  <c r="AE71" i="6"/>
  <c r="AA71" i="6"/>
  <c r="W71" i="6"/>
  <c r="S71" i="6"/>
  <c r="O71" i="6"/>
  <c r="K71" i="6"/>
  <c r="G71" i="6"/>
  <c r="AI70" i="6"/>
  <c r="AE70" i="6"/>
  <c r="AA70" i="6"/>
  <c r="W70" i="6"/>
  <c r="S70" i="6"/>
  <c r="O70" i="6"/>
  <c r="K70" i="6"/>
  <c r="G70" i="6"/>
  <c r="AI69" i="6"/>
  <c r="AE69" i="6"/>
  <c r="AA69" i="6"/>
  <c r="W69" i="6"/>
  <c r="S69" i="6"/>
  <c r="O69" i="6"/>
  <c r="K69" i="6"/>
  <c r="G69" i="6"/>
  <c r="AI68" i="6"/>
  <c r="AE68" i="6"/>
  <c r="AA68" i="6"/>
  <c r="W68" i="6"/>
  <c r="S68" i="6"/>
  <c r="O68" i="6"/>
  <c r="K68" i="6"/>
  <c r="G68" i="6"/>
  <c r="AI67" i="6"/>
  <c r="AE67" i="6"/>
  <c r="AA67" i="6"/>
  <c r="W67" i="6"/>
  <c r="S67" i="6"/>
  <c r="O67" i="6"/>
  <c r="K67" i="6"/>
  <c r="G67" i="6"/>
  <c r="AI66" i="6"/>
  <c r="AE66" i="6"/>
  <c r="AA66" i="6"/>
  <c r="W66" i="6"/>
  <c r="S66" i="6"/>
  <c r="O66" i="6"/>
  <c r="K66" i="6"/>
  <c r="G66" i="6"/>
  <c r="AI65" i="6"/>
  <c r="AE65" i="6"/>
  <c r="AA65" i="6"/>
  <c r="W65" i="6"/>
  <c r="S65" i="6"/>
  <c r="O65" i="6"/>
  <c r="K65" i="6"/>
  <c r="G65" i="6"/>
  <c r="AI64" i="6"/>
  <c r="AE64" i="6"/>
  <c r="AA64" i="6"/>
  <c r="W64" i="6"/>
  <c r="S64" i="6"/>
  <c r="O64" i="6"/>
  <c r="K64" i="6"/>
  <c r="G64" i="6"/>
  <c r="AI63" i="6"/>
  <c r="AE63" i="6"/>
  <c r="AA63" i="6"/>
  <c r="W63" i="6"/>
  <c r="S63" i="6"/>
  <c r="O63" i="6"/>
  <c r="K63" i="6"/>
  <c r="G63" i="6"/>
  <c r="AI62" i="6"/>
  <c r="AE62" i="6"/>
  <c r="AA62" i="6"/>
  <c r="W62" i="6"/>
  <c r="S62" i="6"/>
  <c r="O62" i="6"/>
  <c r="K62" i="6"/>
  <c r="G62" i="6"/>
  <c r="AI61" i="6"/>
  <c r="AE61" i="6"/>
  <c r="AA61" i="6"/>
  <c r="W61" i="6"/>
  <c r="S61" i="6"/>
  <c r="O61" i="6"/>
  <c r="K61" i="6"/>
  <c r="G61" i="6"/>
  <c r="AI60" i="6"/>
  <c r="AE60" i="6"/>
  <c r="AA60" i="6"/>
  <c r="W60" i="6"/>
  <c r="S60" i="6"/>
  <c r="O60" i="6"/>
  <c r="K60" i="6"/>
  <c r="G60" i="6"/>
  <c r="AI59" i="6"/>
  <c r="AE59" i="6"/>
  <c r="AA59" i="6"/>
  <c r="W59" i="6"/>
  <c r="S59" i="6"/>
  <c r="O59" i="6"/>
  <c r="K59" i="6"/>
  <c r="G59" i="6"/>
  <c r="AI58" i="6"/>
  <c r="AE58" i="6"/>
  <c r="AA58" i="6"/>
  <c r="W58" i="6"/>
  <c r="S58" i="6"/>
  <c r="O58" i="6"/>
  <c r="K58" i="6"/>
  <c r="G58" i="6"/>
  <c r="AI57" i="6"/>
  <c r="AE57" i="6"/>
  <c r="AA57" i="6"/>
  <c r="W57" i="6"/>
  <c r="S57" i="6"/>
  <c r="O57" i="6"/>
  <c r="K57" i="6"/>
  <c r="G57" i="6"/>
  <c r="AI56" i="6"/>
  <c r="AE56" i="6"/>
  <c r="AA56" i="6"/>
  <c r="W56" i="6"/>
  <c r="S56" i="6"/>
  <c r="O56" i="6"/>
  <c r="K56" i="6"/>
  <c r="G56" i="6"/>
  <c r="AI55" i="6"/>
  <c r="AE55" i="6"/>
  <c r="AA55" i="6"/>
  <c r="W55" i="6"/>
  <c r="S55" i="6"/>
  <c r="O55" i="6"/>
  <c r="K55" i="6"/>
  <c r="G55" i="6"/>
  <c r="AI54" i="6"/>
  <c r="AE54" i="6"/>
  <c r="AA54" i="6"/>
  <c r="W54" i="6"/>
  <c r="S54" i="6"/>
  <c r="O54" i="6"/>
  <c r="K54" i="6"/>
  <c r="G54" i="6"/>
  <c r="AI53" i="6"/>
  <c r="AE53" i="6"/>
  <c r="AA53" i="6"/>
  <c r="W53" i="6"/>
  <c r="S53" i="6"/>
  <c r="O53" i="6"/>
  <c r="K53" i="6"/>
  <c r="G53" i="6"/>
  <c r="AI52" i="6"/>
  <c r="AE52" i="6"/>
  <c r="AA52" i="6"/>
  <c r="W52" i="6"/>
  <c r="S52" i="6"/>
  <c r="O52" i="6"/>
  <c r="K52" i="6"/>
  <c r="G52" i="6"/>
  <c r="AI51" i="6"/>
  <c r="AE51" i="6"/>
  <c r="AA51" i="6"/>
  <c r="W51" i="6"/>
  <c r="S51" i="6"/>
  <c r="O51" i="6"/>
  <c r="K51" i="6"/>
  <c r="G51" i="6"/>
  <c r="AI50" i="6"/>
  <c r="AE50" i="6"/>
  <c r="AA50" i="6"/>
  <c r="W50" i="6"/>
  <c r="S50" i="6"/>
  <c r="O50" i="6"/>
  <c r="K50" i="6"/>
  <c r="G50" i="6"/>
  <c r="AI49" i="6"/>
  <c r="AE49" i="6"/>
  <c r="AA49" i="6"/>
  <c r="W49" i="6"/>
  <c r="S49" i="6"/>
  <c r="O49" i="6"/>
  <c r="K49" i="6"/>
  <c r="G49" i="6"/>
  <c r="AI48" i="6"/>
  <c r="AE48" i="6"/>
  <c r="AA48" i="6"/>
  <c r="W48" i="6"/>
  <c r="S48" i="6"/>
  <c r="O48" i="6"/>
  <c r="K48" i="6"/>
  <c r="G48" i="6"/>
  <c r="AI47" i="6"/>
  <c r="AE47" i="6"/>
  <c r="AA47" i="6"/>
  <c r="W47" i="6"/>
  <c r="S47" i="6"/>
  <c r="O47" i="6"/>
  <c r="K47" i="6"/>
  <c r="G47" i="6"/>
  <c r="AI46" i="6"/>
  <c r="AE46" i="6"/>
  <c r="AA46" i="6"/>
  <c r="W46" i="6"/>
  <c r="S46" i="6"/>
  <c r="O46" i="6"/>
  <c r="K46" i="6"/>
  <c r="G46" i="6"/>
  <c r="AI45" i="6"/>
  <c r="AE45" i="6"/>
  <c r="AA45" i="6"/>
  <c r="W45" i="6"/>
  <c r="S45" i="6"/>
  <c r="O45" i="6"/>
  <c r="K45" i="6"/>
  <c r="G45" i="6"/>
  <c r="AI44" i="6"/>
  <c r="AE44" i="6"/>
  <c r="AA44" i="6"/>
  <c r="W44" i="6"/>
  <c r="S44" i="6"/>
  <c r="O44" i="6"/>
  <c r="K44" i="6"/>
  <c r="G44" i="6"/>
  <c r="AI43" i="6"/>
  <c r="AE43" i="6"/>
  <c r="AA43" i="6"/>
  <c r="W43" i="6"/>
  <c r="S43" i="6"/>
  <c r="O43" i="6"/>
  <c r="K43" i="6"/>
  <c r="G43" i="6"/>
  <c r="AI42" i="6"/>
  <c r="AE42" i="6"/>
  <c r="AA42" i="6"/>
  <c r="W42" i="6"/>
  <c r="S42" i="6"/>
  <c r="O42" i="6"/>
  <c r="K42" i="6"/>
  <c r="G42" i="6"/>
  <c r="AI41" i="6"/>
  <c r="AE41" i="6"/>
  <c r="AA41" i="6"/>
  <c r="W41" i="6"/>
  <c r="S41" i="6"/>
  <c r="O41" i="6"/>
  <c r="K41" i="6"/>
  <c r="G41" i="6"/>
  <c r="AI40" i="6"/>
  <c r="AE40" i="6"/>
  <c r="AA40" i="6"/>
  <c r="W40" i="6"/>
  <c r="S40" i="6"/>
  <c r="O40" i="6"/>
  <c r="K40" i="6"/>
  <c r="G40" i="6"/>
  <c r="AI39" i="6"/>
  <c r="AE39" i="6"/>
  <c r="AA39" i="6"/>
  <c r="W39" i="6"/>
  <c r="S39" i="6"/>
  <c r="O39" i="6"/>
  <c r="K39" i="6"/>
  <c r="G39" i="6"/>
  <c r="AI38" i="6"/>
  <c r="AE38" i="6"/>
  <c r="AA38" i="6"/>
  <c r="W38" i="6"/>
  <c r="S38" i="6"/>
  <c r="O38" i="6"/>
  <c r="K38" i="6"/>
  <c r="G38" i="6"/>
  <c r="AI37" i="6"/>
  <c r="AE37" i="6"/>
  <c r="AA37" i="6"/>
  <c r="W37" i="6"/>
  <c r="S37" i="6"/>
  <c r="O37" i="6"/>
  <c r="K37" i="6"/>
  <c r="G37" i="6"/>
  <c r="AI36" i="6"/>
  <c r="AE36" i="6"/>
  <c r="AA36" i="6"/>
  <c r="W36" i="6"/>
  <c r="S36" i="6"/>
  <c r="O36" i="6"/>
  <c r="K36" i="6"/>
  <c r="G36" i="6"/>
  <c r="AI35" i="6"/>
  <c r="AE35" i="6"/>
  <c r="AA35" i="6"/>
  <c r="W35" i="6"/>
  <c r="S35" i="6"/>
  <c r="O35" i="6"/>
  <c r="K35" i="6"/>
  <c r="G35" i="6"/>
  <c r="AI34" i="6"/>
  <c r="AE34" i="6"/>
  <c r="AA34" i="6"/>
  <c r="W34" i="6"/>
  <c r="S34" i="6"/>
  <c r="O34" i="6"/>
  <c r="K34" i="6"/>
  <c r="G34" i="6"/>
  <c r="AI33" i="6"/>
  <c r="AE33" i="6"/>
  <c r="AA33" i="6"/>
  <c r="W33" i="6"/>
  <c r="S33" i="6"/>
  <c r="O33" i="6"/>
  <c r="K33" i="6"/>
  <c r="G33" i="6"/>
  <c r="AI32" i="6"/>
  <c r="AE32" i="6"/>
  <c r="AA32" i="6"/>
  <c r="W32" i="6"/>
  <c r="S32" i="6"/>
  <c r="O32" i="6"/>
  <c r="K32" i="6"/>
  <c r="G32" i="6"/>
  <c r="AI31" i="6"/>
  <c r="AE31" i="6"/>
  <c r="AA31" i="6"/>
  <c r="W31" i="6"/>
  <c r="S31" i="6"/>
  <c r="O31" i="6"/>
  <c r="K31" i="6"/>
  <c r="G31" i="6"/>
  <c r="AI30" i="6"/>
  <c r="AE30" i="6"/>
  <c r="AA30" i="6"/>
  <c r="W30" i="6"/>
  <c r="S30" i="6"/>
  <c r="O30" i="6"/>
  <c r="K30" i="6"/>
  <c r="G30" i="6"/>
  <c r="AI29" i="6"/>
  <c r="AE29" i="6"/>
  <c r="AA29" i="6"/>
  <c r="W29" i="6"/>
  <c r="S29" i="6"/>
  <c r="O29" i="6"/>
  <c r="K29" i="6"/>
  <c r="G29" i="6"/>
  <c r="AI28" i="6"/>
  <c r="AE28" i="6"/>
  <c r="AA28" i="6"/>
  <c r="W28" i="6"/>
  <c r="S28" i="6"/>
  <c r="O28" i="6"/>
  <c r="K28" i="6"/>
  <c r="G28" i="6"/>
  <c r="AI27" i="6"/>
  <c r="AE27" i="6"/>
  <c r="AA27" i="6"/>
  <c r="W27" i="6"/>
  <c r="S27" i="6"/>
  <c r="O27" i="6"/>
  <c r="K27" i="6"/>
  <c r="G27" i="6"/>
  <c r="AI26" i="6"/>
  <c r="AE26" i="6"/>
  <c r="AA26" i="6"/>
  <c r="W26" i="6"/>
  <c r="S26" i="6"/>
  <c r="O26" i="6"/>
  <c r="K26" i="6"/>
  <c r="G26" i="6"/>
  <c r="AI25" i="6"/>
  <c r="AE25" i="6"/>
  <c r="AA25" i="6"/>
  <c r="W25" i="6"/>
  <c r="S25" i="6"/>
  <c r="O25" i="6"/>
  <c r="K25" i="6"/>
  <c r="G25" i="6"/>
  <c r="AI24" i="6"/>
  <c r="AE24" i="6"/>
  <c r="AA24" i="6"/>
  <c r="W24" i="6"/>
  <c r="S24" i="6"/>
  <c r="O24" i="6"/>
  <c r="K24" i="6"/>
  <c r="G24" i="6"/>
  <c r="AI23" i="6"/>
  <c r="AE23" i="6"/>
  <c r="AA23" i="6"/>
  <c r="W23" i="6"/>
  <c r="S23" i="6"/>
  <c r="O23" i="6"/>
  <c r="K23" i="6"/>
  <c r="G23" i="6"/>
  <c r="AI22" i="6"/>
  <c r="AE22" i="6"/>
  <c r="AA22" i="6"/>
  <c r="W22" i="6"/>
  <c r="S22" i="6"/>
  <c r="O22" i="6"/>
  <c r="K22" i="6"/>
  <c r="G22" i="6"/>
  <c r="AI21" i="6"/>
  <c r="AE21" i="6"/>
  <c r="AA21" i="6"/>
  <c r="W21" i="6"/>
  <c r="S21" i="6"/>
  <c r="O21" i="6"/>
  <c r="K21" i="6"/>
  <c r="G21" i="6"/>
  <c r="AI20" i="6"/>
  <c r="AE20" i="6"/>
  <c r="AA20" i="6"/>
  <c r="W20" i="6"/>
  <c r="S20" i="6"/>
  <c r="O20" i="6"/>
  <c r="K20" i="6"/>
  <c r="G20" i="6"/>
  <c r="AI19" i="6"/>
  <c r="AE19" i="6"/>
  <c r="AA19" i="6"/>
  <c r="W19" i="6"/>
  <c r="S19" i="6"/>
  <c r="O19" i="6"/>
  <c r="K19" i="6"/>
  <c r="G19" i="6"/>
  <c r="AI18" i="6"/>
  <c r="AE18" i="6"/>
  <c r="AA18" i="6"/>
  <c r="W18" i="6"/>
  <c r="S18" i="6"/>
  <c r="O18" i="6"/>
  <c r="K18" i="6"/>
  <c r="G18" i="6"/>
  <c r="AI17" i="6"/>
  <c r="AE17" i="6"/>
  <c r="AA17" i="6"/>
  <c r="W17" i="6"/>
  <c r="S17" i="6"/>
  <c r="O17" i="6"/>
  <c r="K17" i="6"/>
  <c r="G17" i="6"/>
  <c r="AI16" i="6"/>
  <c r="AE16" i="6"/>
  <c r="AA16" i="6"/>
  <c r="W16" i="6"/>
  <c r="S16" i="6"/>
  <c r="O16" i="6"/>
  <c r="K16" i="6"/>
  <c r="G16" i="6"/>
  <c r="AI15" i="6"/>
  <c r="AE15" i="6"/>
  <c r="AA15" i="6"/>
  <c r="W15" i="6"/>
  <c r="S15" i="6"/>
  <c r="O15" i="6"/>
  <c r="K15" i="6"/>
  <c r="G15" i="6"/>
  <c r="AI14" i="6"/>
  <c r="AE14" i="6"/>
  <c r="AA14" i="6"/>
  <c r="W14" i="6"/>
  <c r="S14" i="6"/>
  <c r="O14" i="6"/>
  <c r="K14" i="6"/>
  <c r="G14" i="6"/>
  <c r="AI13" i="6"/>
  <c r="AE13" i="6"/>
  <c r="AA13" i="6"/>
  <c r="W13" i="6"/>
  <c r="S13" i="6"/>
  <c r="O13" i="6"/>
  <c r="K13" i="6"/>
  <c r="S4" i="6" s="1"/>
  <c r="G13" i="6"/>
  <c r="M6" i="6"/>
  <c r="Q5" i="6"/>
  <c r="M5" i="6"/>
  <c r="Q4" i="6"/>
  <c r="M4" i="6"/>
  <c r="Q3" i="6"/>
  <c r="M3" i="6"/>
  <c r="B3" i="6"/>
  <c r="H7" i="23"/>
  <c r="I7" i="23" s="1"/>
  <c r="J7" i="23" s="1"/>
  <c r="K7" i="23" s="1"/>
  <c r="G5" i="22"/>
  <c r="H5" i="22" s="1"/>
  <c r="L57" i="19"/>
  <c r="J37" i="27" s="1"/>
  <c r="K57" i="19"/>
  <c r="J57" i="19"/>
  <c r="I57" i="19"/>
  <c r="H57" i="19"/>
  <c r="L56" i="19"/>
  <c r="K56" i="19"/>
  <c r="J56" i="19"/>
  <c r="I56" i="19"/>
  <c r="H56" i="19"/>
  <c r="L55" i="19"/>
  <c r="K55" i="19"/>
  <c r="J55" i="19"/>
  <c r="I55" i="19"/>
  <c r="H55" i="19"/>
  <c r="L51" i="19"/>
  <c r="M51" i="19" s="1"/>
  <c r="N51" i="19" s="1"/>
  <c r="O51" i="19" s="1"/>
  <c r="P51" i="19" s="1"/>
  <c r="Q51" i="19" s="1"/>
  <c r="R51" i="19" s="1"/>
  <c r="S51" i="19" s="1"/>
  <c r="T51" i="19" s="1"/>
  <c r="U51" i="19" s="1"/>
  <c r="V51" i="19" s="1"/>
  <c r="K51" i="19"/>
  <c r="J51" i="19"/>
  <c r="I51" i="19"/>
  <c r="H51" i="19"/>
  <c r="G27" i="26"/>
  <c r="L46" i="19"/>
  <c r="M46" i="19" s="1"/>
  <c r="N46" i="19" s="1"/>
  <c r="O46" i="19" s="1"/>
  <c r="P46" i="19" s="1"/>
  <c r="Q46" i="19" s="1"/>
  <c r="R46" i="19" s="1"/>
  <c r="S46" i="19" s="1"/>
  <c r="T46" i="19" s="1"/>
  <c r="U46" i="19" s="1"/>
  <c r="V46" i="19" s="1"/>
  <c r="K46" i="19"/>
  <c r="J46" i="19"/>
  <c r="I46" i="19"/>
  <c r="H46" i="19"/>
  <c r="L45" i="19"/>
  <c r="K45" i="19"/>
  <c r="J45" i="19"/>
  <c r="I45" i="19"/>
  <c r="H45" i="19"/>
  <c r="L38" i="19"/>
  <c r="K38" i="19"/>
  <c r="J38" i="19"/>
  <c r="I38" i="19"/>
  <c r="H38" i="19"/>
  <c r="L37" i="19"/>
  <c r="K37" i="19"/>
  <c r="J37" i="19"/>
  <c r="I37" i="19"/>
  <c r="H37" i="19"/>
  <c r="L36" i="19"/>
  <c r="M36" i="19" s="1"/>
  <c r="N36" i="19" s="1"/>
  <c r="O36" i="19" s="1"/>
  <c r="P36" i="19" s="1"/>
  <c r="Q36" i="19" s="1"/>
  <c r="R36" i="19" s="1"/>
  <c r="S36" i="19" s="1"/>
  <c r="T36" i="19" s="1"/>
  <c r="U36" i="19" s="1"/>
  <c r="V36" i="19" s="1"/>
  <c r="K36" i="19"/>
  <c r="J36" i="19"/>
  <c r="I36" i="19"/>
  <c r="H36" i="19"/>
  <c r="L35" i="19"/>
  <c r="K35" i="19"/>
  <c r="J35" i="19"/>
  <c r="I35" i="19"/>
  <c r="H35" i="19"/>
  <c r="J21" i="26"/>
  <c r="L31" i="19"/>
  <c r="K31" i="19"/>
  <c r="J31" i="19"/>
  <c r="I31" i="19"/>
  <c r="H31" i="19"/>
  <c r="L30" i="19"/>
  <c r="K30" i="19"/>
  <c r="J30" i="19"/>
  <c r="I30" i="19"/>
  <c r="H30" i="19"/>
  <c r="L29" i="19"/>
  <c r="K29" i="19"/>
  <c r="J29" i="19"/>
  <c r="I29" i="19"/>
  <c r="H29" i="19"/>
  <c r="L28" i="19"/>
  <c r="M28" i="19" s="1"/>
  <c r="N28" i="19" s="1"/>
  <c r="O28" i="19" s="1"/>
  <c r="P28" i="19" s="1"/>
  <c r="Q28" i="19" s="1"/>
  <c r="R28" i="19" s="1"/>
  <c r="S28" i="19" s="1"/>
  <c r="T28" i="19" s="1"/>
  <c r="U28" i="19" s="1"/>
  <c r="V28" i="19" s="1"/>
  <c r="K28" i="19"/>
  <c r="J28" i="19"/>
  <c r="I28" i="19"/>
  <c r="H28" i="19"/>
  <c r="L27" i="19"/>
  <c r="K27" i="19"/>
  <c r="J27" i="19"/>
  <c r="I27" i="19"/>
  <c r="H27" i="19"/>
  <c r="L19" i="19"/>
  <c r="K19" i="19"/>
  <c r="J19" i="19"/>
  <c r="I19" i="19"/>
  <c r="H19" i="19"/>
  <c r="L16" i="19"/>
  <c r="K16" i="19"/>
  <c r="J16" i="19"/>
  <c r="I16" i="19"/>
  <c r="H16" i="19"/>
  <c r="L11" i="19"/>
  <c r="K11" i="19"/>
  <c r="J11" i="19"/>
  <c r="I11" i="19"/>
  <c r="H11" i="19"/>
  <c r="L10" i="19"/>
  <c r="K10" i="19"/>
  <c r="J10" i="19"/>
  <c r="I10" i="19"/>
  <c r="H10" i="19"/>
  <c r="L8" i="19"/>
  <c r="K8" i="19"/>
  <c r="J8" i="19"/>
  <c r="I8" i="19"/>
  <c r="H8" i="19"/>
  <c r="L7" i="19"/>
  <c r="K9" i="23" s="1"/>
  <c r="K7" i="19"/>
  <c r="J7" i="19"/>
  <c r="I7" i="19"/>
  <c r="H7" i="19"/>
  <c r="G9" i="23" s="1"/>
  <c r="H5" i="19"/>
  <c r="I32" i="25"/>
  <c r="H32" i="25"/>
  <c r="G32" i="25"/>
  <c r="F32" i="25"/>
  <c r="E32" i="25"/>
  <c r="I29" i="25"/>
  <c r="H29" i="25"/>
  <c r="G29" i="25"/>
  <c r="F29" i="25"/>
  <c r="E29" i="25"/>
  <c r="I26" i="25"/>
  <c r="H26" i="25"/>
  <c r="G26" i="25"/>
  <c r="F26" i="25"/>
  <c r="E26" i="25"/>
  <c r="I23" i="25"/>
  <c r="H23" i="25"/>
  <c r="G23" i="25"/>
  <c r="F23" i="25"/>
  <c r="E23" i="25"/>
  <c r="I20" i="25"/>
  <c r="H20" i="25"/>
  <c r="G20" i="25"/>
  <c r="F20" i="25"/>
  <c r="E20" i="25"/>
  <c r="I15" i="25"/>
  <c r="H15" i="25"/>
  <c r="G15" i="25"/>
  <c r="F15" i="25"/>
  <c r="E15" i="25"/>
  <c r="I12" i="25"/>
  <c r="H12" i="25"/>
  <c r="G12" i="25"/>
  <c r="F12" i="25"/>
  <c r="E12" i="25"/>
  <c r="F9" i="25"/>
  <c r="G9" i="25" s="1"/>
  <c r="H9" i="25" s="1"/>
  <c r="I9" i="25" s="1"/>
  <c r="J9" i="25" s="1"/>
  <c r="K9" i="25" s="1"/>
  <c r="L9" i="25" s="1"/>
  <c r="M9" i="25" s="1"/>
  <c r="N9" i="25" s="1"/>
  <c r="O9" i="25" s="1"/>
  <c r="P9" i="25" s="1"/>
  <c r="Q9" i="25" s="1"/>
  <c r="R9" i="25" s="1"/>
  <c r="S9" i="25" s="1"/>
  <c r="I136" i="18"/>
  <c r="I12" i="28" s="1"/>
  <c r="H136" i="18"/>
  <c r="H12" i="28" s="1"/>
  <c r="G136" i="18"/>
  <c r="G11" i="26" s="1"/>
  <c r="F136" i="18"/>
  <c r="F12" i="28" s="1"/>
  <c r="F3" i="18"/>
  <c r="G3" i="18" s="1"/>
  <c r="H3" i="18" s="1"/>
  <c r="I3" i="18" s="1"/>
  <c r="F20" i="24"/>
  <c r="G20" i="24" s="1"/>
  <c r="E9" i="21"/>
  <c r="E10" i="21" s="1"/>
  <c r="E11" i="21" s="1"/>
  <c r="E12" i="21" s="1"/>
  <c r="E13" i="21" s="1"/>
  <c r="E14" i="21" s="1"/>
  <c r="E15" i="21" s="1"/>
  <c r="E16" i="21" s="1"/>
  <c r="E17" i="21" s="1"/>
  <c r="E18" i="21" s="1"/>
  <c r="E19" i="21" s="1"/>
  <c r="E20" i="21" s="1"/>
  <c r="E21" i="21" s="1"/>
  <c r="E22" i="21" s="1"/>
  <c r="H50" i="19" l="1"/>
  <c r="H11" i="7"/>
  <c r="H16" i="7"/>
  <c r="O5" i="6"/>
  <c r="J13" i="7" s="1"/>
  <c r="P12" i="8"/>
  <c r="M12" i="8"/>
  <c r="F25" i="8"/>
  <c r="J25" i="8"/>
  <c r="P13" i="8"/>
  <c r="M13" i="8"/>
  <c r="P10" i="8"/>
  <c r="P16" i="8" s="1"/>
  <c r="P14" i="8"/>
  <c r="P11" i="8"/>
  <c r="P17" i="8" s="1"/>
  <c r="E23" i="8" s="1"/>
  <c r="F23" i="8" s="1"/>
  <c r="H23" i="8" s="1"/>
  <c r="J23" i="8" s="1"/>
  <c r="M9" i="8"/>
  <c r="G12" i="7"/>
  <c r="H13" i="7"/>
  <c r="E15" i="7"/>
  <c r="G15" i="7" s="1"/>
  <c r="G11" i="7"/>
  <c r="H14" i="7"/>
  <c r="H15" i="7"/>
  <c r="H18" i="7" s="1"/>
  <c r="E27" i="7" s="1"/>
  <c r="E28" i="7" s="1"/>
  <c r="G16" i="7"/>
  <c r="G13" i="7"/>
  <c r="G14" i="7"/>
  <c r="E22" i="28"/>
  <c r="E17" i="18"/>
  <c r="E19" i="18" s="1"/>
  <c r="E26" i="18" s="1"/>
  <c r="E29" i="18" s="1"/>
  <c r="I11" i="28"/>
  <c r="I13" i="28" s="1"/>
  <c r="F138" i="18"/>
  <c r="F141" i="18" s="1"/>
  <c r="F174" i="18" s="1"/>
  <c r="F11" i="28"/>
  <c r="F13" i="28" s="1"/>
  <c r="I138" i="18"/>
  <c r="I141" i="18" s="1"/>
  <c r="I174" i="18" s="1"/>
  <c r="E11" i="28"/>
  <c r="E13" i="28" s="1"/>
  <c r="H65" i="18"/>
  <c r="H124" i="18"/>
  <c r="H138" i="18" s="1"/>
  <c r="H141" i="18" s="1"/>
  <c r="H174" i="18" s="1"/>
  <c r="I102" i="18"/>
  <c r="E102" i="18"/>
  <c r="G124" i="18"/>
  <c r="G138" i="18" s="1"/>
  <c r="G141" i="18" s="1"/>
  <c r="G174" i="18" s="1"/>
  <c r="G65" i="18"/>
  <c r="G36" i="25"/>
  <c r="F17" i="18"/>
  <c r="F19" i="18" s="1"/>
  <c r="F26" i="18" s="1"/>
  <c r="F29" i="18" s="1"/>
  <c r="I65" i="18"/>
  <c r="F16" i="26"/>
  <c r="G102" i="18"/>
  <c r="H17" i="18"/>
  <c r="H19" i="18" s="1"/>
  <c r="H26" i="18" s="1"/>
  <c r="H29" i="18" s="1"/>
  <c r="F102" i="18"/>
  <c r="E30" i="25"/>
  <c r="I30" i="25"/>
  <c r="J30" i="25" s="1"/>
  <c r="G17" i="18"/>
  <c r="G19" i="18" s="1"/>
  <c r="G26" i="18" s="1"/>
  <c r="G29" i="18" s="1"/>
  <c r="F65" i="18"/>
  <c r="H102" i="18"/>
  <c r="H14" i="26"/>
  <c r="G15" i="26"/>
  <c r="I17" i="18"/>
  <c r="I19" i="18" s="1"/>
  <c r="I26" i="18" s="1"/>
  <c r="I29" i="18" s="1"/>
  <c r="G12" i="28"/>
  <c r="G13" i="28" s="1"/>
  <c r="H11" i="26"/>
  <c r="H16" i="26"/>
  <c r="F30" i="25"/>
  <c r="E14" i="26"/>
  <c r="I14" i="26"/>
  <c r="H15" i="26"/>
  <c r="E16" i="26"/>
  <c r="I16" i="26"/>
  <c r="D38" i="27"/>
  <c r="F14" i="26"/>
  <c r="E15" i="26"/>
  <c r="I15" i="26"/>
  <c r="D36" i="27"/>
  <c r="J38" i="27" s="1"/>
  <c r="G14" i="26"/>
  <c r="F15" i="26"/>
  <c r="G16" i="26"/>
  <c r="E11" i="26"/>
  <c r="E12" i="26" s="1"/>
  <c r="F27" i="27" s="1"/>
  <c r="I11" i="26"/>
  <c r="F11" i="26"/>
  <c r="F12" i="26" s="1"/>
  <c r="G27" i="27" s="1"/>
  <c r="E44" i="7"/>
  <c r="E45" i="7" s="1"/>
  <c r="G12" i="26"/>
  <c r="H27" i="27" s="1"/>
  <c r="G22" i="28"/>
  <c r="G30" i="28"/>
  <c r="L20" i="27"/>
  <c r="M19" i="27"/>
  <c r="M18" i="27" s="1"/>
  <c r="H13" i="28"/>
  <c r="H22" i="28"/>
  <c r="H30" i="28"/>
  <c r="F22" i="28"/>
  <c r="I22" i="28"/>
  <c r="F30" i="28"/>
  <c r="E30" i="28"/>
  <c r="I30" i="28"/>
  <c r="M20" i="27"/>
  <c r="J20" i="27"/>
  <c r="N19" i="27"/>
  <c r="O19" i="27" s="1"/>
  <c r="P19" i="27" s="1"/>
  <c r="K20" i="27"/>
  <c r="H27" i="25"/>
  <c r="H47" i="19"/>
  <c r="J9" i="19"/>
  <c r="I11" i="23" s="1"/>
  <c r="J13" i="23"/>
  <c r="H52" i="19"/>
  <c r="G30" i="25"/>
  <c r="K13" i="23"/>
  <c r="G20" i="23"/>
  <c r="K20" i="23"/>
  <c r="J21" i="23"/>
  <c r="L39" i="19"/>
  <c r="E27" i="25"/>
  <c r="J10" i="23"/>
  <c r="K58" i="19"/>
  <c r="I29" i="22" s="1"/>
  <c r="I27" i="25"/>
  <c r="J27" i="25" s="1"/>
  <c r="J23" i="26" s="1"/>
  <c r="M13" i="19" s="1"/>
  <c r="H12" i="23"/>
  <c r="L52" i="19"/>
  <c r="H9" i="19"/>
  <c r="G11" i="23" s="1"/>
  <c r="G15" i="23"/>
  <c r="K15" i="23"/>
  <c r="I18" i="23"/>
  <c r="H58" i="19"/>
  <c r="F29" i="22" s="1"/>
  <c r="L58" i="19"/>
  <c r="J29" i="22" s="1"/>
  <c r="M57" i="19"/>
  <c r="N57" i="19" s="1"/>
  <c r="O57" i="19" s="1"/>
  <c r="P57" i="19" s="1"/>
  <c r="Q57" i="19" s="1"/>
  <c r="R57" i="19" s="1"/>
  <c r="S57" i="19" s="1"/>
  <c r="T57" i="19" s="1"/>
  <c r="U57" i="19" s="1"/>
  <c r="V57" i="19" s="1"/>
  <c r="L9" i="19"/>
  <c r="L12" i="19" s="1"/>
  <c r="J12" i="23"/>
  <c r="H15" i="23"/>
  <c r="L32" i="19"/>
  <c r="M55" i="19"/>
  <c r="N55" i="19" s="1"/>
  <c r="O55" i="19" s="1"/>
  <c r="P55" i="19" s="1"/>
  <c r="Q55" i="19" s="1"/>
  <c r="R55" i="19" s="1"/>
  <c r="S55" i="19" s="1"/>
  <c r="T55" i="19" s="1"/>
  <c r="U55" i="19" s="1"/>
  <c r="V55" i="19" s="1"/>
  <c r="H18" i="23"/>
  <c r="H30" i="25"/>
  <c r="G12" i="23"/>
  <c r="K12" i="23"/>
  <c r="I15" i="23"/>
  <c r="J20" i="23"/>
  <c r="J47" i="19"/>
  <c r="I52" i="19"/>
  <c r="I21" i="23"/>
  <c r="I32" i="22"/>
  <c r="J9" i="23"/>
  <c r="I32" i="19"/>
  <c r="K32" i="19"/>
  <c r="H21" i="26"/>
  <c r="M35" i="19"/>
  <c r="N35" i="19" s="1"/>
  <c r="O35" i="19" s="1"/>
  <c r="P35" i="19" s="1"/>
  <c r="Q35" i="19" s="1"/>
  <c r="R35" i="19" s="1"/>
  <c r="S35" i="19" s="1"/>
  <c r="T35" i="19" s="1"/>
  <c r="U35" i="19" s="1"/>
  <c r="V35" i="19" s="1"/>
  <c r="I58" i="19"/>
  <c r="G29" i="22" s="1"/>
  <c r="J32" i="22"/>
  <c r="H10" i="23"/>
  <c r="G34" i="22"/>
  <c r="G33" i="22"/>
  <c r="I17" i="23"/>
  <c r="J32" i="19"/>
  <c r="G21" i="26"/>
  <c r="I9" i="19"/>
  <c r="I34" i="22"/>
  <c r="I33" i="22"/>
  <c r="G17" i="23"/>
  <c r="K17" i="23"/>
  <c r="J18" i="23"/>
  <c r="H20" i="23"/>
  <c r="G21" i="23"/>
  <c r="K21" i="23"/>
  <c r="I21" i="26"/>
  <c r="K39" i="19"/>
  <c r="M37" i="19"/>
  <c r="N37" i="19" s="1"/>
  <c r="O37" i="19" s="1"/>
  <c r="P37" i="19" s="1"/>
  <c r="Q37" i="19" s="1"/>
  <c r="R37" i="19" s="1"/>
  <c r="S37" i="19" s="1"/>
  <c r="T37" i="19" s="1"/>
  <c r="U37" i="19" s="1"/>
  <c r="V37" i="19" s="1"/>
  <c r="H39" i="19"/>
  <c r="K47" i="19"/>
  <c r="G28" i="26"/>
  <c r="J52" i="19"/>
  <c r="I9" i="23"/>
  <c r="H32" i="22"/>
  <c r="I13" i="23"/>
  <c r="J39" i="19"/>
  <c r="H34" i="22"/>
  <c r="H33" i="22"/>
  <c r="F27" i="25"/>
  <c r="G13" i="23"/>
  <c r="G27" i="25"/>
  <c r="H9" i="23"/>
  <c r="G32" i="22"/>
  <c r="G10" i="23"/>
  <c r="J34" i="22"/>
  <c r="J33" i="22"/>
  <c r="K10" i="23"/>
  <c r="K9" i="19"/>
  <c r="I12" i="23"/>
  <c r="H13" i="23"/>
  <c r="J15" i="23"/>
  <c r="H17" i="23"/>
  <c r="G18" i="23"/>
  <c r="K18" i="23"/>
  <c r="I20" i="23"/>
  <c r="H21" i="23"/>
  <c r="M31" i="19"/>
  <c r="N31" i="19" s="1"/>
  <c r="O31" i="19" s="1"/>
  <c r="P31" i="19" s="1"/>
  <c r="Q31" i="19" s="1"/>
  <c r="R31" i="19" s="1"/>
  <c r="S31" i="19" s="1"/>
  <c r="T31" i="19" s="1"/>
  <c r="U31" i="19" s="1"/>
  <c r="V31" i="19" s="1"/>
  <c r="H32" i="19"/>
  <c r="M38" i="19"/>
  <c r="N38" i="19" s="1"/>
  <c r="O38" i="19" s="1"/>
  <c r="P38" i="19" s="1"/>
  <c r="Q38" i="19" s="1"/>
  <c r="R38" i="19" s="1"/>
  <c r="S38" i="19" s="1"/>
  <c r="T38" i="19" s="1"/>
  <c r="U38" i="19" s="1"/>
  <c r="V38" i="19" s="1"/>
  <c r="I39" i="19"/>
  <c r="L47" i="19"/>
  <c r="I27" i="26"/>
  <c r="K52" i="19"/>
  <c r="J58" i="19"/>
  <c r="H29" i="22" s="1"/>
  <c r="I10" i="23"/>
  <c r="J17" i="23"/>
  <c r="I47" i="19"/>
  <c r="F28" i="26"/>
  <c r="H12" i="26"/>
  <c r="I27" i="27" s="1"/>
  <c r="I12" i="26"/>
  <c r="J27" i="27" s="1"/>
  <c r="J16" i="7"/>
  <c r="K16" i="7" s="1"/>
  <c r="F36" i="25"/>
  <c r="H36" i="25"/>
  <c r="I36" i="25"/>
  <c r="E36" i="25"/>
  <c r="G13" i="25"/>
  <c r="F16" i="25"/>
  <c r="E18" i="25"/>
  <c r="F8" i="22" s="1"/>
  <c r="I18" i="25"/>
  <c r="J8" i="22" s="1"/>
  <c r="H18" i="25"/>
  <c r="I8" i="22" s="1"/>
  <c r="G16" i="25"/>
  <c r="G18" i="25"/>
  <c r="H8" i="22" s="1"/>
  <c r="E33" i="25"/>
  <c r="F18" i="25"/>
  <c r="G8" i="22" s="1"/>
  <c r="F33" i="25"/>
  <c r="J14" i="7"/>
  <c r="K14" i="7" s="1"/>
  <c r="K11" i="7"/>
  <c r="J15" i="7"/>
  <c r="K15" i="7" s="1"/>
  <c r="J12" i="7"/>
  <c r="K12" i="7" s="1"/>
  <c r="I5" i="22"/>
  <c r="J5" i="19"/>
  <c r="I5" i="19"/>
  <c r="F21" i="25"/>
  <c r="E16" i="25"/>
  <c r="G21" i="25"/>
  <c r="F13" i="25"/>
  <c r="G24" i="25"/>
  <c r="I13" i="25"/>
  <c r="G33" i="25"/>
  <c r="H21" i="25"/>
  <c r="H13" i="25"/>
  <c r="H24" i="25"/>
  <c r="E24" i="25"/>
  <c r="I24" i="25"/>
  <c r="H33" i="25"/>
  <c r="I33" i="25"/>
  <c r="H16" i="25"/>
  <c r="I16" i="25"/>
  <c r="E21" i="25"/>
  <c r="I21" i="25"/>
  <c r="F24" i="25"/>
  <c r="J36" i="25" l="1"/>
  <c r="K13" i="7"/>
  <c r="G35" i="24"/>
  <c r="K30" i="25"/>
  <c r="L30" i="25" s="1"/>
  <c r="M30" i="25" s="1"/>
  <c r="N30" i="25" s="1"/>
  <c r="O30" i="25" s="1"/>
  <c r="P30" i="25" s="1"/>
  <c r="Q30" i="25" s="1"/>
  <c r="R30" i="25" s="1"/>
  <c r="S30" i="25" s="1"/>
  <c r="K12" i="20"/>
  <c r="K13" i="20" s="1"/>
  <c r="K14" i="20"/>
  <c r="K15" i="20" s="1"/>
  <c r="H19" i="7"/>
  <c r="E178" i="18"/>
  <c r="H103" i="18"/>
  <c r="F103" i="18"/>
  <c r="G103" i="18"/>
  <c r="E103" i="18"/>
  <c r="I103" i="18"/>
  <c r="I18" i="26"/>
  <c r="G18" i="26"/>
  <c r="H18" i="26"/>
  <c r="J16" i="26"/>
  <c r="J14" i="26"/>
  <c r="J15" i="26"/>
  <c r="K15" i="26" s="1"/>
  <c r="L15" i="26" s="1"/>
  <c r="M15" i="26" s="1"/>
  <c r="N15" i="26" s="1"/>
  <c r="O15" i="26" s="1"/>
  <c r="P15" i="26" s="1"/>
  <c r="Q15" i="26" s="1"/>
  <c r="R15" i="26" s="1"/>
  <c r="S15" i="26" s="1"/>
  <c r="E18" i="26"/>
  <c r="F18" i="26"/>
  <c r="H60" i="19"/>
  <c r="G44" i="23" s="1"/>
  <c r="N18" i="27"/>
  <c r="N20" i="27" s="1"/>
  <c r="O18" i="27"/>
  <c r="K16" i="26"/>
  <c r="K14" i="26"/>
  <c r="I22" i="26"/>
  <c r="J26" i="27" s="1"/>
  <c r="G33" i="28"/>
  <c r="O20" i="27"/>
  <c r="F33" i="28"/>
  <c r="E33" i="28"/>
  <c r="E35" i="28" s="1"/>
  <c r="I33" i="28"/>
  <c r="H33" i="28"/>
  <c r="D37" i="27"/>
  <c r="J36" i="27"/>
  <c r="J39" i="27" s="1"/>
  <c r="Q19" i="27"/>
  <c r="P18" i="27"/>
  <c r="J12" i="19"/>
  <c r="H9" i="22" s="1"/>
  <c r="K11" i="23"/>
  <c r="J23" i="22"/>
  <c r="H12" i="19"/>
  <c r="G14" i="23" s="1"/>
  <c r="H27" i="26"/>
  <c r="H28" i="26" s="1"/>
  <c r="J27" i="26"/>
  <c r="J29" i="26" s="1"/>
  <c r="J25" i="22"/>
  <c r="F25" i="22"/>
  <c r="I60" i="19"/>
  <c r="H47" i="23" s="1"/>
  <c r="I28" i="26"/>
  <c r="F22" i="26"/>
  <c r="G26" i="27" s="1"/>
  <c r="L41" i="19"/>
  <c r="K29" i="23" s="1"/>
  <c r="L60" i="19"/>
  <c r="K44" i="23" s="1"/>
  <c r="J60" i="19"/>
  <c r="I51" i="23" s="1"/>
  <c r="H22" i="26"/>
  <c r="I26" i="27" s="1"/>
  <c r="I25" i="22"/>
  <c r="G25" i="22"/>
  <c r="J26" i="25"/>
  <c r="K27" i="25"/>
  <c r="L27" i="25" s="1"/>
  <c r="M27" i="25" s="1"/>
  <c r="N27" i="25" s="1"/>
  <c r="O27" i="25" s="1"/>
  <c r="P27" i="25" s="1"/>
  <c r="Q27" i="25" s="1"/>
  <c r="R27" i="25" s="1"/>
  <c r="S27" i="25" s="1"/>
  <c r="G22" i="26"/>
  <c r="H26" i="27" s="1"/>
  <c r="H25" i="22"/>
  <c r="I52" i="23"/>
  <c r="F23" i="22"/>
  <c r="F24" i="22"/>
  <c r="H41" i="19"/>
  <c r="H23" i="22"/>
  <c r="J41" i="19"/>
  <c r="H24" i="22"/>
  <c r="K60" i="19"/>
  <c r="K14" i="23"/>
  <c r="J9" i="22"/>
  <c r="L14" i="19"/>
  <c r="J22" i="27" s="1"/>
  <c r="J11" i="23"/>
  <c r="K12" i="19"/>
  <c r="H11" i="23"/>
  <c r="I12" i="19"/>
  <c r="J24" i="22"/>
  <c r="I23" i="22"/>
  <c r="K41" i="19"/>
  <c r="I24" i="22"/>
  <c r="G24" i="22"/>
  <c r="G23" i="22"/>
  <c r="I41" i="19"/>
  <c r="K36" i="25"/>
  <c r="L36" i="25" s="1"/>
  <c r="M36" i="25" s="1"/>
  <c r="N36" i="25" s="1"/>
  <c r="O36" i="25" s="1"/>
  <c r="P36" i="25" s="1"/>
  <c r="Q36" i="25" s="1"/>
  <c r="R36" i="25" s="1"/>
  <c r="S36" i="25" s="1"/>
  <c r="J33" i="25"/>
  <c r="K33" i="25" s="1"/>
  <c r="L33" i="25" s="1"/>
  <c r="M33" i="25" s="1"/>
  <c r="N33" i="25" s="1"/>
  <c r="O33" i="25" s="1"/>
  <c r="P33" i="25" s="1"/>
  <c r="Q33" i="25" s="1"/>
  <c r="R33" i="25" s="1"/>
  <c r="S33" i="25" s="1"/>
  <c r="J41" i="25"/>
  <c r="J43" i="25" s="1"/>
  <c r="K43" i="25" s="1"/>
  <c r="L43" i="25" s="1"/>
  <c r="M43" i="25" s="1"/>
  <c r="N43" i="25" s="1"/>
  <c r="O43" i="25" s="1"/>
  <c r="P43" i="25" s="1"/>
  <c r="Q43" i="25" s="1"/>
  <c r="R43" i="25" s="1"/>
  <c r="S43" i="25" s="1"/>
  <c r="J19" i="7"/>
  <c r="J18" i="7"/>
  <c r="K18" i="7"/>
  <c r="K19" i="7"/>
  <c r="J5" i="22"/>
  <c r="K5" i="19"/>
  <c r="J24" i="25"/>
  <c r="K24" i="25" s="1"/>
  <c r="L24" i="25" s="1"/>
  <c r="M24" i="25" s="1"/>
  <c r="N24" i="25" s="1"/>
  <c r="O24" i="25" s="1"/>
  <c r="P24" i="25" s="1"/>
  <c r="Q24" i="25" s="1"/>
  <c r="R24" i="25" s="1"/>
  <c r="S24" i="25" s="1"/>
  <c r="J16" i="25"/>
  <c r="K16" i="25" s="1"/>
  <c r="L16" i="25" s="1"/>
  <c r="M16" i="25" s="1"/>
  <c r="N16" i="25" s="1"/>
  <c r="O16" i="25" s="1"/>
  <c r="P16" i="25" s="1"/>
  <c r="Q16" i="25" s="1"/>
  <c r="R16" i="25" s="1"/>
  <c r="S16" i="25" s="1"/>
  <c r="J21" i="25"/>
  <c r="K21" i="25" s="1"/>
  <c r="L21" i="25" s="1"/>
  <c r="M21" i="25" s="1"/>
  <c r="N21" i="25" s="1"/>
  <c r="O21" i="25" s="1"/>
  <c r="P21" i="25" s="1"/>
  <c r="Q21" i="25" s="1"/>
  <c r="R21" i="25" s="1"/>
  <c r="S21" i="25" s="1"/>
  <c r="K27" i="26" l="1"/>
  <c r="K29" i="26" s="1"/>
  <c r="M50" i="19"/>
  <c r="M52" i="19" s="1"/>
  <c r="F175" i="18"/>
  <c r="I14" i="23"/>
  <c r="J18" i="26"/>
  <c r="K41" i="25"/>
  <c r="L41" i="25" s="1"/>
  <c r="M41" i="25" s="1"/>
  <c r="N41" i="25" s="1"/>
  <c r="O41" i="25" s="1"/>
  <c r="P41" i="25" s="1"/>
  <c r="Q41" i="25" s="1"/>
  <c r="R41" i="25" s="1"/>
  <c r="S41" i="25" s="1"/>
  <c r="J14" i="19"/>
  <c r="H22" i="27" s="1"/>
  <c r="K18" i="26"/>
  <c r="L14" i="26"/>
  <c r="L16" i="26"/>
  <c r="K25" i="27"/>
  <c r="R19" i="27"/>
  <c r="Q18" i="27"/>
  <c r="Q20" i="27" s="1"/>
  <c r="P20" i="27"/>
  <c r="K30" i="23"/>
  <c r="K30" i="26"/>
  <c r="K29" i="28" s="1"/>
  <c r="J28" i="22"/>
  <c r="K35" i="23"/>
  <c r="I45" i="23"/>
  <c r="I48" i="23"/>
  <c r="I53" i="23"/>
  <c r="I44" i="23"/>
  <c r="I47" i="23"/>
  <c r="K28" i="23"/>
  <c r="H14" i="19"/>
  <c r="F22" i="27" s="1"/>
  <c r="F9" i="22"/>
  <c r="K38" i="23"/>
  <c r="K32" i="23"/>
  <c r="G52" i="23"/>
  <c r="G53" i="23"/>
  <c r="G47" i="23"/>
  <c r="G51" i="23"/>
  <c r="G45" i="23"/>
  <c r="G48" i="23"/>
  <c r="L25" i="22"/>
  <c r="J22" i="26"/>
  <c r="J16" i="28" s="1"/>
  <c r="K45" i="23"/>
  <c r="K31" i="23"/>
  <c r="K37" i="23"/>
  <c r="J30" i="26"/>
  <c r="J29" i="28" s="1"/>
  <c r="K36" i="23"/>
  <c r="K34" i="23"/>
  <c r="H45" i="23"/>
  <c r="H52" i="23"/>
  <c r="H51" i="23"/>
  <c r="H48" i="23"/>
  <c r="L62" i="19"/>
  <c r="K48" i="23"/>
  <c r="H53" i="23"/>
  <c r="K51" i="23"/>
  <c r="H44" i="23"/>
  <c r="K53" i="23"/>
  <c r="K52" i="23"/>
  <c r="K47" i="23"/>
  <c r="K25" i="22"/>
  <c r="I9" i="22"/>
  <c r="J14" i="23"/>
  <c r="K14" i="19"/>
  <c r="I22" i="27" s="1"/>
  <c r="J51" i="23"/>
  <c r="J53" i="23"/>
  <c r="J44" i="23"/>
  <c r="J45" i="23"/>
  <c r="J52" i="23"/>
  <c r="J48" i="23"/>
  <c r="J47" i="23"/>
  <c r="H28" i="22"/>
  <c r="J62" i="19"/>
  <c r="I30" i="23"/>
  <c r="I34" i="23"/>
  <c r="I35" i="23"/>
  <c r="I31" i="23"/>
  <c r="I36" i="23"/>
  <c r="I32" i="23"/>
  <c r="I37" i="23"/>
  <c r="I28" i="23"/>
  <c r="I29" i="23"/>
  <c r="I38" i="23"/>
  <c r="G28" i="22"/>
  <c r="I62" i="19"/>
  <c r="H37" i="23"/>
  <c r="H32" i="23"/>
  <c r="H30" i="23"/>
  <c r="H34" i="23"/>
  <c r="H38" i="23"/>
  <c r="H31" i="23"/>
  <c r="H36" i="23"/>
  <c r="H28" i="23"/>
  <c r="H35" i="23"/>
  <c r="H29" i="23"/>
  <c r="I28" i="22"/>
  <c r="K62" i="19"/>
  <c r="J29" i="23"/>
  <c r="J31" i="23"/>
  <c r="J35" i="23"/>
  <c r="J37" i="23"/>
  <c r="J28" i="23"/>
  <c r="J38" i="23"/>
  <c r="J34" i="23"/>
  <c r="J36" i="23"/>
  <c r="J32" i="23"/>
  <c r="J30" i="23"/>
  <c r="J17" i="19"/>
  <c r="F28" i="22"/>
  <c r="H62" i="19"/>
  <c r="G34" i="23"/>
  <c r="G29" i="23"/>
  <c r="G32" i="23"/>
  <c r="G36" i="23"/>
  <c r="G28" i="23"/>
  <c r="G31" i="23"/>
  <c r="G30" i="23"/>
  <c r="G38" i="23"/>
  <c r="G35" i="23"/>
  <c r="G37" i="23"/>
  <c r="G16" i="23"/>
  <c r="H14" i="23"/>
  <c r="G9" i="22"/>
  <c r="I14" i="19"/>
  <c r="G22" i="27" s="1"/>
  <c r="K16" i="23"/>
  <c r="J10" i="22"/>
  <c r="L17" i="19"/>
  <c r="J42" i="25"/>
  <c r="K42" i="25" s="1"/>
  <c r="L42" i="25" s="1"/>
  <c r="M42" i="25" s="1"/>
  <c r="K5" i="22"/>
  <c r="L5" i="19"/>
  <c r="I16" i="23" l="1"/>
  <c r="L27" i="26"/>
  <c r="L29" i="26" s="1"/>
  <c r="N50" i="19"/>
  <c r="N52" i="19" s="1"/>
  <c r="F34" i="28"/>
  <c r="F35" i="28" s="1"/>
  <c r="F178" i="18"/>
  <c r="G175" i="18" s="1"/>
  <c r="H10" i="22"/>
  <c r="L18" i="26"/>
  <c r="M16" i="26"/>
  <c r="M14" i="26"/>
  <c r="K22" i="26"/>
  <c r="L22" i="26" s="1"/>
  <c r="L16" i="28" s="1"/>
  <c r="K26" i="27"/>
  <c r="S19" i="27"/>
  <c r="R18" i="27"/>
  <c r="R20" i="27" s="1"/>
  <c r="I54" i="23"/>
  <c r="G54" i="23"/>
  <c r="J24" i="26"/>
  <c r="K21" i="26" s="1"/>
  <c r="K23" i="26" s="1"/>
  <c r="N13" i="19" s="1"/>
  <c r="H17" i="19"/>
  <c r="F11" i="22" s="1"/>
  <c r="J29" i="25"/>
  <c r="F10" i="22"/>
  <c r="K39" i="23"/>
  <c r="M15" i="19"/>
  <c r="K54" i="23"/>
  <c r="H54" i="23"/>
  <c r="H39" i="23"/>
  <c r="I39" i="23"/>
  <c r="J16" i="23"/>
  <c r="I10" i="22"/>
  <c r="K17" i="19"/>
  <c r="K19" i="23"/>
  <c r="J11" i="22"/>
  <c r="J17" i="22"/>
  <c r="J16" i="22"/>
  <c r="L20" i="19"/>
  <c r="I38" i="25"/>
  <c r="G10" i="22"/>
  <c r="H16" i="23"/>
  <c r="I17" i="19"/>
  <c r="H17" i="22"/>
  <c r="H16" i="22"/>
  <c r="I19" i="23"/>
  <c r="H11" i="22"/>
  <c r="G38" i="25"/>
  <c r="H12" i="22" s="1"/>
  <c r="J20" i="19"/>
  <c r="J54" i="23"/>
  <c r="G39" i="23"/>
  <c r="J39" i="23"/>
  <c r="M25" i="22"/>
  <c r="L5" i="22"/>
  <c r="M5" i="19"/>
  <c r="N42" i="25"/>
  <c r="N15" i="19"/>
  <c r="K29" i="25"/>
  <c r="O50" i="19" l="1"/>
  <c r="O52" i="19" s="1"/>
  <c r="L30" i="26"/>
  <c r="L29" i="28" s="1"/>
  <c r="M27" i="26"/>
  <c r="M29" i="26" s="1"/>
  <c r="G178" i="18"/>
  <c r="H175" i="18" s="1"/>
  <c r="G34" i="28"/>
  <c r="G35" i="28" s="1"/>
  <c r="G19" i="23"/>
  <c r="M18" i="26"/>
  <c r="N14" i="26"/>
  <c r="N25" i="22"/>
  <c r="N16" i="26"/>
  <c r="K24" i="26"/>
  <c r="L21" i="26" s="1"/>
  <c r="L23" i="26" s="1"/>
  <c r="O13" i="19" s="1"/>
  <c r="L26" i="27"/>
  <c r="K16" i="28"/>
  <c r="M26" i="27"/>
  <c r="T19" i="27"/>
  <c r="T18" i="27" s="1"/>
  <c r="U18" i="27" s="1"/>
  <c r="S18" i="27"/>
  <c r="M22" i="26"/>
  <c r="M16" i="28" s="1"/>
  <c r="M34" i="19"/>
  <c r="M39" i="19" s="1"/>
  <c r="K26" i="25"/>
  <c r="E38" i="25"/>
  <c r="F12" i="22" s="1"/>
  <c r="H20" i="19"/>
  <c r="F18" i="22" s="1"/>
  <c r="H19" i="22"/>
  <c r="H18" i="22"/>
  <c r="H13" i="22"/>
  <c r="I22" i="23"/>
  <c r="H35" i="22"/>
  <c r="H20" i="22"/>
  <c r="J13" i="22"/>
  <c r="K22" i="23"/>
  <c r="J19" i="22"/>
  <c r="J18" i="22"/>
  <c r="J20" i="22"/>
  <c r="J35" i="22"/>
  <c r="J38" i="25"/>
  <c r="D9" i="27" s="1"/>
  <c r="J12" i="22"/>
  <c r="I17" i="22"/>
  <c r="I16" i="22"/>
  <c r="J19" i="23"/>
  <c r="K20" i="19"/>
  <c r="I11" i="22"/>
  <c r="H38" i="25"/>
  <c r="I12" i="22" s="1"/>
  <c r="G11" i="22"/>
  <c r="G17" i="22"/>
  <c r="H19" i="23"/>
  <c r="G16" i="22"/>
  <c r="I20" i="19"/>
  <c r="F38" i="25"/>
  <c r="G12" i="22" s="1"/>
  <c r="M5" i="22"/>
  <c r="N5" i="19"/>
  <c r="O42" i="25"/>
  <c r="L29" i="25"/>
  <c r="O15" i="19"/>
  <c r="P50" i="19" l="1"/>
  <c r="P52" i="19" s="1"/>
  <c r="N27" i="26"/>
  <c r="N29" i="26" s="1"/>
  <c r="M30" i="26"/>
  <c r="M29" i="28" s="1"/>
  <c r="H178" i="18"/>
  <c r="I175" i="18" s="1"/>
  <c r="H34" i="28"/>
  <c r="H35" i="28" s="1"/>
  <c r="N18" i="26"/>
  <c r="O16" i="26"/>
  <c r="O25" i="22"/>
  <c r="L26" i="25"/>
  <c r="M25" i="27" s="1"/>
  <c r="O14" i="26"/>
  <c r="N34" i="19"/>
  <c r="N39" i="19" s="1"/>
  <c r="L24" i="26"/>
  <c r="M21" i="26" s="1"/>
  <c r="M23" i="26" s="1"/>
  <c r="T20" i="27"/>
  <c r="L25" i="27"/>
  <c r="G23" i="27"/>
  <c r="G24" i="27" s="1"/>
  <c r="G28" i="27" s="1"/>
  <c r="G30" i="27" s="1"/>
  <c r="J23" i="27"/>
  <c r="J24" i="27" s="1"/>
  <c r="J28" i="27" s="1"/>
  <c r="J30" i="27" s="1"/>
  <c r="I23" i="27"/>
  <c r="I24" i="27" s="1"/>
  <c r="I28" i="27" s="1"/>
  <c r="I30" i="27" s="1"/>
  <c r="F23" i="27"/>
  <c r="F24" i="27" s="1"/>
  <c r="F28" i="27" s="1"/>
  <c r="F30" i="27" s="1"/>
  <c r="H23" i="27"/>
  <c r="H24" i="27" s="1"/>
  <c r="H28" i="27" s="1"/>
  <c r="H30" i="27" s="1"/>
  <c r="N22" i="26"/>
  <c r="N16" i="28" s="1"/>
  <c r="N26" i="27"/>
  <c r="S20" i="27"/>
  <c r="F20" i="22"/>
  <c r="F35" i="22"/>
  <c r="G22" i="23"/>
  <c r="F13" i="22"/>
  <c r="I18" i="22"/>
  <c r="I19" i="22"/>
  <c r="I13" i="22"/>
  <c r="J22" i="23"/>
  <c r="I35" i="22"/>
  <c r="I20" i="22"/>
  <c r="H22" i="23"/>
  <c r="G19" i="22"/>
  <c r="G13" i="22"/>
  <c r="G18" i="22"/>
  <c r="G35" i="22"/>
  <c r="G20" i="22"/>
  <c r="K38" i="25"/>
  <c r="K12" i="22"/>
  <c r="N5" i="22"/>
  <c r="O5" i="19"/>
  <c r="P42" i="25"/>
  <c r="M29" i="25"/>
  <c r="P15" i="19"/>
  <c r="Q50" i="19" l="1"/>
  <c r="Q52" i="19" s="1"/>
  <c r="O27" i="26"/>
  <c r="O29" i="26" s="1"/>
  <c r="N30" i="26"/>
  <c r="N29" i="28" s="1"/>
  <c r="M24" i="26"/>
  <c r="N21" i="26" s="1"/>
  <c r="N23" i="26" s="1"/>
  <c r="Q13" i="19" s="1"/>
  <c r="P13" i="19"/>
  <c r="I178" i="18"/>
  <c r="I34" i="28"/>
  <c r="I35" i="28" s="1"/>
  <c r="J34" i="28" s="1"/>
  <c r="P25" i="22"/>
  <c r="O18" i="26"/>
  <c r="O34" i="19"/>
  <c r="O39" i="19" s="1"/>
  <c r="P14" i="26"/>
  <c r="P16" i="26"/>
  <c r="O22" i="26"/>
  <c r="O16" i="28" s="1"/>
  <c r="O26" i="27"/>
  <c r="L38" i="25"/>
  <c r="L12" i="22"/>
  <c r="E38" i="7"/>
  <c r="E39" i="7" s="1"/>
  <c r="E46" i="7" s="1"/>
  <c r="E47" i="7" s="1"/>
  <c r="E49" i="7" s="1"/>
  <c r="D12" i="27" s="1"/>
  <c r="K35" i="22"/>
  <c r="L35" i="22" s="1"/>
  <c r="M35" i="22" s="1"/>
  <c r="N35" i="22" s="1"/>
  <c r="O35" i="22" s="1"/>
  <c r="P35" i="22" s="1"/>
  <c r="Q35" i="22" s="1"/>
  <c r="R35" i="22" s="1"/>
  <c r="S35" i="22" s="1"/>
  <c r="T35" i="22" s="1"/>
  <c r="O5" i="22"/>
  <c r="P5" i="19"/>
  <c r="Q15" i="19"/>
  <c r="N29" i="25"/>
  <c r="Q42" i="25"/>
  <c r="M26" i="25"/>
  <c r="R50" i="19" l="1"/>
  <c r="R52" i="19" s="1"/>
  <c r="O30" i="26"/>
  <c r="O29" i="28" s="1"/>
  <c r="P27" i="26"/>
  <c r="P29" i="26" s="1"/>
  <c r="N24" i="26"/>
  <c r="O21" i="26" s="1"/>
  <c r="O23" i="26" s="1"/>
  <c r="R13" i="19" s="1"/>
  <c r="Q25" i="22"/>
  <c r="P18" i="26"/>
  <c r="Q16" i="26"/>
  <c r="Q14" i="26"/>
  <c r="N25" i="27"/>
  <c r="P22" i="26"/>
  <c r="P16" i="28" s="1"/>
  <c r="P26" i="27"/>
  <c r="M12" i="22"/>
  <c r="M38" i="25"/>
  <c r="P5" i="22"/>
  <c r="Q5" i="19"/>
  <c r="P34" i="19"/>
  <c r="P39" i="19" s="1"/>
  <c r="R15" i="19"/>
  <c r="O29" i="25"/>
  <c r="R42" i="25"/>
  <c r="S50" i="19" l="1"/>
  <c r="S52" i="19" s="1"/>
  <c r="Q27" i="26"/>
  <c r="Q29" i="26" s="1"/>
  <c r="P30" i="26"/>
  <c r="P29" i="28" s="1"/>
  <c r="O24" i="26"/>
  <c r="P21" i="26" s="1"/>
  <c r="P23" i="26" s="1"/>
  <c r="S13" i="19" s="1"/>
  <c r="Q18" i="26"/>
  <c r="R14" i="26"/>
  <c r="R25" i="22"/>
  <c r="R16" i="26"/>
  <c r="R18" i="26" s="1"/>
  <c r="Q22" i="26"/>
  <c r="Q16" i="28" s="1"/>
  <c r="Q26" i="27"/>
  <c r="N12" i="22"/>
  <c r="N38" i="25"/>
  <c r="Q5" i="22"/>
  <c r="R5" i="19"/>
  <c r="S42" i="25"/>
  <c r="P29" i="25"/>
  <c r="S15" i="19"/>
  <c r="N26" i="25"/>
  <c r="T50" i="19" l="1"/>
  <c r="T52" i="19" s="1"/>
  <c r="R27" i="26"/>
  <c r="R29" i="26" s="1"/>
  <c r="Q30" i="26"/>
  <c r="Q29" i="28" s="1"/>
  <c r="P24" i="26"/>
  <c r="Q21" i="26" s="1"/>
  <c r="Q23" i="26" s="1"/>
  <c r="T13" i="19" s="1"/>
  <c r="S16" i="26"/>
  <c r="S25" i="22"/>
  <c r="S14" i="26"/>
  <c r="O25" i="27"/>
  <c r="R22" i="26"/>
  <c r="R16" i="28" s="1"/>
  <c r="R26" i="27"/>
  <c r="O38" i="25"/>
  <c r="O12" i="22"/>
  <c r="R5" i="22"/>
  <c r="S5" i="19"/>
  <c r="Q34" i="19"/>
  <c r="Q39" i="19" s="1"/>
  <c r="T15" i="19"/>
  <c r="J13" i="25" a="1"/>
  <c r="Q29" i="25" l="1"/>
  <c r="U50" i="19"/>
  <c r="U52" i="19" s="1"/>
  <c r="R30" i="26"/>
  <c r="R29" i="28" s="1"/>
  <c r="S27" i="26"/>
  <c r="S29" i="26" s="1"/>
  <c r="Q24" i="26"/>
  <c r="R21" i="26" s="1"/>
  <c r="R23" i="26" s="1"/>
  <c r="U13" i="19" s="1"/>
  <c r="S18" i="26"/>
  <c r="T25" i="22"/>
  <c r="R24" i="26"/>
  <c r="S21" i="26" s="1"/>
  <c r="S23" i="26" s="1"/>
  <c r="V13" i="19" s="1"/>
  <c r="S22" i="26"/>
  <c r="S16" i="28" s="1"/>
  <c r="S26" i="27"/>
  <c r="P12" i="22"/>
  <c r="P38" i="25"/>
  <c r="S5" i="22"/>
  <c r="T5" i="19"/>
  <c r="R13" i="25"/>
  <c r="N13" i="25"/>
  <c r="Q13" i="25"/>
  <c r="M13" i="25"/>
  <c r="O13" i="25"/>
  <c r="L13" i="25"/>
  <c r="S13" i="25"/>
  <c r="K13" i="25"/>
  <c r="J13" i="25"/>
  <c r="J12" i="25" s="1"/>
  <c r="J35" i="25" s="1"/>
  <c r="M19" i="19" s="1"/>
  <c r="P13" i="25"/>
  <c r="O26" i="25"/>
  <c r="U15" i="19"/>
  <c r="R29" i="25"/>
  <c r="V50" i="19" l="1"/>
  <c r="V52" i="19" s="1"/>
  <c r="S30" i="26"/>
  <c r="S24" i="26"/>
  <c r="P25" i="27"/>
  <c r="T26" i="27"/>
  <c r="Q12" i="22"/>
  <c r="Q38" i="25"/>
  <c r="T5" i="22"/>
  <c r="V5" i="19" s="1"/>
  <c r="U5" i="19"/>
  <c r="R34" i="19"/>
  <c r="R39" i="19" s="1"/>
  <c r="M7" i="19"/>
  <c r="J32" i="25"/>
  <c r="M16" i="19" s="1"/>
  <c r="J15" i="25"/>
  <c r="M8" i="19" s="1"/>
  <c r="J23" i="25"/>
  <c r="M11" i="19" s="1"/>
  <c r="K12" i="25"/>
  <c r="K35" i="25" s="1"/>
  <c r="N19" i="19" s="1"/>
  <c r="J20" i="25"/>
  <c r="M10" i="19" s="1"/>
  <c r="S29" i="28" l="1"/>
  <c r="V15" i="19"/>
  <c r="S29" i="25"/>
  <c r="J20" i="28"/>
  <c r="J22" i="28" s="1"/>
  <c r="J11" i="28"/>
  <c r="R12" i="22"/>
  <c r="R38" i="25"/>
  <c r="J18" i="25"/>
  <c r="K8" i="22" s="1"/>
  <c r="M45" i="19"/>
  <c r="J10" i="26" s="1"/>
  <c r="M30" i="19"/>
  <c r="N7" i="19"/>
  <c r="K32" i="25"/>
  <c r="N16" i="19" s="1"/>
  <c r="K15" i="25"/>
  <c r="N8" i="19" s="1"/>
  <c r="K20" i="25"/>
  <c r="N10" i="19" s="1"/>
  <c r="L12" i="25"/>
  <c r="L35" i="25" s="1"/>
  <c r="O19" i="19" s="1"/>
  <c r="K23" i="25"/>
  <c r="N11" i="19" s="1"/>
  <c r="M29" i="19"/>
  <c r="M9" i="19"/>
  <c r="P26" i="25"/>
  <c r="K20" i="28" l="1"/>
  <c r="K22" i="28" s="1"/>
  <c r="K11" i="28"/>
  <c r="Q25" i="27"/>
  <c r="S38" i="25"/>
  <c r="T12" i="22" s="1"/>
  <c r="S12" i="22"/>
  <c r="K32" i="22"/>
  <c r="J8" i="26"/>
  <c r="J9" i="26"/>
  <c r="K33" i="22"/>
  <c r="K34" i="22"/>
  <c r="K18" i="25"/>
  <c r="L8" i="22" s="1"/>
  <c r="S34" i="19"/>
  <c r="S39" i="19" s="1"/>
  <c r="N30" i="19"/>
  <c r="K9" i="26" s="1"/>
  <c r="N45" i="19"/>
  <c r="L23" i="25"/>
  <c r="O11" i="19" s="1"/>
  <c r="L20" i="25"/>
  <c r="O10" i="19" s="1"/>
  <c r="O7" i="19"/>
  <c r="L15" i="25"/>
  <c r="O8" i="19" s="1"/>
  <c r="M12" i="25"/>
  <c r="M35" i="25" s="1"/>
  <c r="P19" i="19" s="1"/>
  <c r="L32" i="25"/>
  <c r="O16" i="19" s="1"/>
  <c r="M12" i="19"/>
  <c r="M47" i="19"/>
  <c r="N29" i="19"/>
  <c r="K8" i="26" s="1"/>
  <c r="N9" i="19"/>
  <c r="L20" i="28" l="1"/>
  <c r="L22" i="28" s="1"/>
  <c r="L11" i="28"/>
  <c r="J12" i="26"/>
  <c r="J12" i="28" s="1"/>
  <c r="L34" i="22"/>
  <c r="K10" i="26"/>
  <c r="K12" i="26" s="1"/>
  <c r="L33" i="22"/>
  <c r="L32" i="22"/>
  <c r="L18" i="25"/>
  <c r="M8" i="22" s="1"/>
  <c r="N12" i="19"/>
  <c r="K9" i="22"/>
  <c r="M14" i="19"/>
  <c r="K22" i="27" s="1"/>
  <c r="K23" i="27" s="1"/>
  <c r="M23" i="25"/>
  <c r="P11" i="19" s="1"/>
  <c r="M20" i="25"/>
  <c r="P10" i="19" s="1"/>
  <c r="N12" i="25"/>
  <c r="N35" i="25" s="1"/>
  <c r="Q19" i="19" s="1"/>
  <c r="P7" i="19"/>
  <c r="M32" i="25"/>
  <c r="P16" i="19" s="1"/>
  <c r="M15" i="25"/>
  <c r="P8" i="19" s="1"/>
  <c r="N47" i="19"/>
  <c r="O9" i="19"/>
  <c r="O29" i="19"/>
  <c r="O30" i="19"/>
  <c r="O45" i="19"/>
  <c r="L10" i="26" s="1"/>
  <c r="Q26" i="25"/>
  <c r="M20" i="28" l="1"/>
  <c r="M22" i="28" s="1"/>
  <c r="M11" i="28"/>
  <c r="L27" i="27"/>
  <c r="K12" i="28"/>
  <c r="R25" i="27"/>
  <c r="K27" i="27"/>
  <c r="K28" i="27" s="1"/>
  <c r="K30" i="27" s="1"/>
  <c r="L8" i="26"/>
  <c r="L9" i="26"/>
  <c r="M34" i="22"/>
  <c r="M33" i="22"/>
  <c r="M18" i="25"/>
  <c r="N8" i="22" s="1"/>
  <c r="T34" i="19"/>
  <c r="T39" i="19" s="1"/>
  <c r="P9" i="19"/>
  <c r="P29" i="19"/>
  <c r="O12" i="19"/>
  <c r="Q7" i="19"/>
  <c r="N32" i="25"/>
  <c r="Q16" i="19" s="1"/>
  <c r="N15" i="25"/>
  <c r="Q8" i="19" s="1"/>
  <c r="O12" i="25"/>
  <c r="O35" i="25" s="1"/>
  <c r="R19" i="19" s="1"/>
  <c r="N23" i="25"/>
  <c r="Q11" i="19" s="1"/>
  <c r="N20" i="25"/>
  <c r="Q10" i="19" s="1"/>
  <c r="P45" i="19"/>
  <c r="M10" i="26" s="1"/>
  <c r="P30" i="19"/>
  <c r="K10" i="22"/>
  <c r="M17" i="19"/>
  <c r="O47" i="19"/>
  <c r="M32" i="22"/>
  <c r="L9" i="22"/>
  <c r="N14" i="19"/>
  <c r="L22" i="27" s="1"/>
  <c r="N20" i="28" l="1"/>
  <c r="N22" i="28" s="1"/>
  <c r="N11" i="28"/>
  <c r="L23" i="27"/>
  <c r="L24" i="27" s="1"/>
  <c r="L28" i="27" s="1"/>
  <c r="L30" i="27" s="1"/>
  <c r="N33" i="22"/>
  <c r="M9" i="26"/>
  <c r="L12" i="26"/>
  <c r="M8" i="26"/>
  <c r="N34" i="22"/>
  <c r="N32" i="22"/>
  <c r="N18" i="25"/>
  <c r="O8" i="22" s="1"/>
  <c r="K11" i="22"/>
  <c r="M18" i="19"/>
  <c r="M20" i="19" s="1"/>
  <c r="Q45" i="19"/>
  <c r="Q30" i="19"/>
  <c r="P12" i="19"/>
  <c r="N17" i="19"/>
  <c r="L10" i="22"/>
  <c r="P47" i="19"/>
  <c r="M9" i="22"/>
  <c r="O14" i="19"/>
  <c r="M22" i="27" s="1"/>
  <c r="R7" i="19"/>
  <c r="O32" i="25"/>
  <c r="R16" i="19" s="1"/>
  <c r="O15" i="25"/>
  <c r="R8" i="19" s="1"/>
  <c r="O20" i="25"/>
  <c r="R10" i="19" s="1"/>
  <c r="O23" i="25"/>
  <c r="R11" i="19" s="1"/>
  <c r="P12" i="25"/>
  <c r="P35" i="25" s="1"/>
  <c r="S19" i="19" s="1"/>
  <c r="Q29" i="19"/>
  <c r="N8" i="26" s="1"/>
  <c r="Q9" i="19"/>
  <c r="R26" i="25"/>
  <c r="O20" i="28" l="1"/>
  <c r="O22" i="28" s="1"/>
  <c r="O11" i="28"/>
  <c r="J28" i="28"/>
  <c r="J30" i="28" s="1"/>
  <c r="J9" i="28"/>
  <c r="J13" i="28" s="1"/>
  <c r="S25" i="27"/>
  <c r="M27" i="27"/>
  <c r="L12" i="28"/>
  <c r="M23" i="27"/>
  <c r="M24" i="27" s="1"/>
  <c r="O33" i="22"/>
  <c r="O34" i="22"/>
  <c r="N10" i="26"/>
  <c r="M12" i="26"/>
  <c r="M12" i="28" s="1"/>
  <c r="N9" i="26"/>
  <c r="O32" i="22"/>
  <c r="O18" i="25"/>
  <c r="P8" i="22" s="1"/>
  <c r="M10" i="22"/>
  <c r="O17" i="19"/>
  <c r="R29" i="19"/>
  <c r="R9" i="19"/>
  <c r="K18" i="22"/>
  <c r="K13" i="22"/>
  <c r="Q12" i="19"/>
  <c r="U34" i="19"/>
  <c r="U39" i="19" s="1"/>
  <c r="P23" i="25"/>
  <c r="S11" i="19" s="1"/>
  <c r="P20" i="25"/>
  <c r="S10" i="19" s="1"/>
  <c r="S7" i="19"/>
  <c r="Q12" i="25"/>
  <c r="Q35" i="25" s="1"/>
  <c r="T19" i="19" s="1"/>
  <c r="P32" i="25"/>
  <c r="S16" i="19" s="1"/>
  <c r="P15" i="25"/>
  <c r="S8" i="19" s="1"/>
  <c r="R30" i="19"/>
  <c r="R45" i="19"/>
  <c r="O10" i="26" s="1"/>
  <c r="L11" i="22"/>
  <c r="N18" i="19"/>
  <c r="N20" i="19" s="1"/>
  <c r="Q47" i="19"/>
  <c r="N9" i="22"/>
  <c r="P14" i="19"/>
  <c r="N22" i="27" s="1"/>
  <c r="J33" i="28" l="1"/>
  <c r="J35" i="28" s="1"/>
  <c r="K34" i="28" s="1"/>
  <c r="P20" i="28"/>
  <c r="P22" i="28" s="1"/>
  <c r="P11" i="28"/>
  <c r="M28" i="27"/>
  <c r="M30" i="27" s="1"/>
  <c r="K9" i="28"/>
  <c r="K13" i="28" s="1"/>
  <c r="K28" i="28"/>
  <c r="K30" i="28" s="1"/>
  <c r="N23" i="27"/>
  <c r="N24" i="27" s="1"/>
  <c r="N27" i="27"/>
  <c r="N12" i="26"/>
  <c r="O9" i="26"/>
  <c r="O8" i="26"/>
  <c r="P33" i="22"/>
  <c r="P34" i="22"/>
  <c r="M56" i="19"/>
  <c r="M58" i="19" s="1"/>
  <c r="P18" i="25"/>
  <c r="Q8" i="22" s="1"/>
  <c r="P32" i="22"/>
  <c r="L13" i="22"/>
  <c r="L18" i="22"/>
  <c r="Q23" i="25"/>
  <c r="T11" i="19" s="1"/>
  <c r="Q20" i="25"/>
  <c r="T10" i="19" s="1"/>
  <c r="Q32" i="25"/>
  <c r="T16" i="19" s="1"/>
  <c r="Q15" i="25"/>
  <c r="T8" i="19" s="1"/>
  <c r="T7" i="19"/>
  <c r="R12" i="25"/>
  <c r="R35" i="25" s="1"/>
  <c r="U19" i="19" s="1"/>
  <c r="N10" i="22"/>
  <c r="P17" i="19"/>
  <c r="R47" i="19"/>
  <c r="S9" i="19"/>
  <c r="S29" i="19"/>
  <c r="Q14" i="19"/>
  <c r="O22" i="27" s="1"/>
  <c r="O9" i="22"/>
  <c r="R12" i="19"/>
  <c r="S30" i="19"/>
  <c r="S45" i="19"/>
  <c r="V34" i="19"/>
  <c r="V39" i="19" s="1"/>
  <c r="S26" i="25"/>
  <c r="M11" i="22"/>
  <c r="O18" i="19"/>
  <c r="O20" i="19" s="1"/>
  <c r="Q20" i="28" l="1"/>
  <c r="Q22" i="28" s="1"/>
  <c r="Q11" i="28"/>
  <c r="T25" i="27"/>
  <c r="O27" i="27"/>
  <c r="N12" i="28"/>
  <c r="L9" i="28"/>
  <c r="L13" i="28" s="1"/>
  <c r="L28" i="28"/>
  <c r="L30" i="28" s="1"/>
  <c r="K33" i="28"/>
  <c r="K35" i="28" s="1"/>
  <c r="L34" i="28" s="1"/>
  <c r="N28" i="27"/>
  <c r="N30" i="27" s="1"/>
  <c r="O23" i="27"/>
  <c r="O24" i="27" s="1"/>
  <c r="O12" i="26"/>
  <c r="P8" i="26"/>
  <c r="Q34" i="22"/>
  <c r="P10" i="26"/>
  <c r="P9" i="26"/>
  <c r="K17" i="22"/>
  <c r="K19" i="22"/>
  <c r="Q33" i="22"/>
  <c r="K20" i="22"/>
  <c r="M27" i="19"/>
  <c r="M32" i="19" s="1"/>
  <c r="K23" i="22" s="1"/>
  <c r="N56" i="19"/>
  <c r="N58" i="19" s="1"/>
  <c r="Q18" i="25"/>
  <c r="R8" i="22" s="1"/>
  <c r="M18" i="22"/>
  <c r="M13" i="22"/>
  <c r="P9" i="22"/>
  <c r="R14" i="19"/>
  <c r="P22" i="27" s="1"/>
  <c r="U7" i="19"/>
  <c r="R32" i="25"/>
  <c r="U16" i="19" s="1"/>
  <c r="R15" i="25"/>
  <c r="U8" i="19" s="1"/>
  <c r="R23" i="25"/>
  <c r="U11" i="19" s="1"/>
  <c r="S12" i="25"/>
  <c r="S35" i="25" s="1"/>
  <c r="V19" i="19" s="1"/>
  <c r="R20" i="25"/>
  <c r="U10" i="19" s="1"/>
  <c r="S12" i="19"/>
  <c r="K29" i="22"/>
  <c r="M60" i="19"/>
  <c r="T9" i="19"/>
  <c r="T29" i="19"/>
  <c r="T45" i="19"/>
  <c r="Q10" i="26" s="1"/>
  <c r="T30" i="19"/>
  <c r="S47" i="19"/>
  <c r="O10" i="22"/>
  <c r="Q17" i="19"/>
  <c r="Q32" i="22"/>
  <c r="N11" i="22"/>
  <c r="P18" i="19"/>
  <c r="P20" i="19" s="1"/>
  <c r="R20" i="28" l="1"/>
  <c r="R22" i="28" s="1"/>
  <c r="R11" i="28"/>
  <c r="P27" i="27"/>
  <c r="O12" i="28"/>
  <c r="M9" i="28"/>
  <c r="M13" i="28" s="1"/>
  <c r="M28" i="28"/>
  <c r="M30" i="28" s="1"/>
  <c r="O28" i="27"/>
  <c r="O30" i="27" s="1"/>
  <c r="L33" i="28"/>
  <c r="L35" i="28" s="1"/>
  <c r="M34" i="28" s="1"/>
  <c r="P23" i="27"/>
  <c r="P24" i="27" s="1"/>
  <c r="P12" i="26"/>
  <c r="R32" i="22"/>
  <c r="Q8" i="26"/>
  <c r="R33" i="22"/>
  <c r="Q9" i="26"/>
  <c r="L17" i="22"/>
  <c r="L19" i="22"/>
  <c r="M41" i="19"/>
  <c r="K28" i="22" s="1"/>
  <c r="K24" i="22"/>
  <c r="R34" i="22"/>
  <c r="L20" i="22"/>
  <c r="R18" i="25"/>
  <c r="S8" i="22" s="1"/>
  <c r="O56" i="19"/>
  <c r="M20" i="22" s="1"/>
  <c r="N27" i="19"/>
  <c r="N32" i="19" s="1"/>
  <c r="U45" i="19"/>
  <c r="U30" i="19"/>
  <c r="P10" i="22"/>
  <c r="R17" i="19"/>
  <c r="N13" i="22"/>
  <c r="N18" i="22"/>
  <c r="Q18" i="19"/>
  <c r="Q20" i="19" s="1"/>
  <c r="O11" i="22"/>
  <c r="V7" i="19"/>
  <c r="S32" i="25"/>
  <c r="V16" i="19" s="1"/>
  <c r="S15" i="25"/>
  <c r="V8" i="19" s="1"/>
  <c r="S20" i="25"/>
  <c r="V10" i="19" s="1"/>
  <c r="S23" i="25"/>
  <c r="V11" i="19" s="1"/>
  <c r="T47" i="19"/>
  <c r="L29" i="22"/>
  <c r="N60" i="19"/>
  <c r="T12" i="19"/>
  <c r="Q9" i="22"/>
  <c r="S14" i="19"/>
  <c r="Q22" i="27" s="1"/>
  <c r="U29" i="19"/>
  <c r="R8" i="26" s="1"/>
  <c r="U9" i="19"/>
  <c r="S20" i="28" l="1"/>
  <c r="S22" i="28" s="1"/>
  <c r="S11" i="28"/>
  <c r="P28" i="27"/>
  <c r="P30" i="27" s="1"/>
  <c r="N28" i="28"/>
  <c r="N30" i="28" s="1"/>
  <c r="N9" i="28"/>
  <c r="N13" i="28" s="1"/>
  <c r="M33" i="28"/>
  <c r="M35" i="28" s="1"/>
  <c r="N34" i="28" s="1"/>
  <c r="Q27" i="27"/>
  <c r="P12" i="28"/>
  <c r="Q23" i="27"/>
  <c r="Q24" i="27" s="1"/>
  <c r="Q12" i="26"/>
  <c r="S33" i="22"/>
  <c r="S34" i="22"/>
  <c r="R10" i="26"/>
  <c r="R9" i="26"/>
  <c r="M62" i="19"/>
  <c r="K16" i="22"/>
  <c r="O58" i="19"/>
  <c r="S18" i="25"/>
  <c r="T8" i="22" s="1"/>
  <c r="U12" i="19"/>
  <c r="O18" i="22"/>
  <c r="O13" i="22"/>
  <c r="V29" i="19"/>
  <c r="T32" i="22" s="1"/>
  <c r="V9" i="19"/>
  <c r="L24" i="22"/>
  <c r="L23" i="22"/>
  <c r="N41" i="19"/>
  <c r="L16" i="22" s="1"/>
  <c r="Q10" i="22"/>
  <c r="S17" i="19"/>
  <c r="S32" i="22"/>
  <c r="R9" i="22"/>
  <c r="T14" i="19"/>
  <c r="R22" i="27" s="1"/>
  <c r="P56" i="19"/>
  <c r="V30" i="19"/>
  <c r="T33" i="22" s="1"/>
  <c r="V45" i="19"/>
  <c r="P11" i="22"/>
  <c r="R18" i="19"/>
  <c r="R20" i="19" s="1"/>
  <c r="U47" i="19"/>
  <c r="N33" i="28" l="1"/>
  <c r="N35" i="28" s="1"/>
  <c r="O34" i="28" s="1"/>
  <c r="R27" i="27"/>
  <c r="Q12" i="28"/>
  <c r="O9" i="28"/>
  <c r="O13" i="28" s="1"/>
  <c r="O28" i="28"/>
  <c r="O30" i="28" s="1"/>
  <c r="Q28" i="27"/>
  <c r="Q30" i="27" s="1"/>
  <c r="R23" i="27"/>
  <c r="R24" i="27" s="1"/>
  <c r="O27" i="19"/>
  <c r="O32" i="19" s="1"/>
  <c r="O41" i="19" s="1"/>
  <c r="S9" i="26"/>
  <c r="R12" i="26"/>
  <c r="R12" i="28" s="1"/>
  <c r="S8" i="26"/>
  <c r="T34" i="22"/>
  <c r="S10" i="26"/>
  <c r="M17" i="22"/>
  <c r="M19" i="22"/>
  <c r="O60" i="19"/>
  <c r="M29" i="22"/>
  <c r="P13" i="22"/>
  <c r="P18" i="22"/>
  <c r="S9" i="22"/>
  <c r="U14" i="19"/>
  <c r="S22" i="27" s="1"/>
  <c r="N20" i="22"/>
  <c r="Q56" i="19"/>
  <c r="P58" i="19"/>
  <c r="N17" i="22" s="1"/>
  <c r="T17" i="19"/>
  <c r="R10" i="22"/>
  <c r="Q11" i="22"/>
  <c r="S18" i="19"/>
  <c r="S20" i="19" s="1"/>
  <c r="V12" i="19"/>
  <c r="V47" i="19"/>
  <c r="L28" i="22"/>
  <c r="N62" i="19"/>
  <c r="R28" i="27" l="1"/>
  <c r="R30" i="27" s="1"/>
  <c r="M24" i="22"/>
  <c r="O33" i="28"/>
  <c r="O35" i="28" s="1"/>
  <c r="P34" i="28" s="1"/>
  <c r="M23" i="22"/>
  <c r="P28" i="28"/>
  <c r="P30" i="28" s="1"/>
  <c r="P9" i="28"/>
  <c r="P13" i="28" s="1"/>
  <c r="S23" i="27"/>
  <c r="S24" i="27" s="1"/>
  <c r="S27" i="27"/>
  <c r="S12" i="26"/>
  <c r="N19" i="22"/>
  <c r="M16" i="22"/>
  <c r="P27" i="19"/>
  <c r="P32" i="19" s="1"/>
  <c r="N24" i="22" s="1"/>
  <c r="Q18" i="22"/>
  <c r="Q13" i="22"/>
  <c r="N29" i="22"/>
  <c r="P60" i="19"/>
  <c r="T9" i="22"/>
  <c r="V14" i="19"/>
  <c r="T22" i="27" s="1"/>
  <c r="S10" i="22"/>
  <c r="U17" i="19"/>
  <c r="M28" i="22"/>
  <c r="O62" i="19"/>
  <c r="R11" i="22"/>
  <c r="T18" i="19"/>
  <c r="T20" i="19" s="1"/>
  <c r="O20" i="22"/>
  <c r="Q58" i="19"/>
  <c r="O19" i="22" s="1"/>
  <c r="R56" i="19"/>
  <c r="P33" i="28" l="1"/>
  <c r="P35" i="28" s="1"/>
  <c r="Q34" i="28" s="1"/>
  <c r="Q9" i="28"/>
  <c r="Q13" i="28" s="1"/>
  <c r="Q28" i="28"/>
  <c r="Q30" i="28" s="1"/>
  <c r="T27" i="27"/>
  <c r="S12" i="28"/>
  <c r="S28" i="27"/>
  <c r="S30" i="27" s="1"/>
  <c r="T23" i="27"/>
  <c r="T24" i="27" s="1"/>
  <c r="O17" i="22"/>
  <c r="P41" i="19"/>
  <c r="N28" i="22" s="1"/>
  <c r="N23" i="22"/>
  <c r="Q27" i="19"/>
  <c r="Q32" i="19" s="1"/>
  <c r="O23" i="22" s="1"/>
  <c r="R27" i="19"/>
  <c r="R32" i="19" s="1"/>
  <c r="R13" i="22"/>
  <c r="R18" i="22"/>
  <c r="O29" i="22"/>
  <c r="Q60" i="19"/>
  <c r="S11" i="22"/>
  <c r="U18" i="19"/>
  <c r="U20" i="19" s="1"/>
  <c r="P20" i="22"/>
  <c r="R58" i="19"/>
  <c r="S56" i="19"/>
  <c r="T10" i="22"/>
  <c r="V17" i="19"/>
  <c r="Q33" i="28" l="1"/>
  <c r="Q35" i="28" s="1"/>
  <c r="R34" i="28" s="1"/>
  <c r="T28" i="27"/>
  <c r="Y19" i="27" s="1"/>
  <c r="R28" i="28"/>
  <c r="R30" i="28" s="1"/>
  <c r="R9" i="28"/>
  <c r="R13" i="28" s="1"/>
  <c r="Y18" i="27"/>
  <c r="T30" i="27"/>
  <c r="Q41" i="19"/>
  <c r="O16" i="22" s="1"/>
  <c r="P62" i="19"/>
  <c r="N16" i="22"/>
  <c r="P19" i="22"/>
  <c r="P17" i="22"/>
  <c r="O24" i="22"/>
  <c r="S18" i="22"/>
  <c r="S13" i="22"/>
  <c r="T56" i="19"/>
  <c r="Q20" i="22"/>
  <c r="S58" i="19"/>
  <c r="Q19" i="22" s="1"/>
  <c r="P29" i="22"/>
  <c r="R60" i="19"/>
  <c r="T11" i="22"/>
  <c r="V18" i="19"/>
  <c r="V20" i="19" s="1"/>
  <c r="P24" i="22"/>
  <c r="R41" i="19"/>
  <c r="P23" i="22"/>
  <c r="R33" i="28" l="1"/>
  <c r="R35" i="28" s="1"/>
  <c r="S34" i="28" s="1"/>
  <c r="S9" i="28"/>
  <c r="S13" i="28" s="1"/>
  <c r="S28" i="28"/>
  <c r="S30" i="28" s="1"/>
  <c r="Q62" i="19"/>
  <c r="O28" i="22"/>
  <c r="P16" i="22"/>
  <c r="Y20" i="27"/>
  <c r="U28" i="27" s="1"/>
  <c r="U30" i="27" s="1"/>
  <c r="D35" i="27" s="1"/>
  <c r="D39" i="27" s="1"/>
  <c r="D41" i="27" s="1"/>
  <c r="Q17" i="22"/>
  <c r="T27" i="19"/>
  <c r="T32" i="19" s="1"/>
  <c r="S27" i="19"/>
  <c r="S32" i="19" s="1"/>
  <c r="Q24" i="22" s="1"/>
  <c r="T13" i="22"/>
  <c r="T18" i="22"/>
  <c r="Q29" i="22"/>
  <c r="S60" i="19"/>
  <c r="R20" i="22"/>
  <c r="U56" i="19"/>
  <c r="T58" i="19"/>
  <c r="R17" i="22" s="1"/>
  <c r="P28" i="22"/>
  <c r="R62" i="19"/>
  <c r="G48" i="27" l="1"/>
  <c r="G59" i="27"/>
  <c r="O36" i="27"/>
  <c r="O37" i="27" s="1"/>
  <c r="S33" i="28"/>
  <c r="S35" i="28" s="1"/>
  <c r="R19" i="22"/>
  <c r="Q23" i="22"/>
  <c r="S41" i="19"/>
  <c r="R29" i="22"/>
  <c r="T60" i="19"/>
  <c r="R24" i="22"/>
  <c r="R23" i="22"/>
  <c r="T41" i="19"/>
  <c r="U58" i="19"/>
  <c r="S17" i="22" s="1"/>
  <c r="S20" i="22"/>
  <c r="V56" i="19"/>
  <c r="V27" i="19" l="1"/>
  <c r="V32" i="19" s="1"/>
  <c r="T23" i="22" s="1"/>
  <c r="U27" i="19"/>
  <c r="U32" i="19" s="1"/>
  <c r="S23" i="22" s="1"/>
  <c r="Q28" i="22"/>
  <c r="R16" i="22"/>
  <c r="Q16" i="22"/>
  <c r="S19" i="22"/>
  <c r="I144" i="19"/>
  <c r="S62" i="19"/>
  <c r="S29" i="22"/>
  <c r="U60" i="19"/>
  <c r="T20" i="22"/>
  <c r="V58" i="19"/>
  <c r="T19" i="22" s="1"/>
  <c r="R28" i="22"/>
  <c r="T62" i="19"/>
  <c r="S24" i="22" l="1"/>
  <c r="U41" i="19"/>
  <c r="S16" i="22" s="1"/>
  <c r="T17" i="22"/>
  <c r="I154" i="19"/>
  <c r="T24" i="22"/>
  <c r="V41" i="19"/>
  <c r="T29" i="22"/>
  <c r="V60" i="19"/>
  <c r="S28" i="22" l="1"/>
  <c r="T16" i="22"/>
  <c r="U62" i="19"/>
  <c r="T28" i="22"/>
  <c r="V62" i="1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 query?function=GLOBAL_QUOTE&amp;symbol=DLF" description="Connection to the 'query?function=GLOBAL_QUOTE&amp;symbol=DLF' query in the workbook." type="5" refreshedVersion="2" background="1" saveData="1">
    <dbPr connection="Provider=Microsoft.Mashup.OleDb.1;Data Source=$Workbook$;Location=&quot;query?function=GLOBAL_QUOTE&amp;symbol=DLF&quot;;Extended Properties=&quot;&quot;" command="SELECT * FROM [query?function=GLOBAL_QUOTE&amp;symbol=DLF]"/>
  </connection>
</connections>
</file>

<file path=xl/sharedStrings.xml><?xml version="1.0" encoding="utf-8"?>
<sst xmlns="http://schemas.openxmlformats.org/spreadsheetml/2006/main" count="690" uniqueCount="505">
  <si>
    <t>Index</t>
  </si>
  <si>
    <t>Assumptions</t>
  </si>
  <si>
    <t>Historicals</t>
  </si>
  <si>
    <t>Model</t>
  </si>
  <si>
    <t>Scenarios</t>
  </si>
  <si>
    <t>Beta</t>
  </si>
  <si>
    <t>WACC</t>
  </si>
  <si>
    <t>Comps</t>
  </si>
  <si>
    <t>Comps_Data</t>
  </si>
  <si>
    <t>Market Return</t>
  </si>
  <si>
    <t>Summary</t>
  </si>
  <si>
    <t>Company Name</t>
  </si>
  <si>
    <t>DLF Limited</t>
  </si>
  <si>
    <t>ISIN Code</t>
  </si>
  <si>
    <t>INE271C01023</t>
  </si>
  <si>
    <t>Sector Name</t>
  </si>
  <si>
    <t>Realty</t>
  </si>
  <si>
    <t>Industry</t>
  </si>
  <si>
    <t>Commercial Projects</t>
  </si>
  <si>
    <t>Exchange Name</t>
  </si>
  <si>
    <t>NSE- DLF , BSE- 532868</t>
  </si>
  <si>
    <t>Website</t>
  </si>
  <si>
    <t>DLF India | Leading Real Estate Developers</t>
  </si>
  <si>
    <t>Company Description</t>
  </si>
  <si>
    <t>DLF Ltd with its subsidiaries, associates and JVs is engaged in real estate development, from the identification and acquisition of land to planning, execution, construction and marketing of projects. It is also engaged in business of leasing, generation of power, provision of maintenance services, hospitality and recreational services which are related to the overall development of real estate business</t>
  </si>
  <si>
    <t>Current Market Price</t>
  </si>
  <si>
    <t>Case</t>
  </si>
  <si>
    <t>Bull Case</t>
  </si>
  <si>
    <t>Company Data</t>
  </si>
  <si>
    <t>No of Outstanding shares</t>
  </si>
  <si>
    <t>MM</t>
  </si>
  <si>
    <t>Face Value per share</t>
  </si>
  <si>
    <t>Rs.</t>
  </si>
  <si>
    <t>Market Capitalisation</t>
  </si>
  <si>
    <t>INR in Crs</t>
  </si>
  <si>
    <t>Revenue Growth Per Year</t>
  </si>
  <si>
    <t>10 year Bond yield rate</t>
  </si>
  <si>
    <t>(As Per RBI Data)</t>
  </si>
  <si>
    <t>Interest rate</t>
  </si>
  <si>
    <t>EPS</t>
  </si>
  <si>
    <t>Particulars</t>
  </si>
  <si>
    <t>Perpectual Growth Rate</t>
  </si>
  <si>
    <t>Depreciation</t>
  </si>
  <si>
    <t>Bank Balance</t>
  </si>
  <si>
    <t>Income Statement</t>
  </si>
  <si>
    <t>Revenue from operations</t>
  </si>
  <si>
    <t>Other income</t>
  </si>
  <si>
    <t>Total income</t>
  </si>
  <si>
    <t>EXPENSES</t>
  </si>
  <si>
    <t>Cost of land, plots, development rights, constructed properties and others</t>
  </si>
  <si>
    <t>Employee benefits expense</t>
  </si>
  <si>
    <t>Finance costs</t>
  </si>
  <si>
    <t>Depreciation and amortisation expense</t>
  </si>
  <si>
    <t>Other expenses</t>
  </si>
  <si>
    <t>Total expenses</t>
  </si>
  <si>
    <t>Profit before exceptional items, tax, share of profit in associates and joint ventures</t>
  </si>
  <si>
    <t>Exceptional items (net)</t>
  </si>
  <si>
    <t>Profit before tax, share of profit in associates and joint ventures</t>
  </si>
  <si>
    <t>-</t>
  </si>
  <si>
    <t>Tax expense</t>
  </si>
  <si>
    <t>Current tax (including earlier years) [refer note 62(b)]</t>
  </si>
  <si>
    <t>Deferred tax [including DTA reversal in previous year on account of adoption of new tax rate (refer note 40)]</t>
  </si>
  <si>
    <t>Total tax expense</t>
  </si>
  <si>
    <t>Profit/ (loss) before share of profit (net) in associates and joint ventures</t>
  </si>
  <si>
    <t>Share of profit in associates and joint ventures (net)</t>
  </si>
  <si>
    <t>Net profit/ (loss) for the year</t>
  </si>
  <si>
    <t>Balance Sheet</t>
  </si>
  <si>
    <t>Non-current assets</t>
  </si>
  <si>
    <t>Property, plant and equipment</t>
  </si>
  <si>
    <t>Right-of-use assets</t>
  </si>
  <si>
    <t>Capital work-in-progress</t>
  </si>
  <si>
    <t>Investment properties</t>
  </si>
  <si>
    <t>Goodwill</t>
  </si>
  <si>
    <t>Other intangible assets</t>
  </si>
  <si>
    <t>Intangible assets under development</t>
  </si>
  <si>
    <t>Investments in joint ventures and associates</t>
  </si>
  <si>
    <t>Financial assets</t>
  </si>
  <si>
    <t>Investments</t>
  </si>
  <si>
    <t>Loans</t>
  </si>
  <si>
    <t>Other financial assets</t>
  </si>
  <si>
    <t>Deferred tax assets (net)</t>
  </si>
  <si>
    <t>Non-current tax assets (net)</t>
  </si>
  <si>
    <t>Other non-current assets</t>
  </si>
  <si>
    <t>Total non-current assets</t>
  </si>
  <si>
    <t>Current assets</t>
  </si>
  <si>
    <t>Inventories</t>
  </si>
  <si>
    <t>Trade receivables</t>
  </si>
  <si>
    <t>Cash and cash equivalents</t>
  </si>
  <si>
    <t>Other bank balances</t>
  </si>
  <si>
    <t>Other current assets</t>
  </si>
  <si>
    <t>Total current assets</t>
  </si>
  <si>
    <t>Total Assets</t>
  </si>
  <si>
    <t>EQUITY AND LIABILITIES</t>
  </si>
  <si>
    <t>Equity</t>
  </si>
  <si>
    <t>Equity share capital</t>
  </si>
  <si>
    <t>Other equity</t>
  </si>
  <si>
    <t>Equity attributable to owners of Holding Company</t>
  </si>
  <si>
    <t>Non-controlling interests</t>
  </si>
  <si>
    <t>Total Equity</t>
  </si>
  <si>
    <t>Non-current liabilities</t>
  </si>
  <si>
    <t>Financial liabilities</t>
  </si>
  <si>
    <t>Borrowings</t>
  </si>
  <si>
    <t>lease liability</t>
  </si>
  <si>
    <t>Trade payables</t>
  </si>
  <si>
    <t>(a) total outstanding dues of micro enterprises and small enterprises</t>
  </si>
  <si>
    <t>(b) total outstanding dues of creditors other than micro enterprises and small enterprises</t>
  </si>
  <si>
    <t>Other non-current financial liabilities</t>
  </si>
  <si>
    <t>Provisions</t>
  </si>
  <si>
    <t>Deferred tax liabilities (net)</t>
  </si>
  <si>
    <t>Other non-current liabilities</t>
  </si>
  <si>
    <t>Total non-current liabilities</t>
  </si>
  <si>
    <t>Current liabilities</t>
  </si>
  <si>
    <t>Other current financial liabilities</t>
  </si>
  <si>
    <t>Other current liabilities</t>
  </si>
  <si>
    <t>Total current liabilities</t>
  </si>
  <si>
    <t>Total equity and liabilities</t>
  </si>
  <si>
    <t>CASH FLOWS</t>
  </si>
  <si>
    <t>A.  FROM OPERATING ACTIVITIES</t>
  </si>
  <si>
    <t>Profit before tax and share of profit in associates and joint ventures</t>
  </si>
  <si>
    <t>Adjustments for:</t>
  </si>
  <si>
    <t>(Profit)/ loss on sale of property, plant and equipment and investment property (net)</t>
  </si>
  <si>
    <t>Rental income on account of discounting of security deposits and straight lining effect</t>
  </si>
  <si>
    <t>Interest income (including fair value change in financial instruments)</t>
  </si>
  <si>
    <t>Gain on fair valuation of financial instruments (net)</t>
  </si>
  <si>
    <t>Dividend income</t>
  </si>
  <si>
    <t>Loss on foreign currency transactions (net)</t>
  </si>
  <si>
    <t>Loss/ (profit) on sale of investments (net)</t>
  </si>
  <si>
    <t>Allowance/ write off’s of financial and non-financial assets and provisions</t>
  </si>
  <si>
    <t>Amount forfeited on properties</t>
  </si>
  <si>
    <t>Unclaimed balances and excess provisions written back</t>
  </si>
  <si>
    <t>Operating profit before working capital changes</t>
  </si>
  <si>
    <t>Adjuestment</t>
  </si>
  <si>
    <t>Working capital adjustments:</t>
  </si>
  <si>
    <t>Decrease/ (increase) in current/ non current loans</t>
  </si>
  <si>
    <t>Decrease in inventories</t>
  </si>
  <si>
    <t>Decrease/ (increase) in current/ non current other financial assets</t>
  </si>
  <si>
    <t>Increase in current/ non current other assets</t>
  </si>
  <si>
    <t>Decrease/ (increase) in trade receivables</t>
  </si>
  <si>
    <t>Increase in current/ non current other financial liabilities</t>
  </si>
  <si>
    <t>Decrease in current/ non current other liabilities</t>
  </si>
  <si>
    <t>(Decrease)/ increase in current/ non current provisions</t>
  </si>
  <si>
    <t>Increase/ (decrease) in current/ non current trade payables</t>
  </si>
  <si>
    <t>Asjustment of total</t>
  </si>
  <si>
    <t>Cash flow from operating activities post working capital changes</t>
  </si>
  <si>
    <t>Income tax refunded/ (paid), net</t>
  </si>
  <si>
    <t>Net cash flow generated from operating activities (A)</t>
  </si>
  <si>
    <t>B. CASH FLOWS FROM INVESTING ACTIVITIES</t>
  </si>
  <si>
    <t>Purchase of property, plant and equipment, investment property, intangible assets and capital work-in-progress</t>
  </si>
  <si>
    <t>Proceeds from sale of property, plant and equipment and investment property</t>
  </si>
  <si>
    <t>Purchase of investments</t>
  </si>
  <si>
    <t>Sale of investments</t>
  </si>
  <si>
    <t>Proceeds from sale of investment in subsidiary</t>
  </si>
  <si>
    <t>Proceeds from disposal of mutual funds and term deposits</t>
  </si>
  <si>
    <t>Purchase of investment in mutual funds and term deposits</t>
  </si>
  <si>
    <t>Loan given</t>
  </si>
  <si>
    <t>Loan received back</t>
  </si>
  <si>
    <t>Investment in fixed deposits</t>
  </si>
  <si>
    <t>Proceeds from redemption of fixed deposits</t>
  </si>
  <si>
    <t>Interest received</t>
  </si>
  <si>
    <t>Dividend received</t>
  </si>
  <si>
    <t>Net cash flow generated from investing activities (B)</t>
  </si>
  <si>
    <t>C. CASH FLOWS FROM FINANCING ACTIVITIES</t>
  </si>
  <si>
    <t>Proceeds from share warrants</t>
  </si>
  <si>
    <t>Proceeds from debentures (including current maturities)</t>
  </si>
  <si>
    <t>Repayment of debentures (including current maturities)</t>
  </si>
  <si>
    <t>Proceeds from non-current borrowings (including current maturities)</t>
  </si>
  <si>
    <t>Repayment of non-current borrowings (including current maturities)</t>
  </si>
  <si>
    <t>Proceeds from current borrowing</t>
  </si>
  <si>
    <t>Repayment of current borrowings</t>
  </si>
  <si>
    <t>Finance cost paid</t>
  </si>
  <si>
    <t>Repayment of lease liabilities</t>
  </si>
  <si>
    <t>Decrease/ (increase) in restricted bank balances (net)</t>
  </si>
  <si>
    <t>Dividend paid (including tax)</t>
  </si>
  <si>
    <t>Net cash flow used in financing activities (C)</t>
  </si>
  <si>
    <t>Net decrease in cash and cash equivalents (A+B+C)</t>
  </si>
  <si>
    <t>Cash and cash equivalents at the beginning of the period</t>
  </si>
  <si>
    <t>Cash and cash equivalents at the end of the year</t>
  </si>
  <si>
    <t>Other Income</t>
  </si>
  <si>
    <t>Total</t>
  </si>
  <si>
    <t>Cost Buildup</t>
  </si>
  <si>
    <t>Revenue</t>
  </si>
  <si>
    <t>COGS</t>
  </si>
  <si>
    <t>Salaries &amp; Benefits</t>
  </si>
  <si>
    <t>Other SG&amp;A Expenses</t>
  </si>
  <si>
    <t>Other Expenses</t>
  </si>
  <si>
    <t>Finance Cost</t>
  </si>
  <si>
    <t>Tax Rate</t>
  </si>
  <si>
    <t>Base Case</t>
  </si>
  <si>
    <t>Bear Case</t>
  </si>
  <si>
    <t>Financial Statment -DLF Ltd..</t>
  </si>
  <si>
    <t>Historical Year</t>
  </si>
  <si>
    <t>Forecasted Year</t>
  </si>
  <si>
    <t>INCOME STATEMENT</t>
  </si>
  <si>
    <t>Income</t>
  </si>
  <si>
    <t>Gross Profit</t>
  </si>
  <si>
    <t>EBITDA</t>
  </si>
  <si>
    <t>Less. Depreciation</t>
  </si>
  <si>
    <t>EBIT</t>
  </si>
  <si>
    <t>Interest</t>
  </si>
  <si>
    <t>Earning Before Tax</t>
  </si>
  <si>
    <t>Taxes</t>
  </si>
  <si>
    <t>Share of profit in associates and joint ventures</t>
  </si>
  <si>
    <t>Net Earnings</t>
  </si>
  <si>
    <t>BALANCE SHEET</t>
  </si>
  <si>
    <t>Assets</t>
  </si>
  <si>
    <t>Current Assets</t>
  </si>
  <si>
    <t>Cash</t>
  </si>
  <si>
    <t>Trade Receivable</t>
  </si>
  <si>
    <t>Inventory</t>
  </si>
  <si>
    <t>Other Current Assets</t>
  </si>
  <si>
    <t>Total Current Assets</t>
  </si>
  <si>
    <t>Non-Current Assets</t>
  </si>
  <si>
    <t>Property Plant &amp; Equipment</t>
  </si>
  <si>
    <t>Financial Assets</t>
  </si>
  <si>
    <t>Investment In Associates</t>
  </si>
  <si>
    <t>Other Non-Current Assets</t>
  </si>
  <si>
    <t>Total Non-Current Assets</t>
  </si>
  <si>
    <t>Liabilities</t>
  </si>
  <si>
    <t>Current Liabilities</t>
  </si>
  <si>
    <t>Account Payable</t>
  </si>
  <si>
    <t>Other Current liabilities</t>
  </si>
  <si>
    <t>Total Current liabilities</t>
  </si>
  <si>
    <t>Non-Current Liabilities</t>
  </si>
  <si>
    <t>Debt</t>
  </si>
  <si>
    <t>Other Non Current liabilities</t>
  </si>
  <si>
    <t>Total Non Current liabilities</t>
  </si>
  <si>
    <t>Shareholder's Equity</t>
  </si>
  <si>
    <t>Equity Capital</t>
  </si>
  <si>
    <t>Retained Earnings</t>
  </si>
  <si>
    <t>Non-controlling interest</t>
  </si>
  <si>
    <t>Total Shareholder's Equity</t>
  </si>
  <si>
    <t>Total Equity &amp; liabilities</t>
  </si>
  <si>
    <t>CASH FLOW STATEMENT</t>
  </si>
  <si>
    <t>Cash From Operating</t>
  </si>
  <si>
    <t>Net Profit</t>
  </si>
  <si>
    <t>Plus. Depreciation</t>
  </si>
  <si>
    <t>Plus/Add. Other Adjustment</t>
  </si>
  <si>
    <t>Plus/Add. Other Assets and libialities</t>
  </si>
  <si>
    <t>Net Cash From Operating</t>
  </si>
  <si>
    <t>Investing Cash Flow</t>
  </si>
  <si>
    <t>Investment In PP&amp;E</t>
  </si>
  <si>
    <t>Sale of PP&amp;E</t>
  </si>
  <si>
    <t>Investment in Subsidiary &amp; Associates</t>
  </si>
  <si>
    <t>Purchase and Sale of Investment</t>
  </si>
  <si>
    <t>Interest Received</t>
  </si>
  <si>
    <t>Dividend Received</t>
  </si>
  <si>
    <t>Financing Cash Flow</t>
  </si>
  <si>
    <t>Issuance/Repayment of Debt</t>
  </si>
  <si>
    <t>Equity Issuance</t>
  </si>
  <si>
    <t>Dividend and Dividend Related Payment</t>
  </si>
  <si>
    <t>Interest Paid</t>
  </si>
  <si>
    <t>Cash From Financing</t>
  </si>
  <si>
    <t>Net Increase/Decrease in Cash</t>
  </si>
  <si>
    <t>Opening Cash Balance</t>
  </si>
  <si>
    <t>Closing Cash Balance</t>
  </si>
  <si>
    <t>Supporting Schedules</t>
  </si>
  <si>
    <t>Working Capital</t>
  </si>
  <si>
    <t>Account Receivable</t>
  </si>
  <si>
    <t>Accounts Payable</t>
  </si>
  <si>
    <t>Others</t>
  </si>
  <si>
    <t>Depeciation Schedules</t>
  </si>
  <si>
    <t>Opening PP&amp;E</t>
  </si>
  <si>
    <t>Add. Capex</t>
  </si>
  <si>
    <t>less. Depreciation</t>
  </si>
  <si>
    <t>Closing PP&amp;E</t>
  </si>
  <si>
    <t>Interest Schedule</t>
  </si>
  <si>
    <t>Debt Opening</t>
  </si>
  <si>
    <t>Issuance / Repayment</t>
  </si>
  <si>
    <t>Debt Closing</t>
  </si>
  <si>
    <t>Interest Expenses</t>
  </si>
  <si>
    <t>DCF MODEL</t>
  </si>
  <si>
    <t>Transaction Date</t>
  </si>
  <si>
    <t>Fiscal Year End</t>
  </si>
  <si>
    <t>EV/EBITDA Multiple</t>
  </si>
  <si>
    <t>Perpetual Growth Rate</t>
  </si>
  <si>
    <t>Discount Rate</t>
  </si>
  <si>
    <t>Shares Outstanding</t>
  </si>
  <si>
    <t>Current Price</t>
  </si>
  <si>
    <t>Discounted Cash Flow</t>
  </si>
  <si>
    <t>Exit</t>
  </si>
  <si>
    <t>Terminal Value</t>
  </si>
  <si>
    <t>Date</t>
  </si>
  <si>
    <t>EV/EBITDA</t>
  </si>
  <si>
    <t>Time Periods</t>
  </si>
  <si>
    <t>Perp. Growth</t>
  </si>
  <si>
    <t>Year Frac.</t>
  </si>
  <si>
    <t>Average</t>
  </si>
  <si>
    <t>Less. Cash Taxes</t>
  </si>
  <si>
    <t>Net Operating Profit After Tax (NOPAT)</t>
  </si>
  <si>
    <t>Plus: Depreciation &amp; Amortization</t>
  </si>
  <si>
    <t>Less. Capex</t>
  </si>
  <si>
    <t>Less. Changes in Working Capital</t>
  </si>
  <si>
    <t>Unlevered FCFF</t>
  </si>
  <si>
    <t>Transaction FCFF</t>
  </si>
  <si>
    <t>Intrinsic Value</t>
  </si>
  <si>
    <t>Market Value</t>
  </si>
  <si>
    <t>Rate of Return</t>
  </si>
  <si>
    <t>Enterprise Value</t>
  </si>
  <si>
    <t>Market Cap</t>
  </si>
  <si>
    <t>Plus: Cash &amp; Equivalents</t>
  </si>
  <si>
    <t>Plus: Debt</t>
  </si>
  <si>
    <t>Target Price</t>
  </si>
  <si>
    <t>Less: Debt</t>
  </si>
  <si>
    <t>Plus: Non-Controlling Interest</t>
  </si>
  <si>
    <t>TP Upside</t>
  </si>
  <si>
    <t>Less: Non-Controlling Interest</t>
  </si>
  <si>
    <t>Less: Cash &amp; Equivalents</t>
  </si>
  <si>
    <t>Equity Value</t>
  </si>
  <si>
    <t>Equity Value/Share</t>
  </si>
  <si>
    <t>Sensitivity Analysis</t>
  </si>
  <si>
    <t>Sensitivities - Intrinsic Value (Rs./Shares)</t>
  </si>
  <si>
    <t>Ratio Analysis</t>
  </si>
  <si>
    <t>Trends</t>
  </si>
  <si>
    <t>Interpretation</t>
  </si>
  <si>
    <t>Profitability Ratios</t>
  </si>
  <si>
    <t>Gross Margin</t>
  </si>
  <si>
    <t>EBITDA Margin</t>
  </si>
  <si>
    <t>Operating Margin</t>
  </si>
  <si>
    <t>Pretax Margin</t>
  </si>
  <si>
    <t>Effective Tax rate</t>
  </si>
  <si>
    <t>Net Margin</t>
  </si>
  <si>
    <t>DuPont/Earning Power</t>
  </si>
  <si>
    <t>Pre tax ROA</t>
  </si>
  <si>
    <t>Pre Tax ROE</t>
  </si>
  <si>
    <t>Tax Complement</t>
  </si>
  <si>
    <t>ROE</t>
  </si>
  <si>
    <t>Equity Retention</t>
  </si>
  <si>
    <t>Liquidity Ratio</t>
  </si>
  <si>
    <t>Quick ratio</t>
  </si>
  <si>
    <t>Current ratio</t>
  </si>
  <si>
    <t>Cash Cycle (Days)</t>
  </si>
  <si>
    <t>Leverage</t>
  </si>
  <si>
    <t>Asset/Equity</t>
  </si>
  <si>
    <t>Debt/Equity</t>
  </si>
  <si>
    <t>Operating</t>
  </si>
  <si>
    <t>A/R Turnover</t>
  </si>
  <si>
    <t>Inventory Turnover</t>
  </si>
  <si>
    <t>A/P Turnover</t>
  </si>
  <si>
    <t>Common - Sizing Statement</t>
  </si>
  <si>
    <t>Audited</t>
  </si>
  <si>
    <t>DLF</t>
  </si>
  <si>
    <t>Weekly Retruns of Stock and Nifty</t>
  </si>
  <si>
    <t>Nifty</t>
  </si>
  <si>
    <t>Macrotech</t>
  </si>
  <si>
    <t>Godrej Prop.</t>
  </si>
  <si>
    <t>Oberoi Rea.</t>
  </si>
  <si>
    <t>Phoenix</t>
  </si>
  <si>
    <t>Prestige Est.</t>
  </si>
  <si>
    <t>Brigade Entr.</t>
  </si>
  <si>
    <t>Closing Price</t>
  </si>
  <si>
    <t>Returns %</t>
  </si>
  <si>
    <t>DLF Ltd..</t>
  </si>
  <si>
    <t>Companies Comaprable Beta</t>
  </si>
  <si>
    <t>Debt/</t>
  </si>
  <si>
    <t>Tax</t>
  </si>
  <si>
    <t>Levered</t>
  </si>
  <si>
    <t>Unlevered</t>
  </si>
  <si>
    <t>Value</t>
  </si>
  <si>
    <t>Capital</t>
  </si>
  <si>
    <t>Rate %</t>
  </si>
  <si>
    <t>Median</t>
  </si>
  <si>
    <t>WACC Calcuation</t>
  </si>
  <si>
    <t>Target Capital Structure</t>
  </si>
  <si>
    <t>Proportion of Debt</t>
  </si>
  <si>
    <t>Propertion of Equity</t>
  </si>
  <si>
    <t>Current Capital Structure</t>
  </si>
  <si>
    <t>Total Debt</t>
  </si>
  <si>
    <t>Debt / Equity</t>
  </si>
  <si>
    <t>Cost of Debt</t>
  </si>
  <si>
    <t>Pre-Tax Cost of Debt</t>
  </si>
  <si>
    <t>After-Tax Cost of Debt</t>
  </si>
  <si>
    <t>Cost of Equity</t>
  </si>
  <si>
    <t>Risk Free Rate</t>
  </si>
  <si>
    <t>(India 10-Year Bond Yield Historical Data)</t>
  </si>
  <si>
    <t>Equity Market Return</t>
  </si>
  <si>
    <t>Equity Risk Premium</t>
  </si>
  <si>
    <t>Levered Equity Beta</t>
  </si>
  <si>
    <t>Market Data</t>
  </si>
  <si>
    <t>Financial   Data</t>
  </si>
  <si>
    <t>Valuation</t>
  </si>
  <si>
    <t>Price</t>
  </si>
  <si>
    <t>Shares</t>
  </si>
  <si>
    <t>EV</t>
  </si>
  <si>
    <t>Sales</t>
  </si>
  <si>
    <t>Earnings</t>
  </si>
  <si>
    <t>EV/Sales</t>
  </si>
  <si>
    <t>P/E</t>
  </si>
  <si>
    <t>Ticker</t>
  </si>
  <si>
    <r>
      <rPr>
        <b/>
        <i/>
        <sz val="12"/>
        <color rgb="FFFFFFFF"/>
        <rFont val="Calibri"/>
        <charset val="134"/>
      </rPr>
      <t>₹</t>
    </r>
    <r>
      <rPr>
        <b/>
        <i/>
        <sz val="12"/>
        <color rgb="FFFFFFFF"/>
        <rFont val="Book Antiqua"/>
        <charset val="134"/>
      </rPr>
      <t>/Shares</t>
    </r>
  </si>
  <si>
    <t>M</t>
  </si>
  <si>
    <t>&amp; Equivalents</t>
  </si>
  <si>
    <r>
      <rPr>
        <i/>
        <sz val="12"/>
        <color rgb="FFFFFFFF"/>
        <rFont val="Calibri"/>
        <charset val="134"/>
      </rPr>
      <t>₹</t>
    </r>
    <r>
      <rPr>
        <i/>
        <sz val="12"/>
        <color rgb="FFFFFFFF"/>
        <rFont val="Book Antiqua"/>
        <charset val="134"/>
      </rPr>
      <t>MM</t>
    </r>
  </si>
  <si>
    <t>x</t>
  </si>
  <si>
    <t>Metrics</t>
  </si>
  <si>
    <t>Net Debt</t>
  </si>
  <si>
    <t>Shares Price</t>
  </si>
  <si>
    <t>EV/Revenue</t>
  </si>
  <si>
    <t>Comps Data</t>
  </si>
  <si>
    <t>S.No.</t>
  </si>
  <si>
    <t>Name</t>
  </si>
  <si>
    <t>CMP Rs.</t>
  </si>
  <si>
    <t>Debt Rs.</t>
  </si>
  <si>
    <t>No. Eq. Shares Cr.</t>
  </si>
  <si>
    <t>Market CAP</t>
  </si>
  <si>
    <t>Macrotech Devel.</t>
  </si>
  <si>
    <t>Godrej Propert.</t>
  </si>
  <si>
    <t>Oberoi Realty</t>
  </si>
  <si>
    <t>Phoenix Mills</t>
  </si>
  <si>
    <t>Prestige Estates</t>
  </si>
  <si>
    <t>Brigade Enterpr.</t>
  </si>
  <si>
    <t>NIFTY 50 TRI</t>
  </si>
  <si>
    <t>Yearfrac</t>
  </si>
  <si>
    <t>Market Returns</t>
  </si>
  <si>
    <t xml:space="preserve">Valuation Summary - Football Field </t>
  </si>
  <si>
    <t>Football Field Data</t>
  </si>
  <si>
    <t>Market</t>
  </si>
  <si>
    <t>DCF</t>
  </si>
  <si>
    <t>52-week hi/lo</t>
  </si>
  <si>
    <t>Consensus</t>
  </si>
  <si>
    <t>High</t>
  </si>
  <si>
    <t>Low</t>
  </si>
  <si>
    <t>Valuation Summary</t>
  </si>
  <si>
    <t>Tax relating to earlier years</t>
  </si>
  <si>
    <t>Tax Rate %</t>
  </si>
  <si>
    <t>(On Revenue %)</t>
  </si>
  <si>
    <t>(On EBIT)</t>
  </si>
  <si>
    <t>Common Sizing Statement</t>
  </si>
  <si>
    <t>Sheets</t>
  </si>
  <si>
    <t>References</t>
  </si>
  <si>
    <t>J41:S41</t>
  </si>
  <si>
    <t>%</t>
  </si>
  <si>
    <t>Divident Payout Ratio</t>
  </si>
  <si>
    <t>Share Associate Profit</t>
  </si>
  <si>
    <t>Cost of good sold, Other Income and Share of associate's profits are projected as % Revenue - based on previous year metrics.</t>
  </si>
  <si>
    <t>All the costs are projected as a % revenue from operations except for finance costs which are calculated on PY end borrowings and latest years's % rates are used for projections.</t>
  </si>
  <si>
    <t>J29:S29</t>
  </si>
  <si>
    <t>Tax Rate is estimated at 0.5% increase for every 3 years.</t>
  </si>
  <si>
    <t>J38:S38</t>
  </si>
  <si>
    <t>C6:U16</t>
  </si>
  <si>
    <t>M87:V87</t>
  </si>
  <si>
    <t>D27:V60</t>
  </si>
  <si>
    <t>Trade Receivables, Inventory and Trade Payables are forecasted by using DSO, DIO,DPO method</t>
  </si>
  <si>
    <t>The average of the audited years is used to forecast DSO, DIO, and DPO.</t>
  </si>
  <si>
    <t>Cash Flow is prepared by using the data from Income statements and Balance sheet, for forecasting the cash flow we have taken difference between the amount of the two years i.e (Current year - Previous Year)</t>
  </si>
  <si>
    <t>Cash Flow</t>
  </si>
  <si>
    <t>J6:S9</t>
  </si>
  <si>
    <t>M87:V93</t>
  </si>
  <si>
    <t>Equity Beta</t>
  </si>
  <si>
    <t>Equity has been derived by using the stock exchange rate and company’s exchange rate of 5 years. By using sloope function.</t>
  </si>
  <si>
    <t>Market return</t>
  </si>
  <si>
    <t>Market return has been derived by using the index stock exchange price(i.e Nifty 50 Index) of 10 years on Weekly Basis.</t>
  </si>
  <si>
    <t>Working Schedules</t>
  </si>
  <si>
    <t>DSO</t>
  </si>
  <si>
    <t>DPO</t>
  </si>
  <si>
    <t>DIO</t>
  </si>
  <si>
    <t>Net Trade Cycle</t>
  </si>
  <si>
    <t>J15:S15, J20:S20, J32:S32, J35:S35</t>
  </si>
  <si>
    <t>(As Per Company Report)</t>
  </si>
  <si>
    <t>Master Check</t>
  </si>
  <si>
    <t>J14:S16</t>
  </si>
  <si>
    <t>A steady improvement in gross margin from 44.4% in 2020 to a peak of 57.3% in 2023 was a result of greater cost control and pricing initiatives. Short-term cost concerns could be indicated by a modest decline in 2024 to 56.5%. Starting in 2025, the margin steadies at 51.5%, indicating robust and steady profitability in core operations and efficient manufacturing cost control.</t>
  </si>
  <si>
    <t>The Cash Cycle remains relatively stable, starting at 2271 days in 2020 and increasing slightly to 2573 days in 2024, reflecting changes in the company's working capital management. After 2024, the cycle stabilizes around 2437 days for the remaining forecast period, indicating consistent operational efficiency in managing inventory and receivables. This stability suggests the company is maintaining a steady cash conversion cycle over time</t>
  </si>
  <si>
    <r>
      <t>As previously mentioned,</t>
    </r>
    <r>
      <rPr>
        <b/>
        <sz val="11"/>
        <rFont val="Book Antiqua"/>
        <family val="1"/>
      </rPr>
      <t xml:space="preserve"> Balance Sheet Items </t>
    </r>
    <r>
      <rPr>
        <sz val="11"/>
        <rFont val="Book Antiqua"/>
        <family val="1"/>
      </rPr>
      <t>are projected as a percentage of revenue using the most recent year's percentage as a base; otherwise, borrowings are adjusted (assumed to be taken/repaid) based on the availability of cash and cash equivalents, and investments in joint ventures and associates are projected using the average rate as a percentage of revenue.</t>
    </r>
  </si>
  <si>
    <t>Dividend has been derived for forecasted years by taking the average net profits in all Projected Years.</t>
  </si>
  <si>
    <t>Comparable companies are selected based on similar industry, size, geography, and business model, ensuring relevant financial metrics.</t>
  </si>
  <si>
    <t>Common size analysis assumes that expressing all line items as a percentage of a base figure (like revenue or total assets) enables easy comparison across companies and time periods. It also assumes consistency in accounting methods for meaningful insights.</t>
  </si>
  <si>
    <t>C9:J25</t>
  </si>
  <si>
    <t>E9:K54</t>
  </si>
  <si>
    <t>DCF Valuation</t>
  </si>
  <si>
    <t>Add. Liabilities related to assets held for sale</t>
  </si>
  <si>
    <t xml:space="preserve">Master Check- </t>
  </si>
  <si>
    <t>Revenue.</t>
  </si>
  <si>
    <t>Add. Assets classified as held for sale</t>
  </si>
  <si>
    <r>
      <rPr>
        <b/>
        <sz val="11"/>
        <color theme="1"/>
        <rFont val="Book Antiqua"/>
        <family val="1"/>
      </rPr>
      <t>Add:</t>
    </r>
    <r>
      <rPr>
        <sz val="11"/>
        <color theme="1"/>
        <rFont val="Book Antiqua"/>
        <family val="1"/>
      </rPr>
      <t xml:space="preserve"> Cash and cash equivalents relating to acquisition and disposal of subsidiaries</t>
    </r>
  </si>
  <si>
    <r>
      <rPr>
        <b/>
        <sz val="11"/>
        <color theme="1"/>
        <rFont val="Book Antiqua"/>
        <family val="1"/>
      </rPr>
      <t>Less:</t>
    </r>
    <r>
      <rPr>
        <sz val="11"/>
        <color theme="1"/>
        <rFont val="Book Antiqua"/>
        <family val="1"/>
      </rPr>
      <t xml:space="preserve"> Cash and cash equivalents classified to held for sale (refer note 55)</t>
    </r>
  </si>
  <si>
    <t>D9:F536</t>
  </si>
  <si>
    <t>C11:K220</t>
  </si>
  <si>
    <t>Scenarios is projected as taking average year as base case and adjusted by 5% for best and bear cases</t>
  </si>
  <si>
    <t>Capex of the year 2025 has been forecasted by increasing 0.5% every year to the latest audited year i.e 2024, and depreciation rate is projected year's rate and increased by 0.5% every 3 years</t>
  </si>
  <si>
    <t>Definition: The ratio of earnings before interest, taxes, depreciation, and amortization to revenue. It reflects the company’s core operational profitability. Trend: 18.7% in 2020 → rises to 33.0% in 2024 → remains constant at 27.7% from 2025 to 2034. Interpretation: The company improved its operational efficiency during the audited years, leading to higher EBITDA margins. From 2025 onwards, the margin remains stable at 27.7%, indicating consistent performance in core operations and controlled operating expenses.</t>
  </si>
  <si>
    <t>Moderately effective inventory management is indicated by the inventory turnover ratio. Over time, it veers somewhat between 0.12 and 0.14 before leveling off in the later years at 0.14. This indicates that the company restocks and sells its inventory roughly 0.14 times annually. A comparatively steady ratio indicates steady sales and inventory management.</t>
  </si>
  <si>
    <t>Due to negative earnings, the dividend payment ratio began at -137% in 2020 and increased progressively to 37% in 2023 before going down slightly to 36% in 2024. This volatility is evident throughout the periods. Starting in 2025, it stays at 31% consistently. This shows how the business has gradually moved toward a more steady dividend policy, demonstrating increasing faith in profits and a steady payout to shareholders.</t>
  </si>
  <si>
    <t>A current ratio of 1.5–2 is considered healthy.  In this instance, the business starts off at a fair level of 1.87 in 2020 and builds a strong current asset base relative to its current liabilities.  fairly high ratios might be a sign of excess idle assets, but in 2034, the company's liquidity cushion was a fairly comfortable 3.51.  It could be a sign of effective working capital management.</t>
  </si>
  <si>
    <t>The quick ratio gradually becomes better with time, going from 0.45 to 1.28. A fast ratio below 1 indicates potential liquidity issues, as was seen in the early years, meaning that the company would have struggled to satisfy short-term obligations without liquidating inventories. However, the gradual increase, which ultimately surpasses 1 and reaches 1.28 by 2034</t>
  </si>
  <si>
    <t>Definition: The proportion of revenue to earnings before taxes. Trend: 10.7% in 2020 → rises to 33.5% in 2024 → keeps rising to 30.7% in 2034. Interpretation: Shows increasing pre-tax profitability due to improved cost control, increased revenue, or improved operational efficiency. Strong financial management and enhanced firm success over time are seen in the steady upward trend.</t>
  </si>
  <si>
    <t>(As Per Company Data)</t>
  </si>
  <si>
    <t>"The Football Field Chart shows DLF’s valuation range based on DCF, trading comps, 52-week high/low, and analyst consensus. It provides a visual summary of intrinsic and market-based valuation approaches under multiple scenarios."</t>
  </si>
  <si>
    <t>I12:N15</t>
  </si>
  <si>
    <t>(unless otherwise mentioned - % on Revenue)</t>
  </si>
  <si>
    <t>(INR in Lakhs)</t>
  </si>
  <si>
    <t>ROE increased from 3.1% in 2021 to 7.1% in 2024, reflecting a strong improvement in the company’s ability to generate returns on shareholders’ equity during the historical period. In the forecasted years, ROE continues to grow gradually from 6.0% in 2025 to 7.0% in 2034, indicating consistent but slightly moderated performance. The overall trend highlights effective equity utilization, improved profitability, and the company's stable return-generating capacity over time</t>
  </si>
  <si>
    <t xml:space="preserve">Cash End </t>
  </si>
  <si>
    <t xml:space="preserve">Sales </t>
  </si>
  <si>
    <t>Crs</t>
  </si>
  <si>
    <t>Definition: The ratio of operating income to revenue, indicating how efficiently a company is managing its core business operations. Trend: 15.4% in 2020 → increases to 30.7% in 2024 → fluctuates slightly around 25.0% till 2034. Interpretation: The margin shows a strong improvement during the audited period, reflecting enhanced operational efficiency. In the forecasted years, it remains around 25.0%, indicating the company is expected to maintain stable operational performance and cost discipline despite minor fluctuations.</t>
  </si>
  <si>
    <t>Definition: The ratio of net profit to revenue, showing the percentage of revenue that remains as profit after all expenses. Trend: -9.7% in 2020 → rises to 42.4% in 2024 → grows from 35.5% in 2025 to 36.6 % by 2034. Interpretation: Shows strong improvement in profitability during the audited period and a gradual upward trend from 2025 to 2034, indicating consistent profit growth and financial stability.</t>
  </si>
  <si>
    <t>Starting at 1.5% in 2021, the Pre-Tax ROA shows consistent improvement in the early years, reaching 3.8% by 2024. This reflects better efficiency in asset utilization to generate profits before tax. Following that, the ratio remains stable with a gradual upward trend, rising steadily to 4.3% by 2034. This indicates that the company is continuously enhancing its ability to generate pre-tax returns from its asset base over the forecasted period.</t>
  </si>
  <si>
    <t>Strong returns to shareholders during the company's growth period are reflected in the Pre-Tax ROE, which starts at 2.4% in 2021 and increases gradually to 5.6% in 2024. This shows that equity money was used effectively to generate earnings. Nevertheless, there is a drop in the following years, with Pre-Tax ROE dropping to 4.8% by 2025, and continuing to grow steadily to 5.9% by 2034. This indicates that, although the returns initially increase, the growth slows down, which might suggest challenges in maintaining higher profitability, possibly due to rising costs or changes in market conditions.</t>
  </si>
  <si>
    <t>The tax complement shows a significant shift, increasing from -0.90 in 2020 to 1.27 in 2024, indicating a reversal from negative to positive tax complement values. Post-2024, it exhibits a gradual decline, reaching 1.19 by 2034. Although the metric slightly tapers off after its peak, the trend remains relatively stable over the forecasted years. This reflects a maturing and consistent tax management approach, possibly due to more predictable earnings or an optimized tax strategy, resulting in minimal volatility over time.</t>
  </si>
  <si>
    <r>
      <rPr>
        <sz val="10"/>
        <rFont val="Times New Roman"/>
        <family val="1"/>
      </rPr>
      <t>Equity Retention</t>
    </r>
    <r>
      <rPr>
        <sz val="11"/>
        <rFont val="Book Antiqua"/>
        <family val="1"/>
      </rPr>
      <t xml:space="preserve"> shows a major shift, starting at -57.58% in 2020, which reflects an abnormally negative retention rate — possibly due to large losses, dividend payouts exceeding net income, or capital restructuring. This unusual figure quickly corrects in the following years, improving to 32.19% in 2021, then gradually declining to 14.30% by 2024. This suggests the company initially recovered from a tough financial position and then adopted a more controlled reinvestment strategy. From 2025 to 2034, the retention rate remains relatively stable, ranging from 16.77% to 14.54%, indicating a mature and steady capital allocation approach. Overall, the trend reflects recovery from a weak starting point, followed by long-term stability in reinvestment levels.</t>
    </r>
  </si>
  <si>
    <t>Debt/Equity is falling from 0.18 in 2020 to 0.12 in 2024, indicating that the portion of debt in total capital is decreasing over time. This trend suggests the company is gradually reducing its reliance on debt financing. From 2025 to 2034, the ratio further declines from 0.12 to 0.08, showing that the company continues to decrease its debt levels, indicating a strategy to lower financial leverage and reduce risk over the long term</t>
  </si>
  <si>
    <t>Asset/Equity shows a slight decline from 1.66 in 2020 to 1.53 in 2024, indicating that the company is gradually reducing its reliance on equity to support its assets. This suggests an overall decrease in financial leverage. From 2025 to 2034, the ratio continues to decline slowly, from 1.51 to 1.37, reflecting a continued strategy to reduce asset-to-equity leverage. The trend suggests that the company is likely focusing on improving equity financing efficiency and lowering its dependency on external debt to support asset growth</t>
  </si>
  <si>
    <t>The company's ratio of accounts receivable turnover varies somewhat across the periods under examination. In 2021, the ratio was 8.32; it then improved and peaked in 2024 at 11.82. Nevertheless, it stays constant at 10.20 for the ensuing years, demonstrating the company's consistent ability to manage its receivables. Recent stability demonstrates the business's capacity to effectively and consistently collect payments from customers on schedule.</t>
  </si>
  <si>
    <t>The ratio of accounts payable turnover fluctuates a little over the years, first falling from 1.47 in 2021 to 1.02 in 2022, then rising steadily to 1.26 by 2025 and staying steady at 1.28 throughout the years that are predicted.  This indicates a stabilization of the business's supplier payment cycle, indicating steady payment patterns and the sustained upkeep of dependable vendor relationships.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</si>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</sst>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164" formatCode="0.0_ "/>
    <numFmt numFmtId="165" formatCode="0_ "/>
    <numFmt numFmtId="166" formatCode="&quot;₹&quot;#,##0_);[Red]\(&quot;₹&quot;#,##0\)"/>
    <numFmt numFmtId="167" formatCode="0.0&quot;x&quot;"/>
    <numFmt numFmtId="168" formatCode="#,##0.0"/>
    <numFmt numFmtId="169" formatCode="&quot;₹&quot;#,##0.0_);[Red]\(&quot;₹&quot;#,##0.0\)"/>
    <numFmt numFmtId="170" formatCode="#,##0.0000000"/>
    <numFmt numFmtId="171" formatCode="0.00_);[Red]\(0.00\)"/>
    <numFmt numFmtId="172" formatCode="0.0%"/>
    <numFmt numFmtId="173" formatCode="0.00_ "/>
    <numFmt numFmtId="174" formatCode="&quot;₹&quot;#,##0.00_);[Red]\(&quot;₹&quot;#,##0.00\)"/>
    <numFmt numFmtId="175" formatCode="dd/mm/yy;@"/>
    <numFmt numFmtId="176" formatCode="##,#00.0;\(##,#00.0\);\-"/>
    <numFmt numFmtId="177" formatCode="0&quot;A&quot;"/>
    <numFmt numFmtId="178" formatCode="0_);[Red]\(0\)"/>
    <numFmt numFmtId="179" formatCode="0&quot;E&quot;"/>
    <numFmt numFmtId="180" formatCode="0_);\(0\)"/>
    <numFmt numFmtId="181" formatCode="0&quot;F&quot;"/>
    <numFmt numFmtId="182" formatCode="d/m/yyyy"/>
    <numFmt numFmtId="183" formatCode="#,##0_);[Black]\(#,##0\)"/>
    <numFmt numFmtId="184" formatCode="0.0"/>
    <numFmt numFmtId="185" formatCode="0.0_);[Red]\(0.0\)"/>
    <numFmt numFmtId="186" formatCode="\-\-"/>
    <numFmt numFmtId="187" formatCode="\-"/>
  </numFmts>
  <fonts count="118">
    <font>
      <sz val="10"/>
      <name val="Times New Roman"/>
      <charset val="134"/>
    </font>
    <font>
      <b/>
      <sz val="14"/>
      <color theme="0"/>
      <name val="Book Antiqua"/>
      <charset val="134"/>
    </font>
    <font>
      <b/>
      <sz val="12"/>
      <color theme="1"/>
      <name val="Book Antiqua"/>
      <charset val="134"/>
    </font>
    <font>
      <sz val="11"/>
      <color theme="1"/>
      <name val="Book Antiqua"/>
      <charset val="134"/>
    </font>
    <font>
      <b/>
      <sz val="11"/>
      <color theme="1"/>
      <name val="Book Antiqua"/>
      <charset val="134"/>
    </font>
    <font>
      <sz val="12"/>
      <color rgb="FF000000"/>
      <name val="Book Antiqua"/>
      <charset val="134"/>
    </font>
    <font>
      <sz val="11"/>
      <color rgb="FF000000"/>
      <name val="Book Antiqua"/>
      <charset val="134"/>
    </font>
    <font>
      <b/>
      <sz val="20"/>
      <color theme="0"/>
      <name val="Book Antiqua"/>
      <charset val="134"/>
    </font>
    <font>
      <b/>
      <sz val="11"/>
      <color rgb="FFFFFFFF"/>
      <name val="Book Antiqua"/>
      <charset val="134"/>
    </font>
    <font>
      <b/>
      <sz val="12"/>
      <color rgb="FF000000"/>
      <name val="Book Antiqua"/>
      <charset val="134"/>
    </font>
    <font>
      <b/>
      <sz val="12"/>
      <color theme="0"/>
      <name val="Book Antiqua"/>
      <charset val="134"/>
    </font>
    <font>
      <sz val="10"/>
      <color rgb="FF000000"/>
      <name val="Times New Roman"/>
      <charset val="134"/>
    </font>
    <font>
      <sz val="11"/>
      <name val="Book Antiqua"/>
      <charset val="134"/>
    </font>
    <font>
      <b/>
      <sz val="20"/>
      <color rgb="FFFFFFFF"/>
      <name val="Book Antiqua"/>
      <charset val="134"/>
    </font>
    <font>
      <b/>
      <sz val="12"/>
      <color rgb="FFFFFFFF"/>
      <name val="Book Antiqua"/>
      <charset val="134"/>
    </font>
    <font>
      <b/>
      <u/>
      <sz val="12"/>
      <color rgb="FFFFFFFF"/>
      <name val="Book Antiqua"/>
      <charset val="134"/>
    </font>
    <font>
      <b/>
      <i/>
      <sz val="12"/>
      <color rgb="FFFFFFFF"/>
      <name val="Book Antiqua"/>
      <charset val="134"/>
    </font>
    <font>
      <sz val="12"/>
      <color rgb="FF007EE8"/>
      <name val="Book Antiqua"/>
      <charset val="134"/>
    </font>
    <font>
      <b/>
      <sz val="13"/>
      <color rgb="FFFFFFFF"/>
      <name val="Book Antiqua"/>
      <charset val="134"/>
    </font>
    <font>
      <sz val="12"/>
      <color rgb="FFFFFFFF"/>
      <name val="Book Antiqua"/>
      <charset val="134"/>
    </font>
    <font>
      <b/>
      <sz val="12"/>
      <color rgb="FF007EE8"/>
      <name val="Book Antiqua"/>
      <charset val="134"/>
    </font>
    <font>
      <i/>
      <sz val="12"/>
      <color rgb="FFFFFFFF"/>
      <name val="Calibri"/>
      <charset val="134"/>
    </font>
    <font>
      <i/>
      <sz val="12"/>
      <color rgb="FFFFFFFF"/>
      <name val="Book Antiqua"/>
      <charset val="134"/>
    </font>
    <font>
      <b/>
      <sz val="11"/>
      <color rgb="FF000000"/>
      <name val="Book Antiqua"/>
      <charset val="134"/>
    </font>
    <font>
      <sz val="11"/>
      <color rgb="FF007EE8"/>
      <name val="Book Antiqua"/>
      <charset val="134"/>
    </font>
    <font>
      <i/>
      <sz val="11"/>
      <color rgb="FF232526"/>
      <name val="Book Antiqua"/>
      <charset val="134"/>
    </font>
    <font>
      <sz val="11"/>
      <color rgb="FFFFFFFF"/>
      <name val="Book Antiqua"/>
      <charset val="134"/>
    </font>
    <font>
      <i/>
      <sz val="11"/>
      <color rgb="FF000000"/>
      <name val="Book Antiqua"/>
      <charset val="134"/>
    </font>
    <font>
      <b/>
      <sz val="16"/>
      <color rgb="FFFFFFFF"/>
      <name val="Book Antiqua"/>
      <charset val="134"/>
    </font>
    <font>
      <b/>
      <sz val="11"/>
      <name val="Book Antiqua"/>
      <charset val="134"/>
    </font>
    <font>
      <sz val="20"/>
      <color theme="0"/>
      <name val="Times New Roman"/>
      <charset val="134"/>
    </font>
    <font>
      <b/>
      <sz val="11"/>
      <color theme="0"/>
      <name val="Book Antiqua"/>
      <charset val="134"/>
    </font>
    <font>
      <i/>
      <sz val="11"/>
      <name val="Book Antiqua"/>
      <charset val="134"/>
    </font>
    <font>
      <sz val="11"/>
      <color rgb="FF00B0F0"/>
      <name val="Book Antiqua"/>
      <charset val="134"/>
    </font>
    <font>
      <sz val="11"/>
      <color theme="0"/>
      <name val="Book Antiqua"/>
      <charset val="134"/>
    </font>
    <font>
      <b/>
      <sz val="10"/>
      <name val="Book Antiqua"/>
      <charset val="134"/>
    </font>
    <font>
      <sz val="10"/>
      <name val="Book Antiqua"/>
      <charset val="134"/>
    </font>
    <font>
      <b/>
      <sz val="13"/>
      <color theme="0"/>
      <name val="Book Antiqua"/>
      <charset val="134"/>
    </font>
    <font>
      <b/>
      <sz val="13"/>
      <color indexed="9"/>
      <name val="Book Antiqua"/>
      <charset val="134"/>
    </font>
    <font>
      <sz val="11"/>
      <color rgb="FF00B050"/>
      <name val="Book Antiqua"/>
      <charset val="134"/>
    </font>
    <font>
      <sz val="11"/>
      <color indexed="8"/>
      <name val="Book Antiqua"/>
      <charset val="134"/>
    </font>
    <font>
      <b/>
      <sz val="11"/>
      <color indexed="8"/>
      <name val="Book Antiqua"/>
      <charset val="134"/>
    </font>
    <font>
      <sz val="12"/>
      <color theme="1"/>
      <name val="Book Antiqua"/>
      <charset val="134"/>
    </font>
    <font>
      <b/>
      <sz val="12"/>
      <name val="Book Antiqua"/>
      <charset val="134"/>
    </font>
    <font>
      <sz val="11"/>
      <color theme="1"/>
      <name val="Mangal"/>
      <charset val="134"/>
      <scheme val="minor"/>
    </font>
    <font>
      <sz val="11"/>
      <color theme="4" tint="-0.249977111117893"/>
      <name val="Book Antiqua"/>
      <charset val="134"/>
    </font>
    <font>
      <b/>
      <sz val="18"/>
      <color theme="0"/>
      <name val="Book Antiqua"/>
      <charset val="134"/>
    </font>
    <font>
      <b/>
      <sz val="24"/>
      <color theme="0"/>
      <name val="Book Antiqua"/>
      <charset val="134"/>
    </font>
    <font>
      <i/>
      <sz val="12"/>
      <color theme="1"/>
      <name val="Book Antiqua"/>
      <charset val="134"/>
    </font>
    <font>
      <b/>
      <sz val="20"/>
      <name val="Book Antiqua"/>
      <charset val="134"/>
    </font>
    <font>
      <b/>
      <sz val="20"/>
      <color theme="1"/>
      <name val="Book Antiqua"/>
      <charset val="134"/>
    </font>
    <font>
      <i/>
      <sz val="11"/>
      <color theme="1"/>
      <name val="Book Antiqua"/>
      <charset val="134"/>
    </font>
    <font>
      <i/>
      <sz val="11"/>
      <color rgb="FF00B050"/>
      <name val="Book Antiqua"/>
      <charset val="134"/>
    </font>
    <font>
      <b/>
      <sz val="16"/>
      <color theme="1"/>
      <name val="Mangal"/>
      <charset val="134"/>
      <scheme val="minor"/>
    </font>
    <font>
      <b/>
      <sz val="11"/>
      <color theme="1"/>
      <name val="Mangal"/>
      <charset val="134"/>
      <scheme val="minor"/>
    </font>
    <font>
      <sz val="16"/>
      <color theme="1"/>
      <name val="Mangal"/>
      <charset val="134"/>
      <scheme val="minor"/>
    </font>
    <font>
      <u/>
      <sz val="10"/>
      <color theme="10"/>
      <name val="Times New Roman"/>
      <charset val="134"/>
    </font>
    <font>
      <b/>
      <sz val="26"/>
      <color theme="0"/>
      <name val="Times New Roman"/>
      <charset val="134"/>
    </font>
    <font>
      <sz val="12"/>
      <name val="Times New Roman"/>
      <charset val="134"/>
    </font>
    <font>
      <b/>
      <i/>
      <sz val="12"/>
      <color rgb="FFFFFFFF"/>
      <name val="Calibri"/>
      <charset val="134"/>
    </font>
    <font>
      <sz val="10"/>
      <name val="Times New Roman"/>
      <charset val="134"/>
    </font>
    <font>
      <b/>
      <sz val="14"/>
      <color theme="0"/>
      <name val="Book Antiqua"/>
      <family val="1"/>
    </font>
    <font>
      <sz val="11"/>
      <color theme="1"/>
      <name val="Book Antiqua"/>
      <family val="1"/>
    </font>
    <font>
      <b/>
      <sz val="11"/>
      <color theme="1"/>
      <name val="Book Antiqua"/>
      <family val="1"/>
    </font>
    <font>
      <sz val="10"/>
      <name val="Book Antiqua"/>
      <family val="1"/>
    </font>
    <font>
      <b/>
      <sz val="10"/>
      <name val="Book Antiqua"/>
      <family val="1"/>
    </font>
    <font>
      <sz val="16"/>
      <color theme="1"/>
      <name val="Book Antiqua"/>
      <family val="1"/>
    </font>
    <font>
      <sz val="11"/>
      <name val="Book Antiqua"/>
      <family val="1"/>
    </font>
    <font>
      <b/>
      <sz val="11"/>
      <color theme="0"/>
      <name val="Book Antiqua"/>
      <family val="1"/>
    </font>
    <font>
      <u/>
      <sz val="10"/>
      <color theme="10"/>
      <name val="Book Antiqua"/>
      <family val="1"/>
    </font>
    <font>
      <b/>
      <sz val="11"/>
      <name val="Book Antiqua"/>
      <family val="1"/>
    </font>
    <font>
      <b/>
      <sz val="13"/>
      <color theme="0"/>
      <name val="Book Antiqua"/>
      <family val="1"/>
    </font>
    <font>
      <sz val="13"/>
      <color theme="0"/>
      <name val="Book Antiqua"/>
      <family val="1"/>
    </font>
    <font>
      <sz val="11"/>
      <color theme="0"/>
      <name val="Book Antiqua"/>
      <family val="1"/>
    </font>
    <font>
      <sz val="9"/>
      <name val="Book Antiqua"/>
      <family val="1"/>
    </font>
    <font>
      <i/>
      <sz val="11"/>
      <name val="Book Antiqua"/>
      <family val="1"/>
    </font>
    <font>
      <i/>
      <sz val="9"/>
      <color theme="0" tint="-0.14999847407452621"/>
      <name val="Calibri"/>
      <family val="2"/>
    </font>
    <font>
      <b/>
      <sz val="26"/>
      <color theme="0"/>
      <name val="Times New Roman"/>
      <family val="1"/>
    </font>
    <font>
      <sz val="11"/>
      <color rgb="FF00B050"/>
      <name val="Book Antiqua"/>
      <family val="1"/>
    </font>
    <font>
      <b/>
      <sz val="11"/>
      <color theme="5" tint="-0.249977111117893"/>
      <name val="Book Antiqua"/>
      <family val="1"/>
    </font>
    <font>
      <b/>
      <sz val="14"/>
      <color rgb="FFFFFFFF"/>
      <name val="Book Antiqua"/>
      <family val="1"/>
    </font>
    <font>
      <sz val="13"/>
      <name val="Times New Roman"/>
      <family val="1"/>
    </font>
    <font>
      <sz val="10"/>
      <name val="Times New Roman"/>
      <family val="1"/>
    </font>
    <font>
      <b/>
      <sz val="20"/>
      <color theme="0"/>
      <name val="Book Antiqua"/>
      <family val="1"/>
    </font>
    <font>
      <sz val="12"/>
      <name val="Times New Roman"/>
      <family val="1"/>
    </font>
    <font>
      <i/>
      <sz val="11"/>
      <color theme="1"/>
      <name val="Book Antiqua"/>
      <family val="1"/>
    </font>
    <font>
      <sz val="10"/>
      <name val="Cambria"/>
      <family val="1"/>
    </font>
    <font>
      <sz val="12"/>
      <name val="Book Antiqua"/>
      <family val="1"/>
    </font>
    <font>
      <i/>
      <sz val="12"/>
      <color rgb="FF000000"/>
      <name val="Book Antiqua"/>
      <family val="1"/>
    </font>
    <font>
      <i/>
      <u/>
      <sz val="12"/>
      <name val="Book Antiqua"/>
      <family val="1"/>
    </font>
    <font>
      <b/>
      <i/>
      <u/>
      <sz val="12"/>
      <color theme="1"/>
      <name val="Book Antiqua"/>
      <family val="1"/>
    </font>
    <font>
      <b/>
      <i/>
      <sz val="11"/>
      <color theme="1"/>
      <name val="Book Antiqua"/>
      <family val="1"/>
    </font>
    <font>
      <sz val="11"/>
      <name val="Book Antiqua"/>
      <family val="1"/>
      <charset val="1"/>
    </font>
    <font>
      <sz val="11"/>
      <color indexed="8"/>
      <name val="Book Antiqua"/>
      <family val="1"/>
    </font>
    <font>
      <sz val="11"/>
      <color indexed="9"/>
      <name val="Book Antiqua"/>
      <family val="1"/>
    </font>
    <font>
      <b/>
      <sz val="11"/>
      <color indexed="9"/>
      <name val="Book Antiqua"/>
      <family val="1"/>
    </font>
    <font>
      <b/>
      <sz val="11"/>
      <color theme="1"/>
      <name val="Book Antiqua"/>
      <family val="1"/>
      <charset val="1"/>
    </font>
    <font>
      <b/>
      <sz val="11"/>
      <color theme="1"/>
      <name val="Mangal"/>
      <family val="1"/>
      <charset val="1"/>
      <scheme val="minor"/>
    </font>
    <font>
      <b/>
      <sz val="16"/>
      <color theme="0"/>
      <name val="Mangal"/>
      <family val="1"/>
      <scheme val="minor"/>
    </font>
    <font>
      <b/>
      <sz val="16"/>
      <color theme="0"/>
      <name val="Book Antiqua"/>
      <family val="1"/>
    </font>
    <font>
      <b/>
      <sz val="16"/>
      <color theme="0"/>
      <name val="Book Antiqua"/>
      <family val="1"/>
      <charset val="1"/>
    </font>
    <font>
      <b/>
      <sz val="16"/>
      <color theme="0"/>
      <name val="Mangal"/>
      <family val="1"/>
      <charset val="1"/>
      <scheme val="minor"/>
    </font>
    <font>
      <sz val="16"/>
      <color theme="0"/>
      <name val="Mangal"/>
      <family val="1"/>
      <scheme val="minor"/>
    </font>
    <font>
      <b/>
      <sz val="11"/>
      <color theme="0"/>
      <name val="Mangal"/>
      <family val="1"/>
      <scheme val="minor"/>
    </font>
    <font>
      <i/>
      <u/>
      <sz val="11"/>
      <color theme="1"/>
      <name val="Book Antiqua"/>
      <family val="1"/>
    </font>
    <font>
      <sz val="11"/>
      <color rgb="FF00B0F0"/>
      <name val="Book Antiqua"/>
      <family val="1"/>
    </font>
    <font>
      <b/>
      <sz val="11"/>
      <color theme="1"/>
      <name val="Mangal"/>
      <family val="1"/>
      <scheme val="minor"/>
    </font>
    <font>
      <i/>
      <sz val="13"/>
      <name val="Book Antiqua"/>
      <family val="1"/>
    </font>
    <font>
      <sz val="14"/>
      <color theme="0"/>
      <name val="Times New Roman"/>
      <family val="1"/>
    </font>
    <font>
      <b/>
      <sz val="13"/>
      <color rgb="FFFFFFFF"/>
      <name val="Book Antiqua"/>
      <family val="1"/>
    </font>
    <font>
      <sz val="11"/>
      <color rgb="FF000000"/>
      <name val="Book Antiqua"/>
      <family val="1"/>
    </font>
    <font>
      <sz val="11"/>
      <color rgb="FFFFFFFF"/>
      <name val="Book Antiqua"/>
      <family val="1"/>
    </font>
    <font>
      <b/>
      <sz val="20"/>
      <color rgb="FFFFFFFF"/>
      <name val="Book Antiqua"/>
      <family val="1"/>
    </font>
    <font>
      <sz val="10"/>
      <color rgb="FF000000"/>
      <name val="Book Antiqua"/>
      <family val="1"/>
    </font>
    <font>
      <b/>
      <sz val="11"/>
      <color rgb="FF000000"/>
      <name val="Book Antiqua"/>
      <family val="1"/>
    </font>
    <font>
      <b/>
      <sz val="14"/>
      <color theme="0"/>
      <name val="Times New Roman"/>
      <family val="1"/>
    </font>
    <font>
      <i/>
      <sz val="9"/>
      <name val="Book Antiqua"/>
      <family val="1"/>
    </font>
    <font>
      <sz val="9"/>
      <color theme="1"/>
      <name val="Book Antiqua"/>
      <family val="1"/>
    </font>
  </fonts>
  <fills count="19">
    <fill>
      <patternFill patternType="none"/>
    </fill>
    <fill>
      <patternFill patternType="gray125"/>
    </fill>
    <fill>
      <patternFill patternType="solid">
        <fgColor theme="4" tint="-0.249977111117893"/>
        <bgColor indexed="64"/>
      </patternFill>
    </fill>
    <fill>
      <patternFill patternType="solid">
        <fgColor rgb="FF376092"/>
        <bgColor indexed="64"/>
      </patternFill>
    </fill>
    <fill>
      <patternFill patternType="solid">
        <fgColor rgb="FFBFBFBF"/>
        <bgColor indexed="64"/>
      </patternFill>
    </fill>
    <fill>
      <patternFill patternType="solid">
        <fgColor rgb="FFFFFFFF"/>
        <bgColor indexed="64"/>
      </patternFill>
    </fill>
    <fill>
      <patternFill patternType="solid">
        <fgColor theme="0"/>
        <bgColor indexed="64"/>
      </patternFill>
    </fill>
    <fill>
      <patternFill patternType="solid">
        <fgColor rgb="FF366092"/>
        <bgColor indexed="64"/>
      </patternFill>
    </fill>
    <fill>
      <patternFill patternType="solid">
        <fgColor theme="4" tint="-0.249977111117893"/>
        <bgColor indexed="64"/>
      </patternFill>
    </fill>
    <fill>
      <patternFill patternType="solid">
        <fgColor theme="0" tint="-0.14993743705557422"/>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F8F4"/>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9" tint="0.79998168889431442"/>
        <bgColor indexed="64"/>
      </patternFill>
    </fill>
    <fill>
      <patternFill patternType="lightGray">
        <fgColor rgb="FF000000"/>
        <bgColor rgb="FFFFFFFF"/>
      </patternFill>
    </fill>
    <fill>
      <patternFill patternType="solid">
        <fgColor rgb="FFF2F2F2"/>
        <bgColor indexed="64"/>
      </patternFill>
    </fill>
  </fills>
  <borders count="93">
    <border>
      <left/>
      <right/>
      <top/>
      <bottom/>
      <diagonal/>
    </border>
    <border>
      <left style="medium">
        <color auto="1"/>
      </left>
      <right style="medium">
        <color auto="1"/>
      </right>
      <top style="medium">
        <color auto="1"/>
      </top>
      <bottom style="medium">
        <color auto="1"/>
      </bottom>
      <diagonal/>
    </border>
    <border>
      <left/>
      <right/>
      <top/>
      <bottom style="thin">
        <color rgb="FFFFFFFF"/>
      </bottom>
      <diagonal/>
    </border>
    <border>
      <left/>
      <right/>
      <top/>
      <bottom style="double">
        <color rgb="FF376092"/>
      </bottom>
      <diagonal/>
    </border>
    <border>
      <left/>
      <right/>
      <top style="thin">
        <color rgb="FFFFFFFF"/>
      </top>
      <bottom/>
      <diagonal/>
    </border>
    <border>
      <left/>
      <right/>
      <top/>
      <bottom style="thin">
        <color rgb="FF376092"/>
      </bottom>
      <diagonal/>
    </border>
    <border>
      <left/>
      <right/>
      <top style="thin">
        <color auto="1"/>
      </top>
      <bottom style="thin">
        <color auto="1"/>
      </bottom>
      <diagonal/>
    </border>
    <border>
      <left/>
      <right/>
      <top style="double">
        <color rgb="FF376092"/>
      </top>
      <bottom style="double">
        <color rgb="FF376092"/>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top style="hair">
        <color rgb="FF376092"/>
      </top>
      <bottom/>
      <diagonal/>
    </border>
    <border>
      <left/>
      <right/>
      <top style="hair">
        <color rgb="FF376092"/>
      </top>
      <bottom style="hair">
        <color rgb="FF376092"/>
      </bottom>
      <diagonal/>
    </border>
    <border>
      <left style="hair">
        <color rgb="FF376092"/>
      </left>
      <right/>
      <top style="hair">
        <color rgb="FF376092"/>
      </top>
      <bottom style="hair">
        <color rgb="FF376092"/>
      </bottom>
      <diagonal/>
    </border>
    <border>
      <left/>
      <right style="hair">
        <color rgb="FF376092"/>
      </right>
      <top style="hair">
        <color rgb="FF376092"/>
      </top>
      <bottom style="hair">
        <color rgb="FF376092"/>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theme="4" tint="-0.24994659260841701"/>
      </top>
      <bottom style="double">
        <color theme="4" tint="-0.24994659260841701"/>
      </bottom>
      <diagonal/>
    </border>
    <border>
      <left/>
      <right/>
      <top style="double">
        <color theme="4" tint="-0.24994659260841701"/>
      </top>
      <bottom style="double">
        <color theme="4" tint="-0.24994659260841701"/>
      </bottom>
      <diagonal/>
    </border>
    <border>
      <left/>
      <right/>
      <top style="double">
        <color theme="4" tint="-0.249977111117893"/>
      </top>
      <bottom style="double">
        <color theme="4" tint="-0.249977111117893"/>
      </bottom>
      <diagonal/>
    </border>
    <border>
      <left style="double">
        <color rgb="FF366092"/>
      </left>
      <right/>
      <top/>
      <bottom/>
      <diagonal/>
    </border>
    <border>
      <left style="double">
        <color theme="4" tint="-0.249977111117893"/>
      </left>
      <right/>
      <top/>
      <bottom/>
      <diagonal/>
    </border>
    <border>
      <left style="thin">
        <color theme="4" tint="-0.249977111117893"/>
      </left>
      <right style="thin">
        <color theme="4" tint="-0.249977111117893"/>
      </right>
      <top/>
      <bottom/>
      <diagonal/>
    </border>
    <border>
      <left style="thin">
        <color theme="4" tint="-0.249977111117893"/>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right/>
      <top style="thin">
        <color theme="4" tint="-0.249977111117893"/>
      </top>
      <bottom/>
      <diagonal/>
    </border>
    <border>
      <left/>
      <right/>
      <top style="thin">
        <color theme="4" tint="-0.249977111117893"/>
      </top>
      <bottom style="double">
        <color theme="4" tint="-0.249977111117893"/>
      </bottom>
      <diagonal/>
    </border>
    <border>
      <left/>
      <right/>
      <top style="thin">
        <color theme="4" tint="-0.24994659260841701"/>
      </top>
      <bottom style="thin">
        <color theme="4" tint="-0.24994659260841701"/>
      </bottom>
      <diagonal/>
    </border>
    <border>
      <left/>
      <right/>
      <top style="thin">
        <color theme="4" tint="-0.24994659260841701"/>
      </top>
      <bottom/>
      <diagonal/>
    </border>
    <border>
      <left style="double">
        <color theme="4" tint="-0.249977111117893"/>
      </left>
      <right/>
      <top/>
      <bottom/>
      <diagonal/>
    </border>
    <border>
      <left style="double">
        <color theme="4" tint="-0.249977111117893"/>
      </left>
      <right/>
      <top style="thin">
        <color theme="4" tint="-0.249977111117893"/>
      </top>
      <bottom/>
      <diagonal/>
    </border>
    <border>
      <left style="double">
        <color theme="4" tint="-0.249977111117893"/>
      </left>
      <right/>
      <top style="thin">
        <color auto="1"/>
      </top>
      <bottom/>
      <diagonal/>
    </border>
    <border>
      <left style="double">
        <color theme="4" tint="-0.249977111117893"/>
      </left>
      <right/>
      <top style="thin">
        <color theme="4" tint="-0.249977111117893"/>
      </top>
      <bottom style="double">
        <color theme="4" tint="-0.249977111117893"/>
      </bottom>
      <diagonal/>
    </border>
    <border>
      <left style="double">
        <color theme="4" tint="-0.24994659260841701"/>
      </left>
      <right/>
      <top style="thin">
        <color theme="4" tint="-0.24994659260841701"/>
      </top>
      <bottom style="thin">
        <color theme="4" tint="-0.24994659260841701"/>
      </bottom>
      <diagonal/>
    </border>
    <border>
      <left style="double">
        <color theme="4" tint="-0.24994659260841701"/>
      </left>
      <right/>
      <top/>
      <bottom/>
      <diagonal/>
    </border>
    <border>
      <left style="double">
        <color theme="4" tint="-0.249977111117893"/>
      </left>
      <right/>
      <top style="thin">
        <color theme="4" tint="-0.24994659260841701"/>
      </top>
      <bottom style="thin">
        <color theme="4" tint="-0.24994659260841701"/>
      </bottom>
      <diagonal/>
    </border>
    <border>
      <left style="double">
        <color theme="4" tint="-0.24994659260841701"/>
      </left>
      <right/>
      <top style="thin">
        <color theme="4" tint="-0.24994659260841701"/>
      </top>
      <bottom/>
      <diagonal/>
    </border>
    <border>
      <left style="double">
        <color theme="4" tint="-0.24994659260841701"/>
      </left>
      <right/>
      <top style="thin">
        <color theme="4" tint="-0.249977111117893"/>
      </top>
      <bottom style="double">
        <color theme="4" tint="-0.249977111117893"/>
      </bottom>
      <diagonal/>
    </border>
    <border>
      <left/>
      <right/>
      <top style="thin">
        <color theme="4" tint="-0.249977111117893"/>
      </top>
      <bottom style="thin">
        <color theme="4" tint="-0.249977111117893"/>
      </bottom>
      <diagonal/>
    </border>
    <border>
      <left/>
      <right/>
      <top/>
      <bottom style="thin">
        <color theme="4" tint="-0.249977111117893"/>
      </bottom>
      <diagonal/>
    </border>
    <border>
      <left style="double">
        <color theme="4" tint="-0.249977111117893"/>
      </left>
      <right/>
      <top style="thin">
        <color auto="1"/>
      </top>
      <bottom style="thin">
        <color auto="1"/>
      </bottom>
      <diagonal/>
    </border>
    <border>
      <left style="double">
        <color theme="4" tint="-0.249977111117893"/>
      </left>
      <right/>
      <top style="thin">
        <color theme="4" tint="-0.249977111117893"/>
      </top>
      <bottom style="thin">
        <color theme="4" tint="-0.249977111117893"/>
      </bottom>
      <diagonal/>
    </border>
    <border>
      <left/>
      <right/>
      <top style="double">
        <color theme="4" tint="-0.249977111117893"/>
      </top>
      <bottom/>
      <diagonal/>
    </border>
    <border>
      <left/>
      <right/>
      <top style="medium">
        <color theme="4" tint="-0.249977111117893"/>
      </top>
      <bottom/>
      <diagonal/>
    </border>
    <border>
      <left/>
      <right/>
      <top style="medium">
        <color theme="4" tint="-0.24994659260841701"/>
      </top>
      <bottom/>
      <diagonal/>
    </border>
    <border>
      <left/>
      <right/>
      <top/>
      <bottom style="medium">
        <color theme="4" tint="-0.249977111117893"/>
      </bottom>
      <diagonal/>
    </border>
    <border>
      <left style="dotted">
        <color auto="1"/>
      </left>
      <right style="dotted">
        <color auto="1"/>
      </right>
      <top style="dotted">
        <color auto="1"/>
      </top>
      <bottom style="dotted">
        <color auto="1"/>
      </bottom>
      <diagonal/>
    </border>
    <border>
      <left style="hair">
        <color auto="1"/>
      </left>
      <right style="hair">
        <color auto="1"/>
      </right>
      <top style="hair">
        <color auto="1"/>
      </top>
      <bottom style="hair">
        <color auto="1"/>
      </bottom>
      <diagonal/>
    </border>
    <border>
      <left/>
      <right/>
      <top style="thin">
        <color theme="4" tint="-0.249977111117893"/>
      </top>
      <bottom style="thin">
        <color theme="4" tint="-0.249977111117893"/>
      </bottom>
      <diagonal/>
    </border>
    <border>
      <left style="thin">
        <color theme="4" tint="-0.249977111117893"/>
      </left>
      <right/>
      <top style="thin">
        <color theme="4" tint="-0.249977111117893"/>
      </top>
      <bottom style="thin">
        <color theme="4" tint="-0.249977111117893"/>
      </bottom>
      <diagonal/>
    </border>
    <border>
      <left/>
      <right style="thin">
        <color theme="4" tint="-0.249977111117893"/>
      </right>
      <top style="thin">
        <color theme="4" tint="-0.249977111117893"/>
      </top>
      <bottom style="thin">
        <color theme="4" tint="-0.249977111117893"/>
      </bottom>
      <diagonal/>
    </border>
    <border>
      <left style="thin">
        <color theme="4" tint="-0.249977111117893"/>
      </left>
      <right/>
      <top/>
      <bottom style="thin">
        <color theme="4" tint="-0.249977111117893"/>
      </bottom>
      <diagonal/>
    </border>
    <border>
      <left/>
      <right/>
      <top/>
      <bottom style="thin">
        <color theme="4" tint="-0.249977111117893"/>
      </bottom>
      <diagonal/>
    </border>
    <border>
      <left/>
      <right/>
      <top/>
      <bottom style="hair">
        <color auto="1"/>
      </bottom>
      <diagonal/>
    </border>
    <border>
      <left/>
      <right/>
      <top style="hair">
        <color auto="1"/>
      </top>
      <bottom style="hair">
        <color auto="1"/>
      </bottom>
      <diagonal/>
    </border>
    <border>
      <left style="thin">
        <color theme="4" tint="-0.24994659260841701"/>
      </left>
      <right/>
      <top style="thin">
        <color theme="4" tint="-0.24994659260841701"/>
      </top>
      <bottom style="thin">
        <color theme="4" tint="-0.24994659260841701"/>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double">
        <color theme="4" tint="-0.24994659260841701"/>
      </left>
      <right/>
      <top style="medium">
        <color theme="4" tint="-0.249977111117893"/>
      </top>
      <bottom/>
      <diagonal/>
    </border>
    <border>
      <left/>
      <right style="thin">
        <color theme="4" tint="-0.249977111117893"/>
      </right>
      <top/>
      <bottom/>
      <diagonal/>
    </border>
    <border>
      <left style="thin">
        <color theme="4" tint="-0.24994659260841701"/>
      </left>
      <right style="thin">
        <color theme="4" tint="-0.24994659260841701"/>
      </right>
      <top style="thin">
        <color theme="4" tint="-0.24994659260841701"/>
      </top>
      <bottom/>
      <diagonal/>
    </border>
    <border>
      <left style="thin">
        <color theme="4" tint="-0.24994659260841701"/>
      </left>
      <right style="thin">
        <color theme="4" tint="-0.24994659260841701"/>
      </right>
      <top/>
      <bottom style="thin">
        <color theme="4" tint="-0.24994659260841701"/>
      </bottom>
      <diagonal/>
    </border>
    <border>
      <left/>
      <right style="thin">
        <color theme="4" tint="-0.24994659260841701"/>
      </right>
      <top style="thin">
        <color theme="4" tint="-0.24994659260841701"/>
      </top>
      <bottom style="thin">
        <color theme="4" tint="-0.24994659260841701"/>
      </bottom>
      <diagonal/>
    </border>
    <border>
      <left style="hair">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hair">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hair">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double">
        <color theme="3" tint="-0.24994659260841701"/>
      </left>
      <right/>
      <top/>
      <bottom/>
      <diagonal/>
    </border>
    <border>
      <left style="double">
        <color theme="3" tint="-0.24994659260841701"/>
      </left>
      <right/>
      <top style="thin">
        <color theme="4" tint="-0.249977111117893"/>
      </top>
      <bottom style="thin">
        <color theme="4" tint="-0.249977111117893"/>
      </bottom>
      <diagonal/>
    </border>
    <border>
      <left style="double">
        <color theme="4" tint="-0.249977111117893"/>
      </left>
      <right/>
      <top style="double">
        <color theme="4" tint="-0.24994659260841701"/>
      </top>
      <bottom style="double">
        <color theme="4" tint="-0.24994659260841701"/>
      </bottom>
      <diagonal/>
    </border>
    <border>
      <left style="thin">
        <color theme="4" tint="-0.24994659260841701"/>
      </left>
      <right style="thin">
        <color theme="4" tint="-0.24994659260841701"/>
      </right>
      <top/>
      <bottom/>
      <diagonal/>
    </border>
    <border>
      <left/>
      <right style="thin">
        <color auto="1"/>
      </right>
      <top/>
      <bottom/>
      <diagonal/>
    </border>
    <border>
      <left/>
      <right/>
      <top style="thin">
        <color auto="1"/>
      </top>
      <bottom/>
      <diagonal/>
    </border>
    <border>
      <left style="thin">
        <color auto="1"/>
      </left>
      <right/>
      <top style="thin">
        <color auto="1"/>
      </top>
      <bottom/>
      <diagonal/>
    </border>
    <border>
      <left/>
      <right/>
      <top style="double">
        <color theme="4" tint="-0.24994659260841701"/>
      </top>
      <bottom/>
      <diagonal/>
    </border>
    <border>
      <left/>
      <right/>
      <top style="double">
        <color theme="4" tint="-0.24994659260841701"/>
      </top>
      <bottom style="double">
        <color theme="4" tint="-0.249977111117893"/>
      </bottom>
      <diagonal/>
    </border>
    <border>
      <left/>
      <right/>
      <top/>
      <bottom style="thin">
        <color theme="4" tint="-0.24994659260841701"/>
      </bottom>
      <diagonal/>
    </border>
    <border>
      <left/>
      <right/>
      <top style="thin">
        <color theme="4" tint="-0.24994659260841701"/>
      </top>
      <bottom style="hair">
        <color theme="4" tint="-0.24994659260841701"/>
      </bottom>
      <diagonal/>
    </border>
    <border>
      <left style="thin">
        <color theme="4" tint="-0.24994659260841701"/>
      </left>
      <right style="thin">
        <color theme="4" tint="-0.24994659260841701"/>
      </right>
      <top style="thin">
        <color theme="4" tint="-0.24994659260841701"/>
      </top>
      <bottom style="hair">
        <color theme="4" tint="-0.24994659260841701"/>
      </bottom>
      <diagonal/>
    </border>
    <border>
      <left style="thin">
        <color theme="4" tint="-0.24994659260841701"/>
      </left>
      <right style="thin">
        <color theme="4" tint="-0.24994659260841701"/>
      </right>
      <top style="hair">
        <color theme="4" tint="-0.24994659260841701"/>
      </top>
      <bottom style="hair">
        <color theme="4" tint="-0.24994659260841701"/>
      </bottom>
      <diagonal/>
    </border>
    <border>
      <left style="thin">
        <color theme="4" tint="-0.24994659260841701"/>
      </left>
      <right style="thin">
        <color theme="4" tint="-0.24994659260841701"/>
      </right>
      <top style="hair">
        <color theme="4" tint="-0.24994659260841701"/>
      </top>
      <bottom style="thin">
        <color theme="4" tint="-0.24994659260841701"/>
      </bottom>
      <diagonal/>
    </border>
    <border>
      <left/>
      <right style="hair">
        <color theme="1"/>
      </right>
      <top style="thin">
        <color theme="1"/>
      </top>
      <bottom style="hair">
        <color theme="1"/>
      </bottom>
      <diagonal/>
    </border>
    <border>
      <left/>
      <right style="hair">
        <color theme="1"/>
      </right>
      <top style="hair">
        <color theme="1"/>
      </top>
      <bottom style="hair">
        <color theme="1"/>
      </bottom>
      <diagonal/>
    </border>
    <border>
      <left/>
      <right style="hair">
        <color theme="1"/>
      </right>
      <top style="hair">
        <color theme="1"/>
      </top>
      <bottom style="thin">
        <color theme="1"/>
      </bottom>
      <diagonal/>
    </border>
    <border>
      <left/>
      <right/>
      <top style="thin">
        <color theme="1"/>
      </top>
      <bottom/>
      <diagonal/>
    </border>
    <border>
      <left/>
      <right style="thin">
        <color theme="1"/>
      </right>
      <top style="thin">
        <color theme="1"/>
      </top>
      <bottom/>
      <diagonal/>
    </border>
    <border>
      <left/>
      <right style="thin">
        <color theme="1"/>
      </right>
      <top/>
      <bottom/>
      <diagonal/>
    </border>
    <border>
      <left/>
      <right/>
      <top/>
      <bottom style="thin">
        <color theme="1"/>
      </bottom>
      <diagonal/>
    </border>
    <border>
      <left/>
      <right style="thin">
        <color theme="1"/>
      </right>
      <top/>
      <bottom style="thin">
        <color theme="1"/>
      </bottom>
      <diagonal/>
    </border>
  </borders>
  <cellStyleXfs count="4">
    <xf numFmtId="0" fontId="0" fillId="0" borderId="0">
      <alignment vertical="center"/>
    </xf>
    <xf numFmtId="9" fontId="60" fillId="0" borderId="0" applyFont="0" applyFill="0" applyBorder="0" applyAlignment="0" applyProtection="0"/>
    <xf numFmtId="0" fontId="56" fillId="0" borderId="0" applyNumberFormat="0" applyFill="0" applyBorder="0" applyAlignment="0" applyProtection="0">
      <alignment vertical="center"/>
    </xf>
    <xf numFmtId="0" fontId="11" fillId="0" borderId="0"/>
  </cellStyleXfs>
  <cellXfs count="658">
    <xf numFmtId="0" fontId="0" fillId="0" borderId="0" xfId="0">
      <alignment vertical="center"/>
    </xf>
    <xf numFmtId="0" fontId="1" fillId="2" borderId="0" xfId="0" applyFont="1" applyFill="1" applyAlignment="1"/>
    <xf numFmtId="0" fontId="2" fillId="2" borderId="0" xfId="0" applyFont="1" applyFill="1" applyAlignment="1"/>
    <xf numFmtId="0" fontId="3" fillId="0" borderId="0" xfId="0" applyFont="1" applyAlignment="1"/>
    <xf numFmtId="0" fontId="0" fillId="2" borderId="0" xfId="0" applyFill="1">
      <alignment vertical="center"/>
    </xf>
    <xf numFmtId="0" fontId="3" fillId="0" borderId="0" xfId="0" applyFont="1" applyAlignment="1">
      <alignment horizontal="right"/>
    </xf>
    <xf numFmtId="0" fontId="4" fillId="0" borderId="0" xfId="0" applyFont="1" applyAlignment="1">
      <alignment horizontal="right" vertical="center"/>
    </xf>
    <xf numFmtId="3" fontId="3" fillId="0" borderId="0" xfId="0" applyNumberFormat="1" applyFont="1">
      <alignment vertical="center"/>
    </xf>
    <xf numFmtId="3" fontId="0" fillId="0" borderId="0" xfId="0" applyNumberFormat="1">
      <alignment vertical="center"/>
    </xf>
    <xf numFmtId="0" fontId="5" fillId="0" borderId="0" xfId="0" applyFont="1" applyAlignment="1">
      <alignment horizontal="left" vertical="top"/>
    </xf>
    <xf numFmtId="0" fontId="6" fillId="0" borderId="0" xfId="0" applyFont="1" applyAlignment="1">
      <alignment horizontal="left" vertical="top"/>
    </xf>
    <xf numFmtId="0" fontId="8" fillId="3" borderId="0" xfId="0" applyFont="1" applyFill="1" applyAlignment="1">
      <alignment horizontal="center" vertical="top"/>
    </xf>
    <xf numFmtId="0" fontId="8" fillId="0" borderId="0" xfId="0" applyFont="1" applyAlignment="1">
      <alignment horizontal="center" vertical="top"/>
    </xf>
    <xf numFmtId="14" fontId="6" fillId="0" borderId="0" xfId="0" applyNumberFormat="1" applyFont="1" applyAlignment="1">
      <alignment horizontal="right" vertical="top"/>
    </xf>
    <xf numFmtId="4" fontId="6" fillId="0" borderId="0" xfId="0" applyNumberFormat="1" applyFont="1" applyAlignment="1">
      <alignment horizontal="right" vertical="top"/>
    </xf>
    <xf numFmtId="14" fontId="6" fillId="0" borderId="0" xfId="0" applyNumberFormat="1" applyFont="1">
      <alignment vertical="center"/>
    </xf>
    <xf numFmtId="4" fontId="6" fillId="0" borderId="0" xfId="0" applyNumberFormat="1" applyFont="1">
      <alignment vertical="center"/>
    </xf>
    <xf numFmtId="0" fontId="9" fillId="0" borderId="1" xfId="0" applyFont="1" applyBorder="1" applyAlignment="1">
      <alignment horizontal="left" vertical="top"/>
    </xf>
    <xf numFmtId="0" fontId="10" fillId="2" borderId="1" xfId="0" applyFont="1" applyFill="1" applyBorder="1" applyAlignment="1">
      <alignment horizontal="right" vertical="top"/>
    </xf>
    <xf numFmtId="0" fontId="9" fillId="0" borderId="0" xfId="0" applyFont="1" applyAlignment="1">
      <alignment horizontal="left" vertical="top"/>
    </xf>
    <xf numFmtId="0" fontId="9" fillId="0" borderId="0" xfId="0" applyFont="1" applyAlignment="1">
      <alignment horizontal="right" vertical="top"/>
    </xf>
    <xf numFmtId="10" fontId="10" fillId="2" borderId="1" xfId="0" applyNumberFormat="1" applyFont="1" applyFill="1" applyBorder="1" applyAlignment="1">
      <alignment horizontal="right" vertical="top"/>
    </xf>
    <xf numFmtId="164" fontId="5" fillId="0" borderId="0" xfId="0" applyNumberFormat="1" applyFont="1" applyAlignment="1">
      <alignment horizontal="left" vertical="top"/>
    </xf>
    <xf numFmtId="0" fontId="13" fillId="0" borderId="0" xfId="0" applyFont="1">
      <alignment vertical="center"/>
    </xf>
    <xf numFmtId="0" fontId="14" fillId="3" borderId="0" xfId="0" applyFont="1" applyFill="1" applyAlignment="1">
      <alignment horizontal="left" vertical="top"/>
    </xf>
    <xf numFmtId="0" fontId="15" fillId="3" borderId="2" xfId="0" applyFont="1" applyFill="1" applyBorder="1" applyAlignment="1">
      <alignment horizontal="left" vertical="top"/>
    </xf>
    <xf numFmtId="0" fontId="14" fillId="3" borderId="0" xfId="0" applyFont="1" applyFill="1" applyAlignment="1">
      <alignment horizontal="center" vertical="top"/>
    </xf>
    <xf numFmtId="0" fontId="16" fillId="3" borderId="0" xfId="0" applyFont="1" applyFill="1" applyAlignment="1">
      <alignment horizontal="center" vertical="top"/>
    </xf>
    <xf numFmtId="0" fontId="14" fillId="0" borderId="0" xfId="0" applyFont="1" applyAlignment="1">
      <alignment horizontal="center" vertical="top"/>
    </xf>
    <xf numFmtId="0" fontId="14" fillId="0" borderId="0" xfId="0" applyFont="1" applyAlignment="1">
      <alignment horizontal="right" vertical="top"/>
    </xf>
    <xf numFmtId="0" fontId="5" fillId="0" borderId="0" xfId="0" applyFont="1" applyAlignment="1">
      <alignment horizontal="left" vertical="center"/>
    </xf>
    <xf numFmtId="0" fontId="5" fillId="0" borderId="0" xfId="0" applyFont="1" applyAlignment="1">
      <alignment horizontal="right" vertical="center"/>
    </xf>
    <xf numFmtId="166" fontId="17" fillId="0" borderId="0" xfId="0" applyNumberFormat="1" applyFont="1" applyAlignment="1">
      <alignment horizontal="right" vertical="center"/>
    </xf>
    <xf numFmtId="166" fontId="5" fillId="0" borderId="0" xfId="0" applyNumberFormat="1" applyFont="1" applyAlignment="1">
      <alignment horizontal="right" vertical="center"/>
    </xf>
    <xf numFmtId="3" fontId="17" fillId="0" borderId="0" xfId="0" applyNumberFormat="1" applyFont="1" applyAlignment="1">
      <alignment horizontal="right" vertical="center"/>
    </xf>
    <xf numFmtId="0" fontId="18" fillId="3" borderId="0" xfId="0" applyFont="1" applyFill="1" applyAlignment="1">
      <alignment horizontal="left" vertical="top"/>
    </xf>
    <xf numFmtId="0" fontId="19" fillId="3" borderId="0" xfId="0" applyFont="1" applyFill="1" applyAlignment="1">
      <alignment horizontal="left" vertical="top"/>
    </xf>
    <xf numFmtId="0" fontId="9" fillId="4" borderId="0" xfId="0" applyFont="1" applyFill="1" applyAlignment="1">
      <alignment horizontal="left" vertical="center"/>
    </xf>
    <xf numFmtId="0" fontId="9" fillId="4" borderId="0" xfId="0" applyFont="1" applyFill="1" applyAlignment="1">
      <alignment horizontal="right" vertical="center"/>
    </xf>
    <xf numFmtId="166" fontId="20" fillId="4" borderId="0" xfId="0" applyNumberFormat="1" applyFont="1" applyFill="1" applyAlignment="1">
      <alignment horizontal="right" vertical="center"/>
    </xf>
    <xf numFmtId="166" fontId="9" fillId="4" borderId="0" xfId="0" applyNumberFormat="1" applyFont="1" applyFill="1" applyAlignment="1">
      <alignment horizontal="right" vertical="center"/>
    </xf>
    <xf numFmtId="0" fontId="18" fillId="3" borderId="0" xfId="0" applyFont="1" applyFill="1" applyAlignment="1">
      <alignment horizontal="center" vertical="top"/>
    </xf>
    <xf numFmtId="0" fontId="18" fillId="0" borderId="0" xfId="0" applyFont="1" applyAlignment="1">
      <alignment horizontal="left" vertical="top"/>
    </xf>
    <xf numFmtId="167" fontId="5" fillId="0" borderId="0" xfId="0" applyNumberFormat="1" applyFont="1" applyAlignment="1">
      <alignment horizontal="right" vertical="top"/>
    </xf>
    <xf numFmtId="168" fontId="5" fillId="0" borderId="0" xfId="0" applyNumberFormat="1" applyFont="1" applyAlignment="1">
      <alignment horizontal="right" vertical="top"/>
    </xf>
    <xf numFmtId="3" fontId="5" fillId="0" borderId="0" xfId="0" applyNumberFormat="1" applyFont="1" applyAlignment="1">
      <alignment horizontal="right" vertical="top"/>
    </xf>
    <xf numFmtId="0" fontId="5" fillId="0" borderId="3" xfId="0" applyFont="1" applyBorder="1" applyAlignment="1">
      <alignment horizontal="left" vertical="top"/>
    </xf>
    <xf numFmtId="168" fontId="5" fillId="0" borderId="0" xfId="0" applyNumberFormat="1" applyFont="1" applyAlignment="1">
      <alignment horizontal="left" vertical="top"/>
    </xf>
    <xf numFmtId="0" fontId="14" fillId="3" borderId="4" xfId="0" applyFont="1" applyFill="1" applyBorder="1" applyAlignment="1">
      <alignment horizontal="center" vertical="top"/>
    </xf>
    <xf numFmtId="0" fontId="21" fillId="3" borderId="0" xfId="0" applyFont="1" applyFill="1" applyAlignment="1">
      <alignment horizontal="center" vertical="top"/>
    </xf>
    <xf numFmtId="0" fontId="22" fillId="3" borderId="0" xfId="0" applyFont="1" applyFill="1" applyAlignment="1">
      <alignment horizontal="center" vertical="top"/>
    </xf>
    <xf numFmtId="0" fontId="14" fillId="3" borderId="0" xfId="0" applyFont="1" applyFill="1" applyAlignment="1">
      <alignment horizontal="right" vertical="top"/>
    </xf>
    <xf numFmtId="0" fontId="19" fillId="0" borderId="0" xfId="0" applyFont="1" applyAlignment="1">
      <alignment horizontal="left" vertical="top"/>
    </xf>
    <xf numFmtId="168" fontId="17" fillId="0" borderId="0" xfId="0" applyNumberFormat="1" applyFont="1" applyAlignment="1">
      <alignment horizontal="right" vertical="center"/>
    </xf>
    <xf numFmtId="169" fontId="17" fillId="0" borderId="0" xfId="0" applyNumberFormat="1" applyFont="1" applyAlignment="1">
      <alignment horizontal="right" vertical="center"/>
    </xf>
    <xf numFmtId="167" fontId="5" fillId="0" borderId="0" xfId="0" applyNumberFormat="1" applyFont="1" applyAlignment="1">
      <alignment horizontal="right" vertical="center"/>
    </xf>
    <xf numFmtId="167" fontId="14" fillId="3" borderId="0" xfId="0" applyNumberFormat="1" applyFont="1" applyFill="1" applyAlignment="1">
      <alignment horizontal="right" vertical="top"/>
    </xf>
    <xf numFmtId="167" fontId="9" fillId="4" borderId="0" xfId="0" applyNumberFormat="1" applyFont="1" applyFill="1" applyAlignment="1">
      <alignment horizontal="right" vertical="center"/>
    </xf>
    <xf numFmtId="165" fontId="5" fillId="0" borderId="0" xfId="0" applyNumberFormat="1" applyFont="1" applyAlignment="1">
      <alignment horizontal="right" vertical="top"/>
    </xf>
    <xf numFmtId="169" fontId="5" fillId="0" borderId="0" xfId="0" applyNumberFormat="1" applyFont="1" applyAlignment="1">
      <alignment horizontal="right" vertical="top"/>
    </xf>
    <xf numFmtId="170" fontId="5" fillId="0" borderId="0" xfId="0" applyNumberFormat="1" applyFont="1" applyAlignment="1">
      <alignment horizontal="left" vertical="top"/>
    </xf>
    <xf numFmtId="3" fontId="5" fillId="0" borderId="0" xfId="0" applyNumberFormat="1" applyFont="1" applyAlignment="1">
      <alignment horizontal="left" vertical="top"/>
    </xf>
    <xf numFmtId="167" fontId="5" fillId="0" borderId="0" xfId="0" applyNumberFormat="1" applyFont="1" applyAlignment="1">
      <alignment horizontal="left" vertical="top"/>
    </xf>
    <xf numFmtId="0" fontId="8" fillId="3" borderId="0" xfId="0" applyFont="1" applyFill="1" applyAlignment="1">
      <alignment horizontal="left" vertical="center"/>
    </xf>
    <xf numFmtId="0" fontId="8" fillId="3" borderId="0" xfId="0" applyFont="1" applyFill="1" applyAlignment="1">
      <alignment horizontal="left" vertical="top"/>
    </xf>
    <xf numFmtId="0" fontId="23" fillId="0" borderId="0" xfId="0" applyFont="1" applyAlignment="1">
      <alignment horizontal="right" vertical="top"/>
    </xf>
    <xf numFmtId="0" fontId="23" fillId="0" borderId="5" xfId="0" applyFont="1" applyBorder="1" applyAlignment="1">
      <alignment horizontal="left" vertical="top"/>
    </xf>
    <xf numFmtId="0" fontId="6" fillId="0" borderId="5" xfId="0" applyFont="1" applyBorder="1" applyAlignment="1">
      <alignment horizontal="left" vertical="top"/>
    </xf>
    <xf numFmtId="0" fontId="23" fillId="0" borderId="5" xfId="0" applyFont="1" applyBorder="1" applyAlignment="1">
      <alignment horizontal="right" vertical="top"/>
    </xf>
    <xf numFmtId="166" fontId="24" fillId="0" borderId="0" xfId="0" applyNumberFormat="1" applyFont="1" applyAlignment="1">
      <alignment horizontal="right" vertical="center"/>
    </xf>
    <xf numFmtId="171" fontId="6" fillId="0" borderId="0" xfId="0" applyNumberFormat="1" applyFont="1" applyAlignment="1">
      <alignment horizontal="right" vertical="center"/>
    </xf>
    <xf numFmtId="172" fontId="6" fillId="0" borderId="0" xfId="0" applyNumberFormat="1" applyFont="1" applyAlignment="1">
      <alignment horizontal="right" vertical="center"/>
    </xf>
    <xf numFmtId="172" fontId="8" fillId="3" borderId="0" xfId="0" applyNumberFormat="1" applyFont="1" applyFill="1" applyAlignment="1">
      <alignment horizontal="right" vertical="center"/>
    </xf>
    <xf numFmtId="0" fontId="23" fillId="4" borderId="0" xfId="0" applyFont="1" applyFill="1" applyAlignment="1">
      <alignment horizontal="left" vertical="top"/>
    </xf>
    <xf numFmtId="169" fontId="23" fillId="4" borderId="0" xfId="0" applyNumberFormat="1" applyFont="1" applyFill="1" applyAlignment="1">
      <alignment horizontal="right" vertical="top"/>
    </xf>
    <xf numFmtId="10" fontId="6" fillId="0" borderId="0" xfId="0" applyNumberFormat="1" applyFont="1" applyAlignment="1">
      <alignment horizontal="right" vertical="top"/>
    </xf>
    <xf numFmtId="172" fontId="6" fillId="0" borderId="0" xfId="0" applyNumberFormat="1" applyFont="1" applyAlignment="1">
      <alignment horizontal="right" vertical="top"/>
    </xf>
    <xf numFmtId="166" fontId="6" fillId="0" borderId="0" xfId="0" applyNumberFormat="1" applyFont="1" applyAlignment="1">
      <alignment horizontal="right" vertical="top"/>
    </xf>
    <xf numFmtId="0" fontId="23" fillId="0" borderId="6" xfId="0" applyFont="1" applyBorder="1" applyAlignment="1">
      <alignment horizontal="left" vertical="top"/>
    </xf>
    <xf numFmtId="10" fontId="23" fillId="0" borderId="6" xfId="0" applyNumberFormat="1" applyFont="1" applyBorder="1" applyAlignment="1">
      <alignment horizontal="right" vertical="top"/>
    </xf>
    <xf numFmtId="0" fontId="6" fillId="0" borderId="0" xfId="0" applyFont="1" applyAlignment="1">
      <alignment horizontal="right" vertical="top"/>
    </xf>
    <xf numFmtId="172" fontId="24" fillId="0" borderId="0" xfId="0" applyNumberFormat="1" applyFont="1" applyAlignment="1">
      <alignment horizontal="right" vertical="top"/>
    </xf>
    <xf numFmtId="172" fontId="23" fillId="0" borderId="6" xfId="0" applyNumberFormat="1" applyFont="1" applyBorder="1" applyAlignment="1">
      <alignment horizontal="right" vertical="top"/>
    </xf>
    <xf numFmtId="0" fontId="23" fillId="0" borderId="0" xfId="0" applyFont="1" applyAlignment="1">
      <alignment horizontal="left" vertical="top"/>
    </xf>
    <xf numFmtId="10" fontId="24" fillId="0" borderId="0" xfId="0" applyNumberFormat="1" applyFont="1" applyAlignment="1">
      <alignment horizontal="right" vertical="top"/>
    </xf>
    <xf numFmtId="0" fontId="25" fillId="0" borderId="0" xfId="0" applyFont="1" applyAlignment="1"/>
    <xf numFmtId="173" fontId="6" fillId="0" borderId="0" xfId="0" applyNumberFormat="1" applyFont="1" applyAlignment="1">
      <alignment horizontal="right" vertical="top"/>
    </xf>
    <xf numFmtId="0" fontId="23" fillId="0" borderId="7" xfId="0" applyFont="1" applyBorder="1" applyAlignment="1">
      <alignment horizontal="left" vertical="top"/>
    </xf>
    <xf numFmtId="10" fontId="23" fillId="0" borderId="7" xfId="0" applyNumberFormat="1" applyFont="1" applyBorder="1" applyAlignment="1">
      <alignment horizontal="right" vertical="top"/>
    </xf>
    <xf numFmtId="0" fontId="26" fillId="0" borderId="0" xfId="0" applyFont="1" applyAlignment="1">
      <alignment horizontal="left" vertical="top"/>
    </xf>
    <xf numFmtId="0" fontId="27" fillId="0" borderId="0" xfId="0" applyFont="1" applyAlignment="1">
      <alignment horizontal="left" vertical="top"/>
    </xf>
    <xf numFmtId="172" fontId="24" fillId="0" borderId="0" xfId="0" applyNumberFormat="1" applyFont="1" applyAlignment="1">
      <alignment horizontal="right" vertical="center"/>
    </xf>
    <xf numFmtId="173" fontId="24" fillId="0" borderId="0" xfId="0" applyNumberFormat="1" applyFont="1" applyAlignment="1">
      <alignment horizontal="right" vertical="center"/>
    </xf>
    <xf numFmtId="173" fontId="6" fillId="0" borderId="0" xfId="0" applyNumberFormat="1" applyFont="1" applyAlignment="1">
      <alignment horizontal="right" vertical="center"/>
    </xf>
    <xf numFmtId="166" fontId="6" fillId="0" borderId="0" xfId="0" applyNumberFormat="1" applyFont="1" applyAlignment="1">
      <alignment horizontal="left" vertical="top"/>
    </xf>
    <xf numFmtId="174" fontId="6" fillId="0" borderId="0" xfId="0" applyNumberFormat="1" applyFont="1" applyAlignment="1">
      <alignment horizontal="left" vertical="top"/>
    </xf>
    <xf numFmtId="173" fontId="8" fillId="3" borderId="0" xfId="0" applyNumberFormat="1" applyFont="1" applyFill="1" applyAlignment="1">
      <alignment horizontal="right" vertical="center"/>
    </xf>
    <xf numFmtId="0" fontId="6" fillId="0" borderId="0" xfId="0" applyFont="1" applyAlignment="1">
      <alignment horizontal="left" vertical="center"/>
    </xf>
    <xf numFmtId="0" fontId="6" fillId="5" borderId="0" xfId="0" applyFont="1" applyFill="1" applyAlignment="1">
      <alignment horizontal="left" vertical="center"/>
    </xf>
    <xf numFmtId="0" fontId="26" fillId="5" borderId="0" xfId="0" applyFont="1" applyFill="1" applyAlignment="1">
      <alignment horizontal="left" vertical="center"/>
    </xf>
    <xf numFmtId="0" fontId="8" fillId="5" borderId="0" xfId="0" applyFont="1" applyFill="1" applyAlignment="1">
      <alignment horizontal="left" vertical="center"/>
    </xf>
    <xf numFmtId="0" fontId="8" fillId="3" borderId="0" xfId="0" applyFont="1" applyFill="1" applyAlignment="1">
      <alignment horizontal="center" vertical="center"/>
    </xf>
    <xf numFmtId="0" fontId="8" fillId="0" borderId="0" xfId="0" applyFont="1" applyAlignment="1">
      <alignment horizontal="center" vertical="center"/>
    </xf>
    <xf numFmtId="175" fontId="8" fillId="3" borderId="0" xfId="0" applyNumberFormat="1" applyFont="1" applyFill="1" applyAlignment="1">
      <alignment horizontal="center" vertical="center"/>
    </xf>
    <xf numFmtId="175" fontId="6" fillId="0" borderId="0" xfId="0" applyNumberFormat="1" applyFont="1" applyAlignment="1">
      <alignment horizontal="left" vertical="center"/>
    </xf>
    <xf numFmtId="168" fontId="24" fillId="0" borderId="0" xfId="0" applyNumberFormat="1" applyFont="1" applyAlignment="1">
      <alignment horizontal="right" vertical="center"/>
    </xf>
    <xf numFmtId="176" fontId="24" fillId="0" borderId="0" xfId="0" applyNumberFormat="1" applyFont="1" applyAlignment="1">
      <alignment horizontal="right" vertical="center"/>
    </xf>
    <xf numFmtId="10" fontId="6" fillId="0" borderId="0" xfId="0" applyNumberFormat="1" applyFont="1" applyAlignment="1">
      <alignment horizontal="right" vertical="center"/>
    </xf>
    <xf numFmtId="176" fontId="6" fillId="0" borderId="0" xfId="0" applyNumberFormat="1" applyFont="1" applyAlignment="1">
      <alignment horizontal="right" vertical="center"/>
    </xf>
    <xf numFmtId="0" fontId="6" fillId="0" borderId="0" xfId="0" applyFont="1" applyAlignment="1">
      <alignment horizontal="right" vertical="center"/>
    </xf>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center"/>
    </xf>
    <xf numFmtId="0" fontId="23" fillId="0" borderId="11" xfId="0" applyFont="1" applyBorder="1" applyAlignment="1">
      <alignment horizontal="center" vertical="center"/>
    </xf>
    <xf numFmtId="0" fontId="23" fillId="0" borderId="0" xfId="0" applyFont="1" applyAlignment="1">
      <alignment horizontal="center" vertical="center"/>
    </xf>
    <xf numFmtId="0" fontId="6" fillId="0" borderId="12" xfId="0" applyFont="1" applyBorder="1" applyAlignment="1">
      <alignment horizontal="left" vertical="center"/>
    </xf>
    <xf numFmtId="173" fontId="6" fillId="0" borderId="12" xfId="0" applyNumberFormat="1" applyFont="1" applyBorder="1" applyAlignment="1">
      <alignment horizontal="center" vertical="center"/>
    </xf>
    <xf numFmtId="0" fontId="6" fillId="5" borderId="10" xfId="0" applyFont="1" applyFill="1" applyBorder="1" applyAlignment="1">
      <alignment horizontal="left" vertical="center"/>
    </xf>
    <xf numFmtId="0" fontId="6" fillId="5" borderId="12" xfId="0" applyFont="1" applyFill="1" applyBorder="1" applyAlignment="1">
      <alignment horizontal="left" vertical="center"/>
    </xf>
    <xf numFmtId="0" fontId="6" fillId="0" borderId="11" xfId="0" applyFont="1" applyBorder="1" applyAlignment="1">
      <alignment horizontal="left" vertical="center"/>
    </xf>
    <xf numFmtId="173" fontId="6" fillId="0" borderId="11" xfId="0" applyNumberFormat="1" applyFont="1" applyBorder="1" applyAlignment="1">
      <alignment horizontal="center" vertical="center"/>
    </xf>
    <xf numFmtId="0" fontId="23" fillId="0" borderId="0" xfId="0" applyFont="1" applyAlignment="1">
      <alignment horizontal="right" vertical="center"/>
    </xf>
    <xf numFmtId="173" fontId="23" fillId="0" borderId="15" xfId="0" applyNumberFormat="1" applyFont="1" applyBorder="1" applyAlignment="1">
      <alignment horizontal="right" vertical="center"/>
    </xf>
    <xf numFmtId="0" fontId="6" fillId="0" borderId="16" xfId="0" applyFont="1" applyBorder="1" applyAlignment="1">
      <alignment horizontal="left" vertical="center"/>
    </xf>
    <xf numFmtId="168" fontId="6" fillId="0" borderId="0" xfId="0" applyNumberFormat="1" applyFont="1" applyAlignment="1">
      <alignment horizontal="right" vertical="center"/>
    </xf>
    <xf numFmtId="0" fontId="6" fillId="0" borderId="17" xfId="0" applyFont="1" applyBorder="1" applyAlignment="1">
      <alignment horizontal="left" vertical="top"/>
    </xf>
    <xf numFmtId="0" fontId="6" fillId="0" borderId="18" xfId="0" applyFont="1" applyBorder="1" applyAlignment="1">
      <alignment horizontal="left" vertical="center"/>
    </xf>
    <xf numFmtId="0" fontId="6" fillId="5" borderId="18" xfId="0" applyFont="1" applyFill="1" applyBorder="1" applyAlignment="1">
      <alignment horizontal="left" vertical="center"/>
    </xf>
    <xf numFmtId="0" fontId="6" fillId="0" borderId="19" xfId="0" applyFont="1" applyBorder="1" applyAlignment="1">
      <alignment horizontal="left" vertical="center"/>
    </xf>
    <xf numFmtId="0" fontId="6" fillId="5" borderId="0" xfId="0" applyFont="1" applyFill="1" applyAlignment="1">
      <alignment horizontal="right" vertical="center"/>
    </xf>
    <xf numFmtId="0" fontId="8" fillId="3" borderId="0" xfId="0" applyFont="1" applyFill="1" applyAlignment="1">
      <alignment horizontal="right" vertical="center"/>
    </xf>
    <xf numFmtId="15" fontId="6" fillId="0" borderId="0" xfId="0" applyNumberFormat="1" applyFont="1" applyAlignment="1">
      <alignment horizontal="left" vertical="center"/>
    </xf>
    <xf numFmtId="15" fontId="6" fillId="0" borderId="0" xfId="0" applyNumberFormat="1" applyFont="1" applyAlignment="1">
      <alignment horizontal="left" vertical="top"/>
    </xf>
    <xf numFmtId="0" fontId="29" fillId="0" borderId="0" xfId="0" applyFont="1">
      <alignment vertical="center"/>
    </xf>
    <xf numFmtId="0" fontId="12" fillId="0" borderId="0" xfId="0" applyFont="1">
      <alignment vertical="center"/>
    </xf>
    <xf numFmtId="0" fontId="31" fillId="2" borderId="0" xfId="0" applyFont="1" applyFill="1">
      <alignment vertical="center"/>
    </xf>
    <xf numFmtId="0" fontId="32" fillId="0" borderId="0" xfId="0" applyFont="1">
      <alignment vertical="center"/>
    </xf>
    <xf numFmtId="10" fontId="33" fillId="0" borderId="0" xfId="0" applyNumberFormat="1" applyFont="1">
      <alignment vertical="center"/>
    </xf>
    <xf numFmtId="0" fontId="29" fillId="0" borderId="20" xfId="0" applyFont="1" applyBorder="1">
      <alignment vertical="center"/>
    </xf>
    <xf numFmtId="10" fontId="29" fillId="0" borderId="20" xfId="0" applyNumberFormat="1" applyFont="1" applyBorder="1">
      <alignment vertical="center"/>
    </xf>
    <xf numFmtId="0" fontId="34" fillId="2" borderId="0" xfId="0" applyFont="1" applyFill="1">
      <alignment vertical="center"/>
    </xf>
    <xf numFmtId="172" fontId="33" fillId="0" borderId="0" xfId="0" applyNumberFormat="1" applyFont="1">
      <alignment vertical="center"/>
    </xf>
    <xf numFmtId="0" fontId="12" fillId="0" borderId="20" xfId="0" applyFont="1" applyBorder="1">
      <alignment vertical="center"/>
    </xf>
    <xf numFmtId="172" fontId="29" fillId="0" borderId="20" xfId="0" applyNumberFormat="1" applyFont="1" applyBorder="1">
      <alignment vertical="center"/>
    </xf>
    <xf numFmtId="0" fontId="4" fillId="0" borderId="0" xfId="0" applyFont="1">
      <alignment vertical="center"/>
    </xf>
    <xf numFmtId="0" fontId="29" fillId="0" borderId="21" xfId="0" applyFont="1" applyBorder="1">
      <alignment vertical="center"/>
    </xf>
    <xf numFmtId="172" fontId="29" fillId="0" borderId="21" xfId="0" applyNumberFormat="1" applyFont="1" applyBorder="1">
      <alignment vertical="center"/>
    </xf>
    <xf numFmtId="0" fontId="30" fillId="6" borderId="0" xfId="0" applyFont="1" applyFill="1">
      <alignment vertical="center"/>
    </xf>
    <xf numFmtId="0" fontId="35" fillId="0" borderId="0" xfId="0" applyFont="1">
      <alignment vertical="center"/>
    </xf>
    <xf numFmtId="0" fontId="36" fillId="0" borderId="0" xfId="0" applyFont="1">
      <alignment vertical="center"/>
    </xf>
    <xf numFmtId="0" fontId="37" fillId="2" borderId="0" xfId="0" applyFont="1" applyFill="1">
      <alignment vertical="center"/>
    </xf>
    <xf numFmtId="0" fontId="29" fillId="2" borderId="0" xfId="0" applyFont="1" applyFill="1">
      <alignment vertical="center"/>
    </xf>
    <xf numFmtId="177" fontId="38" fillId="7" borderId="0" xfId="0" applyNumberFormat="1" applyFont="1" applyFill="1">
      <alignment vertical="center"/>
    </xf>
    <xf numFmtId="0" fontId="3" fillId="0" borderId="0" xfId="0" applyFont="1">
      <alignment vertical="center"/>
    </xf>
    <xf numFmtId="0" fontId="3" fillId="0" borderId="0" xfId="0" applyFont="1" applyAlignment="1">
      <alignment horizontal="right" vertical="center"/>
    </xf>
    <xf numFmtId="172" fontId="39" fillId="0" borderId="0" xfId="0" applyNumberFormat="1" applyFont="1">
      <alignment vertical="center"/>
    </xf>
    <xf numFmtId="172" fontId="12" fillId="0" borderId="0" xfId="0" applyNumberFormat="1" applyFont="1">
      <alignment vertical="center"/>
    </xf>
    <xf numFmtId="9" fontId="39" fillId="0" borderId="0" xfId="0" applyNumberFormat="1" applyFont="1">
      <alignment vertical="center"/>
    </xf>
    <xf numFmtId="173" fontId="39" fillId="0" borderId="0" xfId="0" applyNumberFormat="1" applyFont="1">
      <alignment vertical="center"/>
    </xf>
    <xf numFmtId="167" fontId="39" fillId="0" borderId="0" xfId="0" applyNumberFormat="1" applyFont="1">
      <alignment vertical="center"/>
    </xf>
    <xf numFmtId="0" fontId="40" fillId="0" borderId="0" xfId="0" applyFont="1">
      <alignment vertical="center"/>
    </xf>
    <xf numFmtId="173" fontId="39" fillId="0" borderId="0" xfId="0" applyNumberFormat="1" applyFont="1" applyAlignment="1">
      <alignment horizontal="right" vertical="center"/>
    </xf>
    <xf numFmtId="172" fontId="39" fillId="0" borderId="0" xfId="0" applyNumberFormat="1" applyFont="1" applyAlignment="1">
      <alignment horizontal="right" vertical="center"/>
    </xf>
    <xf numFmtId="0" fontId="41" fillId="0" borderId="0" xfId="0" applyFont="1">
      <alignment vertical="center"/>
    </xf>
    <xf numFmtId="171" fontId="39" fillId="0" borderId="0" xfId="0" applyNumberFormat="1" applyFont="1" applyAlignment="1">
      <alignment horizontal="right" vertical="center"/>
    </xf>
    <xf numFmtId="178" fontId="39" fillId="0" borderId="0" xfId="0" applyNumberFormat="1" applyFont="1" applyAlignment="1">
      <alignment horizontal="right" vertical="center"/>
    </xf>
    <xf numFmtId="0" fontId="39" fillId="0" borderId="0" xfId="0" applyFont="1" applyAlignment="1">
      <alignment horizontal="right" vertical="center"/>
    </xf>
    <xf numFmtId="171" fontId="39" fillId="0" borderId="0" xfId="0" applyNumberFormat="1" applyFont="1">
      <alignment vertical="center"/>
    </xf>
    <xf numFmtId="0" fontId="12" fillId="0" borderId="22" xfId="0" applyFont="1" applyBorder="1">
      <alignment vertical="center"/>
    </xf>
    <xf numFmtId="179" fontId="38" fillId="7" borderId="23" xfId="0" applyNumberFormat="1" applyFont="1" applyFill="1" applyBorder="1" applyAlignment="1">
      <alignment horizontal="right" vertical="center"/>
    </xf>
    <xf numFmtId="179" fontId="38" fillId="7" borderId="0" xfId="0" applyNumberFormat="1" applyFont="1" applyFill="1" applyAlignment="1">
      <alignment horizontal="right" vertical="center"/>
    </xf>
    <xf numFmtId="0" fontId="36" fillId="0" borderId="24" xfId="0" applyFont="1" applyBorder="1">
      <alignment vertical="center"/>
    </xf>
    <xf numFmtId="172" fontId="3" fillId="0" borderId="24" xfId="0" applyNumberFormat="1" applyFont="1" applyBorder="1">
      <alignment vertical="center"/>
    </xf>
    <xf numFmtId="172" fontId="3" fillId="0" borderId="0" xfId="0" applyNumberFormat="1" applyFont="1">
      <alignment vertical="center"/>
    </xf>
    <xf numFmtId="172" fontId="12" fillId="0" borderId="24" xfId="0" applyNumberFormat="1" applyFont="1" applyBorder="1">
      <alignment vertical="center"/>
    </xf>
    <xf numFmtId="9" fontId="3" fillId="0" borderId="0" xfId="0" applyNumberFormat="1" applyFont="1">
      <alignment vertical="center"/>
    </xf>
    <xf numFmtId="178" fontId="39" fillId="0" borderId="0" xfId="0" applyNumberFormat="1" applyFont="1">
      <alignment vertical="center"/>
    </xf>
    <xf numFmtId="165" fontId="3" fillId="0" borderId="24" xfId="0" applyNumberFormat="1" applyFont="1" applyBorder="1">
      <alignment vertical="center"/>
    </xf>
    <xf numFmtId="165" fontId="3" fillId="0" borderId="0" xfId="0" applyNumberFormat="1" applyFont="1">
      <alignment vertical="center"/>
    </xf>
    <xf numFmtId="167" fontId="3" fillId="0" borderId="24" xfId="0" applyNumberFormat="1" applyFont="1" applyBorder="1">
      <alignment vertical="center"/>
    </xf>
    <xf numFmtId="167" fontId="3" fillId="0" borderId="0" xfId="0" applyNumberFormat="1" applyFont="1">
      <alignment vertical="center"/>
    </xf>
    <xf numFmtId="172" fontId="3" fillId="0" borderId="24" xfId="0" applyNumberFormat="1" applyFont="1" applyBorder="1" applyAlignment="1">
      <alignment horizontal="right" vertical="center"/>
    </xf>
    <xf numFmtId="172" fontId="3" fillId="0" borderId="0" xfId="0" applyNumberFormat="1" applyFont="1" applyAlignment="1">
      <alignment horizontal="right" vertical="center"/>
    </xf>
    <xf numFmtId="171" fontId="3" fillId="0" borderId="24" xfId="0" applyNumberFormat="1" applyFont="1" applyBorder="1" applyAlignment="1">
      <alignment horizontal="right" vertical="center"/>
    </xf>
    <xf numFmtId="171" fontId="3" fillId="0" borderId="0" xfId="0" applyNumberFormat="1" applyFont="1" applyAlignment="1">
      <alignment horizontal="right" vertical="center"/>
    </xf>
    <xf numFmtId="178" fontId="3" fillId="0" borderId="24" xfId="0" applyNumberFormat="1" applyFont="1" applyBorder="1" applyAlignment="1">
      <alignment horizontal="right" vertical="center"/>
    </xf>
    <xf numFmtId="178" fontId="3" fillId="0" borderId="0" xfId="0" applyNumberFormat="1" applyFont="1" applyAlignment="1">
      <alignment horizontal="right" vertical="center"/>
    </xf>
    <xf numFmtId="171" fontId="3" fillId="0" borderId="24" xfId="0" applyNumberFormat="1" applyFont="1" applyBorder="1">
      <alignment vertical="center"/>
    </xf>
    <xf numFmtId="171" fontId="3" fillId="0" borderId="0" xfId="0" applyNumberFormat="1" applyFont="1">
      <alignment vertical="center"/>
    </xf>
    <xf numFmtId="0" fontId="37" fillId="8" borderId="25" xfId="0" applyFont="1" applyFill="1" applyBorder="1" applyAlignment="1">
      <alignment horizontal="right" vertical="center"/>
    </xf>
    <xf numFmtId="0" fontId="36" fillId="0" borderId="25" xfId="0" applyFont="1" applyBorder="1">
      <alignment vertical="center"/>
    </xf>
    <xf numFmtId="0" fontId="42" fillId="0" borderId="0" xfId="0" applyFont="1">
      <alignment vertical="center"/>
    </xf>
    <xf numFmtId="0" fontId="43" fillId="0" borderId="0" xfId="0" applyFont="1">
      <alignment vertical="center"/>
    </xf>
    <xf numFmtId="0" fontId="2" fillId="0" borderId="0" xfId="0" applyFont="1">
      <alignment vertical="center"/>
    </xf>
    <xf numFmtId="0" fontId="44" fillId="0" borderId="0" xfId="0" applyFont="1">
      <alignment vertical="center"/>
    </xf>
    <xf numFmtId="0" fontId="45" fillId="2" borderId="0" xfId="0" applyFont="1" applyFill="1">
      <alignment vertical="center"/>
    </xf>
    <xf numFmtId="0" fontId="46" fillId="2" borderId="0" xfId="0" applyFont="1" applyFill="1">
      <alignment vertical="center"/>
    </xf>
    <xf numFmtId="0" fontId="47" fillId="2" borderId="0" xfId="0" applyFont="1" applyFill="1">
      <alignment vertical="center"/>
    </xf>
    <xf numFmtId="0" fontId="46" fillId="0" borderId="0" xfId="0" applyFont="1">
      <alignment vertical="center"/>
    </xf>
    <xf numFmtId="0" fontId="46" fillId="0" borderId="0" xfId="0" applyFont="1" applyAlignment="1">
      <alignment horizontal="center" vertical="center"/>
    </xf>
    <xf numFmtId="0" fontId="47" fillId="0" borderId="0" xfId="0" applyFont="1">
      <alignment vertical="center"/>
    </xf>
    <xf numFmtId="0" fontId="34" fillId="0" borderId="0" xfId="0" applyFont="1">
      <alignment vertical="center"/>
    </xf>
    <xf numFmtId="0" fontId="3" fillId="2" borderId="0" xfId="0" applyFont="1" applyFill="1">
      <alignment vertical="center"/>
    </xf>
    <xf numFmtId="37" fontId="39" fillId="0" borderId="0" xfId="0" applyNumberFormat="1" applyFont="1">
      <alignment vertical="center"/>
    </xf>
    <xf numFmtId="0" fontId="4" fillId="0" borderId="28" xfId="0" applyFont="1" applyBorder="1">
      <alignment vertical="center"/>
    </xf>
    <xf numFmtId="37" fontId="29" fillId="0" borderId="28" xfId="0" applyNumberFormat="1" applyFont="1" applyBorder="1">
      <alignment vertical="center"/>
    </xf>
    <xf numFmtId="0" fontId="4" fillId="0" borderId="29" xfId="0" applyFont="1" applyBorder="1">
      <alignment vertical="center"/>
    </xf>
    <xf numFmtId="37" fontId="4" fillId="0" borderId="29" xfId="0" applyNumberFormat="1" applyFont="1" applyBorder="1">
      <alignment vertical="center"/>
    </xf>
    <xf numFmtId="37" fontId="4" fillId="0" borderId="0" xfId="0" applyNumberFormat="1" applyFont="1">
      <alignment vertical="center"/>
    </xf>
    <xf numFmtId="3" fontId="39" fillId="0" borderId="0" xfId="0" applyNumberFormat="1" applyFont="1">
      <alignment vertical="center"/>
    </xf>
    <xf numFmtId="0" fontId="29" fillId="0" borderId="30" xfId="0" applyFont="1" applyBorder="1">
      <alignment vertical="center"/>
    </xf>
    <xf numFmtId="3" fontId="29" fillId="0" borderId="30" xfId="0" applyNumberFormat="1" applyFont="1" applyBorder="1">
      <alignment vertical="center"/>
    </xf>
    <xf numFmtId="0" fontId="4" fillId="0" borderId="30" xfId="0" applyFont="1" applyBorder="1">
      <alignment vertical="center"/>
    </xf>
    <xf numFmtId="0" fontId="3" fillId="0" borderId="30" xfId="0" applyFont="1" applyBorder="1">
      <alignment vertical="center"/>
    </xf>
    <xf numFmtId="3" fontId="29" fillId="0" borderId="0" xfId="0" applyNumberFormat="1" applyFont="1">
      <alignment vertical="center"/>
    </xf>
    <xf numFmtId="3" fontId="4" fillId="0" borderId="29" xfId="0" applyNumberFormat="1" applyFont="1" applyBorder="1">
      <alignment vertical="center"/>
    </xf>
    <xf numFmtId="165" fontId="4" fillId="0" borderId="0" xfId="0" applyNumberFormat="1" applyFont="1">
      <alignment vertical="center"/>
    </xf>
    <xf numFmtId="3" fontId="12" fillId="0" borderId="0" xfId="0" applyNumberFormat="1" applyFont="1">
      <alignment vertical="center"/>
    </xf>
    <xf numFmtId="3" fontId="4" fillId="0" borderId="30" xfId="0" applyNumberFormat="1" applyFont="1" applyBorder="1">
      <alignment vertical="center"/>
    </xf>
    <xf numFmtId="0" fontId="4" fillId="0" borderId="31" xfId="0" applyFont="1" applyBorder="1">
      <alignment vertical="center"/>
    </xf>
    <xf numFmtId="3" fontId="29" fillId="0" borderId="31" xfId="0" applyNumberFormat="1" applyFont="1" applyBorder="1">
      <alignment vertical="center"/>
    </xf>
    <xf numFmtId="3" fontId="4" fillId="0" borderId="0" xfId="0" applyNumberFormat="1" applyFont="1">
      <alignment vertical="center"/>
    </xf>
    <xf numFmtId="0" fontId="48" fillId="0" borderId="0" xfId="0" applyFont="1">
      <alignment vertical="center"/>
    </xf>
    <xf numFmtId="170" fontId="42" fillId="0" borderId="0" xfId="0" applyNumberFormat="1" applyFont="1">
      <alignment vertical="center"/>
    </xf>
    <xf numFmtId="0" fontId="1" fillId="2" borderId="0" xfId="0" applyFont="1" applyFill="1">
      <alignment vertical="center"/>
    </xf>
    <xf numFmtId="0" fontId="34" fillId="2" borderId="32" xfId="0" applyFont="1" applyFill="1" applyBorder="1">
      <alignment vertical="center"/>
    </xf>
    <xf numFmtId="0" fontId="49" fillId="0" borderId="0" xfId="0" applyFont="1" applyAlignment="1">
      <alignment horizontal="center" vertical="center"/>
    </xf>
    <xf numFmtId="0" fontId="50" fillId="0" borderId="0" xfId="0" applyFont="1" applyAlignment="1">
      <alignment horizontal="center" vertical="center"/>
    </xf>
    <xf numFmtId="0" fontId="3" fillId="0" borderId="32" xfId="0" applyFont="1" applyBorder="1">
      <alignment vertical="center"/>
    </xf>
    <xf numFmtId="37" fontId="3" fillId="0" borderId="32" xfId="0" applyNumberFormat="1" applyFont="1" applyBorder="1">
      <alignment vertical="center"/>
    </xf>
    <xf numFmtId="37" fontId="3" fillId="0" borderId="0" xfId="0" applyNumberFormat="1" applyFont="1">
      <alignment vertical="center"/>
    </xf>
    <xf numFmtId="37" fontId="4" fillId="0" borderId="33" xfId="0" applyNumberFormat="1" applyFont="1" applyBorder="1">
      <alignment vertical="center"/>
    </xf>
    <xf numFmtId="37" fontId="4" fillId="0" borderId="28" xfId="0" applyNumberFormat="1" applyFont="1" applyBorder="1">
      <alignment vertical="center"/>
    </xf>
    <xf numFmtId="37" fontId="4" fillId="0" borderId="34" xfId="0" applyNumberFormat="1" applyFont="1" applyBorder="1">
      <alignment vertical="center"/>
    </xf>
    <xf numFmtId="37" fontId="4" fillId="0" borderId="9" xfId="0" applyNumberFormat="1" applyFont="1" applyBorder="1">
      <alignment vertical="center"/>
    </xf>
    <xf numFmtId="3" fontId="3" fillId="0" borderId="32" xfId="0" applyNumberFormat="1" applyFont="1" applyBorder="1">
      <alignment vertical="center"/>
    </xf>
    <xf numFmtId="37" fontId="29" fillId="0" borderId="29" xfId="0" applyNumberFormat="1" applyFont="1" applyBorder="1">
      <alignment vertical="center"/>
    </xf>
    <xf numFmtId="37" fontId="4" fillId="0" borderId="35" xfId="0" applyNumberFormat="1" applyFont="1" applyBorder="1">
      <alignment vertical="center"/>
    </xf>
    <xf numFmtId="37" fontId="4" fillId="0" borderId="32" xfId="0" applyNumberFormat="1" applyFont="1" applyBorder="1">
      <alignment vertical="center"/>
    </xf>
    <xf numFmtId="0" fontId="31" fillId="2" borderId="32" xfId="0" applyFont="1" applyFill="1" applyBorder="1">
      <alignment vertical="center"/>
    </xf>
    <xf numFmtId="0" fontId="42" fillId="0" borderId="32" xfId="0" applyFont="1" applyBorder="1">
      <alignment vertical="center"/>
    </xf>
    <xf numFmtId="3" fontId="29" fillId="0" borderId="36" xfId="0" applyNumberFormat="1" applyFont="1" applyBorder="1">
      <alignment vertical="center"/>
    </xf>
    <xf numFmtId="0" fontId="3" fillId="0" borderId="37" xfId="0" applyFont="1" applyBorder="1">
      <alignment vertical="center"/>
    </xf>
    <xf numFmtId="3" fontId="3" fillId="0" borderId="37" xfId="0" applyNumberFormat="1" applyFont="1" applyBorder="1">
      <alignment vertical="center"/>
    </xf>
    <xf numFmtId="3" fontId="29" fillId="0" borderId="32" xfId="0" applyNumberFormat="1" applyFont="1" applyBorder="1">
      <alignment vertical="center"/>
    </xf>
    <xf numFmtId="3" fontId="4" fillId="0" borderId="35" xfId="0" applyNumberFormat="1" applyFont="1" applyBorder="1">
      <alignment vertical="center"/>
    </xf>
    <xf numFmtId="3" fontId="29" fillId="0" borderId="38" xfId="0" applyNumberFormat="1" applyFont="1" applyBorder="1">
      <alignment vertical="center"/>
    </xf>
    <xf numFmtId="3" fontId="12" fillId="0" borderId="32" xfId="0" applyNumberFormat="1" applyFont="1" applyBorder="1">
      <alignment vertical="center"/>
    </xf>
    <xf numFmtId="3" fontId="4" fillId="0" borderId="38" xfId="0" applyNumberFormat="1" applyFont="1" applyBorder="1">
      <alignment vertical="center"/>
    </xf>
    <xf numFmtId="3" fontId="29" fillId="0" borderId="39" xfId="0" applyNumberFormat="1" applyFont="1" applyBorder="1">
      <alignment vertical="center"/>
    </xf>
    <xf numFmtId="3" fontId="12" fillId="0" borderId="37" xfId="0" applyNumberFormat="1" applyFont="1" applyBorder="1">
      <alignment vertical="center"/>
    </xf>
    <xf numFmtId="3" fontId="4" fillId="0" borderId="40" xfId="0" applyNumberFormat="1" applyFont="1" applyBorder="1">
      <alignment vertical="center"/>
    </xf>
    <xf numFmtId="0" fontId="4" fillId="0" borderId="41" xfId="0" applyFont="1" applyBorder="1">
      <alignment vertical="center"/>
    </xf>
    <xf numFmtId="37" fontId="4" fillId="0" borderId="41" xfId="0" applyNumberFormat="1" applyFont="1" applyBorder="1">
      <alignment vertical="center"/>
    </xf>
    <xf numFmtId="0" fontId="39" fillId="0" borderId="0" xfId="0" applyFont="1">
      <alignment vertical="center"/>
    </xf>
    <xf numFmtId="3" fontId="4" fillId="0" borderId="41" xfId="0" applyNumberFormat="1" applyFont="1" applyBorder="1">
      <alignment vertical="center"/>
    </xf>
    <xf numFmtId="0" fontId="4" fillId="0" borderId="42" xfId="0" applyFont="1" applyBorder="1">
      <alignment vertical="center"/>
    </xf>
    <xf numFmtId="0" fontId="3" fillId="0" borderId="42" xfId="0" applyFont="1" applyBorder="1">
      <alignment vertical="center"/>
    </xf>
    <xf numFmtId="14" fontId="39" fillId="0" borderId="0" xfId="0" applyNumberFormat="1" applyFont="1">
      <alignment vertical="center"/>
    </xf>
    <xf numFmtId="10" fontId="3" fillId="0" borderId="0" xfId="0" applyNumberFormat="1" applyFont="1">
      <alignment vertical="center"/>
    </xf>
    <xf numFmtId="10" fontId="39" fillId="0" borderId="0" xfId="0" applyNumberFormat="1" applyFont="1">
      <alignment vertical="center"/>
    </xf>
    <xf numFmtId="37" fontId="4" fillId="0" borderId="43" xfId="0" applyNumberFormat="1" applyFont="1" applyBorder="1">
      <alignment vertical="center"/>
    </xf>
    <xf numFmtId="37" fontId="4" fillId="0" borderId="6" xfId="0" applyNumberFormat="1" applyFont="1" applyBorder="1">
      <alignment vertical="center"/>
    </xf>
    <xf numFmtId="37" fontId="4" fillId="0" borderId="44" xfId="0" applyNumberFormat="1" applyFont="1" applyBorder="1">
      <alignment vertical="center"/>
    </xf>
    <xf numFmtId="37" fontId="39" fillId="0" borderId="32" xfId="0" applyNumberFormat="1" applyFont="1" applyBorder="1">
      <alignment vertical="center"/>
    </xf>
    <xf numFmtId="172" fontId="42" fillId="0" borderId="0" xfId="0" applyNumberFormat="1" applyFont="1">
      <alignment vertical="center"/>
    </xf>
    <xf numFmtId="3" fontId="4" fillId="0" borderId="44" xfId="0" applyNumberFormat="1" applyFont="1" applyBorder="1">
      <alignment vertical="center"/>
    </xf>
    <xf numFmtId="172" fontId="42" fillId="0" borderId="32" xfId="0" applyNumberFormat="1" applyFont="1" applyBorder="1">
      <alignment vertical="center"/>
    </xf>
    <xf numFmtId="164" fontId="39" fillId="9" borderId="0" xfId="0" applyNumberFormat="1" applyFont="1" applyFill="1">
      <alignment vertical="center"/>
    </xf>
    <xf numFmtId="177" fontId="4" fillId="0" borderId="0" xfId="0" applyNumberFormat="1" applyFont="1">
      <alignment vertical="center"/>
    </xf>
    <xf numFmtId="0" fontId="51" fillId="0" borderId="46" xfId="0" applyFont="1" applyBorder="1">
      <alignment vertical="center"/>
    </xf>
    <xf numFmtId="0" fontId="3" fillId="0" borderId="46" xfId="0" applyFont="1" applyBorder="1">
      <alignment vertical="center"/>
    </xf>
    <xf numFmtId="14" fontId="51" fillId="0" borderId="47" xfId="0" applyNumberFormat="1" applyFont="1" applyBorder="1">
      <alignment vertical="center"/>
    </xf>
    <xf numFmtId="0" fontId="51" fillId="0" borderId="0" xfId="0" applyFont="1">
      <alignment vertical="center"/>
    </xf>
    <xf numFmtId="164" fontId="51" fillId="0" borderId="0" xfId="0" applyNumberFormat="1" applyFont="1">
      <alignment vertical="center"/>
    </xf>
    <xf numFmtId="0" fontId="4" fillId="0" borderId="28" xfId="0" applyFont="1" applyBorder="1" applyAlignment="1"/>
    <xf numFmtId="37" fontId="4" fillId="0" borderId="31" xfId="0" applyNumberFormat="1" applyFont="1" applyBorder="1">
      <alignment vertical="center"/>
    </xf>
    <xf numFmtId="180" fontId="3" fillId="0" borderId="0" xfId="0" applyNumberFormat="1" applyFont="1">
      <alignment vertical="center"/>
    </xf>
    <xf numFmtId="3" fontId="3" fillId="0" borderId="46" xfId="0" applyNumberFormat="1" applyFont="1" applyBorder="1">
      <alignment vertical="center"/>
    </xf>
    <xf numFmtId="3" fontId="3" fillId="9" borderId="0" xfId="0" applyNumberFormat="1" applyFont="1" applyFill="1">
      <alignment vertical="center"/>
    </xf>
    <xf numFmtId="0" fontId="3" fillId="6" borderId="0" xfId="0" applyFont="1" applyFill="1">
      <alignment vertical="center"/>
    </xf>
    <xf numFmtId="0" fontId="3" fillId="10" borderId="0" xfId="0" applyFont="1" applyFill="1">
      <alignment vertical="center"/>
    </xf>
    <xf numFmtId="181" fontId="4" fillId="0" borderId="0" xfId="0" applyNumberFormat="1" applyFont="1" applyAlignment="1">
      <alignment horizontal="right" vertical="center"/>
    </xf>
    <xf numFmtId="14" fontId="51" fillId="0" borderId="46" xfId="0" applyNumberFormat="1" applyFont="1" applyBorder="1">
      <alignment vertical="center"/>
    </xf>
    <xf numFmtId="37" fontId="3" fillId="0" borderId="48" xfId="0" applyNumberFormat="1" applyFont="1" applyBorder="1">
      <alignment vertical="center"/>
    </xf>
    <xf numFmtId="0" fontId="3" fillId="0" borderId="0" xfId="0" applyFont="1" applyAlignment="1">
      <alignment horizontal="center" vertical="center"/>
    </xf>
    <xf numFmtId="3" fontId="34" fillId="0" borderId="18" xfId="0" applyNumberFormat="1" applyFont="1" applyBorder="1">
      <alignment vertical="center"/>
    </xf>
    <xf numFmtId="167" fontId="3" fillId="0" borderId="9" xfId="0" applyNumberFormat="1" applyFont="1" applyBorder="1">
      <alignment vertical="center"/>
    </xf>
    <xf numFmtId="10" fontId="3" fillId="0" borderId="18" xfId="0" applyNumberFormat="1" applyFont="1" applyBorder="1">
      <alignment vertical="center"/>
    </xf>
    <xf numFmtId="3" fontId="3" fillId="11" borderId="0" xfId="0" applyNumberFormat="1" applyFont="1" applyFill="1">
      <alignment vertical="center"/>
    </xf>
    <xf numFmtId="3" fontId="12" fillId="11" borderId="0" xfId="0" applyNumberFormat="1" applyFont="1" applyFill="1">
      <alignment vertical="center"/>
    </xf>
    <xf numFmtId="3" fontId="3" fillId="12" borderId="0" xfId="0" applyNumberFormat="1" applyFont="1" applyFill="1">
      <alignment vertical="center"/>
    </xf>
    <xf numFmtId="3" fontId="34" fillId="0" borderId="0" xfId="0" applyNumberFormat="1" applyFont="1">
      <alignment vertical="center"/>
    </xf>
    <xf numFmtId="10" fontId="3" fillId="0" borderId="8" xfId="0" applyNumberFormat="1" applyFont="1" applyBorder="1">
      <alignment vertical="center"/>
    </xf>
    <xf numFmtId="10" fontId="3" fillId="0" borderId="9" xfId="0" applyNumberFormat="1" applyFont="1" applyBorder="1">
      <alignment vertical="center"/>
    </xf>
    <xf numFmtId="0" fontId="4" fillId="0" borderId="0" xfId="0" applyFont="1" applyAlignment="1">
      <alignment horizontal="left" vertical="center"/>
    </xf>
    <xf numFmtId="182" fontId="51" fillId="0" borderId="46" xfId="0" applyNumberFormat="1" applyFont="1" applyBorder="1" applyAlignment="1">
      <alignment horizontal="left" vertical="center"/>
    </xf>
    <xf numFmtId="164" fontId="52" fillId="0" borderId="0" xfId="0" applyNumberFormat="1" applyFont="1">
      <alignment vertical="center"/>
    </xf>
    <xf numFmtId="164" fontId="3" fillId="0" borderId="0" xfId="0" applyNumberFormat="1" applyFont="1">
      <alignment vertical="center"/>
    </xf>
    <xf numFmtId="172" fontId="3" fillId="10" borderId="0" xfId="0" applyNumberFormat="1" applyFont="1" applyFill="1">
      <alignment vertical="center"/>
    </xf>
    <xf numFmtId="0" fontId="51" fillId="0" borderId="28" xfId="0" applyFont="1" applyBorder="1">
      <alignment vertical="center"/>
    </xf>
    <xf numFmtId="3" fontId="51" fillId="0" borderId="28" xfId="0" applyNumberFormat="1" applyFont="1" applyBorder="1">
      <alignment vertical="center"/>
    </xf>
    <xf numFmtId="0" fontId="12" fillId="6" borderId="0" xfId="0" applyFont="1" applyFill="1">
      <alignment vertical="center"/>
    </xf>
    <xf numFmtId="0" fontId="31" fillId="8" borderId="0" xfId="0" applyFont="1" applyFill="1">
      <alignment vertical="center"/>
    </xf>
    <xf numFmtId="177" fontId="31" fillId="8" borderId="0" xfId="0" applyNumberFormat="1" applyFont="1" applyFill="1">
      <alignment vertical="center"/>
    </xf>
    <xf numFmtId="0" fontId="31" fillId="6" borderId="0" xfId="0" applyFont="1" applyFill="1">
      <alignment vertical="center"/>
    </xf>
    <xf numFmtId="177" fontId="31" fillId="6" borderId="0" xfId="0" applyNumberFormat="1" applyFont="1" applyFill="1">
      <alignment vertical="center"/>
    </xf>
    <xf numFmtId="3" fontId="12" fillId="0" borderId="0" xfId="0" applyNumberFormat="1" applyFont="1" applyAlignment="1">
      <alignment horizontal="right" vertical="center"/>
    </xf>
    <xf numFmtId="172" fontId="32" fillId="0" borderId="0" xfId="0" applyNumberFormat="1" applyFont="1">
      <alignment vertical="center"/>
    </xf>
    <xf numFmtId="9" fontId="12" fillId="0" borderId="0" xfId="0" applyNumberFormat="1" applyFont="1">
      <alignment vertical="center"/>
    </xf>
    <xf numFmtId="181" fontId="31" fillId="8" borderId="0" xfId="0" applyNumberFormat="1" applyFont="1" applyFill="1">
      <alignment vertical="center"/>
    </xf>
    <xf numFmtId="181" fontId="31" fillId="6" borderId="0" xfId="0" applyNumberFormat="1" applyFont="1" applyFill="1">
      <alignment vertical="center"/>
    </xf>
    <xf numFmtId="3" fontId="12" fillId="13" borderId="0" xfId="0" applyNumberFormat="1" applyFont="1" applyFill="1">
      <alignment vertical="center"/>
    </xf>
    <xf numFmtId="172" fontId="32" fillId="14" borderId="49" xfId="0" applyNumberFormat="1" applyFont="1" applyFill="1" applyBorder="1">
      <alignment vertical="center"/>
    </xf>
    <xf numFmtId="0" fontId="12" fillId="13" borderId="0" xfId="0" applyFont="1" applyFill="1">
      <alignment vertical="center"/>
    </xf>
    <xf numFmtId="172" fontId="12" fillId="13" borderId="0" xfId="0" applyNumberFormat="1" applyFont="1" applyFill="1">
      <alignment vertical="center"/>
    </xf>
    <xf numFmtId="172" fontId="32" fillId="13" borderId="0" xfId="0" applyNumberFormat="1" applyFont="1" applyFill="1">
      <alignment vertical="center"/>
    </xf>
    <xf numFmtId="3" fontId="32" fillId="13" borderId="0" xfId="0" applyNumberFormat="1" applyFont="1" applyFill="1">
      <alignment vertical="center"/>
    </xf>
    <xf numFmtId="172" fontId="32" fillId="13" borderId="50" xfId="0" applyNumberFormat="1" applyFont="1" applyFill="1" applyBorder="1">
      <alignment vertical="center"/>
    </xf>
    <xf numFmtId="0" fontId="53" fillId="0" borderId="0" xfId="0" applyFont="1">
      <alignment vertical="center"/>
    </xf>
    <xf numFmtId="0" fontId="54" fillId="0" borderId="0" xfId="0" applyFont="1">
      <alignment vertical="center"/>
    </xf>
    <xf numFmtId="0" fontId="55" fillId="0" borderId="0" xfId="0" applyFont="1">
      <alignment vertical="center"/>
    </xf>
    <xf numFmtId="165" fontId="44" fillId="0" borderId="0" xfId="0" applyNumberFormat="1" applyFont="1">
      <alignment vertical="center"/>
    </xf>
    <xf numFmtId="0" fontId="57" fillId="6" borderId="0" xfId="0" applyFont="1" applyFill="1">
      <alignment vertical="center"/>
    </xf>
    <xf numFmtId="0" fontId="58" fillId="0" borderId="0" xfId="0" applyFont="1">
      <alignment vertical="center"/>
    </xf>
    <xf numFmtId="0" fontId="62" fillId="0" borderId="0" xfId="0" applyFont="1">
      <alignment vertical="center"/>
    </xf>
    <xf numFmtId="0" fontId="63" fillId="0" borderId="0" xfId="0" applyFont="1">
      <alignment vertical="center"/>
    </xf>
    <xf numFmtId="0" fontId="64" fillId="0" borderId="0" xfId="0" applyFont="1">
      <alignment vertical="center"/>
    </xf>
    <xf numFmtId="0" fontId="66" fillId="0" borderId="0" xfId="0" applyFont="1">
      <alignment vertical="center"/>
    </xf>
    <xf numFmtId="165" fontId="62" fillId="0" borderId="0" xfId="0" applyNumberFormat="1" applyFont="1">
      <alignment vertical="center"/>
    </xf>
    <xf numFmtId="0" fontId="67" fillId="0" borderId="0" xfId="0" applyFont="1">
      <alignment vertical="center"/>
    </xf>
    <xf numFmtId="0" fontId="68" fillId="2" borderId="0" xfId="0" applyFont="1" applyFill="1">
      <alignment vertical="center"/>
    </xf>
    <xf numFmtId="0" fontId="67" fillId="0" borderId="52" xfId="0" applyFont="1" applyBorder="1">
      <alignment vertical="center"/>
    </xf>
    <xf numFmtId="0" fontId="67" fillId="0" borderId="51" xfId="0" applyFont="1" applyBorder="1">
      <alignment vertical="center"/>
    </xf>
    <xf numFmtId="0" fontId="67" fillId="0" borderId="53" xfId="0" applyFont="1" applyBorder="1">
      <alignment vertical="center"/>
    </xf>
    <xf numFmtId="0" fontId="69" fillId="0" borderId="52" xfId="2" applyFont="1" applyBorder="1">
      <alignment vertical="center"/>
    </xf>
    <xf numFmtId="0" fontId="70" fillId="0" borderId="52" xfId="0" applyFont="1" applyBorder="1" applyAlignment="1">
      <alignment horizontal="center" vertical="center"/>
    </xf>
    <xf numFmtId="0" fontId="71" fillId="8" borderId="0" xfId="0" applyFont="1" applyFill="1">
      <alignment vertical="center"/>
    </xf>
    <xf numFmtId="0" fontId="72" fillId="8" borderId="0" xfId="0" applyFont="1" applyFill="1">
      <alignment vertical="center"/>
    </xf>
    <xf numFmtId="0" fontId="67" fillId="15" borderId="0" xfId="0" applyFont="1" applyFill="1">
      <alignment vertical="center"/>
    </xf>
    <xf numFmtId="0" fontId="67" fillId="6" borderId="0" xfId="0" applyFont="1" applyFill="1">
      <alignment vertical="center"/>
    </xf>
    <xf numFmtId="0" fontId="70" fillId="0" borderId="0" xfId="0" applyFont="1">
      <alignment vertical="center"/>
    </xf>
    <xf numFmtId="10" fontId="67" fillId="0" borderId="0" xfId="0" applyNumberFormat="1" applyFont="1">
      <alignment vertical="center"/>
    </xf>
    <xf numFmtId="0" fontId="62" fillId="0" borderId="52" xfId="0" applyFont="1" applyBorder="1" applyAlignment="1"/>
    <xf numFmtId="0" fontId="62" fillId="0" borderId="51" xfId="0" applyFont="1" applyBorder="1" applyAlignment="1">
      <alignment horizontal="center"/>
    </xf>
    <xf numFmtId="0" fontId="67" fillId="0" borderId="0" xfId="0" applyFont="1" applyAlignment="1">
      <alignment vertical="center" wrapText="1"/>
    </xf>
    <xf numFmtId="0" fontId="62" fillId="0" borderId="0" xfId="0" applyFont="1" applyAlignment="1"/>
    <xf numFmtId="0" fontId="62" fillId="0" borderId="0" xfId="0" applyFont="1" applyAlignment="1">
      <alignment horizontal="center"/>
    </xf>
    <xf numFmtId="10" fontId="62" fillId="0" borderId="0" xfId="0" applyNumberFormat="1" applyFont="1" applyAlignment="1"/>
    <xf numFmtId="0" fontId="62" fillId="6" borderId="0" xfId="0" applyFont="1" applyFill="1" applyAlignment="1">
      <alignment horizontal="left" vertical="center"/>
    </xf>
    <xf numFmtId="0" fontId="68" fillId="6" borderId="0" xfId="0" applyFont="1" applyFill="1" applyAlignment="1">
      <alignment horizontal="center" vertical="center"/>
    </xf>
    <xf numFmtId="0" fontId="73" fillId="6" borderId="0" xfId="0" applyFont="1" applyFill="1">
      <alignment vertical="center"/>
    </xf>
    <xf numFmtId="0" fontId="74" fillId="0" borderId="0" xfId="0" applyFont="1">
      <alignment vertical="center"/>
    </xf>
    <xf numFmtId="0" fontId="67" fillId="0" borderId="54" xfId="0" applyFont="1" applyBorder="1">
      <alignment vertical="center"/>
    </xf>
    <xf numFmtId="0" fontId="67" fillId="0" borderId="55" xfId="0" applyFont="1" applyBorder="1">
      <alignment vertical="center"/>
    </xf>
    <xf numFmtId="0" fontId="29" fillId="0" borderId="31" xfId="0" applyFont="1" applyBorder="1">
      <alignment vertical="center"/>
    </xf>
    <xf numFmtId="10" fontId="29" fillId="0" borderId="31" xfId="0" applyNumberFormat="1" applyFont="1" applyBorder="1">
      <alignment vertical="center"/>
    </xf>
    <xf numFmtId="172" fontId="67" fillId="0" borderId="0" xfId="0" applyNumberFormat="1" applyFont="1">
      <alignment vertical="center"/>
    </xf>
    <xf numFmtId="10" fontId="62" fillId="0" borderId="27" xfId="0" applyNumberFormat="1" applyFont="1" applyBorder="1" applyAlignment="1"/>
    <xf numFmtId="10" fontId="67" fillId="0" borderId="27" xfId="0" applyNumberFormat="1" applyFont="1" applyBorder="1">
      <alignment vertical="center"/>
    </xf>
    <xf numFmtId="173" fontId="67" fillId="0" borderId="27" xfId="0" applyNumberFormat="1" applyFont="1" applyBorder="1">
      <alignment vertical="center"/>
    </xf>
    <xf numFmtId="164" fontId="62" fillId="0" borderId="59" xfId="0" applyNumberFormat="1" applyFont="1" applyBorder="1" applyAlignment="1"/>
    <xf numFmtId="3" fontId="62" fillId="0" borderId="59" xfId="0" applyNumberFormat="1" applyFont="1" applyBorder="1" applyAlignment="1"/>
    <xf numFmtId="0" fontId="73" fillId="8" borderId="0" xfId="0" applyFont="1" applyFill="1">
      <alignment vertical="center"/>
    </xf>
    <xf numFmtId="0" fontId="75" fillId="0" borderId="0" xfId="0" applyFont="1">
      <alignment vertical="center"/>
    </xf>
    <xf numFmtId="0" fontId="76" fillId="0" borderId="0" xfId="0" applyFont="1">
      <alignment vertical="center"/>
    </xf>
    <xf numFmtId="0" fontId="0" fillId="6" borderId="0" xfId="0" applyFill="1">
      <alignment vertical="center"/>
    </xf>
    <xf numFmtId="183" fontId="62" fillId="0" borderId="0" xfId="0" applyNumberFormat="1" applyFont="1">
      <alignment vertical="center"/>
    </xf>
    <xf numFmtId="183" fontId="63" fillId="0" borderId="0" xfId="0" applyNumberFormat="1" applyFont="1">
      <alignment vertical="center"/>
    </xf>
    <xf numFmtId="183" fontId="63" fillId="0" borderId="31" xfId="0" applyNumberFormat="1" applyFont="1" applyBorder="1">
      <alignment vertical="center"/>
    </xf>
    <xf numFmtId="183" fontId="62" fillId="0" borderId="32" xfId="0" applyNumberFormat="1" applyFont="1" applyBorder="1">
      <alignment vertical="center"/>
    </xf>
    <xf numFmtId="181" fontId="4" fillId="0" borderId="37" xfId="0" applyNumberFormat="1" applyFont="1" applyBorder="1" applyAlignment="1">
      <alignment horizontal="right" vertical="center"/>
    </xf>
    <xf numFmtId="14" fontId="51" fillId="0" borderId="60" xfId="0" applyNumberFormat="1" applyFont="1" applyBorder="1">
      <alignment vertical="center"/>
    </xf>
    <xf numFmtId="0" fontId="51" fillId="0" borderId="37" xfId="0" applyFont="1" applyBorder="1">
      <alignment vertical="center"/>
    </xf>
    <xf numFmtId="173" fontId="51" fillId="0" borderId="37" xfId="0" applyNumberFormat="1" applyFont="1" applyBorder="1">
      <alignment vertical="center"/>
    </xf>
    <xf numFmtId="37" fontId="3" fillId="0" borderId="37" xfId="0" applyNumberFormat="1" applyFont="1" applyBorder="1">
      <alignment vertical="center"/>
    </xf>
    <xf numFmtId="183" fontId="62" fillId="0" borderId="37" xfId="0" applyNumberFormat="1" applyFont="1" applyBorder="1">
      <alignment vertical="center"/>
    </xf>
    <xf numFmtId="37" fontId="4" fillId="0" borderId="39" xfId="0" applyNumberFormat="1" applyFont="1" applyBorder="1">
      <alignment vertical="center"/>
    </xf>
    <xf numFmtId="183" fontId="63" fillId="0" borderId="39" xfId="0" applyNumberFormat="1" applyFont="1" applyBorder="1">
      <alignment vertical="center"/>
    </xf>
    <xf numFmtId="183" fontId="63" fillId="0" borderId="37" xfId="0" applyNumberFormat="1" applyFont="1" applyBorder="1">
      <alignment vertical="center"/>
    </xf>
    <xf numFmtId="10" fontId="67" fillId="15" borderId="0" xfId="0" applyNumberFormat="1" applyFont="1" applyFill="1">
      <alignment vertical="center"/>
    </xf>
    <xf numFmtId="2" fontId="3" fillId="0" borderId="0" xfId="0" applyNumberFormat="1" applyFont="1" applyAlignment="1">
      <alignment horizontal="right" vertical="center"/>
    </xf>
    <xf numFmtId="172" fontId="78" fillId="0" borderId="0" xfId="0" applyNumberFormat="1" applyFont="1">
      <alignment vertical="center"/>
    </xf>
    <xf numFmtId="9" fontId="12" fillId="0" borderId="37" xfId="0" applyNumberFormat="1" applyFont="1" applyBorder="1">
      <alignment vertical="center"/>
    </xf>
    <xf numFmtId="0" fontId="23" fillId="15" borderId="13" xfId="0" applyFont="1" applyFill="1" applyBorder="1" applyAlignment="1">
      <alignment horizontal="left" vertical="center"/>
    </xf>
    <xf numFmtId="0" fontId="23" fillId="15" borderId="12" xfId="0" applyFont="1" applyFill="1" applyBorder="1" applyAlignment="1">
      <alignment horizontal="left" vertical="center"/>
    </xf>
    <xf numFmtId="173" fontId="23" fillId="15" borderId="14" xfId="0" applyNumberFormat="1" applyFont="1" applyFill="1" applyBorder="1" applyAlignment="1">
      <alignment horizontal="center" vertical="center"/>
    </xf>
    <xf numFmtId="3" fontId="62" fillId="0" borderId="32" xfId="0" applyNumberFormat="1" applyFont="1" applyBorder="1" applyAlignment="1">
      <alignment horizontal="right" vertical="center"/>
    </xf>
    <xf numFmtId="3" fontId="62" fillId="0" borderId="0" xfId="0" applyNumberFormat="1" applyFont="1" applyAlignment="1">
      <alignment horizontal="right" vertical="center"/>
    </xf>
    <xf numFmtId="172" fontId="62" fillId="0" borderId="32" xfId="0" applyNumberFormat="1" applyFont="1" applyBorder="1">
      <alignment vertical="center"/>
    </xf>
    <xf numFmtId="172" fontId="62" fillId="0" borderId="0" xfId="0" applyNumberFormat="1" applyFont="1">
      <alignment vertical="center"/>
    </xf>
    <xf numFmtId="172" fontId="62" fillId="0" borderId="61" xfId="0" applyNumberFormat="1" applyFont="1" applyBorder="1">
      <alignment vertical="center"/>
    </xf>
    <xf numFmtId="173" fontId="62" fillId="0" borderId="32" xfId="0" applyNumberFormat="1" applyFont="1" applyBorder="1">
      <alignment vertical="center"/>
    </xf>
    <xf numFmtId="173" fontId="62" fillId="0" borderId="0" xfId="0" applyNumberFormat="1" applyFont="1">
      <alignment vertical="center"/>
    </xf>
    <xf numFmtId="173" fontId="62" fillId="0" borderId="61" xfId="0" applyNumberFormat="1" applyFont="1" applyBorder="1">
      <alignment vertical="center"/>
    </xf>
    <xf numFmtId="173" fontId="62" fillId="0" borderId="32" xfId="0" applyNumberFormat="1" applyFont="1" applyBorder="1" applyAlignment="1">
      <alignment horizontal="right" vertical="center"/>
    </xf>
    <xf numFmtId="173" fontId="62" fillId="0" borderId="0" xfId="0" applyNumberFormat="1" applyFont="1" applyAlignment="1">
      <alignment horizontal="right" vertical="center"/>
    </xf>
    <xf numFmtId="173" fontId="62" fillId="0" borderId="61" xfId="0" applyNumberFormat="1" applyFont="1" applyBorder="1" applyAlignment="1">
      <alignment horizontal="right" vertical="center"/>
    </xf>
    <xf numFmtId="0" fontId="36" fillId="0" borderId="26" xfId="0" applyFont="1" applyBorder="1">
      <alignment vertical="center"/>
    </xf>
    <xf numFmtId="172" fontId="79" fillId="0" borderId="0" xfId="0" applyNumberFormat="1" applyFont="1">
      <alignment vertical="center"/>
    </xf>
    <xf numFmtId="0" fontId="0" fillId="8" borderId="0" xfId="0" applyFill="1">
      <alignment vertical="center"/>
    </xf>
    <xf numFmtId="0" fontId="81" fillId="8" borderId="0" xfId="0" applyFont="1" applyFill="1">
      <alignment vertical="center"/>
    </xf>
    <xf numFmtId="0" fontId="81" fillId="0" borderId="0" xfId="0" applyFont="1">
      <alignment vertical="center"/>
    </xf>
    <xf numFmtId="177" fontId="71" fillId="8" borderId="0" xfId="0" applyNumberFormat="1" applyFont="1" applyFill="1">
      <alignment vertical="center"/>
    </xf>
    <xf numFmtId="181" fontId="71" fillId="8" borderId="0" xfId="0" applyNumberFormat="1" applyFont="1" applyFill="1">
      <alignment vertical="center"/>
    </xf>
    <xf numFmtId="0" fontId="82" fillId="0" borderId="0" xfId="0" applyFont="1">
      <alignment vertical="center"/>
    </xf>
    <xf numFmtId="0" fontId="84" fillId="0" borderId="57" xfId="0" applyFont="1" applyBorder="1">
      <alignment vertical="center"/>
    </xf>
    <xf numFmtId="0" fontId="84" fillId="0" borderId="56" xfId="0" applyFont="1" applyBorder="1">
      <alignment vertical="center"/>
    </xf>
    <xf numFmtId="0" fontId="71" fillId="2" borderId="0" xfId="0" applyFont="1" applyFill="1">
      <alignment vertical="center"/>
    </xf>
    <xf numFmtId="177" fontId="71" fillId="2" borderId="0" xfId="0" applyNumberFormat="1" applyFont="1" applyFill="1">
      <alignment vertical="center"/>
    </xf>
    <xf numFmtId="181" fontId="71" fillId="2" borderId="32" xfId="0" applyNumberFormat="1" applyFont="1" applyFill="1" applyBorder="1">
      <alignment vertical="center"/>
    </xf>
    <xf numFmtId="181" fontId="71" fillId="2" borderId="0" xfId="0" applyNumberFormat="1" applyFont="1" applyFill="1">
      <alignment vertical="center"/>
    </xf>
    <xf numFmtId="0" fontId="0" fillId="0" borderId="30" xfId="0" applyBorder="1">
      <alignment vertical="center"/>
    </xf>
    <xf numFmtId="0" fontId="6" fillId="0" borderId="0" xfId="0" applyFont="1" applyAlignment="1">
      <alignment wrapText="1"/>
    </xf>
    <xf numFmtId="0" fontId="2" fillId="0" borderId="45" xfId="0" applyFont="1" applyBorder="1">
      <alignment vertical="center"/>
    </xf>
    <xf numFmtId="0" fontId="4" fillId="14" borderId="42" xfId="0" applyFont="1" applyFill="1" applyBorder="1">
      <alignment vertical="center"/>
    </xf>
    <xf numFmtId="0" fontId="67" fillId="0" borderId="59" xfId="0" applyFont="1" applyBorder="1" applyAlignment="1">
      <alignment horizontal="center" vertical="center" wrapText="1"/>
    </xf>
    <xf numFmtId="0" fontId="67" fillId="0" borderId="59" xfId="0" applyFont="1" applyBorder="1">
      <alignment vertical="center"/>
    </xf>
    <xf numFmtId="0" fontId="70" fillId="0" borderId="59" xfId="0" applyFont="1" applyBorder="1">
      <alignment vertical="center"/>
    </xf>
    <xf numFmtId="0" fontId="71" fillId="6" borderId="0" xfId="0" applyFont="1" applyFill="1">
      <alignment vertical="center"/>
    </xf>
    <xf numFmtId="0" fontId="81" fillId="6" borderId="0" xfId="0" applyFont="1" applyFill="1">
      <alignment vertical="center"/>
    </xf>
    <xf numFmtId="177" fontId="71" fillId="6" borderId="0" xfId="0" applyNumberFormat="1" applyFont="1" applyFill="1">
      <alignment vertical="center"/>
    </xf>
    <xf numFmtId="181" fontId="71" fillId="6" borderId="0" xfId="0" applyNumberFormat="1" applyFont="1" applyFill="1">
      <alignment vertical="center"/>
    </xf>
    <xf numFmtId="37" fontId="39" fillId="0" borderId="37" xfId="0" applyNumberFormat="1" applyFont="1" applyBorder="1">
      <alignment vertical="center"/>
    </xf>
    <xf numFmtId="173" fontId="67" fillId="0" borderId="0" xfId="0" applyNumberFormat="1" applyFont="1">
      <alignment vertical="center"/>
    </xf>
    <xf numFmtId="173" fontId="67" fillId="0" borderId="24" xfId="0" applyNumberFormat="1" applyFont="1" applyBorder="1">
      <alignment vertical="center"/>
    </xf>
    <xf numFmtId="9" fontId="67" fillId="0" borderId="0" xfId="0" applyNumberFormat="1" applyFont="1">
      <alignment vertical="center"/>
    </xf>
    <xf numFmtId="9" fontId="67" fillId="0" borderId="37" xfId="0" applyNumberFormat="1" applyFont="1" applyBorder="1">
      <alignment vertical="center"/>
    </xf>
    <xf numFmtId="0" fontId="3" fillId="0" borderId="71" xfId="0" applyFont="1" applyBorder="1">
      <alignment vertical="center"/>
    </xf>
    <xf numFmtId="37" fontId="4" fillId="0" borderId="72" xfId="0" applyNumberFormat="1" applyFont="1" applyBorder="1">
      <alignment vertical="center"/>
    </xf>
    <xf numFmtId="0" fontId="42" fillId="0" borderId="71" xfId="0" applyFont="1" applyBorder="1">
      <alignment vertical="center"/>
    </xf>
    <xf numFmtId="0" fontId="63" fillId="0" borderId="21" xfId="0" applyFont="1" applyBorder="1">
      <alignment vertical="center"/>
    </xf>
    <xf numFmtId="3" fontId="63" fillId="0" borderId="21" xfId="0" applyNumberFormat="1" applyFont="1" applyBorder="1">
      <alignment vertical="center"/>
    </xf>
    <xf numFmtId="0" fontId="4" fillId="15" borderId="0" xfId="0" applyFont="1" applyFill="1">
      <alignment vertical="center"/>
    </xf>
    <xf numFmtId="0" fontId="3" fillId="15" borderId="0" xfId="0" applyFont="1" applyFill="1">
      <alignment vertical="center"/>
    </xf>
    <xf numFmtId="0" fontId="39" fillId="15" borderId="0" xfId="0" applyFont="1" applyFill="1">
      <alignment vertical="center"/>
    </xf>
    <xf numFmtId="0" fontId="42" fillId="15" borderId="32" xfId="0" applyFont="1" applyFill="1" applyBorder="1">
      <alignment vertical="center"/>
    </xf>
    <xf numFmtId="172" fontId="42" fillId="15" borderId="0" xfId="0" applyNumberFormat="1" applyFont="1" applyFill="1">
      <alignment vertical="center"/>
    </xf>
    <xf numFmtId="0" fontId="70" fillId="15" borderId="0" xfId="0" applyFont="1" applyFill="1">
      <alignment vertical="center"/>
    </xf>
    <xf numFmtId="0" fontId="42" fillId="15" borderId="0" xfId="0" applyFont="1" applyFill="1">
      <alignment vertical="center"/>
    </xf>
    <xf numFmtId="172" fontId="86" fillId="17" borderId="0" xfId="0" applyNumberFormat="1" applyFont="1" applyFill="1" applyAlignment="1">
      <alignment horizontal="center" vertical="top" wrapText="1"/>
    </xf>
    <xf numFmtId="177" fontId="31" fillId="8" borderId="37" xfId="0" applyNumberFormat="1" applyFont="1" applyFill="1" applyBorder="1">
      <alignment vertical="center"/>
    </xf>
    <xf numFmtId="177" fontId="31" fillId="6" borderId="37" xfId="0" applyNumberFormat="1" applyFont="1" applyFill="1" applyBorder="1">
      <alignment vertical="center"/>
    </xf>
    <xf numFmtId="0" fontId="12" fillId="0" borderId="37" xfId="0" applyFont="1" applyBorder="1">
      <alignment vertical="center"/>
    </xf>
    <xf numFmtId="3" fontId="12" fillId="0" borderId="37" xfId="0" applyNumberFormat="1" applyFont="1" applyBorder="1" applyAlignment="1">
      <alignment horizontal="right" vertical="center"/>
    </xf>
    <xf numFmtId="0" fontId="32" fillId="0" borderId="37" xfId="0" applyFont="1" applyBorder="1">
      <alignment vertical="center"/>
    </xf>
    <xf numFmtId="172" fontId="32" fillId="0" borderId="37" xfId="0" applyNumberFormat="1" applyFont="1" applyBorder="1">
      <alignment vertical="center"/>
    </xf>
    <xf numFmtId="172" fontId="67" fillId="0" borderId="37" xfId="0" applyNumberFormat="1" applyFont="1" applyBorder="1">
      <alignment vertical="center"/>
    </xf>
    <xf numFmtId="172" fontId="12" fillId="0" borderId="37" xfId="0" applyNumberFormat="1" applyFont="1" applyBorder="1">
      <alignment vertical="center"/>
    </xf>
    <xf numFmtId="172" fontId="86" fillId="17" borderId="37" xfId="0" applyNumberFormat="1" applyFont="1" applyFill="1" applyBorder="1" applyAlignment="1">
      <alignment horizontal="center" vertical="top" wrapText="1"/>
    </xf>
    <xf numFmtId="0" fontId="87" fillId="0" borderId="0" xfId="0" applyFont="1">
      <alignment vertical="center"/>
    </xf>
    <xf numFmtId="0" fontId="88" fillId="6" borderId="0" xfId="0" applyFont="1" applyFill="1" applyAlignment="1">
      <alignment horizontal="left" vertical="top"/>
    </xf>
    <xf numFmtId="0" fontId="89" fillId="6" borderId="0" xfId="0" applyFont="1" applyFill="1">
      <alignment vertical="center"/>
    </xf>
    <xf numFmtId="0" fontId="90" fillId="0" borderId="0" xfId="0" applyFont="1">
      <alignment vertical="center"/>
    </xf>
    <xf numFmtId="173" fontId="67" fillId="0" borderId="37" xfId="0" applyNumberFormat="1" applyFont="1" applyBorder="1">
      <alignment vertical="center"/>
    </xf>
    <xf numFmtId="3" fontId="91" fillId="0" borderId="73" xfId="0" applyNumberFormat="1" applyFont="1" applyBorder="1">
      <alignment vertical="center"/>
    </xf>
    <xf numFmtId="3" fontId="91" fillId="0" borderId="21" xfId="0" applyNumberFormat="1" applyFont="1" applyBorder="1">
      <alignment vertical="center"/>
    </xf>
    <xf numFmtId="0" fontId="42" fillId="0" borderId="37" xfId="0" applyFont="1" applyBorder="1">
      <alignment vertical="center"/>
    </xf>
    <xf numFmtId="0" fontId="71" fillId="6" borderId="0" xfId="0" applyFont="1" applyFill="1" applyAlignment="1">
      <alignment horizontal="center" vertical="center"/>
    </xf>
    <xf numFmtId="10" fontId="67" fillId="6" borderId="0" xfId="0" applyNumberFormat="1" applyFont="1" applyFill="1">
      <alignment vertical="center"/>
    </xf>
    <xf numFmtId="0" fontId="67" fillId="0" borderId="59" xfId="0" applyFont="1" applyBorder="1" applyAlignment="1">
      <alignment vertical="center" wrapText="1"/>
    </xf>
    <xf numFmtId="0" fontId="67" fillId="0" borderId="63" xfId="0" applyFont="1" applyBorder="1">
      <alignment vertical="center"/>
    </xf>
    <xf numFmtId="0" fontId="67" fillId="0" borderId="62" xfId="0" applyFont="1" applyBorder="1">
      <alignment vertical="center"/>
    </xf>
    <xf numFmtId="3" fontId="94" fillId="0" borderId="75" xfId="0" applyNumberFormat="1" applyFont="1" applyBorder="1">
      <alignment vertical="center"/>
    </xf>
    <xf numFmtId="167" fontId="93" fillId="0" borderId="76" xfId="0" applyNumberFormat="1" applyFont="1" applyBorder="1">
      <alignment vertical="center"/>
    </xf>
    <xf numFmtId="10" fontId="93" fillId="0" borderId="75" xfId="0" applyNumberFormat="1" applyFont="1" applyBorder="1">
      <alignment vertical="center"/>
    </xf>
    <xf numFmtId="3" fontId="93" fillId="0" borderId="0" xfId="0" applyNumberFormat="1" applyFont="1">
      <alignment vertical="center"/>
    </xf>
    <xf numFmtId="3" fontId="93" fillId="18" borderId="0" xfId="0" applyNumberFormat="1" applyFont="1" applyFill="1">
      <alignment vertical="center"/>
    </xf>
    <xf numFmtId="3" fontId="67" fillId="18" borderId="0" xfId="0" applyNumberFormat="1" applyFont="1" applyFill="1">
      <alignment vertical="center"/>
    </xf>
    <xf numFmtId="3" fontId="93" fillId="4" borderId="0" xfId="0" applyNumberFormat="1" applyFont="1" applyFill="1">
      <alignment vertical="center"/>
    </xf>
    <xf numFmtId="10" fontId="93" fillId="0" borderId="77" xfId="0" applyNumberFormat="1" applyFont="1" applyBorder="1">
      <alignment vertical="center"/>
    </xf>
    <xf numFmtId="10" fontId="93" fillId="0" borderId="76" xfId="0" applyNumberFormat="1" applyFont="1" applyBorder="1">
      <alignment vertical="center"/>
    </xf>
    <xf numFmtId="0" fontId="0" fillId="11" borderId="0" xfId="0" applyFill="1">
      <alignment vertical="center"/>
    </xf>
    <xf numFmtId="173" fontId="10" fillId="2" borderId="1" xfId="0" applyNumberFormat="1" applyFont="1" applyFill="1" applyBorder="1" applyAlignment="1">
      <alignment horizontal="right" vertical="top"/>
    </xf>
    <xf numFmtId="0" fontId="70" fillId="0" borderId="59" xfId="0" applyFont="1" applyBorder="1" applyAlignment="1">
      <alignment vertical="center" wrapText="1"/>
    </xf>
    <xf numFmtId="0" fontId="36" fillId="0" borderId="78" xfId="0" applyFont="1" applyBorder="1">
      <alignment vertical="center"/>
    </xf>
    <xf numFmtId="0" fontId="12" fillId="0" borderId="78" xfId="0" applyFont="1" applyBorder="1">
      <alignment vertical="center"/>
    </xf>
    <xf numFmtId="0" fontId="36" fillId="0" borderId="79" xfId="0" applyFont="1" applyBorder="1">
      <alignment vertical="center"/>
    </xf>
    <xf numFmtId="0" fontId="92" fillId="0" borderId="78" xfId="0" applyFont="1" applyBorder="1">
      <alignment vertical="center"/>
    </xf>
    <xf numFmtId="3" fontId="62" fillId="0" borderId="0" xfId="0" applyNumberFormat="1" applyFont="1">
      <alignment vertical="center"/>
    </xf>
    <xf numFmtId="3" fontId="63" fillId="0" borderId="0" xfId="0" applyNumberFormat="1" applyFont="1">
      <alignment vertical="center"/>
    </xf>
    <xf numFmtId="0" fontId="96" fillId="0" borderId="0" xfId="0" applyFont="1">
      <alignment vertical="center"/>
    </xf>
    <xf numFmtId="3" fontId="96" fillId="0" borderId="0" xfId="0" applyNumberFormat="1" applyFont="1">
      <alignment vertical="center"/>
    </xf>
    <xf numFmtId="0" fontId="97" fillId="0" borderId="0" xfId="0" applyFont="1">
      <alignment vertical="center"/>
    </xf>
    <xf numFmtId="3" fontId="44" fillId="0" borderId="0" xfId="0" applyNumberFormat="1" applyFont="1">
      <alignment vertical="center"/>
    </xf>
    <xf numFmtId="0" fontId="96" fillId="0" borderId="21" xfId="0" applyFont="1" applyBorder="1">
      <alignment vertical="center"/>
    </xf>
    <xf numFmtId="0" fontId="97" fillId="0" borderId="21" xfId="0" applyFont="1" applyBorder="1">
      <alignment vertical="center"/>
    </xf>
    <xf numFmtId="3" fontId="96" fillId="0" borderId="21" xfId="0" applyNumberFormat="1" applyFont="1" applyBorder="1">
      <alignment vertical="center"/>
    </xf>
    <xf numFmtId="0" fontId="62" fillId="0" borderId="31" xfId="0" applyFont="1" applyBorder="1">
      <alignment vertical="center"/>
    </xf>
    <xf numFmtId="0" fontId="44" fillId="0" borderId="31" xfId="0" applyFont="1" applyBorder="1">
      <alignment vertical="center"/>
    </xf>
    <xf numFmtId="3" fontId="63" fillId="0" borderId="31" xfId="0" applyNumberFormat="1" applyFont="1" applyBorder="1">
      <alignment vertical="center"/>
    </xf>
    <xf numFmtId="0" fontId="44" fillId="0" borderId="30" xfId="0" applyFont="1" applyBorder="1">
      <alignment vertical="center"/>
    </xf>
    <xf numFmtId="3" fontId="63" fillId="0" borderId="30" xfId="0" applyNumberFormat="1" applyFont="1" applyBorder="1">
      <alignment vertical="center"/>
    </xf>
    <xf numFmtId="0" fontId="63" fillId="0" borderId="30" xfId="0" applyFont="1" applyBorder="1">
      <alignment vertical="center"/>
    </xf>
    <xf numFmtId="0" fontId="54" fillId="0" borderId="30" xfId="0" applyFont="1" applyBorder="1">
      <alignment vertical="center"/>
    </xf>
    <xf numFmtId="0" fontId="63" fillId="0" borderId="31" xfId="0" applyFont="1" applyBorder="1">
      <alignment vertical="center"/>
    </xf>
    <xf numFmtId="0" fontId="63" fillId="0" borderId="80" xfId="0" applyFont="1" applyBorder="1">
      <alignment vertical="center"/>
    </xf>
    <xf numFmtId="0" fontId="54" fillId="0" borderId="80" xfId="0" applyFont="1" applyBorder="1">
      <alignment vertical="center"/>
    </xf>
    <xf numFmtId="0" fontId="54" fillId="0" borderId="31" xfId="0" applyFont="1" applyBorder="1">
      <alignment vertical="center"/>
    </xf>
    <xf numFmtId="3" fontId="63" fillId="0" borderId="80" xfId="0" applyNumberFormat="1" applyFont="1" applyBorder="1">
      <alignment vertical="center"/>
    </xf>
    <xf numFmtId="0" fontId="98" fillId="8" borderId="0" xfId="0" applyFont="1" applyFill="1">
      <alignment vertical="center"/>
    </xf>
    <xf numFmtId="0" fontId="99" fillId="8" borderId="0" xfId="0" applyFont="1" applyFill="1">
      <alignment vertical="center"/>
    </xf>
    <xf numFmtId="0" fontId="96" fillId="0" borderId="30" xfId="0" applyFont="1" applyBorder="1">
      <alignment vertical="center"/>
    </xf>
    <xf numFmtId="0" fontId="97" fillId="0" borderId="30" xfId="0" applyFont="1" applyBorder="1">
      <alignment vertical="center"/>
    </xf>
    <xf numFmtId="3" fontId="96" fillId="0" borderId="30" xfId="0" applyNumberFormat="1" applyFont="1" applyBorder="1">
      <alignment vertical="center"/>
    </xf>
    <xf numFmtId="0" fontId="63" fillId="0" borderId="81" xfId="0" applyFont="1" applyBorder="1">
      <alignment vertical="center"/>
    </xf>
    <xf numFmtId="0" fontId="54" fillId="0" borderId="81" xfId="0" applyFont="1" applyBorder="1">
      <alignment vertical="center"/>
    </xf>
    <xf numFmtId="3" fontId="63" fillId="0" borderId="81" xfId="0" applyNumberFormat="1" applyFont="1" applyBorder="1">
      <alignment vertical="center"/>
    </xf>
    <xf numFmtId="0" fontId="44" fillId="0" borderId="81" xfId="0" applyFont="1" applyBorder="1">
      <alignment vertical="center"/>
    </xf>
    <xf numFmtId="0" fontId="63" fillId="0" borderId="20" xfId="0" applyFont="1" applyBorder="1">
      <alignment vertical="center"/>
    </xf>
    <xf numFmtId="0" fontId="54" fillId="0" borderId="20" xfId="0" applyFont="1" applyBorder="1">
      <alignment vertical="center"/>
    </xf>
    <xf numFmtId="3" fontId="63" fillId="0" borderId="20" xfId="0" applyNumberFormat="1" applyFont="1" applyBorder="1">
      <alignment vertical="center"/>
    </xf>
    <xf numFmtId="0" fontId="98" fillId="6" borderId="0" xfId="0" applyFont="1" applyFill="1">
      <alignment vertical="center"/>
    </xf>
    <xf numFmtId="0" fontId="99" fillId="6" borderId="0" xfId="0" applyFont="1" applyFill="1">
      <alignment vertical="center"/>
    </xf>
    <xf numFmtId="0" fontId="53" fillId="6" borderId="0" xfId="0" applyFont="1" applyFill="1">
      <alignment vertical="center"/>
    </xf>
    <xf numFmtId="0" fontId="100" fillId="8" borderId="0" xfId="0" applyFont="1" applyFill="1">
      <alignment vertical="center"/>
    </xf>
    <xf numFmtId="0" fontId="101" fillId="8" borderId="0" xfId="0" applyFont="1" applyFill="1">
      <alignment vertical="center"/>
    </xf>
    <xf numFmtId="3" fontId="73" fillId="8" borderId="0" xfId="0" applyNumberFormat="1" applyFont="1" applyFill="1">
      <alignment vertical="center"/>
    </xf>
    <xf numFmtId="0" fontId="103" fillId="8" borderId="0" xfId="0" applyFont="1" applyFill="1">
      <alignment vertical="center"/>
    </xf>
    <xf numFmtId="186" fontId="48" fillId="0" borderId="0" xfId="0" applyNumberFormat="1" applyFont="1" applyAlignment="1">
      <alignment horizontal="right" vertical="center"/>
    </xf>
    <xf numFmtId="187" fontId="62" fillId="0" borderId="0" xfId="0" applyNumberFormat="1" applyFont="1">
      <alignment vertical="center"/>
    </xf>
    <xf numFmtId="0" fontId="63" fillId="6" borderId="0" xfId="0" applyFont="1" applyFill="1">
      <alignment vertical="center"/>
    </xf>
    <xf numFmtId="0" fontId="65" fillId="6" borderId="0" xfId="0" applyFont="1" applyFill="1">
      <alignment vertical="center"/>
    </xf>
    <xf numFmtId="3" fontId="62" fillId="6" borderId="0" xfId="0" applyNumberFormat="1" applyFont="1" applyFill="1">
      <alignment vertical="center"/>
    </xf>
    <xf numFmtId="0" fontId="44" fillId="6" borderId="0" xfId="0" applyFont="1" applyFill="1">
      <alignment vertical="center"/>
    </xf>
    <xf numFmtId="0" fontId="64" fillId="6" borderId="0" xfId="0" applyFont="1" applyFill="1">
      <alignment vertical="center"/>
    </xf>
    <xf numFmtId="3" fontId="63" fillId="6" borderId="0" xfId="0" applyNumberFormat="1" applyFont="1" applyFill="1">
      <alignment vertical="center"/>
    </xf>
    <xf numFmtId="0" fontId="102" fillId="6" borderId="0" xfId="0" applyFont="1" applyFill="1">
      <alignment vertical="center"/>
    </xf>
    <xf numFmtId="3" fontId="73" fillId="6" borderId="0" xfId="0" applyNumberFormat="1" applyFont="1" applyFill="1">
      <alignment vertical="center"/>
    </xf>
    <xf numFmtId="0" fontId="55" fillId="6" borderId="0" xfId="0" applyFont="1" applyFill="1">
      <alignment vertical="center"/>
    </xf>
    <xf numFmtId="0" fontId="63" fillId="15" borderId="0" xfId="0" applyFont="1" applyFill="1">
      <alignment vertical="center"/>
    </xf>
    <xf numFmtId="0" fontId="44" fillId="15" borderId="0" xfId="0" applyFont="1" applyFill="1">
      <alignment vertical="center"/>
    </xf>
    <xf numFmtId="3" fontId="62" fillId="15" borderId="0" xfId="0" applyNumberFormat="1" applyFont="1" applyFill="1">
      <alignment vertical="center"/>
    </xf>
    <xf numFmtId="0" fontId="104" fillId="0" borderId="0" xfId="0" applyFont="1">
      <alignment vertical="center"/>
    </xf>
    <xf numFmtId="0" fontId="64" fillId="0" borderId="0" xfId="0" applyFont="1" applyAlignment="1">
      <alignment vertical="top" wrapText="1"/>
    </xf>
    <xf numFmtId="3" fontId="105" fillId="0" borderId="0" xfId="0" applyNumberFormat="1" applyFont="1">
      <alignment vertical="center"/>
    </xf>
    <xf numFmtId="3" fontId="105" fillId="0" borderId="0" xfId="0" applyNumberFormat="1" applyFont="1" applyAlignment="1">
      <alignment horizontal="right" vertical="center"/>
    </xf>
    <xf numFmtId="0" fontId="106" fillId="0" borderId="21" xfId="0" applyFont="1" applyBorder="1">
      <alignment vertical="center"/>
    </xf>
    <xf numFmtId="0" fontId="107" fillId="6" borderId="0" xfId="0" applyFont="1" applyFill="1" applyAlignment="1">
      <alignment horizontal="right" vertical="center"/>
    </xf>
    <xf numFmtId="168" fontId="3" fillId="0" borderId="0" xfId="0" applyNumberFormat="1" applyFont="1">
      <alignment vertical="center"/>
    </xf>
    <xf numFmtId="0" fontId="72" fillId="8" borderId="0" xfId="0" applyFont="1" applyFill="1" applyAlignment="1">
      <alignment horizontal="right" vertical="center"/>
    </xf>
    <xf numFmtId="0" fontId="4" fillId="6" borderId="0" xfId="0" applyFont="1" applyFill="1">
      <alignment vertical="center"/>
    </xf>
    <xf numFmtId="37" fontId="39" fillId="6" borderId="0" xfId="0" applyNumberFormat="1" applyFont="1" applyFill="1">
      <alignment vertical="center"/>
    </xf>
    <xf numFmtId="37" fontId="12" fillId="6" borderId="37" xfId="0" applyNumberFormat="1" applyFont="1" applyFill="1" applyBorder="1">
      <alignment vertical="center"/>
    </xf>
    <xf numFmtId="37" fontId="12" fillId="6" borderId="0" xfId="0" applyNumberFormat="1" applyFont="1" applyFill="1">
      <alignment vertical="center"/>
    </xf>
    <xf numFmtId="37" fontId="12" fillId="6" borderId="32" xfId="0" applyNumberFormat="1" applyFont="1" applyFill="1" applyBorder="1">
      <alignment vertical="center"/>
    </xf>
    <xf numFmtId="0" fontId="29" fillId="6" borderId="29" xfId="0" applyFont="1" applyFill="1" applyBorder="1">
      <alignment vertical="center"/>
    </xf>
    <xf numFmtId="0" fontId="0" fillId="6" borderId="20" xfId="0" applyFill="1" applyBorder="1">
      <alignment vertical="center"/>
    </xf>
    <xf numFmtId="37" fontId="29" fillId="6" borderId="29" xfId="0" applyNumberFormat="1" applyFont="1" applyFill="1" applyBorder="1">
      <alignment vertical="center"/>
    </xf>
    <xf numFmtId="37" fontId="29" fillId="6" borderId="35" xfId="0" applyNumberFormat="1" applyFont="1" applyFill="1" applyBorder="1">
      <alignment vertical="center"/>
    </xf>
    <xf numFmtId="168" fontId="85" fillId="16" borderId="65" xfId="0" applyNumberFormat="1" applyFont="1" applyFill="1" applyBorder="1">
      <alignment vertical="center"/>
    </xf>
    <xf numFmtId="168" fontId="85" fillId="16" borderId="66" xfId="0" applyNumberFormat="1" applyFont="1" applyFill="1" applyBorder="1">
      <alignment vertical="center"/>
    </xf>
    <xf numFmtId="168" fontId="85" fillId="16" borderId="67" xfId="0" applyNumberFormat="1" applyFont="1" applyFill="1" applyBorder="1">
      <alignment vertical="center"/>
    </xf>
    <xf numFmtId="168" fontId="85" fillId="16" borderId="68" xfId="0" applyNumberFormat="1" applyFont="1" applyFill="1" applyBorder="1">
      <alignment vertical="center"/>
    </xf>
    <xf numFmtId="185" fontId="85" fillId="16" borderId="69" xfId="0" applyNumberFormat="1" applyFont="1" applyFill="1" applyBorder="1">
      <alignment vertical="center"/>
    </xf>
    <xf numFmtId="185" fontId="85" fillId="16" borderId="70" xfId="0" applyNumberFormat="1" applyFont="1" applyFill="1" applyBorder="1">
      <alignment vertical="center"/>
    </xf>
    <xf numFmtId="0" fontId="61" fillId="6" borderId="0" xfId="0" applyFont="1" applyFill="1" applyAlignment="1">
      <alignment horizontal="center" vertical="center"/>
    </xf>
    <xf numFmtId="0" fontId="30" fillId="0" borderId="0" xfId="0" applyFont="1">
      <alignment vertical="center"/>
    </xf>
    <xf numFmtId="0" fontId="6" fillId="6" borderId="0" xfId="0" applyFont="1" applyFill="1" applyAlignment="1">
      <alignment horizontal="left" vertical="top"/>
    </xf>
    <xf numFmtId="0" fontId="8" fillId="6" borderId="0" xfId="0" applyFont="1" applyFill="1">
      <alignment vertical="center"/>
    </xf>
    <xf numFmtId="0" fontId="8" fillId="0" borderId="0" xfId="0" applyFont="1">
      <alignment vertical="center"/>
    </xf>
    <xf numFmtId="0" fontId="14" fillId="6" borderId="0" xfId="0" applyFont="1" applyFill="1">
      <alignment vertical="center"/>
    </xf>
    <xf numFmtId="0" fontId="61" fillId="2" borderId="0" xfId="0" applyFont="1" applyFill="1">
      <alignment vertical="center"/>
    </xf>
    <xf numFmtId="0" fontId="110" fillId="0" borderId="0" xfId="0" applyFont="1" applyAlignment="1">
      <alignment horizontal="center" vertical="center"/>
    </xf>
    <xf numFmtId="0" fontId="111" fillId="0" borderId="0" xfId="0" applyFont="1" applyAlignment="1">
      <alignment horizontal="center" vertical="center"/>
    </xf>
    <xf numFmtId="0" fontId="112" fillId="0" borderId="0" xfId="0" applyFont="1">
      <alignment vertical="center"/>
    </xf>
    <xf numFmtId="0" fontId="113" fillId="0" borderId="0" xfId="0" applyFont="1" applyAlignment="1">
      <alignment horizontal="center" vertical="top"/>
    </xf>
    <xf numFmtId="0" fontId="68" fillId="8" borderId="82" xfId="0" applyFont="1" applyFill="1" applyBorder="1" applyAlignment="1">
      <alignment horizontal="center" vertical="center"/>
    </xf>
    <xf numFmtId="0" fontId="114" fillId="0" borderId="0" xfId="0" applyFont="1" applyAlignment="1">
      <alignment horizontal="center" vertical="center"/>
    </xf>
    <xf numFmtId="0" fontId="110" fillId="0" borderId="83" xfId="0" applyFont="1" applyBorder="1" applyAlignment="1">
      <alignment horizontal="center" vertical="center"/>
    </xf>
    <xf numFmtId="0" fontId="110" fillId="0" borderId="83" xfId="0" applyFont="1" applyBorder="1" applyAlignment="1">
      <alignment horizontal="center" vertical="top"/>
    </xf>
    <xf numFmtId="3" fontId="67" fillId="0" borderId="83" xfId="0" applyNumberFormat="1" applyFont="1" applyBorder="1">
      <alignment vertical="center"/>
    </xf>
    <xf numFmtId="3" fontId="110" fillId="0" borderId="83" xfId="0" applyNumberFormat="1" applyFont="1" applyBorder="1" applyAlignment="1">
      <alignment horizontal="center" vertical="top"/>
    </xf>
    <xf numFmtId="3" fontId="110" fillId="0" borderId="83" xfId="0" applyNumberFormat="1" applyFont="1" applyBorder="1" applyAlignment="1">
      <alignment horizontal="center" vertical="center"/>
    </xf>
    <xf numFmtId="3" fontId="64" fillId="0" borderId="0" xfId="0" applyNumberFormat="1" applyFont="1">
      <alignment vertical="center"/>
    </xf>
    <xf numFmtId="0" fontId="110" fillId="0" borderId="84" xfId="0" applyFont="1" applyBorder="1" applyAlignment="1">
      <alignment horizontal="center" vertical="center"/>
    </xf>
    <xf numFmtId="0" fontId="110" fillId="0" borderId="84" xfId="0" applyFont="1" applyBorder="1" applyAlignment="1">
      <alignment horizontal="center" vertical="top"/>
    </xf>
    <xf numFmtId="3" fontId="67" fillId="0" borderId="84" xfId="0" applyNumberFormat="1" applyFont="1" applyBorder="1">
      <alignment vertical="center"/>
    </xf>
    <xf numFmtId="3" fontId="110" fillId="0" borderId="84" xfId="0" applyNumberFormat="1" applyFont="1" applyBorder="1" applyAlignment="1">
      <alignment horizontal="center" vertical="top"/>
    </xf>
    <xf numFmtId="3" fontId="110" fillId="0" borderId="84" xfId="0" applyNumberFormat="1" applyFont="1" applyBorder="1" applyAlignment="1">
      <alignment horizontal="center" vertical="center"/>
    </xf>
    <xf numFmtId="0" fontId="28" fillId="6" borderId="0" xfId="0" applyFont="1" applyFill="1">
      <alignment vertical="center"/>
    </xf>
    <xf numFmtId="0" fontId="77" fillId="8" borderId="0" xfId="0" applyFont="1" applyFill="1" applyAlignment="1">
      <alignment horizontal="center" vertical="center"/>
    </xf>
    <xf numFmtId="0" fontId="67" fillId="0" borderId="59" xfId="0" applyFont="1" applyBorder="1" applyAlignment="1">
      <alignment horizontal="left" vertical="center" wrapText="1"/>
    </xf>
    <xf numFmtId="0" fontId="70" fillId="0" borderId="62" xfId="0" applyFont="1" applyBorder="1" applyAlignment="1">
      <alignment horizontal="left" vertical="center"/>
    </xf>
    <xf numFmtId="0" fontId="70" fillId="0" borderId="63" xfId="0" applyFont="1" applyBorder="1" applyAlignment="1">
      <alignment horizontal="left" vertical="center"/>
    </xf>
    <xf numFmtId="0" fontId="67" fillId="0" borderId="58" xfId="0" applyFont="1" applyBorder="1" applyAlignment="1">
      <alignment horizontal="left" vertical="center"/>
    </xf>
    <xf numFmtId="0" fontId="67" fillId="0" borderId="30" xfId="0" applyFont="1" applyBorder="1" applyAlignment="1">
      <alignment horizontal="left" vertical="center"/>
    </xf>
    <xf numFmtId="0" fontId="67" fillId="0" borderId="64" xfId="0" applyFont="1" applyBorder="1" applyAlignment="1">
      <alignment horizontal="left" vertical="center"/>
    </xf>
    <xf numFmtId="0" fontId="70" fillId="0" borderId="74" xfId="0" applyFont="1" applyBorder="1" applyAlignment="1">
      <alignment horizontal="left" vertical="center"/>
    </xf>
    <xf numFmtId="0" fontId="62" fillId="0" borderId="52" xfId="0" applyFont="1" applyBorder="1" applyAlignment="1">
      <alignment horizontal="center" vertical="center" wrapText="1"/>
    </xf>
    <xf numFmtId="0" fontId="62" fillId="0" borderId="51" xfId="0" applyFont="1" applyBorder="1" applyAlignment="1">
      <alignment horizontal="center" vertical="center" wrapText="1"/>
    </xf>
    <xf numFmtId="0" fontId="62" fillId="0" borderId="53" xfId="0" applyFont="1" applyBorder="1" applyAlignment="1">
      <alignment horizontal="center" vertical="center" wrapText="1"/>
    </xf>
    <xf numFmtId="0" fontId="71" fillId="8" borderId="0" xfId="0" applyFont="1" applyFill="1" applyAlignment="1">
      <alignment horizontal="center" vertical="center"/>
    </xf>
    <xf numFmtId="184" fontId="62" fillId="6" borderId="59" xfId="0" applyNumberFormat="1" applyFont="1" applyFill="1" applyBorder="1" applyAlignment="1">
      <alignment horizontal="left" vertical="center" wrapText="1"/>
    </xf>
    <xf numFmtId="0" fontId="70" fillId="0" borderId="59" xfId="0" applyFont="1" applyBorder="1" applyAlignment="1">
      <alignment horizontal="left" vertical="center"/>
    </xf>
    <xf numFmtId="172" fontId="62" fillId="0" borderId="59" xfId="0" applyNumberFormat="1" applyFont="1" applyBorder="1" applyAlignment="1">
      <alignment horizontal="left" vertical="center"/>
    </xf>
    <xf numFmtId="0" fontId="67" fillId="0" borderId="59" xfId="0" applyFont="1" applyBorder="1" applyAlignment="1">
      <alignment horizontal="left" vertical="center"/>
    </xf>
    <xf numFmtId="0" fontId="61" fillId="8" borderId="0" xfId="0" applyFont="1" applyFill="1" applyAlignment="1">
      <alignment horizontal="center" vertical="center"/>
    </xf>
    <xf numFmtId="0" fontId="31" fillId="2" borderId="0" xfId="0" applyFont="1" applyFill="1" applyAlignment="1">
      <alignment horizontal="center" vertical="center"/>
    </xf>
    <xf numFmtId="0" fontId="3" fillId="0" borderId="0" xfId="0" applyFont="1" applyAlignment="1">
      <alignment horizontal="center" vertical="center" textRotation="180"/>
    </xf>
    <xf numFmtId="0" fontId="46" fillId="2" borderId="0" xfId="0" applyFont="1" applyFill="1" applyAlignment="1">
      <alignment horizontal="center" vertical="center"/>
    </xf>
    <xf numFmtId="0" fontId="83" fillId="2" borderId="0" xfId="0" applyFont="1" applyFill="1" applyAlignment="1">
      <alignment horizontal="center" vertical="center"/>
    </xf>
    <xf numFmtId="0" fontId="95" fillId="7" borderId="0" xfId="0" applyFont="1" applyFill="1" applyAlignment="1">
      <alignment horizontal="center" vertical="center"/>
    </xf>
    <xf numFmtId="0" fontId="67" fillId="0" borderId="0" xfId="0" applyFont="1" applyAlignment="1">
      <alignment horizontal="center" vertical="center" textRotation="180"/>
    </xf>
    <xf numFmtId="0" fontId="99" fillId="8" borderId="0" xfId="0" applyFont="1" applyFill="1" applyAlignment="1">
      <alignment horizontal="center" vertical="center"/>
    </xf>
    <xf numFmtId="0" fontId="108" fillId="2" borderId="0" xfId="0" applyFont="1" applyFill="1" applyAlignment="1">
      <alignment horizontal="center" vertical="center"/>
    </xf>
    <xf numFmtId="0" fontId="80" fillId="3" borderId="0" xfId="0" applyFont="1" applyFill="1" applyAlignment="1">
      <alignment horizontal="center" vertical="center"/>
    </xf>
    <xf numFmtId="0" fontId="28" fillId="3" borderId="0" xfId="0" applyFont="1" applyFill="1" applyAlignment="1">
      <alignment horizontal="center" vertical="center"/>
    </xf>
    <xf numFmtId="0" fontId="14" fillId="8" borderId="0" xfId="0" applyFont="1" applyFill="1" applyAlignment="1">
      <alignment horizontal="center" vertical="center"/>
    </xf>
    <xf numFmtId="0" fontId="14" fillId="3" borderId="2" xfId="0" applyFont="1" applyFill="1" applyBorder="1" applyAlignment="1">
      <alignment horizontal="center" vertical="top"/>
    </xf>
    <xf numFmtId="0" fontId="14" fillId="3" borderId="0" xfId="0" applyFont="1" applyFill="1" applyAlignment="1">
      <alignment horizontal="center" vertical="top"/>
    </xf>
    <xf numFmtId="0" fontId="13" fillId="3" borderId="0" xfId="0" applyFont="1" applyFill="1" applyAlignment="1">
      <alignment horizontal="center" vertical="center"/>
    </xf>
    <xf numFmtId="0" fontId="109" fillId="3" borderId="0" xfId="0" applyFont="1" applyFill="1" applyAlignment="1">
      <alignment horizontal="center" vertical="center"/>
    </xf>
    <xf numFmtId="0" fontId="115" fillId="2" borderId="0" xfId="0" applyFont="1" applyFill="1" applyAlignment="1">
      <alignment horizontal="center" vertical="center"/>
    </xf>
    <xf numFmtId="168" fontId="85" fillId="16" borderId="85" xfId="0" applyNumberFormat="1" applyFont="1" applyFill="1" applyBorder="1">
      <alignment vertical="center"/>
    </xf>
    <xf numFmtId="168" fontId="85" fillId="16" borderId="86" xfId="0" applyNumberFormat="1" applyFont="1" applyFill="1" applyBorder="1">
      <alignment vertical="center"/>
    </xf>
    <xf numFmtId="185" fontId="85" fillId="16" borderId="87" xfId="0" applyNumberFormat="1" applyFont="1" applyFill="1" applyBorder="1">
      <alignment vertical="center"/>
    </xf>
    <xf numFmtId="0" fontId="62" fillId="16" borderId="88" xfId="0" applyNumberFormat="1" applyFont="1" applyFill="1" applyBorder="1">
      <alignment vertical="center"/>
    </xf>
    <xf numFmtId="0" fontId="3" fillId="16" borderId="88" xfId="0" applyNumberFormat="1" applyFont="1" applyFill="1" applyBorder="1">
      <alignment vertical="center"/>
    </xf>
    <xf numFmtId="0" fontId="62" fillId="16" borderId="0" xfId="0" applyNumberFormat="1" applyFont="1" applyFill="1" applyBorder="1">
      <alignment vertical="center"/>
    </xf>
    <xf numFmtId="0" fontId="3" fillId="16" borderId="0" xfId="0" applyNumberFormat="1" applyFont="1" applyFill="1" applyBorder="1">
      <alignment vertical="center"/>
    </xf>
    <xf numFmtId="0" fontId="62" fillId="16" borderId="91" xfId="0" applyNumberFormat="1" applyFont="1" applyFill="1" applyBorder="1">
      <alignment vertical="center"/>
    </xf>
    <xf numFmtId="0" fontId="3" fillId="16" borderId="91" xfId="0" applyNumberFormat="1" applyFont="1" applyFill="1" applyBorder="1">
      <alignment vertical="center"/>
    </xf>
    <xf numFmtId="184" fontId="39" fillId="16" borderId="88" xfId="0" applyNumberFormat="1" applyFont="1" applyFill="1" applyBorder="1">
      <alignment vertical="center"/>
    </xf>
    <xf numFmtId="184" fontId="39" fillId="16" borderId="89" xfId="0" applyNumberFormat="1" applyFont="1" applyFill="1" applyBorder="1">
      <alignment vertical="center"/>
    </xf>
    <xf numFmtId="184" fontId="39" fillId="16" borderId="0" xfId="0" applyNumberFormat="1" applyFont="1" applyFill="1" applyBorder="1">
      <alignment vertical="center"/>
    </xf>
    <xf numFmtId="184" fontId="39" fillId="16" borderId="90" xfId="0" applyNumberFormat="1" applyFont="1" applyFill="1" applyBorder="1">
      <alignment vertical="center"/>
    </xf>
    <xf numFmtId="184" fontId="39" fillId="16" borderId="91" xfId="0" applyNumberFormat="1" applyFont="1" applyFill="1" applyBorder="1">
      <alignment vertical="center"/>
    </xf>
    <xf numFmtId="184" fontId="39" fillId="16" borderId="92" xfId="0" applyNumberFormat="1" applyFont="1" applyFill="1" applyBorder="1">
      <alignment vertical="center"/>
    </xf>
    <xf numFmtId="0" fontId="116" fillId="0" borderId="0" xfId="0" applyFont="1">
      <alignment vertical="center"/>
    </xf>
    <xf numFmtId="0" fontId="116" fillId="0" borderId="0" xfId="0" applyFont="1" applyAlignment="1">
      <alignment vertical="center"/>
    </xf>
    <xf numFmtId="0" fontId="117" fillId="6" borderId="0" xfId="0" applyFont="1" applyFill="1">
      <alignment vertical="center"/>
    </xf>
    <xf numFmtId="0" fontId="68" fillId="8" borderId="0" xfId="0" applyFont="1" applyFill="1" applyAlignment="1">
      <alignment horizontal="left" vertical="top"/>
    </xf>
    <xf numFmtId="0" fontId="73" fillId="8" borderId="0" xfId="0" applyFont="1" applyFill="1" applyAlignment="1">
      <alignment horizontal="left" vertical="top"/>
    </xf>
    <xf numFmtId="0" fontId="110" fillId="0" borderId="0" xfId="0" applyFont="1" applyAlignment="1">
      <alignment horizontal="left" vertical="top"/>
    </xf>
    <xf numFmtId="0" fontId="109" fillId="3" borderId="0" xfId="0" applyFont="1" applyFill="1" applyAlignment="1">
      <alignment horizontal="left" vertical="center"/>
    </xf>
    <xf numFmtId="0" fontId="68" fillId="8" borderId="48" xfId="0" applyFont="1" applyFill="1" applyBorder="1" applyAlignment="1">
      <alignment horizontal="left" vertical="center"/>
    </xf>
    <xf numFmtId="0" fontId="68" fillId="0" borderId="0" xfId="0" applyFont="1">
      <alignment vertical="center"/>
    </xf>
    <xf numFmtId="0" fontId="68" fillId="8" borderId="48" xfId="0" applyFont="1" applyFill="1" applyBorder="1">
      <alignment vertical="center"/>
    </xf>
    <xf numFmtId="172" fontId="105" fillId="0" borderId="0" xfId="0" applyNumberFormat="1" applyFont="1">
      <alignment vertical="center"/>
    </xf>
    <xf numFmtId="10" fontId="105" fillId="0" borderId="0" xfId="0" applyNumberFormat="1" applyFont="1">
      <alignment vertical="center"/>
    </xf>
    <xf numFmtId="9" fontId="105" fillId="0" borderId="0" xfId="1" applyFont="1" applyAlignment="1">
      <alignment vertical="center"/>
    </xf>
    <xf numFmtId="0" fontId="61" fillId="8" borderId="26" xfId="0" applyFont="1" applyFill="1" applyBorder="1" applyAlignment="1">
      <alignment horizontal="center" vertical="center"/>
    </xf>
    <xf numFmtId="0" fontId="62" fillId="6" borderId="80" xfId="0" applyFont="1" applyFill="1" applyBorder="1">
      <alignment vertical="center"/>
    </xf>
    <xf numFmtId="0" fontId="44" fillId="6" borderId="80" xfId="0" applyFont="1" applyFill="1" applyBorder="1">
      <alignment vertical="center"/>
    </xf>
    <xf numFmtId="3" fontId="63" fillId="6" borderId="80" xfId="0" applyNumberFormat="1" applyFont="1" applyFill="1" applyBorder="1">
      <alignment vertical="center"/>
    </xf>
    <xf numFmtId="0" fontId="62" fillId="6" borderId="0" xfId="0" applyFont="1" applyFill="1">
      <alignment vertical="center"/>
    </xf>
    <xf numFmtId="3" fontId="105" fillId="6" borderId="0" xfId="0" applyNumberFormat="1" applyFont="1" applyFill="1">
      <alignment vertical="center"/>
    </xf>
    <xf numFmtId="0" fontId="63" fillId="6" borderId="21" xfId="0" applyFont="1" applyFill="1" applyBorder="1">
      <alignment vertical="center"/>
    </xf>
    <xf numFmtId="0" fontId="54" fillId="6" borderId="21" xfId="0" applyFont="1" applyFill="1" applyBorder="1">
      <alignment vertical="center"/>
    </xf>
    <xf numFmtId="3" fontId="63" fillId="6" borderId="21" xfId="0" applyNumberFormat="1" applyFont="1" applyFill="1" applyBorder="1">
      <alignment vertical="center"/>
    </xf>
    <xf numFmtId="0" fontId="63" fillId="0" borderId="0" xfId="0" applyFont="1" applyBorder="1">
      <alignment vertical="center"/>
    </xf>
    <xf numFmtId="0" fontId="54" fillId="0" borderId="0" xfId="0" applyFont="1" applyBorder="1">
      <alignment vertical="center"/>
    </xf>
    <xf numFmtId="3" fontId="63" fillId="0" borderId="0" xfId="0" applyNumberFormat="1" applyFont="1" applyBorder="1">
      <alignment vertical="center"/>
    </xf>
    <xf numFmtId="0" fontId="117" fillId="6" borderId="0" xfId="0" applyFont="1" applyFill="1" applyAlignment="1"/>
    <xf numFmtId="0" fontId="7" fillId="0" borderId="0" xfId="0" applyFont="1" applyFill="1" applyAlignment="1">
      <alignment vertical="center"/>
    </xf>
    <xf numFmtId="0" fontId="61" fillId="2" borderId="0" xfId="0" applyFont="1" applyFill="1" applyAlignment="1">
      <alignment horizontal="center" vertical="center"/>
    </xf>
    <xf numFmtId="0" fontId="61" fillId="0" borderId="0" xfId="0" applyFont="1" applyFill="1" applyAlignment="1">
      <alignment vertical="center"/>
    </xf>
  </cellXfs>
  <cellStyles count="4">
    <cellStyle name="Hyperlink" xfId="2" builtinId="8"/>
    <cellStyle name="Normal" xfId="0" builtinId="0"/>
    <cellStyle name="Normal 2" xfId="3" xr:uid="{00000000-0005-0000-0000-000031000000}"/>
    <cellStyle name="Per cent" xfId="1" builtinId="5"/>
  </cellStyles>
  <dxfs count="0"/>
  <tableStyles count="0" defaultTableStyle="TableStyleMedium9" defaultPivotStyle="PivotStyleLight16"/>
  <colors>
    <mruColors>
      <color rgb="FFF8C7A6"/>
      <color rgb="FFFFF8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tockChart>
        <c:ser>
          <c:idx val="0"/>
          <c:order val="0"/>
          <c:tx>
            <c:strRef>
              <c:f>Summary!$G$12:$J$12</c:f>
              <c:strCache>
                <c:ptCount val="4"/>
                <c:pt idx="2">
                  <c:v>High</c:v>
                </c:pt>
              </c:strCache>
            </c:strRef>
          </c:tx>
          <c:spPr>
            <a:ln w="28575" cap="rnd">
              <a:noFill/>
              <a:round/>
            </a:ln>
            <a:effectLst/>
          </c:spPr>
          <c:marker>
            <c:symbol val="none"/>
          </c:marker>
          <c:dLbls>
            <c:delete val="1"/>
          </c:dLbls>
          <c:cat>
            <c:strRef>
              <c:f>Summary!$K$11:$N$11</c:f>
              <c:strCache>
                <c:ptCount val="4"/>
                <c:pt idx="0">
                  <c:v>Comps</c:v>
                </c:pt>
                <c:pt idx="1">
                  <c:v>DCF</c:v>
                </c:pt>
                <c:pt idx="2">
                  <c:v>52-week hi/lo</c:v>
                </c:pt>
                <c:pt idx="3">
                  <c:v>Consensus</c:v>
                </c:pt>
              </c:strCache>
            </c:strRef>
          </c:cat>
          <c:val>
            <c:numRef>
              <c:f>Summary!$K$12:$N$12</c:f>
              <c:numCache>
                <c:formatCode>#,##0</c:formatCode>
                <c:ptCount val="4"/>
                <c:pt idx="0">
                  <c:v>966.13833921939261</c:v>
                </c:pt>
                <c:pt idx="1">
                  <c:v>106</c:v>
                </c:pt>
                <c:pt idx="2">
                  <c:v>967.6</c:v>
                </c:pt>
                <c:pt idx="3">
                  <c:v>690</c:v>
                </c:pt>
              </c:numCache>
            </c:numRef>
          </c:val>
          <c:smooth val="0"/>
          <c:extLst>
            <c:ext xmlns:c16="http://schemas.microsoft.com/office/drawing/2014/chart" uri="{C3380CC4-5D6E-409C-BE32-E72D297353CC}">
              <c16:uniqueId val="{00000000-4B06-4380-9D1B-AA2C61CA0CFC}"/>
            </c:ext>
          </c:extLst>
        </c:ser>
        <c:ser>
          <c:idx val="1"/>
          <c:order val="1"/>
          <c:tx>
            <c:strRef>
              <c:f>Summary!$G$13:$J$13</c:f>
              <c:strCache>
                <c:ptCount val="4"/>
                <c:pt idx="2">
                  <c:v>High</c:v>
                </c:pt>
              </c:strCache>
            </c:strRef>
          </c:tx>
          <c:spPr>
            <a:ln w="28575" cap="rnd">
              <a:noFill/>
              <a:round/>
            </a:ln>
            <a:effectLst/>
          </c:spPr>
          <c:marker>
            <c:symbol val="none"/>
          </c:marker>
          <c:dLbls>
            <c:dLbl>
              <c:idx val="1"/>
              <c:layout>
                <c:manualLayout>
                  <c:x val="0"/>
                  <c:y val="3.05555555555556E-2"/>
                </c:manualLayout>
              </c:layout>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B06-4380-9D1B-AA2C61CA0CFC}"/>
                </c:ext>
              </c:extLst>
            </c:dLbl>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lumMod val="75000"/>
                        <a:lumOff val="25000"/>
                      </a:schemeClr>
                    </a:solidFill>
                    <a:latin typeface="+mn-lt"/>
                    <a:ea typeface="+mn-ea"/>
                    <a:cs typeface="+mn-cs"/>
                  </a:defRPr>
                </a:pPr>
                <a:endParaRPr lang="hi-I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Summary!$K$11:$N$11</c:f>
              <c:strCache>
                <c:ptCount val="4"/>
                <c:pt idx="0">
                  <c:v>Comps</c:v>
                </c:pt>
                <c:pt idx="1">
                  <c:v>DCF</c:v>
                </c:pt>
                <c:pt idx="2">
                  <c:v>52-week hi/lo</c:v>
                </c:pt>
                <c:pt idx="3">
                  <c:v>Consensus</c:v>
                </c:pt>
              </c:strCache>
            </c:strRef>
          </c:cat>
          <c:val>
            <c:numRef>
              <c:f>Summary!$K$13:$N$13</c:f>
              <c:numCache>
                <c:formatCode>#,##0</c:formatCode>
                <c:ptCount val="4"/>
                <c:pt idx="0">
                  <c:v>966.13833921939261</c:v>
                </c:pt>
                <c:pt idx="1">
                  <c:v>106</c:v>
                </c:pt>
                <c:pt idx="2">
                  <c:v>967.6</c:v>
                </c:pt>
                <c:pt idx="3">
                  <c:v>690</c:v>
                </c:pt>
              </c:numCache>
            </c:numRef>
          </c:val>
          <c:smooth val="0"/>
          <c:extLst>
            <c:ext xmlns:c16="http://schemas.microsoft.com/office/drawing/2014/chart" uri="{C3380CC4-5D6E-409C-BE32-E72D297353CC}">
              <c16:uniqueId val="{00000002-4B06-4380-9D1B-AA2C61CA0CFC}"/>
            </c:ext>
          </c:extLst>
        </c:ser>
        <c:ser>
          <c:idx val="2"/>
          <c:order val="2"/>
          <c:tx>
            <c:strRef>
              <c:f>Summary!$G$14:$J$14</c:f>
              <c:strCache>
                <c:ptCount val="4"/>
                <c:pt idx="2">
                  <c:v>Low</c:v>
                </c:pt>
              </c:strCache>
            </c:strRef>
          </c:tx>
          <c:spPr>
            <a:ln w="28575"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hi-IN"/>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Summary!$K$11:$N$11</c:f>
              <c:strCache>
                <c:ptCount val="4"/>
                <c:pt idx="0">
                  <c:v>Comps</c:v>
                </c:pt>
                <c:pt idx="1">
                  <c:v>DCF</c:v>
                </c:pt>
                <c:pt idx="2">
                  <c:v>52-week hi/lo</c:v>
                </c:pt>
                <c:pt idx="3">
                  <c:v>Consensus</c:v>
                </c:pt>
              </c:strCache>
            </c:strRef>
          </c:cat>
          <c:val>
            <c:numRef>
              <c:f>Summary!$K$14:$N$14</c:f>
              <c:numCache>
                <c:formatCode>#,##0</c:formatCode>
                <c:ptCount val="4"/>
                <c:pt idx="0">
                  <c:v>663.20049206156841</c:v>
                </c:pt>
                <c:pt idx="1">
                  <c:v>80</c:v>
                </c:pt>
                <c:pt idx="2">
                  <c:v>622</c:v>
                </c:pt>
                <c:pt idx="3">
                  <c:v>450</c:v>
                </c:pt>
              </c:numCache>
            </c:numRef>
          </c:val>
          <c:smooth val="0"/>
          <c:extLst>
            <c:ext xmlns:c16="http://schemas.microsoft.com/office/drawing/2014/chart" uri="{C3380CC4-5D6E-409C-BE32-E72D297353CC}">
              <c16:uniqueId val="{00000003-4B06-4380-9D1B-AA2C61CA0CFC}"/>
            </c:ext>
          </c:extLst>
        </c:ser>
        <c:ser>
          <c:idx val="3"/>
          <c:order val="3"/>
          <c:tx>
            <c:strRef>
              <c:f>Summary!$G$15:$J$15</c:f>
              <c:strCache>
                <c:ptCount val="4"/>
                <c:pt idx="2">
                  <c:v>Low</c:v>
                </c:pt>
              </c:strCache>
            </c:strRef>
          </c:tx>
          <c:spPr>
            <a:ln w="28575"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lumMod val="75000"/>
                        <a:lumOff val="25000"/>
                      </a:schemeClr>
                    </a:solidFill>
                    <a:latin typeface="+mn-lt"/>
                    <a:ea typeface="+mn-ea"/>
                    <a:cs typeface="+mn-cs"/>
                  </a:defRPr>
                </a:pPr>
                <a:endParaRPr lang="hi-IN"/>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Summary!$K$11:$N$11</c:f>
              <c:strCache>
                <c:ptCount val="4"/>
                <c:pt idx="0">
                  <c:v>Comps</c:v>
                </c:pt>
                <c:pt idx="1">
                  <c:v>DCF</c:v>
                </c:pt>
                <c:pt idx="2">
                  <c:v>52-week hi/lo</c:v>
                </c:pt>
                <c:pt idx="3">
                  <c:v>Consensus</c:v>
                </c:pt>
              </c:strCache>
            </c:strRef>
          </c:cat>
          <c:val>
            <c:numRef>
              <c:f>Summary!$K$15:$N$15</c:f>
              <c:numCache>
                <c:formatCode>#,##0</c:formatCode>
                <c:ptCount val="4"/>
                <c:pt idx="0">
                  <c:v>663.20049206156841</c:v>
                </c:pt>
                <c:pt idx="1">
                  <c:v>80</c:v>
                </c:pt>
                <c:pt idx="2">
                  <c:v>622</c:v>
                </c:pt>
                <c:pt idx="3">
                  <c:v>450</c:v>
                </c:pt>
              </c:numCache>
            </c:numRef>
          </c:val>
          <c:smooth val="0"/>
          <c:extLst>
            <c:ext xmlns:c16="http://schemas.microsoft.com/office/drawing/2014/chart" uri="{C3380CC4-5D6E-409C-BE32-E72D297353CC}">
              <c16:uniqueId val="{00000004-4B06-4380-9D1B-AA2C61CA0CFC}"/>
            </c:ext>
          </c:extLst>
        </c:ser>
        <c:dLbls>
          <c:showLegendKey val="0"/>
          <c:showVal val="1"/>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accent1">
                  <a:lumMod val="60000"/>
                  <a:lumOff val="40000"/>
                </a:schemeClr>
              </a:solidFill>
              <a:ln w="9525" cap="flat" cmpd="sng" algn="ctr">
                <a:solidFill>
                  <a:schemeClr val="tx1">
                    <a:lumMod val="65000"/>
                    <a:lumOff val="35000"/>
                  </a:schemeClr>
                </a:solidFill>
                <a:round/>
              </a:ln>
              <a:effectLst/>
            </c:spPr>
          </c:downBars>
        </c:upDownBars>
        <c:axId val="38275552"/>
        <c:axId val="38276512"/>
      </c:stockChart>
      <c:catAx>
        <c:axId val="38275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ln>
                  <a:noFill/>
                </a:ln>
                <a:solidFill>
                  <a:schemeClr val="tx1">
                    <a:lumMod val="65000"/>
                    <a:lumOff val="35000"/>
                  </a:schemeClr>
                </a:solidFill>
                <a:latin typeface="+mn-lt"/>
                <a:ea typeface="+mn-ea"/>
                <a:cs typeface="+mn-cs"/>
              </a:defRPr>
            </a:pPr>
            <a:endParaRPr lang="hi-IN"/>
          </a:p>
        </c:txPr>
        <c:crossAx val="38276512"/>
        <c:crosses val="autoZero"/>
        <c:auto val="1"/>
        <c:lblAlgn val="ctr"/>
        <c:lblOffset val="100"/>
        <c:noMultiLvlLbl val="0"/>
      </c:catAx>
      <c:valAx>
        <c:axId val="38276512"/>
        <c:scaling>
          <c:orientation val="minMax"/>
          <c:max val="1200"/>
          <c:min val="10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900" b="1" i="0" u="none" strike="noStrike" kern="1200" baseline="0">
                <a:solidFill>
                  <a:schemeClr val="tx1">
                    <a:lumMod val="65000"/>
                    <a:lumOff val="35000"/>
                  </a:schemeClr>
                </a:solidFill>
                <a:latin typeface="+mn-lt"/>
                <a:ea typeface="+mn-ea"/>
                <a:cs typeface="+mn-cs"/>
              </a:defRPr>
            </a:pPr>
            <a:endParaRPr lang="hi-IN"/>
          </a:p>
        </c:txPr>
        <c:crossAx val="38275552"/>
        <c:crosses val="autoZero"/>
        <c:crossBetween val="between"/>
      </c:valAx>
      <c:spPr>
        <a:noFill/>
        <a:ln>
          <a:noFill/>
        </a:ln>
        <a:effectLst/>
      </c:spPr>
    </c:plotArea>
    <c:plotVisOnly val="1"/>
    <c:dispBlanksAs val="gap"/>
    <c:showDLblsOverMax val="0"/>
    <c:extLst>
      <c:ext uri="{0b15fc19-7d7d-44ad-8c2d-2c3a37ce22c3}">
        <chartProps xmlns="https://web.wps.cn/et/2018/main" chartId="{f082e619-ae4f-489c-97e3-993d1f8c51a6}"/>
      </c:ext>
    </c:extLst>
  </c:chart>
  <c:spPr>
    <a:solidFill>
      <a:schemeClr val="bg1"/>
    </a:solidFill>
    <a:ln w="9525" cap="flat" cmpd="sng" algn="ctr">
      <a:noFill/>
      <a:round/>
    </a:ln>
    <a:effectLst/>
  </c:spPr>
  <c:txPr>
    <a:bodyPr/>
    <a:lstStyle/>
    <a:p>
      <a:pPr>
        <a:defRPr lang="en-US"/>
      </a:pPr>
      <a:endParaRPr lang="hi-I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60960</xdr:colOff>
      <xdr:row>0</xdr:row>
      <xdr:rowOff>106680</xdr:rowOff>
    </xdr:from>
    <xdr:to>
      <xdr:col>3</xdr:col>
      <xdr:colOff>350825</xdr:colOff>
      <xdr:row>6</xdr:row>
      <xdr:rowOff>30480</xdr:rowOff>
    </xdr:to>
    <xdr:pic>
      <xdr:nvPicPr>
        <xdr:cNvPr id="2" name="Picture 1" descr="DLF Logo - PNG Logo Vector Brand Downloads (SVG, EPS)">
          <a:extLst>
            <a:ext uri="{FF2B5EF4-FFF2-40B4-BE49-F238E27FC236}">
              <a16:creationId xmlns:a16="http://schemas.microsoft.com/office/drawing/2014/main" id="{28E31C74-F1BA-4C6A-86C3-D034BBC94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60960" y="106680"/>
          <a:ext cx="1089965" cy="1089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8255</xdr:colOff>
      <xdr:row>0</xdr:row>
      <xdr:rowOff>15875</xdr:rowOff>
    </xdr:from>
    <xdr:to>
      <xdr:col>3</xdr:col>
      <xdr:colOff>1334770</xdr:colOff>
      <xdr:row>7</xdr:row>
      <xdr:rowOff>65405</xdr:rowOff>
    </xdr:to>
    <xdr:pic>
      <xdr:nvPicPr>
        <xdr:cNvPr id="2" name="Picture 1" descr="DLF Logo - PNG Logo Vector Brand Downloads (SVG, EPS)">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282575" y="15875"/>
          <a:ext cx="1326515" cy="13296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640450</xdr:colOff>
      <xdr:row>8</xdr:row>
      <xdr:rowOff>57280</xdr:rowOff>
    </xdr:from>
    <xdr:to>
      <xdr:col>16</xdr:col>
      <xdr:colOff>349432</xdr:colOff>
      <xdr:row>15</xdr:row>
      <xdr:rowOff>179294</xdr:rowOff>
    </xdr:to>
    <xdr:pic>
      <xdr:nvPicPr>
        <xdr:cNvPr id="3" name="Picture 2">
          <a:extLst>
            <a:ext uri="{FF2B5EF4-FFF2-40B4-BE49-F238E27FC236}">
              <a16:creationId xmlns:a16="http://schemas.microsoft.com/office/drawing/2014/main" id="{766576FA-3CED-B79D-0212-9313BFF43CCC}"/>
            </a:ext>
          </a:extLst>
        </xdr:cNvPr>
        <xdr:cNvPicPr>
          <a:picLocks noChangeAspect="1"/>
        </xdr:cNvPicPr>
      </xdr:nvPicPr>
      <xdr:blipFill>
        <a:blip xmlns:r="http://schemas.openxmlformats.org/officeDocument/2006/relationships" r:embed="rId2"/>
        <a:stretch>
          <a:fillRect/>
        </a:stretch>
      </xdr:blipFill>
      <xdr:spPr>
        <a:xfrm>
          <a:off x="6250862" y="1491633"/>
          <a:ext cx="7822041" cy="34240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489585</xdr:colOff>
      <xdr:row>3</xdr:row>
      <xdr:rowOff>121285</xdr:rowOff>
    </xdr:to>
    <xdr:pic>
      <xdr:nvPicPr>
        <xdr:cNvPr id="2" name="Picture 1" descr="DLF Logo - PNG Logo Vector Brand Downloads (SVG, EPS)">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7620" y="7620"/>
          <a:ext cx="666115" cy="6623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533400</xdr:colOff>
      <xdr:row>19</xdr:row>
      <xdr:rowOff>102870</xdr:rowOff>
    </xdr:from>
    <xdr:to>
      <xdr:col>13</xdr:col>
      <xdr:colOff>525780</xdr:colOff>
      <xdr:row>35</xdr:row>
      <xdr:rowOff>163830</xdr:rowOff>
    </xdr:to>
    <xdr:graphicFrame macro="">
      <xdr:nvGraphicFramePr>
        <xdr:cNvPr id="2" name="Chart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548640</xdr:colOff>
      <xdr:row>28</xdr:row>
      <xdr:rowOff>76200</xdr:rowOff>
    </xdr:from>
    <xdr:to>
      <xdr:col>13</xdr:col>
      <xdr:colOff>563880</xdr:colOff>
      <xdr:row>28</xdr:row>
      <xdr:rowOff>106680</xdr:rowOff>
    </xdr:to>
    <xdr:cxnSp macro="">
      <xdr:nvCxnSpPr>
        <xdr:cNvPr id="3" name="Straight Connector 2">
          <a:extLst>
            <a:ext uri="{FF2B5EF4-FFF2-40B4-BE49-F238E27FC236}">
              <a16:creationId xmlns:a16="http://schemas.microsoft.com/office/drawing/2014/main" id="{00000000-0008-0000-0D00-000003000000}"/>
            </a:ext>
          </a:extLst>
        </xdr:cNvPr>
        <xdr:cNvCxnSpPr/>
      </xdr:nvCxnSpPr>
      <xdr:spPr>
        <a:xfrm flipV="1">
          <a:off x="2788920" y="4983480"/>
          <a:ext cx="4640580" cy="3048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
      <sheetName val="P&amp;L"/>
      <sheetName val="BS"/>
      <sheetName val="Cash Flow"/>
      <sheetName val="Model"/>
      <sheetName val="Scenarios"/>
      <sheetName val="comps"/>
      <sheetName val="COMPS DATA"/>
      <sheetName val="Market Data"/>
      <sheetName val="WACC"/>
      <sheetName val="Beta"/>
    </sheetNames>
    <sheetDataSet>
      <sheetData sheetId="0"/>
      <sheetData sheetId="1"/>
      <sheetData sheetId="2"/>
      <sheetData sheetId="3"/>
      <sheetData sheetId="4">
        <row r="151">
          <cell r="H151">
            <v>110159.06650663599</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dlf.in/"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59999389629810485"/>
  </sheetPr>
  <dimension ref="C1:AHC22"/>
  <sheetViews>
    <sheetView showGridLines="0" workbookViewId="0">
      <selection activeCell="J11" sqref="J11"/>
    </sheetView>
  </sheetViews>
  <sheetFormatPr defaultColWidth="9" defaultRowHeight="18" customHeight="1"/>
  <cols>
    <col min="1" max="2" width="1.33203125" customWidth="1"/>
    <col min="6" max="6" width="33.88671875" customWidth="1"/>
  </cols>
  <sheetData>
    <row r="1" spans="3:887" ht="13.2"/>
    <row r="2" spans="3:887" ht="13.2"/>
    <row r="3" spans="3:887" ht="13.2" customHeight="1">
      <c r="C3" s="366"/>
      <c r="D3" s="323"/>
      <c r="E3" s="323"/>
      <c r="F3" s="323"/>
      <c r="G3" s="323"/>
      <c r="H3" s="323"/>
      <c r="I3" s="323"/>
      <c r="J3" s="323"/>
      <c r="K3" s="323"/>
    </row>
    <row r="4" spans="3:887" ht="25.8" customHeight="1">
      <c r="C4" s="323"/>
      <c r="D4" s="323"/>
      <c r="E4" s="323"/>
      <c r="F4" s="323"/>
      <c r="G4" s="323"/>
      <c r="H4" s="323"/>
      <c r="I4" s="323"/>
      <c r="J4" s="323"/>
      <c r="K4" s="323"/>
    </row>
    <row r="5" spans="3:887" ht="13.2" customHeight="1">
      <c r="C5" s="323"/>
      <c r="D5" s="323"/>
      <c r="E5" s="581" t="s">
        <v>0</v>
      </c>
      <c r="F5" s="581"/>
      <c r="G5" s="581"/>
      <c r="H5" s="323"/>
      <c r="I5" s="323"/>
      <c r="J5" s="323"/>
      <c r="K5" s="323"/>
      <c r="L5" s="323"/>
      <c r="M5" s="323"/>
      <c r="N5" s="323"/>
      <c r="O5" s="323"/>
      <c r="P5" s="323"/>
      <c r="Q5" s="323"/>
      <c r="R5" s="323"/>
      <c r="S5" s="323"/>
      <c r="T5" s="323"/>
      <c r="U5" s="323"/>
      <c r="V5" s="323"/>
      <c r="W5" s="323"/>
      <c r="X5" s="323"/>
      <c r="Y5" s="323"/>
      <c r="Z5" s="323"/>
      <c r="AA5" s="323"/>
      <c r="AB5" s="323"/>
      <c r="AC5" s="323"/>
      <c r="AD5" s="323"/>
      <c r="AE5" s="323"/>
      <c r="AF5" s="323"/>
      <c r="AG5" s="323"/>
      <c r="AH5" s="323"/>
      <c r="AI5" s="323"/>
      <c r="AJ5" s="323"/>
      <c r="AK5" s="323"/>
      <c r="AL5" s="323"/>
      <c r="AM5" s="323"/>
      <c r="AN5" s="323"/>
      <c r="AO5" s="323"/>
      <c r="AP5" s="323"/>
      <c r="AQ5" s="323"/>
      <c r="AR5" s="323"/>
      <c r="AS5" s="323"/>
      <c r="AT5" s="323"/>
      <c r="AU5" s="323"/>
      <c r="AV5" s="323"/>
      <c r="AW5" s="323"/>
      <c r="AX5" s="323"/>
      <c r="AY5" s="323"/>
      <c r="AZ5" s="323"/>
      <c r="BA5" s="323"/>
      <c r="BB5" s="323"/>
      <c r="BC5" s="323"/>
      <c r="BD5" s="323"/>
      <c r="BE5" s="323"/>
      <c r="BF5" s="323"/>
      <c r="BG5" s="323"/>
      <c r="BH5" s="323"/>
      <c r="BI5" s="323"/>
      <c r="BJ5" s="323"/>
      <c r="BK5" s="323"/>
      <c r="BL5" s="323"/>
      <c r="BM5" s="323"/>
      <c r="BN5" s="323"/>
      <c r="BO5" s="323"/>
      <c r="BP5" s="323"/>
      <c r="BQ5" s="323"/>
      <c r="BR5" s="323"/>
      <c r="BS5" s="323"/>
      <c r="BT5" s="323"/>
      <c r="BU5" s="323"/>
      <c r="BV5" s="323"/>
      <c r="BW5" s="323"/>
      <c r="BX5" s="323"/>
      <c r="BY5" s="323"/>
      <c r="BZ5" s="323"/>
      <c r="CA5" s="323"/>
      <c r="CB5" s="323"/>
      <c r="CC5" s="323"/>
      <c r="CD5" s="323"/>
      <c r="CE5" s="323"/>
      <c r="CF5" s="323"/>
      <c r="CG5" s="323"/>
      <c r="CH5" s="323"/>
      <c r="CI5" s="323"/>
      <c r="CJ5" s="323"/>
      <c r="CK5" s="323"/>
      <c r="CL5" s="323"/>
      <c r="CM5" s="323"/>
      <c r="CN5" s="323"/>
      <c r="CO5" s="323"/>
      <c r="CP5" s="323"/>
      <c r="CQ5" s="323"/>
      <c r="CR5" s="323"/>
      <c r="CS5" s="323"/>
      <c r="CT5" s="323"/>
      <c r="CU5" s="323"/>
      <c r="CV5" s="323"/>
      <c r="CW5" s="323"/>
      <c r="CX5" s="323"/>
      <c r="CY5" s="323"/>
      <c r="CZ5" s="323"/>
      <c r="DA5" s="323"/>
      <c r="DB5" s="323"/>
      <c r="DC5" s="323"/>
      <c r="DD5" s="323"/>
      <c r="DE5" s="323"/>
      <c r="DF5" s="323"/>
      <c r="DG5" s="323"/>
      <c r="DH5" s="323"/>
      <c r="DI5" s="323"/>
      <c r="DJ5" s="323"/>
      <c r="DK5" s="323"/>
      <c r="DL5" s="323"/>
      <c r="DM5" s="323"/>
      <c r="DN5" s="323"/>
      <c r="DO5" s="323"/>
      <c r="DP5" s="323"/>
      <c r="DQ5" s="323"/>
      <c r="DR5" s="323"/>
      <c r="DS5" s="323"/>
      <c r="DT5" s="323"/>
      <c r="DU5" s="323"/>
      <c r="DV5" s="323"/>
      <c r="DW5" s="323"/>
      <c r="DX5" s="323"/>
      <c r="DY5" s="323"/>
      <c r="DZ5" s="323"/>
      <c r="EA5" s="323"/>
      <c r="EB5" s="323"/>
      <c r="EC5" s="323"/>
      <c r="ED5" s="323"/>
      <c r="EE5" s="323"/>
      <c r="EF5" s="323"/>
      <c r="EG5" s="323"/>
      <c r="EH5" s="323"/>
      <c r="EI5" s="323"/>
      <c r="EJ5" s="323"/>
      <c r="EK5" s="323"/>
      <c r="EL5" s="323"/>
      <c r="EM5" s="323"/>
      <c r="EN5" s="323"/>
      <c r="EO5" s="323"/>
      <c r="EP5" s="323"/>
      <c r="EQ5" s="323"/>
      <c r="ER5" s="323"/>
      <c r="ES5" s="323"/>
      <c r="ET5" s="323"/>
      <c r="EU5" s="323"/>
      <c r="EV5" s="323"/>
      <c r="EW5" s="323"/>
      <c r="EX5" s="323"/>
      <c r="EY5" s="323"/>
      <c r="EZ5" s="323"/>
      <c r="FA5" s="323"/>
      <c r="FB5" s="323"/>
      <c r="FC5" s="323"/>
      <c r="FD5" s="323"/>
      <c r="FE5" s="323"/>
      <c r="FF5" s="323"/>
      <c r="FG5" s="323"/>
      <c r="FH5" s="323"/>
      <c r="FI5" s="323"/>
      <c r="FJ5" s="323"/>
      <c r="FK5" s="323"/>
      <c r="FL5" s="323"/>
      <c r="FM5" s="323"/>
      <c r="FN5" s="323"/>
      <c r="FO5" s="323"/>
      <c r="FP5" s="323"/>
      <c r="FQ5" s="323"/>
      <c r="FR5" s="323"/>
      <c r="FS5" s="323"/>
      <c r="FT5" s="323"/>
      <c r="FU5" s="323"/>
      <c r="FV5" s="323"/>
      <c r="FW5" s="323"/>
      <c r="FX5" s="323"/>
      <c r="FY5" s="323"/>
      <c r="FZ5" s="323"/>
      <c r="GA5" s="323"/>
      <c r="GB5" s="323"/>
      <c r="GC5" s="323"/>
      <c r="GD5" s="323"/>
      <c r="GE5" s="323"/>
      <c r="GF5" s="323"/>
      <c r="GG5" s="323"/>
      <c r="GH5" s="323"/>
      <c r="GI5" s="323"/>
      <c r="GJ5" s="323"/>
      <c r="GK5" s="323"/>
      <c r="GL5" s="323"/>
      <c r="GM5" s="323"/>
      <c r="GN5" s="323"/>
      <c r="GO5" s="323"/>
      <c r="GP5" s="323"/>
      <c r="GQ5" s="323"/>
      <c r="GR5" s="323"/>
      <c r="GS5" s="323"/>
      <c r="GT5" s="323"/>
      <c r="GU5" s="323"/>
      <c r="GV5" s="323"/>
      <c r="GW5" s="323"/>
      <c r="GX5" s="323"/>
      <c r="GY5" s="323"/>
      <c r="GZ5" s="323"/>
      <c r="HA5" s="323"/>
      <c r="HB5" s="323"/>
      <c r="HC5" s="323"/>
      <c r="HD5" s="323"/>
      <c r="HE5" s="323"/>
      <c r="HF5" s="323"/>
      <c r="HG5" s="323"/>
      <c r="HH5" s="323"/>
      <c r="HI5" s="323"/>
      <c r="HJ5" s="323"/>
      <c r="HK5" s="323"/>
      <c r="HL5" s="323"/>
      <c r="HM5" s="323"/>
      <c r="HN5" s="323"/>
      <c r="HO5" s="323"/>
      <c r="HP5" s="323"/>
      <c r="HQ5" s="323"/>
      <c r="HR5" s="323"/>
      <c r="HS5" s="323"/>
      <c r="HT5" s="323"/>
      <c r="HU5" s="323"/>
      <c r="HV5" s="323"/>
      <c r="HW5" s="323"/>
      <c r="HX5" s="323"/>
      <c r="HY5" s="323"/>
      <c r="HZ5" s="323"/>
      <c r="IA5" s="323"/>
      <c r="IB5" s="323"/>
      <c r="IC5" s="323"/>
      <c r="ID5" s="323"/>
      <c r="IE5" s="323"/>
      <c r="IF5" s="323"/>
      <c r="IG5" s="323"/>
      <c r="IH5" s="323"/>
      <c r="II5" s="323"/>
      <c r="IJ5" s="323"/>
      <c r="IK5" s="323"/>
      <c r="IL5" s="323"/>
      <c r="IM5" s="323"/>
      <c r="IN5" s="323"/>
      <c r="IO5" s="323"/>
      <c r="IP5" s="323"/>
      <c r="IQ5" s="323"/>
      <c r="IR5" s="323"/>
      <c r="IS5" s="323"/>
      <c r="IT5" s="323"/>
      <c r="IU5" s="323"/>
      <c r="IV5" s="323"/>
      <c r="IW5" s="323"/>
      <c r="IX5" s="323"/>
      <c r="IY5" s="323"/>
      <c r="IZ5" s="323"/>
      <c r="JA5" s="323"/>
      <c r="JB5" s="323"/>
      <c r="JC5" s="323"/>
      <c r="JD5" s="323"/>
      <c r="JE5" s="323"/>
      <c r="JF5" s="323"/>
      <c r="JG5" s="323"/>
      <c r="JH5" s="323"/>
      <c r="JI5" s="323"/>
      <c r="JJ5" s="323"/>
      <c r="JK5" s="323"/>
      <c r="JL5" s="323"/>
      <c r="JM5" s="323"/>
      <c r="JN5" s="323"/>
      <c r="JO5" s="323"/>
      <c r="JP5" s="323"/>
      <c r="JQ5" s="323"/>
      <c r="JR5" s="323"/>
      <c r="JS5" s="323"/>
      <c r="JT5" s="323"/>
      <c r="JU5" s="323"/>
      <c r="JV5" s="323"/>
      <c r="JW5" s="323"/>
      <c r="JX5" s="323"/>
      <c r="JY5" s="323"/>
      <c r="JZ5" s="323"/>
      <c r="KA5" s="323"/>
      <c r="KB5" s="323"/>
      <c r="KC5" s="323"/>
      <c r="KD5" s="323"/>
      <c r="KE5" s="323"/>
      <c r="KF5" s="323"/>
      <c r="KG5" s="323"/>
      <c r="KH5" s="323"/>
      <c r="KI5" s="323"/>
      <c r="KJ5" s="323"/>
      <c r="KK5" s="323"/>
      <c r="KL5" s="323"/>
      <c r="KM5" s="323"/>
      <c r="KN5" s="323"/>
      <c r="KO5" s="323"/>
      <c r="KP5" s="323"/>
      <c r="KQ5" s="323"/>
      <c r="KR5" s="323"/>
      <c r="KS5" s="323"/>
      <c r="KT5" s="323"/>
      <c r="KU5" s="323"/>
      <c r="KV5" s="323"/>
      <c r="KW5" s="323"/>
      <c r="KX5" s="323"/>
      <c r="KY5" s="323"/>
      <c r="KZ5" s="323"/>
      <c r="LA5" s="323"/>
      <c r="LB5" s="323"/>
      <c r="LC5" s="323"/>
      <c r="LD5" s="323"/>
      <c r="LE5" s="323"/>
      <c r="LF5" s="323"/>
      <c r="LG5" s="323"/>
      <c r="LH5" s="323"/>
      <c r="LI5" s="323"/>
      <c r="LJ5" s="323"/>
      <c r="LK5" s="323"/>
      <c r="LL5" s="323"/>
      <c r="LM5" s="323"/>
      <c r="LN5" s="323"/>
      <c r="LO5" s="323"/>
      <c r="LP5" s="323"/>
      <c r="LQ5" s="323"/>
      <c r="LR5" s="323"/>
      <c r="LS5" s="323"/>
      <c r="LT5" s="323"/>
      <c r="LU5" s="323"/>
      <c r="LV5" s="323"/>
      <c r="LW5" s="323"/>
      <c r="LX5" s="323"/>
      <c r="LY5" s="323"/>
      <c r="LZ5" s="323"/>
      <c r="MA5" s="323"/>
      <c r="MB5" s="323"/>
      <c r="MC5" s="323"/>
      <c r="MD5" s="323"/>
      <c r="ME5" s="323"/>
      <c r="MF5" s="323"/>
      <c r="MG5" s="323"/>
      <c r="MH5" s="323"/>
      <c r="MI5" s="323"/>
      <c r="MJ5" s="323"/>
      <c r="MK5" s="323"/>
      <c r="ML5" s="323"/>
      <c r="MM5" s="323"/>
      <c r="MN5" s="323"/>
      <c r="MO5" s="323"/>
      <c r="MP5" s="323"/>
      <c r="MQ5" s="323"/>
      <c r="MR5" s="323"/>
      <c r="MS5" s="323"/>
      <c r="MT5" s="323"/>
      <c r="MU5" s="323"/>
      <c r="MV5" s="323"/>
      <c r="MW5" s="323"/>
      <c r="MX5" s="323"/>
      <c r="MY5" s="323"/>
      <c r="MZ5" s="323"/>
      <c r="NA5" s="323"/>
      <c r="NB5" s="323"/>
      <c r="NC5" s="323"/>
      <c r="ND5" s="323"/>
      <c r="NE5" s="323"/>
      <c r="NF5" s="323"/>
      <c r="NG5" s="323"/>
      <c r="NH5" s="323"/>
      <c r="NI5" s="323"/>
      <c r="NJ5" s="323"/>
      <c r="NK5" s="323"/>
      <c r="NL5" s="323"/>
      <c r="NM5" s="323"/>
      <c r="NN5" s="323"/>
      <c r="NO5" s="323"/>
      <c r="NP5" s="323"/>
      <c r="NQ5" s="323"/>
      <c r="NR5" s="323"/>
      <c r="NS5" s="323"/>
      <c r="NT5" s="323"/>
      <c r="NU5" s="323"/>
      <c r="NV5" s="323"/>
      <c r="NW5" s="323"/>
      <c r="NX5" s="323"/>
      <c r="NY5" s="323"/>
      <c r="NZ5" s="323"/>
      <c r="OA5" s="323"/>
      <c r="OB5" s="323"/>
      <c r="OC5" s="323"/>
      <c r="OD5" s="323"/>
      <c r="OE5" s="323"/>
      <c r="OF5" s="323"/>
      <c r="OG5" s="323"/>
      <c r="OH5" s="323"/>
      <c r="OI5" s="323"/>
      <c r="OJ5" s="323"/>
      <c r="OK5" s="323"/>
      <c r="OL5" s="323"/>
      <c r="OM5" s="323"/>
      <c r="ON5" s="323"/>
      <c r="OO5" s="323"/>
      <c r="OP5" s="323"/>
      <c r="OQ5" s="323"/>
      <c r="OR5" s="323"/>
      <c r="OS5" s="323"/>
      <c r="OT5" s="323"/>
      <c r="OU5" s="323"/>
      <c r="OV5" s="323"/>
      <c r="OW5" s="323"/>
      <c r="OX5" s="323"/>
      <c r="OY5" s="323"/>
      <c r="OZ5" s="323"/>
      <c r="PA5" s="323"/>
      <c r="PB5" s="323"/>
      <c r="PC5" s="323"/>
      <c r="PD5" s="323"/>
      <c r="PE5" s="323"/>
      <c r="PF5" s="323"/>
      <c r="PG5" s="323"/>
      <c r="PH5" s="323"/>
      <c r="PI5" s="323"/>
      <c r="PJ5" s="323"/>
      <c r="PK5" s="323"/>
      <c r="PL5" s="323"/>
      <c r="PM5" s="323"/>
      <c r="PN5" s="323"/>
      <c r="PO5" s="323"/>
      <c r="PP5" s="323"/>
      <c r="PQ5" s="323"/>
      <c r="PR5" s="323"/>
      <c r="PS5" s="323"/>
      <c r="PT5" s="323"/>
      <c r="PU5" s="323"/>
      <c r="PV5" s="323"/>
      <c r="PW5" s="323"/>
      <c r="PX5" s="323"/>
      <c r="PY5" s="323"/>
      <c r="PZ5" s="323"/>
      <c r="QA5" s="323"/>
      <c r="QB5" s="323"/>
      <c r="QC5" s="323"/>
      <c r="QD5" s="323"/>
      <c r="QE5" s="323"/>
      <c r="QF5" s="323"/>
      <c r="QG5" s="323"/>
      <c r="QH5" s="323"/>
      <c r="QI5" s="323"/>
      <c r="QJ5" s="323"/>
      <c r="QK5" s="323"/>
      <c r="QL5" s="323"/>
      <c r="QM5" s="323"/>
      <c r="QN5" s="323"/>
      <c r="QO5" s="323"/>
      <c r="QP5" s="323"/>
      <c r="QQ5" s="323"/>
      <c r="QR5" s="323"/>
      <c r="QS5" s="323"/>
      <c r="QT5" s="323"/>
      <c r="QU5" s="323"/>
      <c r="QV5" s="323"/>
      <c r="QW5" s="323"/>
      <c r="QX5" s="323"/>
      <c r="QY5" s="323"/>
      <c r="QZ5" s="323"/>
      <c r="RA5" s="323"/>
      <c r="RB5" s="323"/>
      <c r="RC5" s="323"/>
      <c r="RD5" s="323"/>
      <c r="RE5" s="323"/>
      <c r="RF5" s="323"/>
      <c r="RG5" s="323"/>
      <c r="RH5" s="323"/>
      <c r="RI5" s="323"/>
      <c r="RJ5" s="323"/>
      <c r="RK5" s="323"/>
      <c r="RL5" s="323"/>
      <c r="RM5" s="323"/>
      <c r="RN5" s="323"/>
      <c r="RO5" s="323"/>
      <c r="RP5" s="323"/>
      <c r="RQ5" s="323"/>
      <c r="RR5" s="323"/>
      <c r="RS5" s="323"/>
      <c r="RT5" s="323"/>
      <c r="RU5" s="323"/>
      <c r="RV5" s="323"/>
      <c r="RW5" s="323"/>
      <c r="RX5" s="323"/>
      <c r="RY5" s="323"/>
      <c r="RZ5" s="323"/>
      <c r="SA5" s="323"/>
      <c r="SB5" s="323"/>
      <c r="SC5" s="323"/>
      <c r="SD5" s="323"/>
      <c r="SE5" s="323"/>
      <c r="SF5" s="323"/>
      <c r="SG5" s="323"/>
      <c r="SH5" s="323"/>
      <c r="SI5" s="323"/>
      <c r="SJ5" s="323"/>
      <c r="SK5" s="323"/>
      <c r="SL5" s="323"/>
      <c r="SM5" s="323"/>
      <c r="SN5" s="323"/>
      <c r="SO5" s="323"/>
      <c r="SP5" s="323"/>
      <c r="SQ5" s="323"/>
      <c r="SR5" s="323"/>
      <c r="SS5" s="323"/>
      <c r="ST5" s="323"/>
      <c r="SU5" s="323"/>
      <c r="SV5" s="323"/>
      <c r="SW5" s="323"/>
      <c r="SX5" s="323"/>
      <c r="SY5" s="323"/>
      <c r="SZ5" s="323"/>
      <c r="TA5" s="323"/>
      <c r="TB5" s="323"/>
      <c r="TC5" s="323"/>
      <c r="TD5" s="323"/>
      <c r="TE5" s="323"/>
      <c r="TF5" s="323"/>
      <c r="TG5" s="323"/>
      <c r="TH5" s="323"/>
      <c r="TI5" s="323"/>
      <c r="TJ5" s="323"/>
      <c r="TK5" s="323"/>
      <c r="TL5" s="323"/>
      <c r="TM5" s="323"/>
      <c r="TN5" s="323"/>
      <c r="TO5" s="323"/>
      <c r="TP5" s="323"/>
      <c r="TQ5" s="323"/>
      <c r="TR5" s="323"/>
      <c r="TS5" s="323"/>
      <c r="TT5" s="323"/>
      <c r="TU5" s="323"/>
      <c r="TV5" s="323"/>
      <c r="TW5" s="323"/>
      <c r="TX5" s="323"/>
      <c r="TY5" s="323"/>
      <c r="TZ5" s="323"/>
      <c r="UA5" s="323"/>
      <c r="UB5" s="323"/>
      <c r="UC5" s="323"/>
      <c r="UD5" s="323"/>
      <c r="UE5" s="323"/>
      <c r="UF5" s="323"/>
      <c r="UG5" s="323"/>
      <c r="UH5" s="323"/>
      <c r="UI5" s="323"/>
      <c r="UJ5" s="323"/>
      <c r="UK5" s="323"/>
      <c r="UL5" s="323"/>
      <c r="UM5" s="323"/>
      <c r="UN5" s="323"/>
      <c r="UO5" s="323"/>
      <c r="UP5" s="323"/>
      <c r="UQ5" s="323"/>
      <c r="UR5" s="323"/>
      <c r="US5" s="323"/>
      <c r="UT5" s="323"/>
      <c r="UU5" s="323"/>
      <c r="UV5" s="323"/>
      <c r="UW5" s="323"/>
      <c r="UX5" s="323"/>
      <c r="UY5" s="323"/>
      <c r="UZ5" s="323"/>
      <c r="VA5" s="323"/>
      <c r="VB5" s="323"/>
      <c r="VC5" s="323"/>
      <c r="VD5" s="323"/>
      <c r="VE5" s="323"/>
      <c r="VF5" s="323"/>
      <c r="VG5" s="323"/>
      <c r="VH5" s="323"/>
      <c r="VI5" s="323"/>
      <c r="VJ5" s="323"/>
      <c r="VK5" s="323"/>
      <c r="VL5" s="323"/>
      <c r="VM5" s="323"/>
      <c r="VN5" s="323"/>
      <c r="VO5" s="323"/>
      <c r="VP5" s="323"/>
      <c r="VQ5" s="323"/>
      <c r="VR5" s="323"/>
      <c r="VS5" s="323"/>
      <c r="VT5" s="323"/>
      <c r="VU5" s="323"/>
      <c r="VV5" s="323"/>
      <c r="VW5" s="323"/>
      <c r="VX5" s="323"/>
      <c r="VY5" s="323"/>
      <c r="VZ5" s="323"/>
      <c r="WA5" s="323"/>
      <c r="WB5" s="323"/>
      <c r="WC5" s="323"/>
      <c r="WD5" s="323"/>
      <c r="WE5" s="323"/>
      <c r="WF5" s="323"/>
      <c r="WG5" s="323"/>
      <c r="WH5" s="323"/>
      <c r="WI5" s="323"/>
      <c r="WJ5" s="323"/>
      <c r="WK5" s="323"/>
      <c r="WL5" s="323"/>
      <c r="WM5" s="323"/>
      <c r="WN5" s="323"/>
      <c r="WO5" s="323"/>
      <c r="WP5" s="323"/>
      <c r="WQ5" s="323"/>
      <c r="WR5" s="323"/>
      <c r="WS5" s="323"/>
      <c r="WT5" s="323"/>
      <c r="WU5" s="323"/>
      <c r="WV5" s="323"/>
      <c r="WW5" s="323"/>
      <c r="WX5" s="323"/>
      <c r="WY5" s="323"/>
      <c r="WZ5" s="323"/>
      <c r="XA5" s="323"/>
      <c r="XB5" s="323"/>
      <c r="XC5" s="323"/>
      <c r="XD5" s="323"/>
      <c r="XE5" s="323"/>
      <c r="XF5" s="323"/>
      <c r="XG5" s="323"/>
      <c r="XH5" s="323"/>
      <c r="XI5" s="323"/>
      <c r="XJ5" s="323"/>
      <c r="XK5" s="323"/>
      <c r="XL5" s="323"/>
      <c r="XM5" s="323"/>
      <c r="XN5" s="323"/>
      <c r="XO5" s="323"/>
      <c r="XP5" s="323"/>
      <c r="XQ5" s="323"/>
      <c r="XR5" s="323"/>
      <c r="XS5" s="323"/>
      <c r="XT5" s="323"/>
      <c r="XU5" s="323"/>
      <c r="XV5" s="323"/>
      <c r="XW5" s="323"/>
      <c r="XX5" s="323"/>
      <c r="XY5" s="323"/>
      <c r="XZ5" s="323"/>
      <c r="YA5" s="323"/>
      <c r="YB5" s="323"/>
      <c r="YC5" s="323"/>
      <c r="YD5" s="323"/>
      <c r="YE5" s="323"/>
      <c r="YF5" s="323"/>
      <c r="YG5" s="323"/>
      <c r="YH5" s="323"/>
      <c r="YI5" s="323"/>
      <c r="YJ5" s="323"/>
      <c r="YK5" s="323"/>
      <c r="YL5" s="323"/>
      <c r="YM5" s="323"/>
      <c r="YN5" s="323"/>
      <c r="YO5" s="323"/>
      <c r="YP5" s="323"/>
      <c r="YQ5" s="323"/>
      <c r="YR5" s="323"/>
      <c r="YS5" s="323"/>
      <c r="YT5" s="323"/>
      <c r="YU5" s="323"/>
      <c r="YV5" s="323"/>
      <c r="YW5" s="323"/>
      <c r="YX5" s="323"/>
      <c r="YY5" s="323"/>
      <c r="YZ5" s="323"/>
      <c r="ZA5" s="323"/>
      <c r="ZB5" s="323"/>
      <c r="ZC5" s="323"/>
      <c r="ZD5" s="323"/>
      <c r="ZE5" s="323"/>
      <c r="ZF5" s="323"/>
      <c r="ZG5" s="323"/>
      <c r="ZH5" s="323"/>
      <c r="ZI5" s="323"/>
      <c r="ZJ5" s="323"/>
      <c r="ZK5" s="323"/>
      <c r="ZL5" s="323"/>
      <c r="ZM5" s="323"/>
      <c r="ZN5" s="323"/>
      <c r="ZO5" s="323"/>
      <c r="ZP5" s="323"/>
      <c r="ZQ5" s="323"/>
      <c r="ZR5" s="323"/>
      <c r="ZS5" s="323"/>
      <c r="ZT5" s="323"/>
      <c r="ZU5" s="323"/>
      <c r="ZV5" s="323"/>
      <c r="ZW5" s="323"/>
      <c r="ZX5" s="323"/>
      <c r="ZY5" s="323"/>
      <c r="ZZ5" s="323"/>
      <c r="AAA5" s="323"/>
      <c r="AAB5" s="323"/>
      <c r="AAC5" s="323"/>
      <c r="AAD5" s="323"/>
      <c r="AAE5" s="323"/>
      <c r="AAF5" s="323"/>
      <c r="AAG5" s="323"/>
      <c r="AAH5" s="323"/>
      <c r="AAI5" s="323"/>
      <c r="AAJ5" s="323"/>
      <c r="AAK5" s="323"/>
      <c r="AAL5" s="323"/>
      <c r="AAM5" s="323"/>
      <c r="AAN5" s="323"/>
      <c r="AAO5" s="323"/>
      <c r="AAP5" s="323"/>
      <c r="AAQ5" s="323"/>
      <c r="AAR5" s="323"/>
      <c r="AAS5" s="323"/>
      <c r="AAT5" s="323"/>
      <c r="AAU5" s="323"/>
      <c r="AAV5" s="323"/>
      <c r="AAW5" s="323"/>
      <c r="AAX5" s="323"/>
      <c r="AAY5" s="323"/>
      <c r="AAZ5" s="323"/>
      <c r="ABA5" s="323"/>
      <c r="ABB5" s="323"/>
      <c r="ABC5" s="323"/>
      <c r="ABD5" s="323"/>
      <c r="ABE5" s="323"/>
      <c r="ABF5" s="323"/>
      <c r="ABG5" s="323"/>
      <c r="ABH5" s="323"/>
      <c r="ABI5" s="323"/>
      <c r="ABJ5" s="323"/>
      <c r="ABK5" s="323"/>
      <c r="ABL5" s="323"/>
      <c r="ABM5" s="323"/>
      <c r="ABN5" s="323"/>
      <c r="ABO5" s="323"/>
      <c r="ABP5" s="323"/>
      <c r="ABQ5" s="323"/>
      <c r="ABR5" s="323"/>
      <c r="ABS5" s="323"/>
      <c r="ABT5" s="323"/>
      <c r="ABU5" s="323"/>
      <c r="ABV5" s="323"/>
      <c r="ABW5" s="323"/>
      <c r="ABX5" s="323"/>
      <c r="ABY5" s="323"/>
      <c r="ABZ5" s="323"/>
      <c r="ACA5" s="323"/>
      <c r="ACB5" s="323"/>
      <c r="ACC5" s="323"/>
      <c r="ACD5" s="323"/>
      <c r="ACE5" s="323"/>
      <c r="ACF5" s="323"/>
      <c r="ACG5" s="323"/>
      <c r="ACH5" s="323"/>
      <c r="ACI5" s="323"/>
      <c r="ACJ5" s="323"/>
      <c r="ACK5" s="323"/>
      <c r="ACL5" s="323"/>
      <c r="ACM5" s="323"/>
      <c r="ACN5" s="323"/>
      <c r="ACO5" s="323"/>
      <c r="ACP5" s="323"/>
      <c r="ACQ5" s="323"/>
      <c r="ACR5" s="323"/>
      <c r="ACS5" s="323"/>
      <c r="ACT5" s="323"/>
      <c r="ACU5" s="323"/>
      <c r="ACV5" s="323"/>
      <c r="ACW5" s="323"/>
      <c r="ACX5" s="323"/>
      <c r="ACY5" s="323"/>
      <c r="ACZ5" s="323"/>
      <c r="ADA5" s="323"/>
      <c r="ADB5" s="323"/>
      <c r="ADC5" s="323"/>
      <c r="ADD5" s="323"/>
      <c r="ADE5" s="323"/>
      <c r="ADF5" s="323"/>
      <c r="ADG5" s="323"/>
      <c r="ADH5" s="323"/>
      <c r="ADI5" s="323"/>
      <c r="ADJ5" s="323"/>
      <c r="ADK5" s="323"/>
      <c r="ADL5" s="323"/>
      <c r="ADM5" s="323"/>
      <c r="ADN5" s="323"/>
      <c r="ADO5" s="323"/>
      <c r="ADP5" s="323"/>
      <c r="ADQ5" s="323"/>
      <c r="ADR5" s="323"/>
      <c r="ADS5" s="323"/>
      <c r="ADT5" s="323"/>
      <c r="ADU5" s="323"/>
      <c r="ADV5" s="323"/>
      <c r="ADW5" s="323"/>
      <c r="ADX5" s="323"/>
      <c r="ADY5" s="323"/>
      <c r="ADZ5" s="323"/>
      <c r="AEA5" s="323"/>
      <c r="AEB5" s="323"/>
      <c r="AEC5" s="323"/>
      <c r="AED5" s="323"/>
      <c r="AEE5" s="323"/>
      <c r="AEF5" s="323"/>
      <c r="AEG5" s="323"/>
      <c r="AEH5" s="323"/>
      <c r="AEI5" s="323"/>
      <c r="AEJ5" s="323"/>
      <c r="AEK5" s="323"/>
      <c r="AEL5" s="323"/>
      <c r="AEM5" s="323"/>
      <c r="AEN5" s="323"/>
      <c r="AEO5" s="323"/>
      <c r="AEP5" s="323"/>
      <c r="AEQ5" s="323"/>
      <c r="AER5" s="323"/>
      <c r="AES5" s="323"/>
      <c r="AET5" s="323"/>
      <c r="AEU5" s="323"/>
      <c r="AEV5" s="323"/>
      <c r="AEW5" s="323"/>
      <c r="AEX5" s="323"/>
      <c r="AEY5" s="323"/>
      <c r="AEZ5" s="323"/>
      <c r="AFA5" s="323"/>
      <c r="AFB5" s="323"/>
      <c r="AFC5" s="323"/>
      <c r="AFD5" s="323"/>
      <c r="AFE5" s="323"/>
      <c r="AFF5" s="323"/>
      <c r="AFG5" s="323"/>
      <c r="AFH5" s="323"/>
      <c r="AFI5" s="323"/>
      <c r="AFJ5" s="323"/>
      <c r="AFK5" s="323"/>
      <c r="AFL5" s="323"/>
      <c r="AFM5" s="323"/>
      <c r="AFN5" s="323"/>
      <c r="AFO5" s="323"/>
      <c r="AFP5" s="323"/>
      <c r="AFQ5" s="323"/>
      <c r="AFR5" s="323"/>
      <c r="AFS5" s="323"/>
      <c r="AFT5" s="323"/>
      <c r="AFU5" s="323"/>
      <c r="AFV5" s="323"/>
      <c r="AFW5" s="323"/>
      <c r="AFX5" s="323"/>
      <c r="AFY5" s="323"/>
      <c r="AFZ5" s="323"/>
      <c r="AGA5" s="323"/>
      <c r="AGB5" s="323"/>
      <c r="AGC5" s="323"/>
      <c r="AGD5" s="323"/>
      <c r="AGE5" s="323"/>
      <c r="AGF5" s="323"/>
      <c r="AGG5" s="323"/>
      <c r="AGH5" s="323"/>
      <c r="AGI5" s="323"/>
      <c r="AGJ5" s="323"/>
      <c r="AGK5" s="323"/>
      <c r="AGL5" s="323"/>
      <c r="AGM5" s="323"/>
      <c r="AGN5" s="323"/>
      <c r="AGO5" s="323"/>
      <c r="AGP5" s="323"/>
      <c r="AGQ5" s="323"/>
      <c r="AGR5" s="323"/>
      <c r="AGS5" s="323"/>
      <c r="AGT5" s="323"/>
      <c r="AGU5" s="323"/>
      <c r="AGV5" s="323"/>
      <c r="AGW5" s="323"/>
      <c r="AGX5" s="323"/>
      <c r="AGY5" s="323"/>
      <c r="AGZ5" s="323"/>
      <c r="AHA5" s="323"/>
      <c r="AHB5" s="323"/>
      <c r="AHC5" s="323"/>
    </row>
    <row r="6" spans="3:887" ht="13.2" customHeight="1">
      <c r="C6" s="323"/>
      <c r="D6" s="323"/>
      <c r="E6" s="581"/>
      <c r="F6" s="581"/>
      <c r="G6" s="581"/>
      <c r="H6" s="323"/>
      <c r="I6" s="323"/>
      <c r="J6" s="323"/>
      <c r="K6" s="323"/>
      <c r="L6" s="323"/>
      <c r="M6" s="323"/>
      <c r="N6" s="323"/>
      <c r="O6" s="323"/>
      <c r="P6" s="323"/>
      <c r="Q6" s="323"/>
      <c r="R6" s="323"/>
      <c r="S6" s="323"/>
      <c r="T6" s="323"/>
      <c r="U6" s="323"/>
      <c r="V6" s="323"/>
      <c r="W6" s="323"/>
      <c r="X6" s="323"/>
      <c r="Y6" s="323"/>
      <c r="Z6" s="323"/>
      <c r="AA6" s="323"/>
      <c r="AB6" s="323"/>
      <c r="AC6" s="323"/>
      <c r="AD6" s="323"/>
      <c r="AE6" s="323"/>
      <c r="AF6" s="323"/>
      <c r="AG6" s="323"/>
      <c r="AH6" s="323"/>
      <c r="AI6" s="323"/>
      <c r="AJ6" s="323"/>
      <c r="AK6" s="323"/>
      <c r="AL6" s="323"/>
      <c r="AM6" s="323"/>
      <c r="AN6" s="323"/>
      <c r="AO6" s="323"/>
      <c r="AP6" s="323"/>
      <c r="AQ6" s="323"/>
      <c r="AR6" s="323"/>
      <c r="AS6" s="323"/>
      <c r="AT6" s="323"/>
      <c r="AU6" s="323"/>
      <c r="AV6" s="323"/>
      <c r="AW6" s="323"/>
      <c r="AX6" s="323"/>
      <c r="AY6" s="323"/>
      <c r="AZ6" s="323"/>
      <c r="BA6" s="323"/>
      <c r="BB6" s="323"/>
      <c r="BC6" s="323"/>
      <c r="BD6" s="323"/>
      <c r="BE6" s="323"/>
      <c r="BF6" s="323"/>
      <c r="BG6" s="323"/>
      <c r="BH6" s="323"/>
      <c r="BI6" s="323"/>
      <c r="BJ6" s="323"/>
      <c r="BK6" s="323"/>
      <c r="BL6" s="323"/>
      <c r="BM6" s="323"/>
      <c r="BN6" s="323"/>
      <c r="BO6" s="323"/>
      <c r="BP6" s="323"/>
      <c r="BQ6" s="323"/>
      <c r="BR6" s="323"/>
      <c r="BS6" s="323"/>
      <c r="BT6" s="323"/>
      <c r="BU6" s="323"/>
      <c r="BV6" s="323"/>
      <c r="BW6" s="323"/>
      <c r="BX6" s="323"/>
      <c r="BY6" s="323"/>
      <c r="BZ6" s="323"/>
      <c r="CA6" s="323"/>
      <c r="CB6" s="323"/>
      <c r="CC6" s="323"/>
      <c r="CD6" s="323"/>
      <c r="CE6" s="323"/>
      <c r="CF6" s="323"/>
      <c r="CG6" s="323"/>
      <c r="CH6" s="323"/>
      <c r="CI6" s="323"/>
      <c r="CJ6" s="323"/>
      <c r="CK6" s="323"/>
      <c r="CL6" s="323"/>
      <c r="CM6" s="323"/>
      <c r="CN6" s="323"/>
      <c r="CO6" s="323"/>
      <c r="CP6" s="323"/>
      <c r="CQ6" s="323"/>
      <c r="CR6" s="323"/>
      <c r="CS6" s="323"/>
      <c r="CT6" s="323"/>
      <c r="CU6" s="323"/>
      <c r="CV6" s="323"/>
      <c r="CW6" s="323"/>
      <c r="CX6" s="323"/>
      <c r="CY6" s="323"/>
      <c r="CZ6" s="323"/>
      <c r="DA6" s="323"/>
      <c r="DB6" s="323"/>
      <c r="DC6" s="323"/>
      <c r="DD6" s="323"/>
      <c r="DE6" s="323"/>
      <c r="DF6" s="323"/>
      <c r="DG6" s="323"/>
      <c r="DH6" s="323"/>
      <c r="DI6" s="323"/>
      <c r="DJ6" s="323"/>
      <c r="DK6" s="323"/>
      <c r="DL6" s="323"/>
      <c r="DM6" s="323"/>
      <c r="DN6" s="323"/>
      <c r="DO6" s="323"/>
      <c r="DP6" s="323"/>
      <c r="DQ6" s="323"/>
      <c r="DR6" s="323"/>
      <c r="DS6" s="323"/>
      <c r="DT6" s="323"/>
      <c r="DU6" s="323"/>
      <c r="DV6" s="323"/>
      <c r="DW6" s="323"/>
      <c r="DX6" s="323"/>
      <c r="DY6" s="323"/>
      <c r="DZ6" s="323"/>
      <c r="EA6" s="323"/>
      <c r="EB6" s="323"/>
      <c r="EC6" s="323"/>
      <c r="ED6" s="323"/>
      <c r="EE6" s="323"/>
      <c r="EF6" s="323"/>
      <c r="EG6" s="323"/>
      <c r="EH6" s="323"/>
      <c r="EI6" s="323"/>
      <c r="EJ6" s="323"/>
      <c r="EK6" s="323"/>
      <c r="EL6" s="323"/>
      <c r="EM6" s="323"/>
      <c r="EN6" s="323"/>
      <c r="EO6" s="323"/>
      <c r="EP6" s="323"/>
      <c r="EQ6" s="323"/>
      <c r="ER6" s="323"/>
      <c r="ES6" s="323"/>
      <c r="ET6" s="323"/>
      <c r="EU6" s="323"/>
      <c r="EV6" s="323"/>
      <c r="EW6" s="323"/>
      <c r="EX6" s="323"/>
      <c r="EY6" s="323"/>
      <c r="EZ6" s="323"/>
      <c r="FA6" s="323"/>
      <c r="FB6" s="323"/>
      <c r="FC6" s="323"/>
      <c r="FD6" s="323"/>
      <c r="FE6" s="323"/>
      <c r="FF6" s="323"/>
      <c r="FG6" s="323"/>
      <c r="FH6" s="323"/>
      <c r="FI6" s="323"/>
      <c r="FJ6" s="323"/>
      <c r="FK6" s="323"/>
      <c r="FL6" s="323"/>
      <c r="FM6" s="323"/>
      <c r="FN6" s="323"/>
      <c r="FO6" s="323"/>
      <c r="FP6" s="323"/>
      <c r="FQ6" s="323"/>
      <c r="FR6" s="323"/>
      <c r="FS6" s="323"/>
      <c r="FT6" s="323"/>
      <c r="FU6" s="323"/>
      <c r="FV6" s="323"/>
      <c r="FW6" s="323"/>
      <c r="FX6" s="323"/>
      <c r="FY6" s="323"/>
      <c r="FZ6" s="323"/>
      <c r="GA6" s="323"/>
      <c r="GB6" s="323"/>
      <c r="GC6" s="323"/>
      <c r="GD6" s="323"/>
      <c r="GE6" s="323"/>
      <c r="GF6" s="323"/>
      <c r="GG6" s="323"/>
      <c r="GH6" s="323"/>
      <c r="GI6" s="323"/>
      <c r="GJ6" s="323"/>
      <c r="GK6" s="323"/>
      <c r="GL6" s="323"/>
      <c r="GM6" s="323"/>
      <c r="GN6" s="323"/>
      <c r="GO6" s="323"/>
      <c r="GP6" s="323"/>
      <c r="GQ6" s="323"/>
      <c r="GR6" s="323"/>
      <c r="GS6" s="323"/>
      <c r="GT6" s="323"/>
      <c r="GU6" s="323"/>
      <c r="GV6" s="323"/>
      <c r="GW6" s="323"/>
      <c r="GX6" s="323"/>
      <c r="GY6" s="323"/>
      <c r="GZ6" s="323"/>
      <c r="HA6" s="323"/>
      <c r="HB6" s="323"/>
      <c r="HC6" s="323"/>
      <c r="HD6" s="323"/>
      <c r="HE6" s="323"/>
      <c r="HF6" s="323"/>
      <c r="HG6" s="323"/>
      <c r="HH6" s="323"/>
      <c r="HI6" s="323"/>
      <c r="HJ6" s="323"/>
      <c r="HK6" s="323"/>
      <c r="HL6" s="323"/>
      <c r="HM6" s="323"/>
      <c r="HN6" s="323"/>
      <c r="HO6" s="323"/>
      <c r="HP6" s="323"/>
      <c r="HQ6" s="323"/>
      <c r="HR6" s="323"/>
      <c r="HS6" s="323"/>
      <c r="HT6" s="323"/>
      <c r="HU6" s="323"/>
      <c r="HV6" s="323"/>
      <c r="HW6" s="323"/>
      <c r="HX6" s="323"/>
      <c r="HY6" s="323"/>
      <c r="HZ6" s="323"/>
      <c r="IA6" s="323"/>
      <c r="IB6" s="323"/>
      <c r="IC6" s="323"/>
      <c r="ID6" s="323"/>
      <c r="IE6" s="323"/>
      <c r="IF6" s="323"/>
      <c r="IG6" s="323"/>
      <c r="IH6" s="323"/>
      <c r="II6" s="323"/>
      <c r="IJ6" s="323"/>
      <c r="IK6" s="323"/>
      <c r="IL6" s="323"/>
      <c r="IM6" s="323"/>
      <c r="IN6" s="323"/>
      <c r="IO6" s="323"/>
      <c r="IP6" s="323"/>
      <c r="IQ6" s="323"/>
      <c r="IR6" s="323"/>
      <c r="IS6" s="323"/>
      <c r="IT6" s="323"/>
      <c r="IU6" s="323"/>
      <c r="IV6" s="323"/>
      <c r="IW6" s="323"/>
      <c r="IX6" s="323"/>
      <c r="IY6" s="323"/>
      <c r="IZ6" s="323"/>
      <c r="JA6" s="323"/>
      <c r="JB6" s="323"/>
      <c r="JC6" s="323"/>
      <c r="JD6" s="323"/>
      <c r="JE6" s="323"/>
      <c r="JF6" s="323"/>
      <c r="JG6" s="323"/>
      <c r="JH6" s="323"/>
      <c r="JI6" s="323"/>
      <c r="JJ6" s="323"/>
      <c r="JK6" s="323"/>
      <c r="JL6" s="323"/>
      <c r="JM6" s="323"/>
      <c r="JN6" s="323"/>
      <c r="JO6" s="323"/>
      <c r="JP6" s="323"/>
      <c r="JQ6" s="323"/>
      <c r="JR6" s="323"/>
      <c r="JS6" s="323"/>
      <c r="JT6" s="323"/>
      <c r="JU6" s="323"/>
      <c r="JV6" s="323"/>
      <c r="JW6" s="323"/>
      <c r="JX6" s="323"/>
      <c r="JY6" s="323"/>
      <c r="JZ6" s="323"/>
      <c r="KA6" s="323"/>
      <c r="KB6" s="323"/>
      <c r="KC6" s="323"/>
      <c r="KD6" s="323"/>
      <c r="KE6" s="323"/>
      <c r="KF6" s="323"/>
      <c r="KG6" s="323"/>
      <c r="KH6" s="323"/>
      <c r="KI6" s="323"/>
      <c r="KJ6" s="323"/>
      <c r="KK6" s="323"/>
      <c r="KL6" s="323"/>
      <c r="KM6" s="323"/>
      <c r="KN6" s="323"/>
      <c r="KO6" s="323"/>
      <c r="KP6" s="323"/>
      <c r="KQ6" s="323"/>
      <c r="KR6" s="323"/>
      <c r="KS6" s="323"/>
      <c r="KT6" s="323"/>
      <c r="KU6" s="323"/>
      <c r="KV6" s="323"/>
      <c r="KW6" s="323"/>
      <c r="KX6" s="323"/>
      <c r="KY6" s="323"/>
      <c r="KZ6" s="323"/>
      <c r="LA6" s="323"/>
      <c r="LB6" s="323"/>
      <c r="LC6" s="323"/>
      <c r="LD6" s="323"/>
      <c r="LE6" s="323"/>
      <c r="LF6" s="323"/>
      <c r="LG6" s="323"/>
      <c r="LH6" s="323"/>
      <c r="LI6" s="323"/>
      <c r="LJ6" s="323"/>
      <c r="LK6" s="323"/>
      <c r="LL6" s="323"/>
      <c r="LM6" s="323"/>
      <c r="LN6" s="323"/>
      <c r="LO6" s="323"/>
      <c r="LP6" s="323"/>
      <c r="LQ6" s="323"/>
      <c r="LR6" s="323"/>
      <c r="LS6" s="323"/>
      <c r="LT6" s="323"/>
      <c r="LU6" s="323"/>
      <c r="LV6" s="323"/>
      <c r="LW6" s="323"/>
      <c r="LX6" s="323"/>
      <c r="LY6" s="323"/>
      <c r="LZ6" s="323"/>
      <c r="MA6" s="323"/>
      <c r="MB6" s="323"/>
      <c r="MC6" s="323"/>
      <c r="MD6" s="323"/>
      <c r="ME6" s="323"/>
      <c r="MF6" s="323"/>
      <c r="MG6" s="323"/>
      <c r="MH6" s="323"/>
      <c r="MI6" s="323"/>
      <c r="MJ6" s="323"/>
      <c r="MK6" s="323"/>
      <c r="ML6" s="323"/>
      <c r="MM6" s="323"/>
      <c r="MN6" s="323"/>
      <c r="MO6" s="323"/>
      <c r="MP6" s="323"/>
      <c r="MQ6" s="323"/>
      <c r="MR6" s="323"/>
      <c r="MS6" s="323"/>
      <c r="MT6" s="323"/>
      <c r="MU6" s="323"/>
      <c r="MV6" s="323"/>
      <c r="MW6" s="323"/>
      <c r="MX6" s="323"/>
      <c r="MY6" s="323"/>
      <c r="MZ6" s="323"/>
      <c r="NA6" s="323"/>
      <c r="NB6" s="323"/>
      <c r="NC6" s="323"/>
      <c r="ND6" s="323"/>
      <c r="NE6" s="323"/>
      <c r="NF6" s="323"/>
      <c r="NG6" s="323"/>
      <c r="NH6" s="323"/>
      <c r="NI6" s="323"/>
      <c r="NJ6" s="323"/>
      <c r="NK6" s="323"/>
      <c r="NL6" s="323"/>
      <c r="NM6" s="323"/>
      <c r="NN6" s="323"/>
      <c r="NO6" s="323"/>
      <c r="NP6" s="323"/>
      <c r="NQ6" s="323"/>
      <c r="NR6" s="323"/>
      <c r="NS6" s="323"/>
      <c r="NT6" s="323"/>
      <c r="NU6" s="323"/>
      <c r="NV6" s="323"/>
      <c r="NW6" s="323"/>
      <c r="NX6" s="323"/>
      <c r="NY6" s="323"/>
      <c r="NZ6" s="323"/>
      <c r="OA6" s="323"/>
      <c r="OB6" s="323"/>
      <c r="OC6" s="323"/>
      <c r="OD6" s="323"/>
      <c r="OE6" s="323"/>
      <c r="OF6" s="323"/>
      <c r="OG6" s="323"/>
      <c r="OH6" s="323"/>
      <c r="OI6" s="323"/>
      <c r="OJ6" s="323"/>
      <c r="OK6" s="323"/>
      <c r="OL6" s="323"/>
      <c r="OM6" s="323"/>
      <c r="ON6" s="323"/>
      <c r="OO6" s="323"/>
      <c r="OP6" s="323"/>
      <c r="OQ6" s="323"/>
      <c r="OR6" s="323"/>
      <c r="OS6" s="323"/>
      <c r="OT6" s="323"/>
      <c r="OU6" s="323"/>
      <c r="OV6" s="323"/>
      <c r="OW6" s="323"/>
      <c r="OX6" s="323"/>
      <c r="OY6" s="323"/>
      <c r="OZ6" s="323"/>
      <c r="PA6" s="323"/>
      <c r="PB6" s="323"/>
      <c r="PC6" s="323"/>
      <c r="PD6" s="323"/>
      <c r="PE6" s="323"/>
      <c r="PF6" s="323"/>
      <c r="PG6" s="323"/>
      <c r="PH6" s="323"/>
      <c r="PI6" s="323"/>
      <c r="PJ6" s="323"/>
      <c r="PK6" s="323"/>
      <c r="PL6" s="323"/>
      <c r="PM6" s="323"/>
      <c r="PN6" s="323"/>
      <c r="PO6" s="323"/>
      <c r="PP6" s="323"/>
      <c r="PQ6" s="323"/>
      <c r="PR6" s="323"/>
      <c r="PS6" s="323"/>
      <c r="PT6" s="323"/>
      <c r="PU6" s="323"/>
      <c r="PV6" s="323"/>
      <c r="PW6" s="323"/>
      <c r="PX6" s="323"/>
      <c r="PY6" s="323"/>
      <c r="PZ6" s="323"/>
      <c r="QA6" s="323"/>
      <c r="QB6" s="323"/>
      <c r="QC6" s="323"/>
      <c r="QD6" s="323"/>
      <c r="QE6" s="323"/>
      <c r="QF6" s="323"/>
      <c r="QG6" s="323"/>
      <c r="QH6" s="323"/>
      <c r="QI6" s="323"/>
      <c r="QJ6" s="323"/>
      <c r="QK6" s="323"/>
      <c r="QL6" s="323"/>
      <c r="QM6" s="323"/>
      <c r="QN6" s="323"/>
      <c r="QO6" s="323"/>
      <c r="QP6" s="323"/>
      <c r="QQ6" s="323"/>
      <c r="QR6" s="323"/>
      <c r="QS6" s="323"/>
      <c r="QT6" s="323"/>
      <c r="QU6" s="323"/>
      <c r="QV6" s="323"/>
      <c r="QW6" s="323"/>
      <c r="QX6" s="323"/>
      <c r="QY6" s="323"/>
      <c r="QZ6" s="323"/>
      <c r="RA6" s="323"/>
      <c r="RB6" s="323"/>
      <c r="RC6" s="323"/>
      <c r="RD6" s="323"/>
      <c r="RE6" s="323"/>
      <c r="RF6" s="323"/>
      <c r="RG6" s="323"/>
      <c r="RH6" s="323"/>
      <c r="RI6" s="323"/>
      <c r="RJ6" s="323"/>
      <c r="RK6" s="323"/>
      <c r="RL6" s="323"/>
      <c r="RM6" s="323"/>
      <c r="RN6" s="323"/>
      <c r="RO6" s="323"/>
      <c r="RP6" s="323"/>
      <c r="RQ6" s="323"/>
      <c r="RR6" s="323"/>
      <c r="RS6" s="323"/>
      <c r="RT6" s="323"/>
      <c r="RU6" s="323"/>
      <c r="RV6" s="323"/>
      <c r="RW6" s="323"/>
      <c r="RX6" s="323"/>
      <c r="RY6" s="323"/>
      <c r="RZ6" s="323"/>
      <c r="SA6" s="323"/>
      <c r="SB6" s="323"/>
      <c r="SC6" s="323"/>
      <c r="SD6" s="323"/>
      <c r="SE6" s="323"/>
      <c r="SF6" s="323"/>
      <c r="SG6" s="323"/>
      <c r="SH6" s="323"/>
      <c r="SI6" s="323"/>
      <c r="SJ6" s="323"/>
      <c r="SK6" s="323"/>
      <c r="SL6" s="323"/>
      <c r="SM6" s="323"/>
      <c r="SN6" s="323"/>
      <c r="SO6" s="323"/>
      <c r="SP6" s="323"/>
      <c r="SQ6" s="323"/>
      <c r="SR6" s="323"/>
      <c r="SS6" s="323"/>
      <c r="ST6" s="323"/>
      <c r="SU6" s="323"/>
      <c r="SV6" s="323"/>
      <c r="SW6" s="323"/>
      <c r="SX6" s="323"/>
      <c r="SY6" s="323"/>
      <c r="SZ6" s="323"/>
      <c r="TA6" s="323"/>
      <c r="TB6" s="323"/>
      <c r="TC6" s="323"/>
      <c r="TD6" s="323"/>
      <c r="TE6" s="323"/>
      <c r="TF6" s="323"/>
      <c r="TG6" s="323"/>
      <c r="TH6" s="323"/>
      <c r="TI6" s="323"/>
      <c r="TJ6" s="323"/>
      <c r="TK6" s="323"/>
      <c r="TL6" s="323"/>
      <c r="TM6" s="323"/>
      <c r="TN6" s="323"/>
      <c r="TO6" s="323"/>
      <c r="TP6" s="323"/>
      <c r="TQ6" s="323"/>
      <c r="TR6" s="323"/>
      <c r="TS6" s="323"/>
      <c r="TT6" s="323"/>
      <c r="TU6" s="323"/>
      <c r="TV6" s="323"/>
      <c r="TW6" s="323"/>
      <c r="TX6" s="323"/>
      <c r="TY6" s="323"/>
      <c r="TZ6" s="323"/>
      <c r="UA6" s="323"/>
      <c r="UB6" s="323"/>
      <c r="UC6" s="323"/>
      <c r="UD6" s="323"/>
      <c r="UE6" s="323"/>
      <c r="UF6" s="323"/>
      <c r="UG6" s="323"/>
      <c r="UH6" s="323"/>
      <c r="UI6" s="323"/>
      <c r="UJ6" s="323"/>
      <c r="UK6" s="323"/>
      <c r="UL6" s="323"/>
      <c r="UM6" s="323"/>
      <c r="UN6" s="323"/>
      <c r="UO6" s="323"/>
      <c r="UP6" s="323"/>
      <c r="UQ6" s="323"/>
      <c r="UR6" s="323"/>
      <c r="US6" s="323"/>
      <c r="UT6" s="323"/>
      <c r="UU6" s="323"/>
      <c r="UV6" s="323"/>
      <c r="UW6" s="323"/>
      <c r="UX6" s="323"/>
      <c r="UY6" s="323"/>
      <c r="UZ6" s="323"/>
      <c r="VA6" s="323"/>
      <c r="VB6" s="323"/>
      <c r="VC6" s="323"/>
      <c r="VD6" s="323"/>
      <c r="VE6" s="323"/>
      <c r="VF6" s="323"/>
      <c r="VG6" s="323"/>
      <c r="VH6" s="323"/>
      <c r="VI6" s="323"/>
      <c r="VJ6" s="323"/>
      <c r="VK6" s="323"/>
      <c r="VL6" s="323"/>
      <c r="VM6" s="323"/>
      <c r="VN6" s="323"/>
      <c r="VO6" s="323"/>
      <c r="VP6" s="323"/>
      <c r="VQ6" s="323"/>
      <c r="VR6" s="323"/>
      <c r="VS6" s="323"/>
      <c r="VT6" s="323"/>
      <c r="VU6" s="323"/>
      <c r="VV6" s="323"/>
      <c r="VW6" s="323"/>
      <c r="VX6" s="323"/>
      <c r="VY6" s="323"/>
      <c r="VZ6" s="323"/>
      <c r="WA6" s="323"/>
      <c r="WB6" s="323"/>
      <c r="WC6" s="323"/>
      <c r="WD6" s="323"/>
      <c r="WE6" s="323"/>
      <c r="WF6" s="323"/>
      <c r="WG6" s="323"/>
      <c r="WH6" s="323"/>
      <c r="WI6" s="323"/>
      <c r="WJ6" s="323"/>
      <c r="WK6" s="323"/>
      <c r="WL6" s="323"/>
      <c r="WM6" s="323"/>
      <c r="WN6" s="323"/>
      <c r="WO6" s="323"/>
      <c r="WP6" s="323"/>
      <c r="WQ6" s="323"/>
      <c r="WR6" s="323"/>
      <c r="WS6" s="323"/>
      <c r="WT6" s="323"/>
      <c r="WU6" s="323"/>
      <c r="WV6" s="323"/>
      <c r="WW6" s="323"/>
      <c r="WX6" s="323"/>
      <c r="WY6" s="323"/>
      <c r="WZ6" s="323"/>
      <c r="XA6" s="323"/>
      <c r="XB6" s="323"/>
      <c r="XC6" s="323"/>
      <c r="XD6" s="323"/>
      <c r="XE6" s="323"/>
      <c r="XF6" s="323"/>
      <c r="XG6" s="323"/>
      <c r="XH6" s="323"/>
      <c r="XI6" s="323"/>
      <c r="XJ6" s="323"/>
      <c r="XK6" s="323"/>
      <c r="XL6" s="323"/>
      <c r="XM6" s="323"/>
      <c r="XN6" s="323"/>
      <c r="XO6" s="323"/>
      <c r="XP6" s="323"/>
      <c r="XQ6" s="323"/>
      <c r="XR6" s="323"/>
      <c r="XS6" s="323"/>
      <c r="XT6" s="323"/>
      <c r="XU6" s="323"/>
      <c r="XV6" s="323"/>
      <c r="XW6" s="323"/>
      <c r="XX6" s="323"/>
      <c r="XY6" s="323"/>
      <c r="XZ6" s="323"/>
      <c r="YA6" s="323"/>
      <c r="YB6" s="323"/>
      <c r="YC6" s="323"/>
      <c r="YD6" s="323"/>
      <c r="YE6" s="323"/>
      <c r="YF6" s="323"/>
      <c r="YG6" s="323"/>
      <c r="YH6" s="323"/>
      <c r="YI6" s="323"/>
      <c r="YJ6" s="323"/>
      <c r="YK6" s="323"/>
      <c r="YL6" s="323"/>
      <c r="YM6" s="323"/>
      <c r="YN6" s="323"/>
      <c r="YO6" s="323"/>
      <c r="YP6" s="323"/>
      <c r="YQ6" s="323"/>
      <c r="YR6" s="323"/>
      <c r="YS6" s="323"/>
      <c r="YT6" s="323"/>
      <c r="YU6" s="323"/>
      <c r="YV6" s="323"/>
      <c r="YW6" s="323"/>
      <c r="YX6" s="323"/>
      <c r="YY6" s="323"/>
      <c r="YZ6" s="323"/>
      <c r="ZA6" s="323"/>
      <c r="ZB6" s="323"/>
      <c r="ZC6" s="323"/>
      <c r="ZD6" s="323"/>
      <c r="ZE6" s="323"/>
      <c r="ZF6" s="323"/>
      <c r="ZG6" s="323"/>
      <c r="ZH6" s="323"/>
      <c r="ZI6" s="323"/>
      <c r="ZJ6" s="323"/>
      <c r="ZK6" s="323"/>
      <c r="ZL6" s="323"/>
      <c r="ZM6" s="323"/>
      <c r="ZN6" s="323"/>
      <c r="ZO6" s="323"/>
      <c r="ZP6" s="323"/>
      <c r="ZQ6" s="323"/>
      <c r="ZR6" s="323"/>
      <c r="ZS6" s="323"/>
      <c r="ZT6" s="323"/>
      <c r="ZU6" s="323"/>
      <c r="ZV6" s="323"/>
      <c r="ZW6" s="323"/>
      <c r="ZX6" s="323"/>
      <c r="ZY6" s="323"/>
      <c r="ZZ6" s="323"/>
      <c r="AAA6" s="323"/>
      <c r="AAB6" s="323"/>
      <c r="AAC6" s="323"/>
      <c r="AAD6" s="323"/>
      <c r="AAE6" s="323"/>
      <c r="AAF6" s="323"/>
      <c r="AAG6" s="323"/>
      <c r="AAH6" s="323"/>
      <c r="AAI6" s="323"/>
      <c r="AAJ6" s="323"/>
      <c r="AAK6" s="323"/>
      <c r="AAL6" s="323"/>
      <c r="AAM6" s="323"/>
      <c r="AAN6" s="323"/>
      <c r="AAO6" s="323"/>
      <c r="AAP6" s="323"/>
      <c r="AAQ6" s="323"/>
      <c r="AAR6" s="323"/>
      <c r="AAS6" s="323"/>
      <c r="AAT6" s="323"/>
      <c r="AAU6" s="323"/>
      <c r="AAV6" s="323"/>
      <c r="AAW6" s="323"/>
      <c r="AAX6" s="323"/>
      <c r="AAY6" s="323"/>
      <c r="AAZ6" s="323"/>
      <c r="ABA6" s="323"/>
      <c r="ABB6" s="323"/>
      <c r="ABC6" s="323"/>
      <c r="ABD6" s="323"/>
      <c r="ABE6" s="323"/>
      <c r="ABF6" s="323"/>
      <c r="ABG6" s="323"/>
      <c r="ABH6" s="323"/>
      <c r="ABI6" s="323"/>
      <c r="ABJ6" s="323"/>
      <c r="ABK6" s="323"/>
      <c r="ABL6" s="323"/>
      <c r="ABM6" s="323"/>
      <c r="ABN6" s="323"/>
      <c r="ABO6" s="323"/>
      <c r="ABP6" s="323"/>
      <c r="ABQ6" s="323"/>
      <c r="ABR6" s="323"/>
      <c r="ABS6" s="323"/>
      <c r="ABT6" s="323"/>
      <c r="ABU6" s="323"/>
      <c r="ABV6" s="323"/>
      <c r="ABW6" s="323"/>
      <c r="ABX6" s="323"/>
      <c r="ABY6" s="323"/>
      <c r="ABZ6" s="323"/>
      <c r="ACA6" s="323"/>
      <c r="ACB6" s="323"/>
      <c r="ACC6" s="323"/>
      <c r="ACD6" s="323"/>
      <c r="ACE6" s="323"/>
      <c r="ACF6" s="323"/>
      <c r="ACG6" s="323"/>
      <c r="ACH6" s="323"/>
      <c r="ACI6" s="323"/>
      <c r="ACJ6" s="323"/>
      <c r="ACK6" s="323"/>
      <c r="ACL6" s="323"/>
      <c r="ACM6" s="323"/>
      <c r="ACN6" s="323"/>
      <c r="ACO6" s="323"/>
      <c r="ACP6" s="323"/>
      <c r="ACQ6" s="323"/>
      <c r="ACR6" s="323"/>
      <c r="ACS6" s="323"/>
      <c r="ACT6" s="323"/>
      <c r="ACU6" s="323"/>
      <c r="ACV6" s="323"/>
      <c r="ACW6" s="323"/>
      <c r="ACX6" s="323"/>
      <c r="ACY6" s="323"/>
      <c r="ACZ6" s="323"/>
      <c r="ADA6" s="323"/>
      <c r="ADB6" s="323"/>
      <c r="ADC6" s="323"/>
      <c r="ADD6" s="323"/>
      <c r="ADE6" s="323"/>
      <c r="ADF6" s="323"/>
      <c r="ADG6" s="323"/>
      <c r="ADH6" s="323"/>
      <c r="ADI6" s="323"/>
      <c r="ADJ6" s="323"/>
      <c r="ADK6" s="323"/>
      <c r="ADL6" s="323"/>
      <c r="ADM6" s="323"/>
      <c r="ADN6" s="323"/>
      <c r="ADO6" s="323"/>
      <c r="ADP6" s="323"/>
      <c r="ADQ6" s="323"/>
      <c r="ADR6" s="323"/>
      <c r="ADS6" s="323"/>
      <c r="ADT6" s="323"/>
      <c r="ADU6" s="323"/>
      <c r="ADV6" s="323"/>
      <c r="ADW6" s="323"/>
      <c r="ADX6" s="323"/>
      <c r="ADY6" s="323"/>
      <c r="ADZ6" s="323"/>
      <c r="AEA6" s="323"/>
      <c r="AEB6" s="323"/>
      <c r="AEC6" s="323"/>
      <c r="AED6" s="323"/>
      <c r="AEE6" s="323"/>
      <c r="AEF6" s="323"/>
      <c r="AEG6" s="323"/>
      <c r="AEH6" s="323"/>
      <c r="AEI6" s="323"/>
      <c r="AEJ6" s="323"/>
      <c r="AEK6" s="323"/>
      <c r="AEL6" s="323"/>
      <c r="AEM6" s="323"/>
      <c r="AEN6" s="323"/>
      <c r="AEO6" s="323"/>
      <c r="AEP6" s="323"/>
      <c r="AEQ6" s="323"/>
      <c r="AER6" s="323"/>
      <c r="AES6" s="323"/>
      <c r="AET6" s="323"/>
      <c r="AEU6" s="323"/>
      <c r="AEV6" s="323"/>
      <c r="AEW6" s="323"/>
      <c r="AEX6" s="323"/>
      <c r="AEY6" s="323"/>
      <c r="AEZ6" s="323"/>
      <c r="AFA6" s="323"/>
      <c r="AFB6" s="323"/>
      <c r="AFC6" s="323"/>
      <c r="AFD6" s="323"/>
      <c r="AFE6" s="323"/>
      <c r="AFF6" s="323"/>
      <c r="AFG6" s="323"/>
      <c r="AFH6" s="323"/>
      <c r="AFI6" s="323"/>
      <c r="AFJ6" s="323"/>
      <c r="AFK6" s="323"/>
      <c r="AFL6" s="323"/>
      <c r="AFM6" s="323"/>
      <c r="AFN6" s="323"/>
      <c r="AFO6" s="323"/>
      <c r="AFP6" s="323"/>
      <c r="AFQ6" s="323"/>
      <c r="AFR6" s="323"/>
      <c r="AFS6" s="323"/>
      <c r="AFT6" s="323"/>
      <c r="AFU6" s="323"/>
      <c r="AFV6" s="323"/>
      <c r="AFW6" s="323"/>
      <c r="AFX6" s="323"/>
      <c r="AFY6" s="323"/>
      <c r="AFZ6" s="323"/>
      <c r="AGA6" s="323"/>
      <c r="AGB6" s="323"/>
      <c r="AGC6" s="323"/>
      <c r="AGD6" s="323"/>
      <c r="AGE6" s="323"/>
      <c r="AGF6" s="323"/>
      <c r="AGG6" s="323"/>
      <c r="AGH6" s="323"/>
      <c r="AGI6" s="323"/>
      <c r="AGJ6" s="323"/>
      <c r="AGK6" s="323"/>
      <c r="AGL6" s="323"/>
      <c r="AGM6" s="323"/>
      <c r="AGN6" s="323"/>
      <c r="AGO6" s="323"/>
      <c r="AGP6" s="323"/>
      <c r="AGQ6" s="323"/>
      <c r="AGR6" s="323"/>
      <c r="AGS6" s="323"/>
      <c r="AGT6" s="323"/>
      <c r="AGU6" s="323"/>
      <c r="AGV6" s="323"/>
      <c r="AGW6" s="323"/>
      <c r="AGX6" s="323"/>
      <c r="AGY6" s="323"/>
      <c r="AGZ6" s="323"/>
      <c r="AHA6" s="323"/>
      <c r="AHB6" s="323"/>
      <c r="AHC6" s="323"/>
    </row>
    <row r="7" spans="3:887" ht="13.2"/>
    <row r="8" spans="3:887" ht="18" customHeight="1">
      <c r="E8" s="324">
        <v>1</v>
      </c>
      <c r="F8" s="407" t="s">
        <v>1</v>
      </c>
      <c r="G8" s="324"/>
    </row>
    <row r="9" spans="3:887" ht="18" customHeight="1">
      <c r="E9" s="324">
        <f t="shared" ref="E9:E22" si="0">E8+1</f>
        <v>2</v>
      </c>
      <c r="F9" s="407" t="s">
        <v>2</v>
      </c>
      <c r="G9" s="324"/>
    </row>
    <row r="10" spans="3:887" ht="18" customHeight="1">
      <c r="E10" s="324">
        <f t="shared" si="0"/>
        <v>3</v>
      </c>
      <c r="F10" s="407" t="s">
        <v>179</v>
      </c>
      <c r="G10" s="324"/>
    </row>
    <row r="11" spans="3:887" ht="18" customHeight="1">
      <c r="E11" s="324">
        <f t="shared" si="0"/>
        <v>4</v>
      </c>
      <c r="F11" s="406" t="s">
        <v>3</v>
      </c>
      <c r="G11" s="324"/>
    </row>
    <row r="12" spans="3:887" ht="18" customHeight="1">
      <c r="E12" s="324">
        <f t="shared" si="0"/>
        <v>5</v>
      </c>
      <c r="F12" s="406" t="s">
        <v>444</v>
      </c>
      <c r="G12" s="324"/>
    </row>
    <row r="13" spans="3:887" ht="18" customHeight="1">
      <c r="E13" s="324">
        <f t="shared" si="0"/>
        <v>6</v>
      </c>
      <c r="F13" s="406" t="s">
        <v>255</v>
      </c>
      <c r="G13" s="324"/>
    </row>
    <row r="14" spans="3:887" ht="18" customHeight="1">
      <c r="E14" s="324">
        <f t="shared" si="0"/>
        <v>7</v>
      </c>
      <c r="F14" s="406" t="s">
        <v>468</v>
      </c>
      <c r="G14" s="324"/>
    </row>
    <row r="15" spans="3:887" ht="18" customHeight="1">
      <c r="E15" s="324">
        <f t="shared" si="0"/>
        <v>8</v>
      </c>
      <c r="F15" s="406" t="s">
        <v>311</v>
      </c>
    </row>
    <row r="16" spans="3:887" ht="18" customHeight="1">
      <c r="E16" s="324">
        <f t="shared" si="0"/>
        <v>9</v>
      </c>
      <c r="F16" s="406" t="s">
        <v>426</v>
      </c>
    </row>
    <row r="17" spans="5:6" ht="18" customHeight="1">
      <c r="E17" s="324">
        <f t="shared" si="0"/>
        <v>10</v>
      </c>
      <c r="F17" s="406" t="s">
        <v>5</v>
      </c>
    </row>
    <row r="18" spans="5:6" ht="18" customHeight="1">
      <c r="E18" s="324">
        <f t="shared" si="0"/>
        <v>11</v>
      </c>
      <c r="F18" s="406" t="s">
        <v>6</v>
      </c>
    </row>
    <row r="19" spans="5:6" ht="18" customHeight="1">
      <c r="E19" s="324">
        <f t="shared" si="0"/>
        <v>12</v>
      </c>
      <c r="F19" s="406" t="s">
        <v>7</v>
      </c>
    </row>
    <row r="20" spans="5:6" ht="18" customHeight="1">
      <c r="E20" s="324">
        <f t="shared" si="0"/>
        <v>13</v>
      </c>
      <c r="F20" s="406" t="s">
        <v>8</v>
      </c>
    </row>
    <row r="21" spans="5:6" ht="18" customHeight="1">
      <c r="E21" s="324">
        <f t="shared" si="0"/>
        <v>14</v>
      </c>
      <c r="F21" s="406" t="s">
        <v>9</v>
      </c>
    </row>
    <row r="22" spans="5:6" ht="18" customHeight="1">
      <c r="E22" s="324">
        <f t="shared" si="0"/>
        <v>15</v>
      </c>
      <c r="F22" s="406" t="s">
        <v>10</v>
      </c>
    </row>
  </sheetData>
  <mergeCells count="1">
    <mergeCell ref="E5:G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D8:M57"/>
  <sheetViews>
    <sheetView showGridLines="0" topLeftCell="B26" zoomScale="85" zoomScaleNormal="85" workbookViewId="0">
      <selection activeCell="H27" sqref="H27"/>
    </sheetView>
  </sheetViews>
  <sheetFormatPr defaultColWidth="8.88671875" defaultRowHeight="14.4"/>
  <cols>
    <col min="1" max="3" width="1.33203125" style="330" customWidth="1"/>
    <col min="4" max="4" width="22.44140625" style="330" bestFit="1" customWidth="1"/>
    <col min="5" max="5" width="27.109375" style="330" customWidth="1"/>
    <col min="6" max="6" width="17.21875" style="330" customWidth="1"/>
    <col min="7" max="7" width="14.109375" style="330" customWidth="1"/>
    <col min="8" max="13" width="15.21875" style="330" customWidth="1"/>
    <col min="14" max="16384" width="8.88671875" style="330"/>
  </cols>
  <sheetData>
    <row r="8" spans="4:9">
      <c r="I8" s="327"/>
    </row>
    <row r="9" spans="4:9" ht="19.8" customHeight="1">
      <c r="D9" s="331" t="s">
        <v>11</v>
      </c>
      <c r="E9" s="332" t="s">
        <v>12</v>
      </c>
      <c r="F9" s="333"/>
      <c r="G9" s="334"/>
    </row>
    <row r="10" spans="4:9" ht="19.8" customHeight="1">
      <c r="D10" s="331" t="s">
        <v>13</v>
      </c>
      <c r="E10" s="332" t="s">
        <v>14</v>
      </c>
      <c r="F10" s="333"/>
      <c r="G10" s="334"/>
    </row>
    <row r="11" spans="4:9" ht="19.8" customHeight="1">
      <c r="D11" s="331" t="s">
        <v>15</v>
      </c>
      <c r="E11" s="332" t="s">
        <v>16</v>
      </c>
      <c r="F11" s="333"/>
      <c r="G11" s="334"/>
    </row>
    <row r="12" spans="4:9" ht="19.8" customHeight="1">
      <c r="D12" s="331" t="s">
        <v>17</v>
      </c>
      <c r="E12" s="332" t="s">
        <v>18</v>
      </c>
      <c r="F12" s="333"/>
      <c r="G12" s="334"/>
    </row>
    <row r="13" spans="4:9" ht="19.8" customHeight="1">
      <c r="D13" s="331" t="s">
        <v>19</v>
      </c>
      <c r="E13" s="332" t="s">
        <v>20</v>
      </c>
      <c r="F13" s="333"/>
      <c r="G13" s="334"/>
    </row>
    <row r="14" spans="4:9" ht="19.8" customHeight="1">
      <c r="D14" s="331" t="s">
        <v>21</v>
      </c>
      <c r="E14" s="335" t="s">
        <v>22</v>
      </c>
      <c r="F14" s="333"/>
      <c r="G14" s="334"/>
    </row>
    <row r="15" spans="4:9" ht="139.94999999999999" customHeight="1">
      <c r="D15" s="331" t="s">
        <v>23</v>
      </c>
      <c r="E15" s="589" t="s">
        <v>24</v>
      </c>
      <c r="F15" s="590"/>
      <c r="G15" s="591"/>
    </row>
    <row r="16" spans="4:9" ht="20.399999999999999" customHeight="1">
      <c r="D16" s="331" t="s">
        <v>25</v>
      </c>
      <c r="E16" s="336">
        <v>623.6</v>
      </c>
      <c r="F16" s="333"/>
      <c r="G16" s="334"/>
    </row>
    <row r="19" spans="5:12" ht="17.399999999999999">
      <c r="E19" s="337" t="s">
        <v>4</v>
      </c>
      <c r="F19" s="338" t="s">
        <v>26</v>
      </c>
      <c r="G19" s="540" t="s">
        <v>430</v>
      </c>
    </row>
    <row r="20" spans="5:12">
      <c r="E20" s="339" t="s">
        <v>187</v>
      </c>
      <c r="F20" s="339">
        <f>IF(E20='Cost Buildup'!D41,1,IF(E20='Cost Buildup'!D42,2,3))</f>
        <v>1</v>
      </c>
      <c r="G20" s="380">
        <f>IF(F20=1,6%,IF(Assumptions!F20=2,11%,1%))</f>
        <v>0.06</v>
      </c>
    </row>
    <row r="21" spans="5:12" s="340" customFormat="1"/>
    <row r="22" spans="5:12">
      <c r="J22" s="341"/>
    </row>
    <row r="23" spans="5:12" ht="16.05" customHeight="1">
      <c r="E23" s="592" t="s">
        <v>28</v>
      </c>
      <c r="F23" s="592"/>
      <c r="G23" s="592"/>
      <c r="L23" s="342"/>
    </row>
    <row r="24" spans="5:12" s="340" customFormat="1" ht="2.4" customHeight="1">
      <c r="E24" s="458"/>
      <c r="F24" s="458"/>
      <c r="G24" s="458"/>
      <c r="L24" s="459"/>
    </row>
    <row r="25" spans="5:12">
      <c r="E25" s="343" t="s">
        <v>29</v>
      </c>
      <c r="F25" s="344" t="s">
        <v>493</v>
      </c>
      <c r="G25" s="361">
        <v>247.53</v>
      </c>
      <c r="L25" s="342"/>
    </row>
    <row r="26" spans="5:12">
      <c r="E26" s="343" t="s">
        <v>31</v>
      </c>
      <c r="F26" s="344" t="s">
        <v>32</v>
      </c>
      <c r="G26" s="361">
        <v>2</v>
      </c>
    </row>
    <row r="27" spans="5:12">
      <c r="E27" s="343" t="s">
        <v>25</v>
      </c>
      <c r="F27" s="344" t="s">
        <v>32</v>
      </c>
      <c r="G27" s="361">
        <f>E16</f>
        <v>623.6</v>
      </c>
      <c r="I27" s="345"/>
      <c r="J27" s="345"/>
      <c r="K27" s="345"/>
      <c r="L27" s="345"/>
    </row>
    <row r="28" spans="5:12">
      <c r="E28" s="343" t="s">
        <v>33</v>
      </c>
      <c r="F28" s="344" t="s">
        <v>34</v>
      </c>
      <c r="G28" s="362">
        <f>G27*G25</f>
        <v>154359.70800000001</v>
      </c>
    </row>
    <row r="29" spans="5:12">
      <c r="E29" s="346"/>
      <c r="F29" s="347"/>
      <c r="G29" s="348"/>
    </row>
    <row r="31" spans="5:12" ht="17.399999999999999">
      <c r="E31" s="592" t="s">
        <v>1</v>
      </c>
      <c r="F31" s="592"/>
      <c r="G31" s="592"/>
    </row>
    <row r="32" spans="5:12" s="351" customFormat="1" ht="4.05" customHeight="1">
      <c r="E32" s="349"/>
      <c r="F32" s="350"/>
      <c r="G32" s="350"/>
      <c r="K32" s="330"/>
    </row>
    <row r="33" spans="5:13">
      <c r="E33" s="343" t="s">
        <v>35</v>
      </c>
      <c r="F33" s="344"/>
      <c r="G33" s="358">
        <v>6.0215621306988064E-2</v>
      </c>
    </row>
    <row r="34" spans="5:13">
      <c r="E34" s="332" t="s">
        <v>36</v>
      </c>
      <c r="F34" s="333"/>
      <c r="G34" s="359">
        <v>6.6199999999999995E-2</v>
      </c>
      <c r="H34" s="352" t="s">
        <v>37</v>
      </c>
    </row>
    <row r="35" spans="5:13">
      <c r="E35" s="332" t="s">
        <v>38</v>
      </c>
      <c r="F35" s="333"/>
      <c r="G35" s="359">
        <f>'Cost Buildup'!J30</f>
        <v>7.3739682158771677E-2</v>
      </c>
      <c r="H35" s="352" t="s">
        <v>485</v>
      </c>
    </row>
    <row r="36" spans="5:13">
      <c r="E36" s="332" t="s">
        <v>41</v>
      </c>
      <c r="F36" s="333"/>
      <c r="G36" s="359">
        <v>6.4799999999999996E-2</v>
      </c>
      <c r="H36" s="352" t="s">
        <v>37</v>
      </c>
    </row>
    <row r="37" spans="5:13">
      <c r="E37" s="353" t="s">
        <v>39</v>
      </c>
      <c r="F37" s="354"/>
      <c r="G37" s="360">
        <v>11</v>
      </c>
      <c r="H37" s="352" t="s">
        <v>457</v>
      </c>
    </row>
    <row r="40" spans="5:13" ht="18" customHeight="1">
      <c r="E40" s="337" t="s">
        <v>427</v>
      </c>
      <c r="F40" s="337" t="s">
        <v>428</v>
      </c>
      <c r="G40" s="592" t="s">
        <v>1</v>
      </c>
      <c r="H40" s="592"/>
      <c r="I40" s="592"/>
      <c r="J40" s="592"/>
      <c r="K40" s="592"/>
      <c r="L40" s="592"/>
      <c r="M40" s="592"/>
    </row>
    <row r="41" spans="5:13" ht="9.6" customHeight="1">
      <c r="G41" s="399"/>
      <c r="H41" s="345"/>
      <c r="I41" s="345"/>
      <c r="J41" s="345"/>
      <c r="K41" s="345"/>
      <c r="L41" s="345"/>
      <c r="M41" s="345"/>
    </row>
    <row r="42" spans="5:13" ht="31.8" customHeight="1">
      <c r="E42" s="594" t="s">
        <v>179</v>
      </c>
      <c r="F42" s="416" t="s">
        <v>456</v>
      </c>
      <c r="G42" s="582" t="s">
        <v>433</v>
      </c>
      <c r="H42" s="582"/>
      <c r="I42" s="582"/>
      <c r="J42" s="582"/>
      <c r="K42" s="582"/>
      <c r="L42" s="582"/>
      <c r="M42" s="582"/>
    </row>
    <row r="43" spans="5:13" ht="22.2" customHeight="1">
      <c r="E43" s="594"/>
      <c r="F43" s="417" t="s">
        <v>429</v>
      </c>
      <c r="G43" s="585" t="s">
        <v>477</v>
      </c>
      <c r="H43" s="586"/>
      <c r="I43" s="586"/>
      <c r="J43" s="586"/>
      <c r="K43" s="586"/>
      <c r="L43" s="586"/>
      <c r="M43" s="587"/>
    </row>
    <row r="44" spans="5:13" ht="30.6" customHeight="1">
      <c r="E44" s="594"/>
      <c r="F44" s="417" t="s">
        <v>435</v>
      </c>
      <c r="G44" s="593" t="s">
        <v>434</v>
      </c>
      <c r="H44" s="593"/>
      <c r="I44" s="593"/>
      <c r="J44" s="593"/>
      <c r="K44" s="593"/>
      <c r="L44" s="593"/>
      <c r="M44" s="593"/>
    </row>
    <row r="45" spans="5:13" ht="22.8" customHeight="1">
      <c r="E45" s="594"/>
      <c r="F45" s="417" t="s">
        <v>437</v>
      </c>
      <c r="G45" s="595" t="s">
        <v>436</v>
      </c>
      <c r="H45" s="595"/>
      <c r="I45" s="595"/>
      <c r="J45" s="595"/>
      <c r="K45" s="595"/>
      <c r="L45" s="595"/>
      <c r="M45" s="595"/>
    </row>
    <row r="46" spans="5:13" ht="31.2" customHeight="1">
      <c r="E46" s="583" t="s">
        <v>3</v>
      </c>
      <c r="F46" s="417" t="s">
        <v>439</v>
      </c>
      <c r="G46" s="585" t="s">
        <v>463</v>
      </c>
      <c r="H46" s="586"/>
      <c r="I46" s="586"/>
      <c r="J46" s="586"/>
      <c r="K46" s="586"/>
      <c r="L46" s="586"/>
      <c r="M46" s="587"/>
    </row>
    <row r="47" spans="5:13" ht="60.6" customHeight="1">
      <c r="E47" s="584"/>
      <c r="F47" s="417" t="s">
        <v>440</v>
      </c>
      <c r="G47" s="582" t="s">
        <v>462</v>
      </c>
      <c r="H47" s="582"/>
      <c r="I47" s="582"/>
      <c r="J47" s="582"/>
      <c r="K47" s="582"/>
      <c r="L47" s="582"/>
      <c r="M47" s="582"/>
    </row>
    <row r="48" spans="5:13" ht="23.4" customHeight="1">
      <c r="E48" s="583" t="s">
        <v>451</v>
      </c>
      <c r="F48" s="417" t="s">
        <v>445</v>
      </c>
      <c r="G48" s="585" t="s">
        <v>441</v>
      </c>
      <c r="H48" s="586"/>
      <c r="I48" s="586"/>
      <c r="J48" s="586"/>
      <c r="K48" s="586"/>
      <c r="L48" s="586"/>
      <c r="M48" s="587"/>
    </row>
    <row r="49" spans="5:13" ht="31.2" customHeight="1">
      <c r="E49" s="588"/>
      <c r="F49" s="417" t="s">
        <v>438</v>
      </c>
      <c r="G49" s="582" t="s">
        <v>478</v>
      </c>
      <c r="H49" s="582"/>
      <c r="I49" s="582"/>
      <c r="J49" s="582"/>
      <c r="K49" s="582"/>
      <c r="L49" s="582"/>
      <c r="M49" s="582"/>
    </row>
    <row r="50" spans="5:13" ht="25.8" customHeight="1">
      <c r="E50" s="584"/>
      <c r="F50" s="417" t="s">
        <v>459</v>
      </c>
      <c r="G50" s="596" t="s">
        <v>442</v>
      </c>
      <c r="H50" s="596"/>
      <c r="I50" s="596"/>
      <c r="J50" s="596"/>
      <c r="K50" s="596"/>
      <c r="L50" s="596"/>
      <c r="M50" s="596"/>
    </row>
    <row r="51" spans="5:13" ht="31.2" customHeight="1">
      <c r="E51" s="418" t="s">
        <v>444</v>
      </c>
      <c r="F51" s="417" t="s">
        <v>446</v>
      </c>
      <c r="G51" s="582" t="s">
        <v>443</v>
      </c>
      <c r="H51" s="582"/>
      <c r="I51" s="582"/>
      <c r="J51" s="582"/>
      <c r="K51" s="582"/>
      <c r="L51" s="582"/>
      <c r="M51" s="582"/>
    </row>
    <row r="52" spans="5:13" ht="44.4" customHeight="1">
      <c r="E52" s="474" t="s">
        <v>426</v>
      </c>
      <c r="F52" s="460" t="s">
        <v>467</v>
      </c>
      <c r="G52" s="582" t="s">
        <v>465</v>
      </c>
      <c r="H52" s="582"/>
      <c r="I52" s="582"/>
      <c r="J52" s="582"/>
      <c r="K52" s="582"/>
      <c r="L52" s="582"/>
      <c r="M52" s="582"/>
    </row>
    <row r="53" spans="5:13" ht="31.2" customHeight="1">
      <c r="E53" s="418" t="s">
        <v>7</v>
      </c>
      <c r="F53" s="417" t="s">
        <v>466</v>
      </c>
      <c r="G53" s="582" t="s">
        <v>464</v>
      </c>
      <c r="H53" s="582"/>
      <c r="I53" s="582"/>
      <c r="J53" s="582"/>
      <c r="K53" s="582"/>
      <c r="L53" s="582"/>
      <c r="M53" s="582"/>
    </row>
    <row r="54" spans="5:13" ht="29.4" customHeight="1">
      <c r="E54" s="418" t="s">
        <v>447</v>
      </c>
      <c r="F54" s="417" t="s">
        <v>476</v>
      </c>
      <c r="G54" s="582" t="s">
        <v>448</v>
      </c>
      <c r="H54" s="582"/>
      <c r="I54" s="582"/>
      <c r="J54" s="582"/>
      <c r="K54" s="582"/>
      <c r="L54" s="582"/>
      <c r="M54" s="582"/>
    </row>
    <row r="55" spans="5:13" ht="31.2" customHeight="1">
      <c r="E55" s="418" t="s">
        <v>449</v>
      </c>
      <c r="F55" s="417" t="s">
        <v>475</v>
      </c>
      <c r="G55" s="582" t="s">
        <v>450</v>
      </c>
      <c r="H55" s="582"/>
      <c r="I55" s="582"/>
      <c r="J55" s="582"/>
      <c r="K55" s="582"/>
      <c r="L55" s="582"/>
      <c r="M55" s="582"/>
    </row>
    <row r="56" spans="5:13" ht="42.6" customHeight="1">
      <c r="E56" s="418" t="s">
        <v>10</v>
      </c>
      <c r="F56" s="417" t="s">
        <v>487</v>
      </c>
      <c r="G56" s="582" t="s">
        <v>486</v>
      </c>
      <c r="H56" s="582"/>
      <c r="I56" s="582"/>
      <c r="J56" s="582"/>
      <c r="K56" s="582"/>
      <c r="L56" s="582"/>
      <c r="M56" s="582"/>
    </row>
    <row r="57" spans="5:13" ht="26.4" customHeight="1"/>
  </sheetData>
  <mergeCells count="22">
    <mergeCell ref="G56:M56"/>
    <mergeCell ref="G43:M43"/>
    <mergeCell ref="G46:M46"/>
    <mergeCell ref="E48:E50"/>
    <mergeCell ref="E15:G15"/>
    <mergeCell ref="E23:G23"/>
    <mergeCell ref="E31:G31"/>
    <mergeCell ref="G42:M42"/>
    <mergeCell ref="G44:M44"/>
    <mergeCell ref="G40:M40"/>
    <mergeCell ref="E42:E45"/>
    <mergeCell ref="G45:M45"/>
    <mergeCell ref="G50:M50"/>
    <mergeCell ref="G48:M48"/>
    <mergeCell ref="G49:M49"/>
    <mergeCell ref="G47:M47"/>
    <mergeCell ref="G55:M55"/>
    <mergeCell ref="E46:E47"/>
    <mergeCell ref="G52:M52"/>
    <mergeCell ref="G53:M53"/>
    <mergeCell ref="G51:M51"/>
    <mergeCell ref="G54:M54"/>
  </mergeCells>
  <hyperlinks>
    <hyperlink ref="E14" r:id="rId1" xr:uid="{00000000-0004-0000-0100-000000000000}"/>
  </hyperlinks>
  <pageMargins left="0.7" right="0.7" top="0.75" bottom="0.75" header="0.3" footer="0.3"/>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BFC67C3-7E87-4DA8-8A0F-9CE6AE178A54}">
          <x14:formula1>
            <xm:f>'Cost Buildup'!$J$41:$J$43</xm:f>
          </x14:formula1>
          <xm:sqref>G33</xm:sqref>
        </x14:dataValidation>
        <x14:dataValidation type="list" allowBlank="1" showInputMessage="1" showErrorMessage="1" xr:uid="{00000000-0002-0000-0100-000000000000}">
          <x14:formula1>
            <xm:f>'Cost Buildup'!$D$41:$D$43</xm:f>
          </x14:formula1>
          <xm:sqref>E20:E21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C3:L196"/>
  <sheetViews>
    <sheetView showGridLines="0" zoomScale="55" zoomScaleNormal="55" workbookViewId="0">
      <pane ySplit="3" topLeftCell="A4" activePane="bottomLeft" state="frozen"/>
      <selection pane="bottomLeft" activeCell="C182" sqref="C182"/>
    </sheetView>
  </sheetViews>
  <sheetFormatPr defaultColWidth="8.88671875" defaultRowHeight="14.4"/>
  <cols>
    <col min="1" max="2" width="1.33203125" style="194" customWidth="1"/>
    <col min="3" max="3" width="88.21875" style="325" customWidth="1"/>
    <col min="4" max="4" width="8.88671875" style="194"/>
    <col min="5" max="9" width="11.5546875" style="325" customWidth="1"/>
    <col min="10" max="10" width="11.5546875" style="194" customWidth="1"/>
    <col min="11" max="11" width="9.88671875" style="194" bestFit="1" customWidth="1"/>
    <col min="12" max="16384" width="8.88671875" style="194"/>
  </cols>
  <sheetData>
    <row r="3" spans="3:10" s="319" customFormat="1" ht="27" customHeight="1">
      <c r="C3" s="515" t="s">
        <v>2</v>
      </c>
      <c r="D3" s="500"/>
      <c r="E3" s="501">
        <v>2020</v>
      </c>
      <c r="F3" s="501">
        <f>E3+1</f>
        <v>2021</v>
      </c>
      <c r="G3" s="501">
        <f>F3+1</f>
        <v>2022</v>
      </c>
      <c r="H3" s="501">
        <f>G3+1</f>
        <v>2023</v>
      </c>
      <c r="I3" s="501">
        <f>H3+1</f>
        <v>2024</v>
      </c>
    </row>
    <row r="4" spans="3:10" s="514" customFormat="1" ht="16.2" customHeight="1">
      <c r="C4" s="512"/>
      <c r="D4" s="512"/>
      <c r="E4" s="538" t="s">
        <v>339</v>
      </c>
      <c r="F4" s="538" t="s">
        <v>339</v>
      </c>
      <c r="G4" s="538" t="s">
        <v>339</v>
      </c>
      <c r="H4" s="538" t="s">
        <v>339</v>
      </c>
      <c r="I4" s="538" t="s">
        <v>339</v>
      </c>
    </row>
    <row r="5" spans="3:10" s="319" customFormat="1" ht="26.4" customHeight="1">
      <c r="C5" s="515" t="s">
        <v>44</v>
      </c>
      <c r="D5" s="516"/>
      <c r="E5" s="515"/>
      <c r="F5" s="515"/>
      <c r="G5" s="515"/>
      <c r="H5" s="515"/>
      <c r="I5" s="515"/>
    </row>
    <row r="6" spans="3:10" s="319" customFormat="1" ht="16.2" customHeight="1">
      <c r="C6" s="326" t="s">
        <v>471</v>
      </c>
      <c r="E6" s="328"/>
      <c r="F6" s="328"/>
      <c r="G6" s="328"/>
      <c r="H6" s="328"/>
      <c r="I6" s="328"/>
    </row>
    <row r="7" spans="3:10">
      <c r="C7" s="325" t="s">
        <v>45</v>
      </c>
      <c r="E7" s="535">
        <v>608277.22</v>
      </c>
      <c r="F7" s="535">
        <v>541406.1</v>
      </c>
      <c r="G7" s="535">
        <v>571763.93000000005</v>
      </c>
      <c r="H7" s="535">
        <v>569481.15</v>
      </c>
      <c r="I7" s="535">
        <v>642697.74</v>
      </c>
    </row>
    <row r="8" spans="3:10">
      <c r="C8" s="325" t="s">
        <v>46</v>
      </c>
      <c r="E8" s="535">
        <v>80536.98</v>
      </c>
      <c r="F8" s="535">
        <v>53082.6</v>
      </c>
      <c r="G8" s="535">
        <v>42045.64</v>
      </c>
      <c r="H8" s="535">
        <v>31730.71</v>
      </c>
      <c r="I8" s="535">
        <v>53134.46</v>
      </c>
    </row>
    <row r="9" spans="3:10" ht="15.6" customHeight="1">
      <c r="C9" s="502" t="s">
        <v>47</v>
      </c>
      <c r="D9" s="503"/>
      <c r="E9" s="504">
        <f>SUM(E7:E8)</f>
        <v>688814.2</v>
      </c>
      <c r="F9" s="504">
        <f t="shared" ref="F9:I9" si="0">SUM(F7:F8)</f>
        <v>594488.69999999995</v>
      </c>
      <c r="G9" s="504">
        <f t="shared" si="0"/>
        <v>613809.57000000007</v>
      </c>
      <c r="H9" s="504">
        <f t="shared" si="0"/>
        <v>601211.86</v>
      </c>
      <c r="I9" s="504">
        <f t="shared" si="0"/>
        <v>695832.2</v>
      </c>
    </row>
    <row r="10" spans="3:10">
      <c r="C10" s="326" t="s">
        <v>48</v>
      </c>
      <c r="E10" s="479"/>
      <c r="F10" s="479"/>
      <c r="G10" s="479"/>
      <c r="H10" s="479"/>
      <c r="I10" s="479"/>
    </row>
    <row r="11" spans="3:10">
      <c r="C11" s="325" t="s">
        <v>49</v>
      </c>
      <c r="E11" s="535">
        <v>338042.15</v>
      </c>
      <c r="F11" s="535">
        <v>284922.94</v>
      </c>
      <c r="G11" s="535">
        <v>274496.23</v>
      </c>
      <c r="H11" s="535">
        <v>243396.35</v>
      </c>
      <c r="I11" s="535">
        <v>279375.65000000002</v>
      </c>
    </row>
    <row r="12" spans="3:10">
      <c r="C12" s="325" t="s">
        <v>50</v>
      </c>
      <c r="E12" s="535">
        <v>35672.42</v>
      </c>
      <c r="F12" s="535">
        <v>31378.18</v>
      </c>
      <c r="G12" s="535">
        <v>35398.550000000003</v>
      </c>
      <c r="H12" s="535">
        <v>54788.15</v>
      </c>
      <c r="I12" s="535">
        <v>54595.22</v>
      </c>
    </row>
    <row r="13" spans="3:10">
      <c r="C13" s="325" t="s">
        <v>51</v>
      </c>
      <c r="E13" s="535">
        <v>142694.12</v>
      </c>
      <c r="F13" s="535">
        <v>85336.46</v>
      </c>
      <c r="G13" s="535">
        <v>62455.21</v>
      </c>
      <c r="H13" s="535">
        <v>39213.5</v>
      </c>
      <c r="I13" s="535">
        <v>35644.730000000003</v>
      </c>
      <c r="J13" s="322"/>
    </row>
    <row r="14" spans="3:10">
      <c r="C14" s="325" t="s">
        <v>52</v>
      </c>
      <c r="E14" s="535">
        <v>20030.3</v>
      </c>
      <c r="F14" s="535">
        <v>15948.3</v>
      </c>
      <c r="G14" s="535">
        <v>14943.87</v>
      </c>
      <c r="H14" s="535">
        <v>14863.27</v>
      </c>
      <c r="I14" s="535">
        <v>14794.67</v>
      </c>
      <c r="J14" s="322"/>
    </row>
    <row r="15" spans="3:10">
      <c r="C15" s="325" t="s">
        <v>53</v>
      </c>
      <c r="E15" s="535">
        <v>121062.31</v>
      </c>
      <c r="F15" s="535">
        <v>83325.149999999994</v>
      </c>
      <c r="G15" s="535">
        <v>87587.81</v>
      </c>
      <c r="H15" s="535">
        <v>98710.8</v>
      </c>
      <c r="I15" s="535">
        <v>96369.36</v>
      </c>
    </row>
    <row r="16" spans="3:10">
      <c r="C16" s="505" t="s">
        <v>54</v>
      </c>
      <c r="D16" s="508"/>
      <c r="E16" s="507">
        <f>SUM(E11:E15)</f>
        <v>657501.30000000005</v>
      </c>
      <c r="F16" s="507">
        <f t="shared" ref="F16:I16" si="1">SUM(F11:F15)</f>
        <v>500911.03</v>
      </c>
      <c r="G16" s="507">
        <f t="shared" si="1"/>
        <v>474881.67</v>
      </c>
      <c r="H16" s="507">
        <f t="shared" si="1"/>
        <v>450972.07</v>
      </c>
      <c r="I16" s="507">
        <f t="shared" si="1"/>
        <v>480779.62999999995</v>
      </c>
    </row>
    <row r="17" spans="3:12">
      <c r="C17" s="325" t="s">
        <v>55</v>
      </c>
      <c r="E17" s="480">
        <f>E9-E16</f>
        <v>31312.899999999907</v>
      </c>
      <c r="F17" s="480">
        <f t="shared" ref="F17:I17" si="2">F9-F16</f>
        <v>93577.669999999925</v>
      </c>
      <c r="G17" s="480">
        <f t="shared" si="2"/>
        <v>138927.90000000008</v>
      </c>
      <c r="H17" s="480">
        <f t="shared" si="2"/>
        <v>150239.78999999998</v>
      </c>
      <c r="I17" s="480">
        <f t="shared" si="2"/>
        <v>215052.57</v>
      </c>
    </row>
    <row r="18" spans="3:12">
      <c r="C18" s="325" t="s">
        <v>56</v>
      </c>
      <c r="E18" s="535">
        <v>34033.47</v>
      </c>
      <c r="F18" s="535">
        <v>-9620.8700000000008</v>
      </c>
      <c r="G18" s="535">
        <v>-22443.48</v>
      </c>
      <c r="H18" s="536">
        <v>0</v>
      </c>
      <c r="I18" s="536">
        <v>0</v>
      </c>
    </row>
    <row r="19" spans="3:12">
      <c r="C19" s="493" t="s">
        <v>57</v>
      </c>
      <c r="D19" s="491"/>
      <c r="E19" s="492">
        <f>SUM(E17:E18)</f>
        <v>65346.369999999908</v>
      </c>
      <c r="F19" s="492">
        <f t="shared" ref="F19:I19" si="3">SUM(F17:F18)</f>
        <v>83956.79999999993</v>
      </c>
      <c r="G19" s="492">
        <f t="shared" si="3"/>
        <v>116484.42000000009</v>
      </c>
      <c r="H19" s="492">
        <f t="shared" si="3"/>
        <v>150239.78999999998</v>
      </c>
      <c r="I19" s="492">
        <f t="shared" si="3"/>
        <v>215052.57</v>
      </c>
      <c r="K19" s="322"/>
    </row>
    <row r="20" spans="3:12" s="320" customFormat="1">
      <c r="C20" s="326" t="s">
        <v>59</v>
      </c>
      <c r="E20" s="479"/>
      <c r="F20" s="479"/>
      <c r="G20" s="479"/>
      <c r="H20" s="479"/>
      <c r="I20" s="479"/>
      <c r="K20" s="322"/>
    </row>
    <row r="21" spans="3:12">
      <c r="C21" s="325" t="s">
        <v>60</v>
      </c>
      <c r="E21" s="535">
        <v>6243.44</v>
      </c>
      <c r="F21" s="535">
        <v>10593.16</v>
      </c>
      <c r="G21" s="535">
        <v>5947.55</v>
      </c>
      <c r="H21" s="535">
        <v>5687.98</v>
      </c>
      <c r="I21" s="535">
        <v>12466.66</v>
      </c>
      <c r="K21" s="322"/>
    </row>
    <row r="22" spans="3:12">
      <c r="C22" s="325" t="s">
        <v>61</v>
      </c>
      <c r="E22" s="535">
        <v>207023.99</v>
      </c>
      <c r="F22" s="535">
        <v>25635.07</v>
      </c>
      <c r="G22" s="535">
        <v>26149.599999999999</v>
      </c>
      <c r="H22" s="535">
        <v>-6261.3</v>
      </c>
      <c r="I22" s="535">
        <v>1141.8</v>
      </c>
      <c r="K22" s="322"/>
    </row>
    <row r="23" spans="3:12">
      <c r="C23" s="534" t="s">
        <v>422</v>
      </c>
      <c r="E23" s="535">
        <v>0</v>
      </c>
      <c r="F23" s="535">
        <v>0</v>
      </c>
      <c r="G23" s="535">
        <v>0</v>
      </c>
      <c r="H23" s="535">
        <v>40723.49</v>
      </c>
      <c r="I23" s="535">
        <v>38404.51</v>
      </c>
      <c r="K23" s="322"/>
    </row>
    <row r="24" spans="3:12" s="320" customFormat="1">
      <c r="C24" s="505" t="s">
        <v>62</v>
      </c>
      <c r="D24" s="506"/>
      <c r="E24" s="507">
        <f>SUM(E21:E23)</f>
        <v>213267.43</v>
      </c>
      <c r="F24" s="507">
        <f t="shared" ref="F24:I24" si="4">SUM(F21:F23)</f>
        <v>36228.229999999996</v>
      </c>
      <c r="G24" s="507">
        <f t="shared" si="4"/>
        <v>32097.149999999998</v>
      </c>
      <c r="H24" s="507">
        <f t="shared" si="4"/>
        <v>40150.17</v>
      </c>
      <c r="I24" s="507">
        <f t="shared" si="4"/>
        <v>52012.97</v>
      </c>
      <c r="K24" s="322"/>
    </row>
    <row r="25" spans="3:12">
      <c r="E25" s="479"/>
      <c r="F25" s="479"/>
      <c r="G25" s="479"/>
      <c r="H25" s="479"/>
      <c r="I25" s="479"/>
      <c r="K25" s="322"/>
    </row>
    <row r="26" spans="3:12">
      <c r="C26" s="488" t="s">
        <v>63</v>
      </c>
      <c r="D26" s="489"/>
      <c r="E26" s="490">
        <f>E19-E24</f>
        <v>-147921.06000000008</v>
      </c>
      <c r="F26" s="490">
        <f t="shared" ref="F26:I26" si="5">F19-F24</f>
        <v>47728.569999999934</v>
      </c>
      <c r="G26" s="490">
        <f t="shared" si="5"/>
        <v>84387.270000000091</v>
      </c>
      <c r="H26" s="490">
        <f t="shared" si="5"/>
        <v>110089.61999999998</v>
      </c>
      <c r="I26" s="490">
        <f t="shared" si="5"/>
        <v>163039.6</v>
      </c>
      <c r="K26" s="322"/>
    </row>
    <row r="27" spans="3:12">
      <c r="C27" s="325" t="s">
        <v>64</v>
      </c>
      <c r="E27" s="535">
        <v>88952.06</v>
      </c>
      <c r="F27" s="535">
        <v>60530.41</v>
      </c>
      <c r="G27" s="535">
        <v>65669.67</v>
      </c>
      <c r="H27" s="535">
        <v>93302.89</v>
      </c>
      <c r="I27" s="535">
        <v>109312.81</v>
      </c>
      <c r="K27" s="322"/>
      <c r="L27" s="484"/>
    </row>
    <row r="28" spans="3:12" ht="3.6" customHeight="1">
      <c r="E28" s="479"/>
      <c r="F28" s="479"/>
      <c r="G28" s="479"/>
      <c r="H28" s="479"/>
      <c r="I28" s="479"/>
      <c r="K28" s="322"/>
      <c r="L28" s="484"/>
    </row>
    <row r="29" spans="3:12" s="320" customFormat="1" ht="15" thickBot="1">
      <c r="C29" s="509" t="s">
        <v>65</v>
      </c>
      <c r="D29" s="510"/>
      <c r="E29" s="511">
        <f>SUM(E26:E27)</f>
        <v>-58969.000000000087</v>
      </c>
      <c r="F29" s="511">
        <f>SUM(F26:F27)</f>
        <v>108258.97999999994</v>
      </c>
      <c r="G29" s="511">
        <f>SUM(G26:G27)</f>
        <v>150056.94000000009</v>
      </c>
      <c r="H29" s="511">
        <f>SUM(H26:H27)</f>
        <v>203392.50999999998</v>
      </c>
      <c r="I29" s="511">
        <f>SUM(I26:I27)</f>
        <v>272352.41000000003</v>
      </c>
      <c r="K29" s="322"/>
    </row>
    <row r="30" spans="3:12" ht="15" thickTop="1">
      <c r="E30" s="479"/>
      <c r="F30" s="479"/>
      <c r="G30" s="479"/>
      <c r="H30" s="479"/>
      <c r="I30" s="479"/>
      <c r="J30" s="479"/>
      <c r="K30" s="479"/>
    </row>
    <row r="31" spans="3:12">
      <c r="E31" s="479"/>
      <c r="F31" s="479"/>
      <c r="G31" s="479"/>
      <c r="H31" s="479"/>
      <c r="I31" s="479"/>
    </row>
    <row r="32" spans="3:12" s="320" customFormat="1" ht="22.8">
      <c r="C32" s="501" t="s">
        <v>66</v>
      </c>
      <c r="D32" s="518"/>
      <c r="E32" s="517"/>
      <c r="F32" s="517"/>
      <c r="G32" s="517"/>
      <c r="H32" s="517"/>
      <c r="I32" s="517"/>
      <c r="J32" s="479"/>
    </row>
    <row r="33" spans="3:9">
      <c r="C33" s="326" t="s">
        <v>67</v>
      </c>
      <c r="E33" s="479"/>
      <c r="F33" s="479"/>
      <c r="G33" s="479"/>
      <c r="H33" s="479"/>
      <c r="I33" s="479"/>
    </row>
    <row r="34" spans="3:9">
      <c r="C34" s="325" t="s">
        <v>68</v>
      </c>
      <c r="E34" s="535">
        <v>117677.51</v>
      </c>
      <c r="F34" s="535">
        <v>91875.58</v>
      </c>
      <c r="G34" s="535">
        <v>83178.13</v>
      </c>
      <c r="H34" s="535">
        <v>74767.75</v>
      </c>
      <c r="I34" s="535">
        <v>69075.56</v>
      </c>
    </row>
    <row r="35" spans="3:9">
      <c r="C35" s="325" t="s">
        <v>69</v>
      </c>
      <c r="E35" s="535">
        <v>31922.959999999999</v>
      </c>
      <c r="F35" s="535">
        <v>29301.72</v>
      </c>
      <c r="G35" s="535">
        <v>8104.75</v>
      </c>
      <c r="H35" s="535">
        <v>6112.29</v>
      </c>
      <c r="I35" s="535">
        <v>6809.63</v>
      </c>
    </row>
    <row r="36" spans="3:9">
      <c r="C36" s="325" t="s">
        <v>70</v>
      </c>
      <c r="E36" s="535">
        <v>8870.19</v>
      </c>
      <c r="F36" s="535">
        <v>9423.7999999999993</v>
      </c>
      <c r="G36" s="535">
        <v>266258.49</v>
      </c>
      <c r="H36" s="535">
        <v>286880.43</v>
      </c>
      <c r="I36" s="535">
        <v>202566.69</v>
      </c>
    </row>
    <row r="37" spans="3:9">
      <c r="C37" s="325" t="s">
        <v>71</v>
      </c>
      <c r="E37" s="535">
        <v>259546.59</v>
      </c>
      <c r="F37" s="535">
        <v>255446.08</v>
      </c>
      <c r="G37" s="535">
        <v>94425.34</v>
      </c>
      <c r="H37" s="535">
        <v>94425.34</v>
      </c>
      <c r="I37" s="535">
        <v>94425.34</v>
      </c>
    </row>
    <row r="38" spans="3:9">
      <c r="C38" s="325" t="s">
        <v>72</v>
      </c>
      <c r="E38" s="535">
        <v>94425.34</v>
      </c>
      <c r="F38" s="535">
        <v>94425.34</v>
      </c>
      <c r="G38" s="535">
        <v>14639.43</v>
      </c>
      <c r="H38" s="535">
        <v>14164.53</v>
      </c>
      <c r="I38" s="535">
        <v>13635.38</v>
      </c>
    </row>
    <row r="39" spans="3:9">
      <c r="C39" s="325" t="s">
        <v>73</v>
      </c>
      <c r="E39" s="535">
        <v>15114.69</v>
      </c>
      <c r="F39" s="535">
        <v>14577.43</v>
      </c>
      <c r="G39" s="535" t="s">
        <v>58</v>
      </c>
      <c r="H39" s="535" t="s">
        <v>58</v>
      </c>
      <c r="I39" s="535">
        <v>260.27999999999997</v>
      </c>
    </row>
    <row r="40" spans="3:9">
      <c r="C40" s="325" t="s">
        <v>74</v>
      </c>
      <c r="E40" s="535" t="s">
        <v>58</v>
      </c>
      <c r="F40" s="535">
        <v>70.150000000000006</v>
      </c>
      <c r="G40" s="535">
        <v>27738.080000000002</v>
      </c>
      <c r="H40" s="535">
        <v>8300.42</v>
      </c>
      <c r="I40" s="535">
        <v>8298.69</v>
      </c>
    </row>
    <row r="41" spans="3:9">
      <c r="C41" s="325" t="s">
        <v>75</v>
      </c>
      <c r="E41" s="535">
        <v>1802291.49</v>
      </c>
      <c r="F41" s="535">
        <v>1858548.34</v>
      </c>
      <c r="G41" s="535">
        <v>1884233.69</v>
      </c>
      <c r="H41" s="535">
        <v>1862798.67</v>
      </c>
      <c r="I41" s="535">
        <v>1931306.97</v>
      </c>
    </row>
    <row r="42" spans="3:9">
      <c r="C42" s="326" t="s">
        <v>76</v>
      </c>
      <c r="E42" s="535"/>
      <c r="F42" s="535"/>
      <c r="G42" s="535"/>
      <c r="H42" s="535"/>
      <c r="I42" s="535"/>
    </row>
    <row r="43" spans="3:9">
      <c r="C43" s="325" t="s">
        <v>77</v>
      </c>
      <c r="E43" s="535">
        <v>10955.54</v>
      </c>
      <c r="F43" s="535">
        <v>44321.82</v>
      </c>
      <c r="G43" s="535">
        <v>69408.399999999994</v>
      </c>
      <c r="H43" s="535">
        <v>38242.550000000003</v>
      </c>
      <c r="I43" s="535">
        <v>44380.94</v>
      </c>
    </row>
    <row r="44" spans="3:9">
      <c r="C44" s="325" t="s">
        <v>78</v>
      </c>
      <c r="E44" s="535">
        <v>66733.399999999994</v>
      </c>
      <c r="F44" s="535">
        <v>39604.449999999997</v>
      </c>
      <c r="G44" s="535">
        <v>22992.42</v>
      </c>
      <c r="H44" s="535">
        <v>20565.27</v>
      </c>
      <c r="I44" s="535">
        <v>20467.3</v>
      </c>
    </row>
    <row r="45" spans="3:9">
      <c r="C45" s="325" t="s">
        <v>79</v>
      </c>
      <c r="E45" s="535">
        <v>32959.040000000001</v>
      </c>
      <c r="F45" s="535">
        <v>17106.41</v>
      </c>
      <c r="G45" s="535">
        <v>21730.18</v>
      </c>
      <c r="H45" s="535">
        <v>52165.97</v>
      </c>
      <c r="I45" s="535">
        <v>14050.79</v>
      </c>
    </row>
    <row r="46" spans="3:9">
      <c r="C46" s="325" t="s">
        <v>80</v>
      </c>
      <c r="E46" s="535">
        <v>133932.89000000001</v>
      </c>
      <c r="F46" s="535">
        <v>132202.16</v>
      </c>
      <c r="G46" s="535">
        <v>133654.14000000001</v>
      </c>
      <c r="H46" s="535">
        <v>135575.76999999999</v>
      </c>
      <c r="I46" s="535">
        <v>119347.15</v>
      </c>
    </row>
    <row r="47" spans="3:9">
      <c r="C47" s="325" t="s">
        <v>81</v>
      </c>
      <c r="E47" s="535">
        <v>135732.4</v>
      </c>
      <c r="F47" s="535">
        <v>92950.36</v>
      </c>
      <c r="G47" s="535">
        <v>69034.559999999998</v>
      </c>
      <c r="H47" s="535">
        <v>83482.5</v>
      </c>
      <c r="I47" s="535">
        <v>100004.92</v>
      </c>
    </row>
    <row r="48" spans="3:9">
      <c r="C48" s="325" t="s">
        <v>82</v>
      </c>
      <c r="E48" s="535">
        <v>133516.17000000001</v>
      </c>
      <c r="F48" s="535">
        <v>141809.76</v>
      </c>
      <c r="G48" s="535">
        <v>145854.37</v>
      </c>
      <c r="H48" s="535">
        <v>138248.35</v>
      </c>
      <c r="I48" s="535">
        <v>145936.6</v>
      </c>
    </row>
    <row r="49" spans="3:9" s="320" customFormat="1" ht="17.399999999999999" customHeight="1">
      <c r="C49" s="502" t="s">
        <v>83</v>
      </c>
      <c r="D49" s="503"/>
      <c r="E49" s="504">
        <f>SUM(E34:E48)</f>
        <v>2843678.21</v>
      </c>
      <c r="F49" s="504">
        <f t="shared" ref="F49:H49" si="6">SUM(F34:F48)</f>
        <v>2821663.4000000004</v>
      </c>
      <c r="G49" s="504">
        <f t="shared" si="6"/>
        <v>2841251.9800000004</v>
      </c>
      <c r="H49" s="504">
        <f t="shared" si="6"/>
        <v>2815729.84</v>
      </c>
      <c r="I49" s="504">
        <f>SUM(I34:I48)</f>
        <v>2770566.2399999998</v>
      </c>
    </row>
    <row r="50" spans="3:9" s="320" customFormat="1">
      <c r="C50" s="326"/>
      <c r="E50" s="479"/>
      <c r="F50" s="479"/>
      <c r="G50" s="479"/>
      <c r="H50" s="479"/>
      <c r="I50" s="479"/>
    </row>
    <row r="51" spans="3:9">
      <c r="C51" s="326" t="s">
        <v>84</v>
      </c>
      <c r="E51" s="479"/>
      <c r="F51" s="479"/>
      <c r="G51" s="479"/>
      <c r="H51" s="479"/>
      <c r="I51" s="479"/>
    </row>
    <row r="52" spans="3:9">
      <c r="C52" s="325" t="s">
        <v>85</v>
      </c>
      <c r="E52" s="535">
        <v>2248624.19</v>
      </c>
      <c r="F52" s="535">
        <v>2108663.64</v>
      </c>
      <c r="G52" s="535">
        <v>2010699.21</v>
      </c>
      <c r="H52" s="535">
        <v>1936122.5</v>
      </c>
      <c r="I52" s="535">
        <v>2115413.1800000002</v>
      </c>
    </row>
    <row r="53" spans="3:9">
      <c r="C53" s="326" t="s">
        <v>76</v>
      </c>
      <c r="E53" s="535"/>
      <c r="F53" s="535"/>
      <c r="G53" s="535"/>
      <c r="H53" s="535"/>
      <c r="I53" s="535"/>
    </row>
    <row r="54" spans="3:9">
      <c r="C54" s="325" t="s">
        <v>77</v>
      </c>
      <c r="E54" s="535">
        <v>43335.21</v>
      </c>
      <c r="F54" s="535">
        <v>71682.009999999995</v>
      </c>
      <c r="G54" s="535">
        <v>24306.43</v>
      </c>
      <c r="H54" s="535">
        <v>47072.04</v>
      </c>
      <c r="I54" s="535">
        <v>38081.25</v>
      </c>
    </row>
    <row r="55" spans="3:9">
      <c r="C55" s="325" t="s">
        <v>86</v>
      </c>
      <c r="E55" s="535">
        <v>72039.399999999994</v>
      </c>
      <c r="F55" s="535">
        <v>58129.04</v>
      </c>
      <c r="G55" s="535">
        <v>56360.01</v>
      </c>
      <c r="H55" s="535">
        <v>54923.360000000001</v>
      </c>
      <c r="I55" s="535">
        <v>53807.08</v>
      </c>
    </row>
    <row r="56" spans="3:9">
      <c r="C56" s="325" t="s">
        <v>87</v>
      </c>
      <c r="E56" s="535">
        <v>161545.82999999999</v>
      </c>
      <c r="F56" s="535">
        <v>104472.82</v>
      </c>
      <c r="G56" s="535">
        <v>30605.75</v>
      </c>
      <c r="H56" s="535">
        <v>21107.94</v>
      </c>
      <c r="I56" s="535">
        <v>139383.01999999999</v>
      </c>
    </row>
    <row r="57" spans="3:9">
      <c r="C57" s="325" t="s">
        <v>88</v>
      </c>
      <c r="E57" s="535">
        <v>80496.69</v>
      </c>
      <c r="F57" s="535">
        <v>36214.57</v>
      </c>
      <c r="G57" s="535">
        <v>62556.43</v>
      </c>
      <c r="H57" s="535">
        <v>206363.9</v>
      </c>
      <c r="I57" s="535">
        <v>299051.5</v>
      </c>
    </row>
    <row r="58" spans="3:9">
      <c r="C58" s="325" t="s">
        <v>78</v>
      </c>
      <c r="E58" s="535">
        <v>86437.71</v>
      </c>
      <c r="F58" s="535">
        <v>104143.31</v>
      </c>
      <c r="G58" s="535">
        <v>68786.16</v>
      </c>
      <c r="H58" s="535">
        <v>81671.48</v>
      </c>
      <c r="I58" s="535">
        <v>95758.16</v>
      </c>
    </row>
    <row r="59" spans="3:9">
      <c r="C59" s="325" t="s">
        <v>79</v>
      </c>
      <c r="E59" s="535">
        <v>97988.91</v>
      </c>
      <c r="F59" s="535">
        <v>90214.69</v>
      </c>
      <c r="G59" s="535">
        <v>94448.83</v>
      </c>
      <c r="H59" s="535">
        <v>105810.73</v>
      </c>
      <c r="I59" s="535">
        <v>327492.81</v>
      </c>
    </row>
    <row r="60" spans="3:9">
      <c r="C60" s="325" t="s">
        <v>89</v>
      </c>
      <c r="E60" s="535">
        <v>72580.429999999993</v>
      </c>
      <c r="F60" s="535">
        <v>43685.06</v>
      </c>
      <c r="G60" s="535">
        <v>34073.550000000003</v>
      </c>
      <c r="H60" s="535">
        <v>71178.38</v>
      </c>
      <c r="I60" s="535">
        <v>132852.56</v>
      </c>
    </row>
    <row r="61" spans="3:9">
      <c r="C61" s="495" t="s">
        <v>90</v>
      </c>
      <c r="D61" s="489"/>
      <c r="E61" s="490">
        <f>SUM(E52:E60)</f>
        <v>2863048.37</v>
      </c>
      <c r="F61" s="490">
        <f>SUM(F52:F60)</f>
        <v>2617205.1399999997</v>
      </c>
      <c r="G61" s="490">
        <f>SUM(G52:G60)</f>
        <v>2381836.37</v>
      </c>
      <c r="H61" s="490">
        <f t="shared" ref="H61:I61" si="7">SUM(H52:H60)</f>
        <v>2524250.33</v>
      </c>
      <c r="I61" s="490">
        <f t="shared" si="7"/>
        <v>3201839.5600000005</v>
      </c>
    </row>
    <row r="62" spans="3:9">
      <c r="C62" s="325" t="s">
        <v>472</v>
      </c>
      <c r="E62" s="535">
        <v>16252.12</v>
      </c>
      <c r="F62" s="535">
        <v>42098.53</v>
      </c>
      <c r="G62" s="535">
        <v>27251.17</v>
      </c>
      <c r="H62" s="535">
        <v>52818.91</v>
      </c>
      <c r="I62" s="535">
        <v>53833.9</v>
      </c>
    </row>
    <row r="63" spans="3:9" s="320" customFormat="1" ht="17.399999999999999" customHeight="1">
      <c r="C63" s="502" t="s">
        <v>83</v>
      </c>
      <c r="D63" s="503"/>
      <c r="E63" s="504">
        <f>SUM(E61:E62)</f>
        <v>2879300.49</v>
      </c>
      <c r="F63" s="504">
        <f t="shared" ref="F63:I63" si="8">SUM(F61:F62)</f>
        <v>2659303.6699999995</v>
      </c>
      <c r="G63" s="504">
        <f t="shared" si="8"/>
        <v>2409087.54</v>
      </c>
      <c r="H63" s="504">
        <f t="shared" si="8"/>
        <v>2577069.2400000002</v>
      </c>
      <c r="I63" s="504">
        <f t="shared" si="8"/>
        <v>3255673.4600000004</v>
      </c>
    </row>
    <row r="64" spans="3:9" s="320" customFormat="1" ht="17.399999999999999" customHeight="1" thickBot="1">
      <c r="C64" s="481"/>
      <c r="D64" s="483"/>
      <c r="E64" s="482"/>
      <c r="F64" s="482"/>
      <c r="G64" s="482"/>
      <c r="H64" s="482"/>
      <c r="I64" s="482"/>
    </row>
    <row r="65" spans="3:9" ht="14.4" customHeight="1" thickTop="1" thickBot="1">
      <c r="C65" s="485" t="s">
        <v>91</v>
      </c>
      <c r="D65" s="486"/>
      <c r="E65" s="487">
        <f>SUM(E49,E63)</f>
        <v>5722978.7000000002</v>
      </c>
      <c r="F65" s="487">
        <f t="shared" ref="F65:I65" si="9">SUM(F49,F63)</f>
        <v>5480967.0700000003</v>
      </c>
      <c r="G65" s="487">
        <f t="shared" si="9"/>
        <v>5250339.5200000005</v>
      </c>
      <c r="H65" s="487">
        <f t="shared" si="9"/>
        <v>5392799.0800000001</v>
      </c>
      <c r="I65" s="487">
        <f t="shared" si="9"/>
        <v>6026239.7000000002</v>
      </c>
    </row>
    <row r="66" spans="3:9" ht="15" thickTop="1">
      <c r="E66" s="479"/>
      <c r="F66" s="479"/>
      <c r="G66" s="479"/>
      <c r="H66" s="479"/>
      <c r="I66" s="479"/>
    </row>
    <row r="67" spans="3:9">
      <c r="C67" s="326" t="s">
        <v>92</v>
      </c>
      <c r="E67" s="479"/>
      <c r="F67" s="479"/>
      <c r="G67" s="479"/>
      <c r="H67" s="479"/>
      <c r="I67" s="479"/>
    </row>
    <row r="68" spans="3:9">
      <c r="C68" s="325" t="s">
        <v>93</v>
      </c>
      <c r="E68" s="479"/>
      <c r="F68" s="479"/>
      <c r="G68" s="479"/>
      <c r="H68" s="479"/>
      <c r="I68" s="479"/>
    </row>
    <row r="69" spans="3:9">
      <c r="C69" s="325" t="s">
        <v>94</v>
      </c>
      <c r="E69" s="535">
        <v>49506.23</v>
      </c>
      <c r="F69" s="535">
        <v>49506.23</v>
      </c>
      <c r="G69" s="535">
        <v>49506.23</v>
      </c>
      <c r="H69" s="535">
        <v>49506.23</v>
      </c>
      <c r="I69" s="535">
        <v>49506.23</v>
      </c>
    </row>
    <row r="70" spans="3:9">
      <c r="C70" s="325" t="s">
        <v>95</v>
      </c>
      <c r="E70" s="535">
        <v>3395168.07</v>
      </c>
      <c r="F70" s="535">
        <v>3484886.55</v>
      </c>
      <c r="G70" s="535">
        <v>3586721.82</v>
      </c>
      <c r="H70" s="535">
        <v>3719247.21</v>
      </c>
      <c r="I70" s="535">
        <v>3893575.21</v>
      </c>
    </row>
    <row r="71" spans="3:9">
      <c r="C71" s="488" t="s">
        <v>96</v>
      </c>
      <c r="D71" s="489"/>
      <c r="E71" s="490">
        <f>SUM(E69:E70)</f>
        <v>3444674.3</v>
      </c>
      <c r="F71" s="490">
        <f t="shared" ref="F71:I71" si="10">SUM(F69:F70)</f>
        <v>3534392.78</v>
      </c>
      <c r="G71" s="490">
        <f t="shared" si="10"/>
        <v>3636228.05</v>
      </c>
      <c r="H71" s="490">
        <f t="shared" si="10"/>
        <v>3768753.44</v>
      </c>
      <c r="I71" s="490">
        <f t="shared" si="10"/>
        <v>3943081.44</v>
      </c>
    </row>
    <row r="72" spans="3:9">
      <c r="C72" s="325" t="s">
        <v>97</v>
      </c>
      <c r="E72" s="535">
        <v>1840.82</v>
      </c>
      <c r="F72" s="535">
        <v>2028.35</v>
      </c>
      <c r="G72" s="535">
        <v>1947.01</v>
      </c>
      <c r="H72" s="535">
        <v>436.36</v>
      </c>
      <c r="I72" s="535">
        <v>80.209999999999994</v>
      </c>
    </row>
    <row r="73" spans="3:9">
      <c r="C73" s="493" t="s">
        <v>98</v>
      </c>
      <c r="D73" s="491"/>
      <c r="E73" s="492">
        <f>SUM(E71:E72)</f>
        <v>3446515.1199999996</v>
      </c>
      <c r="F73" s="492">
        <f t="shared" ref="F73:I73" si="11">SUM(F71:F72)</f>
        <v>3536421.13</v>
      </c>
      <c r="G73" s="492">
        <f t="shared" si="11"/>
        <v>3638175.0599999996</v>
      </c>
      <c r="H73" s="492">
        <f t="shared" si="11"/>
        <v>3769189.8</v>
      </c>
      <c r="I73" s="492">
        <f t="shared" si="11"/>
        <v>3943161.65</v>
      </c>
    </row>
    <row r="74" spans="3:9">
      <c r="E74" s="479"/>
      <c r="F74" s="479"/>
      <c r="G74" s="479"/>
      <c r="H74" s="479"/>
      <c r="I74" s="479"/>
    </row>
    <row r="75" spans="3:9">
      <c r="C75" s="326" t="s">
        <v>99</v>
      </c>
      <c r="E75" s="479"/>
      <c r="F75" s="479"/>
      <c r="G75" s="479"/>
      <c r="H75" s="479"/>
      <c r="I75" s="479"/>
    </row>
    <row r="76" spans="3:9">
      <c r="C76" s="325" t="s">
        <v>100</v>
      </c>
      <c r="E76" s="479"/>
      <c r="F76" s="479"/>
      <c r="G76" s="479"/>
      <c r="H76" s="479"/>
      <c r="I76" s="479"/>
    </row>
    <row r="77" spans="3:9">
      <c r="C77" s="325" t="s">
        <v>101</v>
      </c>
      <c r="E77" s="535">
        <v>389011.72</v>
      </c>
      <c r="F77" s="535">
        <v>329480.14</v>
      </c>
      <c r="G77" s="535">
        <v>218945.73</v>
      </c>
      <c r="H77" s="535">
        <v>104965.92</v>
      </c>
      <c r="I77" s="535">
        <v>243898.66</v>
      </c>
    </row>
    <row r="78" spans="3:9">
      <c r="C78" s="325" t="s">
        <v>102</v>
      </c>
      <c r="E78" s="535">
        <v>0</v>
      </c>
      <c r="F78" s="535">
        <v>0</v>
      </c>
      <c r="G78" s="535">
        <v>20922.11</v>
      </c>
      <c r="H78" s="535">
        <v>22129.01</v>
      </c>
      <c r="I78" s="535">
        <v>22800.09</v>
      </c>
    </row>
    <row r="79" spans="3:9">
      <c r="C79" s="326" t="s">
        <v>103</v>
      </c>
      <c r="E79" s="535"/>
      <c r="F79" s="535"/>
      <c r="G79" s="535"/>
      <c r="H79" s="535"/>
      <c r="I79" s="535"/>
    </row>
    <row r="80" spans="3:9">
      <c r="C80" s="325" t="s">
        <v>104</v>
      </c>
      <c r="E80" s="535">
        <v>0</v>
      </c>
      <c r="F80" s="535">
        <v>0</v>
      </c>
      <c r="G80" s="535">
        <v>0</v>
      </c>
      <c r="H80" s="535">
        <v>0</v>
      </c>
      <c r="I80" s="535">
        <v>0</v>
      </c>
    </row>
    <row r="81" spans="3:10">
      <c r="C81" s="325" t="s">
        <v>105</v>
      </c>
      <c r="E81" s="535">
        <v>79418.649999999994</v>
      </c>
      <c r="F81" s="535">
        <v>79452.13</v>
      </c>
      <c r="G81" s="535">
        <v>79418.649999999994</v>
      </c>
      <c r="H81" s="535">
        <v>79418.649999999994</v>
      </c>
      <c r="I81" s="535">
        <v>79418.649999999994</v>
      </c>
    </row>
    <row r="82" spans="3:10">
      <c r="C82" s="325" t="s">
        <v>106</v>
      </c>
      <c r="E82" s="535">
        <v>63068.05</v>
      </c>
      <c r="F82" s="535">
        <v>55321.82</v>
      </c>
      <c r="G82" s="535">
        <v>22444.48</v>
      </c>
      <c r="H82" s="535">
        <v>24428.3</v>
      </c>
      <c r="I82" s="535">
        <v>24965.87</v>
      </c>
    </row>
    <row r="83" spans="3:10">
      <c r="C83" s="325" t="s">
        <v>107</v>
      </c>
      <c r="E83" s="535">
        <v>6019.62</v>
      </c>
      <c r="F83" s="535">
        <v>5085.2299999999996</v>
      </c>
      <c r="G83" s="535">
        <v>4888.46</v>
      </c>
      <c r="H83" s="535">
        <v>5001.08</v>
      </c>
      <c r="I83" s="535">
        <v>5399.8</v>
      </c>
    </row>
    <row r="84" spans="3:10">
      <c r="C84" s="325" t="s">
        <v>108</v>
      </c>
      <c r="E84" s="535">
        <v>158587.17000000001</v>
      </c>
      <c r="F84" s="535">
        <v>186278.52</v>
      </c>
      <c r="G84" s="535">
        <v>214155.97</v>
      </c>
      <c r="H84" s="535">
        <v>257433.4</v>
      </c>
      <c r="I84" s="535">
        <v>279018.98</v>
      </c>
    </row>
    <row r="85" spans="3:10">
      <c r="C85" s="325" t="s">
        <v>109</v>
      </c>
      <c r="E85" s="535">
        <v>6873.87</v>
      </c>
      <c r="F85" s="535">
        <v>10517.05</v>
      </c>
      <c r="G85" s="535">
        <v>11003.75</v>
      </c>
      <c r="H85" s="535">
        <v>11756.7</v>
      </c>
      <c r="I85" s="535">
        <v>13470.99</v>
      </c>
    </row>
    <row r="86" spans="3:10" s="320" customFormat="1">
      <c r="C86" s="493" t="s">
        <v>110</v>
      </c>
      <c r="D86" s="494"/>
      <c r="E86" s="492">
        <f>SUM(E77:E85)</f>
        <v>702979.08000000007</v>
      </c>
      <c r="F86" s="492">
        <f t="shared" ref="F86:I86" si="12">SUM(F77:F85)</f>
        <v>666134.89</v>
      </c>
      <c r="G86" s="492">
        <f t="shared" si="12"/>
        <v>571779.15</v>
      </c>
      <c r="H86" s="492">
        <f t="shared" si="12"/>
        <v>505133.06</v>
      </c>
      <c r="I86" s="492">
        <f t="shared" si="12"/>
        <v>668973.04</v>
      </c>
    </row>
    <row r="87" spans="3:10">
      <c r="E87" s="479"/>
      <c r="F87" s="479"/>
      <c r="G87" s="479"/>
      <c r="H87" s="479"/>
      <c r="I87" s="479"/>
    </row>
    <row r="88" spans="3:10">
      <c r="C88" s="326" t="s">
        <v>111</v>
      </c>
      <c r="E88" s="479"/>
      <c r="F88" s="479"/>
      <c r="G88" s="479"/>
      <c r="H88" s="479"/>
      <c r="I88" s="479"/>
    </row>
    <row r="89" spans="3:10">
      <c r="C89" s="326" t="s">
        <v>100</v>
      </c>
      <c r="E89" s="479"/>
      <c r="F89" s="479"/>
      <c r="G89" s="479"/>
      <c r="H89" s="479"/>
      <c r="I89" s="479"/>
    </row>
    <row r="90" spans="3:10">
      <c r="C90" s="325" t="s">
        <v>101</v>
      </c>
      <c r="E90" s="535">
        <v>243936.17</v>
      </c>
      <c r="F90" s="535">
        <v>234489.5</v>
      </c>
      <c r="G90" s="535">
        <v>177053.63</v>
      </c>
      <c r="H90" s="535">
        <v>205342.59</v>
      </c>
      <c r="I90" s="535">
        <v>215972.53</v>
      </c>
      <c r="J90" s="322"/>
    </row>
    <row r="91" spans="3:10">
      <c r="C91" s="325" t="s">
        <v>102</v>
      </c>
      <c r="E91" s="535"/>
      <c r="F91" s="535">
        <v>0</v>
      </c>
      <c r="G91" s="535">
        <v>1262.76</v>
      </c>
      <c r="H91" s="535">
        <v>962.01</v>
      </c>
      <c r="I91" s="535">
        <v>714.72</v>
      </c>
    </row>
    <row r="92" spans="3:10">
      <c r="C92" s="325" t="s">
        <v>103</v>
      </c>
      <c r="E92" s="535"/>
      <c r="F92" s="535"/>
      <c r="G92" s="535"/>
      <c r="H92" s="535"/>
      <c r="I92" s="535"/>
    </row>
    <row r="93" spans="3:10">
      <c r="C93" s="325" t="s">
        <v>104</v>
      </c>
      <c r="E93" s="535">
        <v>2882.31</v>
      </c>
      <c r="F93" s="535">
        <v>7107.39</v>
      </c>
      <c r="G93" s="535">
        <v>9264.7000000000007</v>
      </c>
      <c r="H93" s="535">
        <v>17473.73</v>
      </c>
      <c r="I93" s="535">
        <v>40842.519999999997</v>
      </c>
    </row>
    <row r="94" spans="3:10">
      <c r="C94" s="325" t="s">
        <v>105</v>
      </c>
      <c r="E94" s="535">
        <v>102743.38</v>
      </c>
      <c r="F94" s="535">
        <v>116339.02</v>
      </c>
      <c r="G94" s="535">
        <v>143607.89000000001</v>
      </c>
      <c r="H94" s="535">
        <v>146896.46</v>
      </c>
      <c r="I94" s="535">
        <v>137939.47</v>
      </c>
    </row>
    <row r="95" spans="3:10">
      <c r="C95" s="325" t="s">
        <v>112</v>
      </c>
      <c r="E95" s="535">
        <v>218333.97</v>
      </c>
      <c r="F95" s="535">
        <v>149142.06</v>
      </c>
      <c r="G95" s="535">
        <v>37643.18</v>
      </c>
      <c r="H95" s="535">
        <v>43196.13</v>
      </c>
      <c r="I95" s="535">
        <v>38591.589999999997</v>
      </c>
    </row>
    <row r="96" spans="3:10">
      <c r="C96" s="325" t="s">
        <v>113</v>
      </c>
      <c r="E96" s="535">
        <v>993557.54</v>
      </c>
      <c r="F96" s="535">
        <v>745207.73</v>
      </c>
      <c r="G96" s="535">
        <v>4508.6099999999997</v>
      </c>
      <c r="H96" s="535">
        <v>675260.38</v>
      </c>
      <c r="I96" s="535">
        <v>972132.22</v>
      </c>
    </row>
    <row r="97" spans="3:10">
      <c r="C97" s="325" t="s">
        <v>107</v>
      </c>
      <c r="E97" s="535">
        <v>8669.84</v>
      </c>
      <c r="F97" s="535">
        <v>5376.54</v>
      </c>
      <c r="G97" s="535">
        <v>664888.81999999995</v>
      </c>
      <c r="H97" s="535">
        <v>3575.82</v>
      </c>
      <c r="I97" s="535">
        <v>7468.16</v>
      </c>
    </row>
    <row r="98" spans="3:10">
      <c r="C98" s="495" t="s">
        <v>114</v>
      </c>
      <c r="D98" s="489"/>
      <c r="E98" s="490">
        <f>SUM(E90:E97)</f>
        <v>1570123.2100000002</v>
      </c>
      <c r="F98" s="490">
        <f t="shared" ref="F98:I98" si="13">SUM(F90:F97)</f>
        <v>1257662.24</v>
      </c>
      <c r="G98" s="490">
        <f t="shared" si="13"/>
        <v>1038229.59</v>
      </c>
      <c r="H98" s="490">
        <f t="shared" si="13"/>
        <v>1092707.1200000001</v>
      </c>
      <c r="I98" s="490">
        <f t="shared" si="13"/>
        <v>1413661.2099999997</v>
      </c>
      <c r="J98" s="322"/>
    </row>
    <row r="99" spans="3:10">
      <c r="C99" s="325" t="s">
        <v>469</v>
      </c>
      <c r="E99" s="535">
        <v>3361.29</v>
      </c>
      <c r="F99" s="535">
        <v>20748.810000000001</v>
      </c>
      <c r="G99" s="535">
        <v>2155.7199999999998</v>
      </c>
      <c r="H99" s="535">
        <v>25769.1</v>
      </c>
      <c r="I99" s="535">
        <v>443.8</v>
      </c>
    </row>
    <row r="100" spans="3:10">
      <c r="C100" s="493" t="s">
        <v>114</v>
      </c>
      <c r="D100" s="491"/>
      <c r="E100" s="492">
        <f>SUM(E98:E99)</f>
        <v>1573484.5000000002</v>
      </c>
      <c r="F100" s="492">
        <f>SUM(F98:F99)</f>
        <v>1278411.05</v>
      </c>
      <c r="G100" s="492">
        <f>SUM(G98:G99)</f>
        <v>1040385.3099999999</v>
      </c>
      <c r="H100" s="492">
        <f>SUM(H98:H99)</f>
        <v>1118476.2200000002</v>
      </c>
      <c r="I100" s="492">
        <f>SUM(I98:I99)</f>
        <v>1414105.0099999998</v>
      </c>
    </row>
    <row r="101" spans="3:10" ht="15" thickBot="1">
      <c r="C101" s="326"/>
      <c r="E101" s="480"/>
      <c r="F101" s="480"/>
      <c r="G101" s="480"/>
      <c r="H101" s="480"/>
      <c r="I101" s="480"/>
    </row>
    <row r="102" spans="3:10" s="320" customFormat="1" ht="24" thickTop="1" thickBot="1">
      <c r="C102" s="431" t="s">
        <v>115</v>
      </c>
      <c r="D102" s="537"/>
      <c r="E102" s="432">
        <f>SUM(E73,E86,E100)</f>
        <v>5722978.7000000002</v>
      </c>
      <c r="F102" s="432">
        <f>SUM(F73,F86,F100)</f>
        <v>5480967.0699999994</v>
      </c>
      <c r="G102" s="432">
        <f>SUM(G73,G86,G100)</f>
        <v>5250339.5199999996</v>
      </c>
      <c r="H102" s="432">
        <f>SUM(H73,H86,H100)</f>
        <v>5392799.0800000001</v>
      </c>
      <c r="I102" s="432">
        <f>SUM(I73,I86,I100)</f>
        <v>6026239.6999999993</v>
      </c>
    </row>
    <row r="103" spans="3:10" ht="15" thickTop="1">
      <c r="C103" s="533" t="s">
        <v>470</v>
      </c>
      <c r="E103" s="520">
        <f t="shared" ref="E103:I103" si="14">E102-E65</f>
        <v>0</v>
      </c>
      <c r="F103" s="520">
        <f t="shared" si="14"/>
        <v>0</v>
      </c>
      <c r="G103" s="520">
        <f t="shared" si="14"/>
        <v>0</v>
      </c>
      <c r="H103" s="520">
        <f t="shared" si="14"/>
        <v>0</v>
      </c>
      <c r="I103" s="520">
        <f t="shared" si="14"/>
        <v>0</v>
      </c>
    </row>
    <row r="104" spans="3:10">
      <c r="E104" s="479"/>
      <c r="F104" s="479"/>
      <c r="G104" s="479"/>
      <c r="H104" s="479"/>
      <c r="I104" s="479"/>
    </row>
    <row r="105" spans="3:10" s="321" customFormat="1" ht="22.8">
      <c r="C105" s="501" t="s">
        <v>116</v>
      </c>
      <c r="D105" s="518"/>
      <c r="E105" s="517"/>
      <c r="F105" s="517"/>
      <c r="G105" s="517"/>
      <c r="H105" s="517"/>
      <c r="I105" s="517"/>
    </row>
    <row r="106" spans="3:10" s="529" customFormat="1" ht="15" customHeight="1">
      <c r="C106" s="513"/>
      <c r="D106" s="527"/>
      <c r="E106" s="528"/>
      <c r="F106" s="528"/>
      <c r="G106" s="528"/>
      <c r="H106" s="528"/>
      <c r="I106" s="528"/>
    </row>
    <row r="107" spans="3:10">
      <c r="C107" s="530" t="s">
        <v>117</v>
      </c>
      <c r="D107" s="531"/>
      <c r="E107" s="532"/>
      <c r="F107" s="532"/>
      <c r="G107" s="532"/>
      <c r="H107" s="532"/>
      <c r="I107" s="532"/>
    </row>
    <row r="108" spans="3:10" s="320" customFormat="1">
      <c r="C108" s="326" t="s">
        <v>118</v>
      </c>
      <c r="E108" s="535">
        <v>65346.37</v>
      </c>
      <c r="F108" s="535">
        <v>83956.800000000003</v>
      </c>
      <c r="G108" s="535">
        <v>116459.27</v>
      </c>
      <c r="H108" s="535">
        <v>150241.94</v>
      </c>
      <c r="I108" s="535">
        <v>215054.52</v>
      </c>
    </row>
    <row r="109" spans="3:10">
      <c r="C109" s="326" t="s">
        <v>119</v>
      </c>
      <c r="E109" s="535"/>
      <c r="F109" s="535"/>
      <c r="G109" s="535"/>
      <c r="H109" s="535"/>
      <c r="I109" s="535"/>
    </row>
    <row r="110" spans="3:10">
      <c r="C110" s="325" t="s">
        <v>52</v>
      </c>
      <c r="E110" s="535">
        <v>20030.3</v>
      </c>
      <c r="F110" s="535">
        <v>15948.3</v>
      </c>
      <c r="G110" s="535">
        <v>14943.87</v>
      </c>
      <c r="H110" s="535">
        <v>14863.28</v>
      </c>
      <c r="I110" s="535">
        <v>14794.67</v>
      </c>
    </row>
    <row r="111" spans="3:10">
      <c r="C111" s="325" t="s">
        <v>120</v>
      </c>
      <c r="E111" s="535">
        <v>182.5</v>
      </c>
      <c r="F111" s="535">
        <v>-1880.77</v>
      </c>
      <c r="G111" s="535">
        <v>3.14</v>
      </c>
      <c r="H111" s="535">
        <v>-57.55</v>
      </c>
      <c r="I111" s="535">
        <v>-17582.599999999999</v>
      </c>
    </row>
    <row r="112" spans="3:10">
      <c r="C112" s="325" t="s">
        <v>121</v>
      </c>
      <c r="E112" s="535">
        <v>-2681.37</v>
      </c>
      <c r="F112" s="535">
        <v>375.91</v>
      </c>
      <c r="G112" s="535">
        <v>-403.34</v>
      </c>
      <c r="H112" s="535">
        <v>-191.81</v>
      </c>
      <c r="I112" s="535">
        <v>-2035.64</v>
      </c>
    </row>
    <row r="113" spans="3:12">
      <c r="C113" s="325" t="s">
        <v>122</v>
      </c>
      <c r="E113" s="535">
        <v>-48620.5</v>
      </c>
      <c r="F113" s="535">
        <v>-29712.81</v>
      </c>
      <c r="G113" s="535">
        <v>-21619</v>
      </c>
      <c r="H113" s="535">
        <v>-20110.59</v>
      </c>
      <c r="I113" s="535">
        <v>-40630.46</v>
      </c>
    </row>
    <row r="114" spans="3:12">
      <c r="C114" s="325" t="s">
        <v>123</v>
      </c>
      <c r="E114" s="535">
        <v>-14074.07</v>
      </c>
      <c r="F114" s="535">
        <v>-11209.81</v>
      </c>
      <c r="G114" s="535">
        <v>-11752.83</v>
      </c>
      <c r="H114" s="535">
        <v>-2188.63</v>
      </c>
      <c r="I114" s="535">
        <v>-901.36</v>
      </c>
    </row>
    <row r="115" spans="3:12">
      <c r="C115" s="325" t="s">
        <v>124</v>
      </c>
      <c r="E115" s="535">
        <v>-3620.88</v>
      </c>
      <c r="F115" s="535">
        <v>-86.55</v>
      </c>
      <c r="G115" s="535">
        <v>-223.28</v>
      </c>
      <c r="H115" s="535">
        <v>-58.2</v>
      </c>
      <c r="I115" s="535">
        <v>-71.28</v>
      </c>
    </row>
    <row r="116" spans="3:12">
      <c r="C116" s="325" t="s">
        <v>125</v>
      </c>
      <c r="E116" s="535">
        <v>1931.27</v>
      </c>
      <c r="F116" s="535">
        <v>1.93</v>
      </c>
      <c r="G116" s="535">
        <v>23.31</v>
      </c>
      <c r="H116" s="535">
        <v>15.59</v>
      </c>
      <c r="I116" s="535">
        <v>0.35</v>
      </c>
    </row>
    <row r="117" spans="3:12">
      <c r="C117" s="325" t="s">
        <v>51</v>
      </c>
      <c r="E117" s="535">
        <v>142694.12</v>
      </c>
      <c r="F117" s="535">
        <v>85336.46</v>
      </c>
      <c r="G117" s="535">
        <v>62455.21</v>
      </c>
      <c r="H117" s="535">
        <v>39213.5</v>
      </c>
      <c r="I117" s="535">
        <v>35644.730000000003</v>
      </c>
    </row>
    <row r="118" spans="3:12">
      <c r="C118" s="325" t="s">
        <v>126</v>
      </c>
      <c r="E118" s="535">
        <v>-394.19</v>
      </c>
      <c r="F118" s="535">
        <v>4429.43</v>
      </c>
      <c r="G118" s="535">
        <v>-1214.9100000000001</v>
      </c>
      <c r="H118" s="535">
        <v>-1211.1300000000001</v>
      </c>
      <c r="I118" s="535">
        <v>-5505.67</v>
      </c>
    </row>
    <row r="119" spans="3:12">
      <c r="C119" s="325" t="s">
        <v>127</v>
      </c>
      <c r="E119" s="535">
        <v>28902.959999999999</v>
      </c>
      <c r="F119" s="535">
        <v>27573.49</v>
      </c>
      <c r="G119" s="535">
        <v>10238.18</v>
      </c>
      <c r="H119" s="535">
        <v>15040.42</v>
      </c>
      <c r="I119" s="535">
        <v>4789.46</v>
      </c>
    </row>
    <row r="120" spans="3:12">
      <c r="C120" s="325" t="s">
        <v>128</v>
      </c>
      <c r="E120" s="535">
        <v>-568.14</v>
      </c>
      <c r="F120" s="535">
        <v>-882.63</v>
      </c>
      <c r="G120" s="535">
        <v>-839.93</v>
      </c>
      <c r="H120" s="535">
        <v>-1286.1500000000001</v>
      </c>
      <c r="I120" s="535">
        <v>-536.74</v>
      </c>
    </row>
    <row r="121" spans="3:12">
      <c r="C121" s="325" t="s">
        <v>129</v>
      </c>
      <c r="E121" s="535">
        <v>-8867.3799999999992</v>
      </c>
      <c r="F121" s="535">
        <v>-7396</v>
      </c>
      <c r="G121" s="535">
        <v>-4708.28</v>
      </c>
      <c r="H121" s="535">
        <v>-4448.17</v>
      </c>
      <c r="I121" s="535">
        <v>-2499.19</v>
      </c>
      <c r="L121" s="484"/>
    </row>
    <row r="122" spans="3:12">
      <c r="C122" s="325" t="s">
        <v>56</v>
      </c>
      <c r="E122" s="535">
        <v>-34033.47</v>
      </c>
      <c r="F122" s="535">
        <v>9620.8700000000008</v>
      </c>
      <c r="G122" s="535">
        <v>22443.48</v>
      </c>
      <c r="H122" s="535">
        <v>0</v>
      </c>
      <c r="I122" s="535">
        <v>0</v>
      </c>
    </row>
    <row r="123" spans="3:12" s="320" customFormat="1">
      <c r="C123" s="505" t="s">
        <v>131</v>
      </c>
      <c r="D123" s="506"/>
      <c r="E123" s="507">
        <f>SUM(E110:E122)</f>
        <v>80881.14999999998</v>
      </c>
      <c r="F123" s="507">
        <f>SUM(F110:F122)</f>
        <v>92117.819999999992</v>
      </c>
      <c r="G123" s="507">
        <f>SUM(G110:G122)</f>
        <v>69345.62</v>
      </c>
      <c r="H123" s="507">
        <f>SUM(H110:H122)</f>
        <v>39580.560000000005</v>
      </c>
      <c r="I123" s="507">
        <f>SUM(I110:I122)</f>
        <v>-14533.729999999996</v>
      </c>
    </row>
    <row r="124" spans="3:12" s="320" customFormat="1">
      <c r="C124" s="496" t="s">
        <v>130</v>
      </c>
      <c r="D124" s="497"/>
      <c r="E124" s="499">
        <f>SUM(E108,E123)</f>
        <v>146227.51999999999</v>
      </c>
      <c r="F124" s="499">
        <f>SUM(F108,F123)</f>
        <v>176074.62</v>
      </c>
      <c r="G124" s="499">
        <f>SUM(G108,G123)</f>
        <v>185804.89</v>
      </c>
      <c r="H124" s="499">
        <f>SUM(H108,H123)</f>
        <v>189822.5</v>
      </c>
      <c r="I124" s="499">
        <f>SUM(I108,I123)</f>
        <v>200520.78999999998</v>
      </c>
    </row>
    <row r="125" spans="3:12" s="320" customFormat="1">
      <c r="C125" s="326"/>
      <c r="E125" s="480"/>
      <c r="F125" s="480"/>
      <c r="G125" s="480"/>
      <c r="H125" s="480"/>
      <c r="I125" s="480"/>
    </row>
    <row r="126" spans="3:12">
      <c r="C126" s="326" t="s">
        <v>132</v>
      </c>
      <c r="E126" s="479"/>
      <c r="F126" s="479"/>
      <c r="G126" s="479"/>
      <c r="H126" s="479"/>
      <c r="I126" s="479"/>
      <c r="J126" s="479"/>
      <c r="K126" s="479"/>
    </row>
    <row r="127" spans="3:12">
      <c r="C127" s="325" t="s">
        <v>133</v>
      </c>
      <c r="E127" s="535">
        <v>-67781.66</v>
      </c>
      <c r="F127" s="535">
        <v>5183.03</v>
      </c>
      <c r="G127" s="535">
        <v>32411.84</v>
      </c>
      <c r="H127" s="535">
        <v>0</v>
      </c>
      <c r="I127" s="535">
        <v>0</v>
      </c>
    </row>
    <row r="128" spans="3:12">
      <c r="C128" s="325" t="s">
        <v>134</v>
      </c>
      <c r="E128" s="535">
        <v>252339.42</v>
      </c>
      <c r="F128" s="535">
        <v>148003.04999999999</v>
      </c>
      <c r="G128" s="535">
        <v>98689.69</v>
      </c>
      <c r="H128" s="535">
        <v>79205.81</v>
      </c>
      <c r="I128" s="535">
        <v>-153291.63</v>
      </c>
      <c r="K128" s="484"/>
    </row>
    <row r="129" spans="3:11">
      <c r="C129" s="325" t="s">
        <v>135</v>
      </c>
      <c r="E129" s="535">
        <v>-32762.38</v>
      </c>
      <c r="F129" s="535">
        <v>9231.44</v>
      </c>
      <c r="G129" s="535">
        <v>7898.43</v>
      </c>
      <c r="H129" s="535">
        <v>-29993.03</v>
      </c>
      <c r="I129" s="535">
        <v>11339.87</v>
      </c>
      <c r="K129" s="484"/>
    </row>
    <row r="130" spans="3:11">
      <c r="C130" s="325" t="s">
        <v>136</v>
      </c>
      <c r="E130" s="535">
        <v>-61423.11</v>
      </c>
      <c r="F130" s="535">
        <v>-5526.82</v>
      </c>
      <c r="G130" s="535">
        <v>1810.95</v>
      </c>
      <c r="H130" s="535">
        <v>-27140.720000000001</v>
      </c>
      <c r="I130" s="535">
        <v>-65995.34</v>
      </c>
    </row>
    <row r="131" spans="3:11">
      <c r="C131" s="325" t="s">
        <v>137</v>
      </c>
      <c r="E131" s="535">
        <v>-8156.69</v>
      </c>
      <c r="F131" s="535">
        <v>3085</v>
      </c>
      <c r="G131" s="535">
        <v>2412.9299999999998</v>
      </c>
      <c r="H131" s="535">
        <v>6054.15</v>
      </c>
      <c r="I131" s="535">
        <v>3612.76</v>
      </c>
    </row>
    <row r="132" spans="3:11">
      <c r="C132" s="325" t="s">
        <v>138</v>
      </c>
      <c r="E132" s="535">
        <v>-78668.960000000006</v>
      </c>
      <c r="F132" s="535">
        <v>-5503.29</v>
      </c>
      <c r="G132" s="535">
        <v>-21404.68</v>
      </c>
      <c r="H132" s="535">
        <v>791.02</v>
      </c>
      <c r="I132" s="535">
        <v>-30270.92</v>
      </c>
    </row>
    <row r="133" spans="3:11">
      <c r="C133" s="325" t="s">
        <v>139</v>
      </c>
      <c r="E133" s="535">
        <v>-96155.62</v>
      </c>
      <c r="F133" s="535">
        <v>-243123.45</v>
      </c>
      <c r="G133" s="535">
        <v>-78167.98</v>
      </c>
      <c r="H133" s="535">
        <v>14719.01</v>
      </c>
      <c r="I133" s="535">
        <v>298725.51</v>
      </c>
    </row>
    <row r="134" spans="3:11">
      <c r="C134" s="325" t="s">
        <v>140</v>
      </c>
      <c r="E134" s="535">
        <v>263.7</v>
      </c>
      <c r="F134" s="535">
        <v>-3458.16</v>
      </c>
      <c r="G134" s="535">
        <v>-243.81</v>
      </c>
      <c r="H134" s="535">
        <v>107.79</v>
      </c>
      <c r="I134" s="535">
        <v>-33.44</v>
      </c>
    </row>
    <row r="135" spans="3:11">
      <c r="C135" s="325" t="s">
        <v>141</v>
      </c>
      <c r="E135" s="535">
        <v>-14090.14</v>
      </c>
      <c r="F135" s="535">
        <v>21907.34</v>
      </c>
      <c r="G135" s="535">
        <v>31993.47</v>
      </c>
      <c r="H135" s="535">
        <v>12539.48</v>
      </c>
      <c r="I135" s="535">
        <v>14988.5</v>
      </c>
    </row>
    <row r="136" spans="3:11">
      <c r="C136" s="495" t="s">
        <v>142</v>
      </c>
      <c r="D136" s="498"/>
      <c r="E136" s="490">
        <f>SUM(E127:E135)</f>
        <v>-106435.44</v>
      </c>
      <c r="F136" s="490">
        <f>SUM(F127:F135)</f>
        <v>-70201.860000000044</v>
      </c>
      <c r="G136" s="490">
        <f>SUM(G127:G135)</f>
        <v>75400.840000000011</v>
      </c>
      <c r="H136" s="490">
        <f>SUM(H127:H135)</f>
        <v>56283.509999999995</v>
      </c>
      <c r="I136" s="490">
        <f>SUM(I127:I135)</f>
        <v>79075.31</v>
      </c>
    </row>
    <row r="137" spans="3:11" ht="1.8" customHeight="1">
      <c r="C137" s="496"/>
      <c r="D137" s="497"/>
      <c r="E137" s="499"/>
      <c r="F137" s="499"/>
      <c r="G137" s="499"/>
      <c r="H137" s="499"/>
      <c r="I137" s="499"/>
    </row>
    <row r="138" spans="3:11" s="320" customFormat="1">
      <c r="C138" s="495" t="s">
        <v>143</v>
      </c>
      <c r="D138" s="498"/>
      <c r="E138" s="490">
        <f>SUM(E124,E136)</f>
        <v>39792.079999999987</v>
      </c>
      <c r="F138" s="490">
        <f>SUM(F124,F136)</f>
        <v>105872.75999999995</v>
      </c>
      <c r="G138" s="490">
        <f>SUM(G124,G136)</f>
        <v>261205.73000000004</v>
      </c>
      <c r="H138" s="490">
        <f>SUM(H124,H136)</f>
        <v>246106.01</v>
      </c>
      <c r="I138" s="490">
        <f>SUM(I124,I136)</f>
        <v>279596.09999999998</v>
      </c>
    </row>
    <row r="139" spans="3:11" ht="15" thickBot="1">
      <c r="C139" s="325" t="s">
        <v>144</v>
      </c>
      <c r="E139" s="535">
        <v>-4223.76</v>
      </c>
      <c r="F139" s="535">
        <v>40145.54</v>
      </c>
      <c r="G139" s="535">
        <v>21976.03</v>
      </c>
      <c r="H139" s="535">
        <v>-8579.61</v>
      </c>
      <c r="I139" s="535">
        <v>-25715.34</v>
      </c>
    </row>
    <row r="140" spans="3:11" ht="1.8" customHeight="1" thickBot="1">
      <c r="E140" s="479"/>
      <c r="F140" s="479"/>
      <c r="G140" s="479"/>
      <c r="H140" s="479"/>
      <c r="I140" s="479"/>
    </row>
    <row r="141" spans="3:11" s="320" customFormat="1" ht="16.2" customHeight="1" thickTop="1" thickBot="1">
      <c r="C141" s="485" t="s">
        <v>145</v>
      </c>
      <c r="D141" s="486"/>
      <c r="E141" s="487">
        <f>SUM(E138:E139)</f>
        <v>35568.319999999985</v>
      </c>
      <c r="F141" s="487">
        <f t="shared" ref="F141:I141" si="15">SUM(F138:F139)</f>
        <v>146018.29999999996</v>
      </c>
      <c r="G141" s="487">
        <f t="shared" si="15"/>
        <v>283181.76</v>
      </c>
      <c r="H141" s="487">
        <f t="shared" si="15"/>
        <v>237526.40000000002</v>
      </c>
      <c r="I141" s="487">
        <f t="shared" si="15"/>
        <v>253880.75999999998</v>
      </c>
    </row>
    <row r="142" spans="3:11" ht="15" thickTop="1">
      <c r="E142" s="479"/>
      <c r="F142" s="479"/>
      <c r="G142" s="479"/>
      <c r="H142" s="479"/>
      <c r="I142" s="479"/>
    </row>
    <row r="143" spans="3:11">
      <c r="C143" s="530" t="s">
        <v>146</v>
      </c>
      <c r="D143" s="531"/>
      <c r="E143" s="532"/>
      <c r="F143" s="532"/>
      <c r="G143" s="532"/>
      <c r="H143" s="532"/>
      <c r="I143" s="532"/>
    </row>
    <row r="144" spans="3:11">
      <c r="C144" s="325" t="s">
        <v>147</v>
      </c>
      <c r="E144" s="535">
        <v>-20630.71</v>
      </c>
      <c r="F144" s="535">
        <v>-1350.81</v>
      </c>
      <c r="G144" s="535">
        <v>-14843.28</v>
      </c>
      <c r="H144" s="535">
        <v>-6374.35</v>
      </c>
      <c r="I144" s="535">
        <v>-11552.05</v>
      </c>
    </row>
    <row r="145" spans="3:9">
      <c r="C145" s="325" t="s">
        <v>148</v>
      </c>
      <c r="E145" s="535">
        <v>6766.81</v>
      </c>
      <c r="F145" s="535">
        <v>8270.0400000000009</v>
      </c>
      <c r="G145" s="535">
        <v>79.319999999999993</v>
      </c>
      <c r="H145" s="535">
        <v>947.18</v>
      </c>
      <c r="I145" s="535">
        <v>74308.33</v>
      </c>
    </row>
    <row r="146" spans="3:9">
      <c r="C146" s="325" t="s">
        <v>149</v>
      </c>
      <c r="E146" s="535">
        <v>-55142.77</v>
      </c>
      <c r="F146" s="535">
        <v>-28874.46</v>
      </c>
      <c r="G146" s="535">
        <v>-14900</v>
      </c>
      <c r="H146" s="535">
        <v>-1999.62</v>
      </c>
      <c r="I146" s="535">
        <v>-40689.51</v>
      </c>
    </row>
    <row r="147" spans="3:9">
      <c r="C147" s="325" t="s">
        <v>150</v>
      </c>
      <c r="E147" s="535">
        <v>0</v>
      </c>
      <c r="F147" s="535">
        <v>203.5</v>
      </c>
      <c r="G147" s="535">
        <v>33231.71</v>
      </c>
      <c r="H147" s="535">
        <v>0</v>
      </c>
      <c r="I147" s="535">
        <v>0</v>
      </c>
    </row>
    <row r="148" spans="3:9">
      <c r="C148" s="325" t="s">
        <v>151</v>
      </c>
      <c r="E148" s="535">
        <v>605078.12</v>
      </c>
      <c r="F148" s="535">
        <v>272.8</v>
      </c>
      <c r="G148" s="535">
        <v>5220</v>
      </c>
      <c r="H148" s="535">
        <v>1116.05</v>
      </c>
      <c r="I148" s="535">
        <v>11506.89</v>
      </c>
    </row>
    <row r="149" spans="3:9">
      <c r="C149" s="325" t="s">
        <v>152</v>
      </c>
      <c r="E149" s="535">
        <v>1032128.1</v>
      </c>
      <c r="F149" s="535">
        <v>214895.01</v>
      </c>
      <c r="G149" s="535">
        <v>162002.53</v>
      </c>
      <c r="H149" s="535">
        <v>138637.68</v>
      </c>
      <c r="I149" s="535">
        <v>162190.39999999999</v>
      </c>
    </row>
    <row r="150" spans="3:9">
      <c r="C150" s="325" t="s">
        <v>153</v>
      </c>
      <c r="E150" s="535">
        <v>-1072693.3899999999</v>
      </c>
      <c r="F150" s="535">
        <v>-239403.97</v>
      </c>
      <c r="G150" s="535">
        <v>-144705.29</v>
      </c>
      <c r="H150" s="535">
        <v>-123999.45</v>
      </c>
      <c r="I150" s="535">
        <v>-146921.68</v>
      </c>
    </row>
    <row r="151" spans="3:9">
      <c r="C151" s="325" t="s">
        <v>154</v>
      </c>
      <c r="E151" s="535">
        <v>-35596.81</v>
      </c>
      <c r="F151" s="535">
        <v>-28110.5</v>
      </c>
      <c r="G151" s="535">
        <v>-22432.65</v>
      </c>
      <c r="H151" s="535">
        <v>-13186.97</v>
      </c>
      <c r="I151" s="535">
        <v>-13404.38</v>
      </c>
    </row>
    <row r="152" spans="3:9">
      <c r="C152" s="325" t="s">
        <v>155</v>
      </c>
      <c r="E152" s="535">
        <v>10192</v>
      </c>
      <c r="F152" s="535">
        <v>26088.93</v>
      </c>
      <c r="G152" s="535">
        <v>8351.6200000000008</v>
      </c>
      <c r="H152" s="535">
        <v>2583.02</v>
      </c>
      <c r="I152" s="535">
        <v>0</v>
      </c>
    </row>
    <row r="153" spans="3:9">
      <c r="C153" s="325" t="s">
        <v>156</v>
      </c>
      <c r="E153" s="535">
        <v>-40569.49</v>
      </c>
      <c r="F153" s="535">
        <v>-33086.400000000001</v>
      </c>
      <c r="G153" s="535">
        <v>0</v>
      </c>
      <c r="H153" s="535">
        <v>-143896.45000000001</v>
      </c>
      <c r="I153" s="535">
        <v>-264648.57</v>
      </c>
    </row>
    <row r="154" spans="3:9">
      <c r="C154" s="325" t="s">
        <v>157</v>
      </c>
      <c r="E154" s="535">
        <v>12464.77</v>
      </c>
      <c r="F154" s="535">
        <v>62952.35</v>
      </c>
      <c r="G154" s="535">
        <v>-30456.31</v>
      </c>
      <c r="H154" s="535">
        <v>0</v>
      </c>
      <c r="I154" s="535">
        <v>0</v>
      </c>
    </row>
    <row r="155" spans="3:9">
      <c r="C155" s="325" t="s">
        <v>158</v>
      </c>
      <c r="E155" s="535">
        <v>12369.33</v>
      </c>
      <c r="F155" s="535">
        <v>13832.18</v>
      </c>
      <c r="G155" s="535">
        <v>11170.89</v>
      </c>
      <c r="H155" s="535">
        <v>4464.58</v>
      </c>
      <c r="I155" s="535">
        <v>18013.8</v>
      </c>
    </row>
    <row r="156" spans="3:9">
      <c r="C156" s="325" t="s">
        <v>159</v>
      </c>
      <c r="E156" s="535">
        <v>197315.72</v>
      </c>
      <c r="F156" s="535">
        <v>19707.37</v>
      </c>
      <c r="G156" s="535">
        <v>33578.68</v>
      </c>
      <c r="H156" s="535">
        <v>95445.96</v>
      </c>
      <c r="I156" s="535">
        <v>58330.04</v>
      </c>
    </row>
    <row r="157" spans="3:9" s="320" customFormat="1">
      <c r="C157" s="493" t="s">
        <v>160</v>
      </c>
      <c r="D157" s="494"/>
      <c r="E157" s="492">
        <f>SUM(E144:E156)</f>
        <v>651681.67999999993</v>
      </c>
      <c r="F157" s="492">
        <f t="shared" ref="F157:H157" si="16">SUM(F144:F156)</f>
        <v>15396.040000000012</v>
      </c>
      <c r="G157" s="492">
        <f t="shared" si="16"/>
        <v>26297.219999999987</v>
      </c>
      <c r="H157" s="492">
        <f t="shared" si="16"/>
        <v>-46262.37000000001</v>
      </c>
      <c r="I157" s="492">
        <f>SUM(I144:I156)</f>
        <v>-152866.73000000001</v>
      </c>
    </row>
    <row r="158" spans="3:9">
      <c r="E158" s="479"/>
      <c r="F158" s="479"/>
      <c r="G158" s="479"/>
      <c r="H158" s="479"/>
      <c r="I158" s="479"/>
    </row>
    <row r="159" spans="3:9">
      <c r="C159" s="530" t="s">
        <v>161</v>
      </c>
      <c r="D159" s="531"/>
      <c r="E159" s="532"/>
      <c r="F159" s="532"/>
      <c r="G159" s="532"/>
      <c r="H159" s="532"/>
      <c r="I159" s="532"/>
    </row>
    <row r="160" spans="3:9">
      <c r="C160" s="325" t="s">
        <v>162</v>
      </c>
      <c r="E160" s="535">
        <v>224990</v>
      </c>
      <c r="F160" s="535">
        <v>0</v>
      </c>
      <c r="G160" s="535">
        <v>0</v>
      </c>
      <c r="H160" s="535">
        <v>0</v>
      </c>
      <c r="I160" s="535">
        <v>59801</v>
      </c>
    </row>
    <row r="161" spans="3:9">
      <c r="C161" s="325" t="s">
        <v>163</v>
      </c>
      <c r="E161" s="535">
        <v>98750</v>
      </c>
      <c r="F161" s="535">
        <v>50865</v>
      </c>
      <c r="G161" s="535">
        <v>0</v>
      </c>
      <c r="H161" s="535">
        <v>0</v>
      </c>
      <c r="I161" s="535">
        <v>0</v>
      </c>
    </row>
    <row r="162" spans="3:9">
      <c r="C162" s="325" t="s">
        <v>164</v>
      </c>
      <c r="E162" s="535">
        <v>-34500</v>
      </c>
      <c r="F162" s="535">
        <v>-84500</v>
      </c>
      <c r="G162" s="535">
        <v>-50000</v>
      </c>
      <c r="H162" s="535">
        <v>-50000.9</v>
      </c>
      <c r="I162" s="535">
        <v>0</v>
      </c>
    </row>
    <row r="163" spans="3:9">
      <c r="C163" s="325" t="s">
        <v>165</v>
      </c>
      <c r="E163" s="535">
        <v>251861.59</v>
      </c>
      <c r="F163" s="535">
        <v>71709.490000000005</v>
      </c>
      <c r="G163" s="535">
        <v>69280.05</v>
      </c>
      <c r="H163" s="535">
        <v>0</v>
      </c>
      <c r="I163" s="535">
        <v>123999</v>
      </c>
    </row>
    <row r="164" spans="3:9">
      <c r="C164" s="325" t="s">
        <v>166</v>
      </c>
      <c r="E164" s="535">
        <v>-497298.35</v>
      </c>
      <c r="F164" s="535">
        <v>-151157.71</v>
      </c>
      <c r="G164" s="535">
        <v>-221675.31</v>
      </c>
      <c r="H164" s="535">
        <v>-64049.1</v>
      </c>
      <c r="I164" s="535">
        <v>-45684.98</v>
      </c>
    </row>
    <row r="165" spans="3:9">
      <c r="C165" s="325" t="s">
        <v>167</v>
      </c>
      <c r="E165" s="535">
        <v>596021.26</v>
      </c>
      <c r="F165" s="535">
        <v>578892.30000000005</v>
      </c>
      <c r="G165" s="535">
        <v>586995.02</v>
      </c>
      <c r="H165" s="535">
        <v>26689.39</v>
      </c>
      <c r="I165" s="535">
        <v>10444.68</v>
      </c>
    </row>
    <row r="166" spans="3:9">
      <c r="C166" s="325" t="s">
        <v>168</v>
      </c>
      <c r="E166" s="535">
        <v>-1269576.3500000001</v>
      </c>
      <c r="F166" s="535">
        <v>-589530.17000000004</v>
      </c>
      <c r="G166" s="535">
        <v>-652448.21</v>
      </c>
      <c r="H166" s="535">
        <v>0</v>
      </c>
      <c r="I166" s="535">
        <v>0</v>
      </c>
    </row>
    <row r="167" spans="3:9">
      <c r="C167" s="325" t="s">
        <v>169</v>
      </c>
      <c r="E167" s="535">
        <v>-238186.6</v>
      </c>
      <c r="F167" s="535">
        <v>-72018.36</v>
      </c>
      <c r="G167" s="535">
        <v>-63277.62</v>
      </c>
      <c r="H167" s="535">
        <v>-37015.08</v>
      </c>
      <c r="I167" s="535">
        <v>-29143.51</v>
      </c>
    </row>
    <row r="168" spans="3:9">
      <c r="C168" s="325" t="s">
        <v>170</v>
      </c>
      <c r="E168" s="535">
        <v>-3064.44</v>
      </c>
      <c r="F168" s="535">
        <v>-2836.61</v>
      </c>
      <c r="G168" s="535">
        <v>-2186.69</v>
      </c>
      <c r="H168" s="535">
        <v>-2680.02</v>
      </c>
      <c r="I168" s="535">
        <v>-2743.21</v>
      </c>
    </row>
    <row r="169" spans="3:9">
      <c r="C169" s="325" t="s">
        <v>171</v>
      </c>
      <c r="E169" s="535">
        <v>-400.89</v>
      </c>
      <c r="F169" s="535">
        <v>72.400000000000006</v>
      </c>
      <c r="G169" s="535">
        <v>179.35</v>
      </c>
      <c r="H169" s="535">
        <v>24.96</v>
      </c>
      <c r="I169" s="535">
        <v>-327.01</v>
      </c>
    </row>
    <row r="170" spans="3:9">
      <c r="C170" s="325" t="s">
        <v>172</v>
      </c>
      <c r="E170" s="535">
        <v>-80771.44</v>
      </c>
      <c r="F170" s="535">
        <v>-19874.89</v>
      </c>
      <c r="G170" s="535">
        <v>-49685.58</v>
      </c>
      <c r="H170" s="535">
        <v>-74284.31</v>
      </c>
      <c r="I170" s="535">
        <v>-98685.46</v>
      </c>
    </row>
    <row r="171" spans="3:9" s="320" customFormat="1">
      <c r="C171" s="493" t="s">
        <v>173</v>
      </c>
      <c r="D171" s="494"/>
      <c r="E171" s="492">
        <f>SUM(E160:E170)</f>
        <v>-952175.22</v>
      </c>
      <c r="F171" s="492">
        <f t="shared" ref="F171:I171" si="17">SUM(F160:F170)</f>
        <v>-218378.54999999993</v>
      </c>
      <c r="G171" s="492">
        <f t="shared" si="17"/>
        <v>-382818.99</v>
      </c>
      <c r="H171" s="492">
        <f t="shared" si="17"/>
        <v>-201315.06</v>
      </c>
      <c r="I171" s="492">
        <f t="shared" si="17"/>
        <v>17660.50999999998</v>
      </c>
    </row>
    <row r="172" spans="3:9" s="320" customFormat="1">
      <c r="C172" s="651"/>
      <c r="D172" s="652"/>
      <c r="E172" s="653"/>
      <c r="F172" s="653"/>
      <c r="G172" s="653"/>
      <c r="H172" s="653"/>
      <c r="I172" s="653"/>
    </row>
    <row r="173" spans="3:9">
      <c r="E173" s="479"/>
      <c r="F173" s="479"/>
      <c r="G173" s="479"/>
      <c r="H173" s="479"/>
      <c r="I173" s="479"/>
    </row>
    <row r="174" spans="3:9">
      <c r="C174" s="643" t="s">
        <v>174</v>
      </c>
      <c r="D174" s="644"/>
      <c r="E174" s="645">
        <f>SUM(E141,E157,E171)</f>
        <v>-264925.22000000009</v>
      </c>
      <c r="F174" s="645">
        <f t="shared" ref="F174:H174" si="18">SUM(F141,F157,F171)</f>
        <v>-56964.209999999963</v>
      </c>
      <c r="G174" s="645">
        <f t="shared" si="18"/>
        <v>-73340.010000000009</v>
      </c>
      <c r="H174" s="645">
        <f t="shared" si="18"/>
        <v>-10051.02999999997</v>
      </c>
      <c r="I174" s="645">
        <f>SUM(I141,I157,I171)</f>
        <v>118674.53999999995</v>
      </c>
    </row>
    <row r="175" spans="3:9">
      <c r="C175" s="646" t="s">
        <v>175</v>
      </c>
      <c r="D175" s="524"/>
      <c r="E175" s="647">
        <v>426634.42</v>
      </c>
      <c r="F175" s="647">
        <f t="shared" ref="F175:I175" si="19">E178</f>
        <v>160837.39999999991</v>
      </c>
      <c r="G175" s="647">
        <f t="shared" si="19"/>
        <v>103524.04999999994</v>
      </c>
      <c r="H175" s="647">
        <f t="shared" si="19"/>
        <v>30584.979999999934</v>
      </c>
      <c r="I175" s="647">
        <f t="shared" si="19"/>
        <v>20735.169999999966</v>
      </c>
    </row>
    <row r="176" spans="3:9">
      <c r="C176" s="646" t="s">
        <v>473</v>
      </c>
      <c r="D176" s="524"/>
      <c r="E176" s="647">
        <v>-916.47</v>
      </c>
      <c r="F176" s="647">
        <v>-1.9</v>
      </c>
      <c r="G176" s="647">
        <v>156.76</v>
      </c>
      <c r="H176" s="647">
        <v>0</v>
      </c>
      <c r="I176" s="647">
        <v>0</v>
      </c>
    </row>
    <row r="177" spans="3:10" ht="15" thickBot="1">
      <c r="C177" s="646" t="s">
        <v>474</v>
      </c>
      <c r="D177" s="524"/>
      <c r="E177" s="647">
        <v>44.67</v>
      </c>
      <c r="F177" s="647">
        <v>-347.24</v>
      </c>
      <c r="G177" s="647">
        <v>244.18</v>
      </c>
      <c r="H177" s="647">
        <v>201.22</v>
      </c>
      <c r="I177" s="647">
        <v>-26.7</v>
      </c>
    </row>
    <row r="178" spans="3:10" s="320" customFormat="1" ht="15.6" thickTop="1" thickBot="1">
      <c r="C178" s="648" t="s">
        <v>176</v>
      </c>
      <c r="D178" s="649"/>
      <c r="E178" s="650">
        <f>SUM(E174:E177)</f>
        <v>160837.39999999991</v>
      </c>
      <c r="F178" s="650">
        <f>SUM(F174:F177)</f>
        <v>103524.04999999994</v>
      </c>
      <c r="G178" s="650">
        <f>SUM(G174:G177)</f>
        <v>30584.979999999934</v>
      </c>
      <c r="H178" s="650">
        <f>SUM(H174:H177)</f>
        <v>20735.169999999966</v>
      </c>
      <c r="I178" s="650">
        <f>SUM(I174:I177)</f>
        <v>139383.00999999989</v>
      </c>
    </row>
    <row r="179" spans="3:10" ht="15" thickTop="1">
      <c r="E179" s="479"/>
      <c r="F179" s="479"/>
      <c r="G179" s="479"/>
      <c r="H179" s="479"/>
      <c r="I179" s="479"/>
    </row>
    <row r="180" spans="3:10">
      <c r="C180" s="327"/>
      <c r="D180"/>
      <c r="E180" s="479"/>
      <c r="F180" s="479"/>
      <c r="G180" s="479"/>
      <c r="H180" s="479"/>
      <c r="I180" s="479"/>
    </row>
    <row r="181" spans="3:10">
      <c r="C181" s="327"/>
      <c r="D181"/>
      <c r="E181" s="479"/>
      <c r="F181" s="479"/>
      <c r="G181" s="479"/>
      <c r="H181" s="479"/>
      <c r="I181" s="479"/>
      <c r="J181" s="479"/>
    </row>
    <row r="182" spans="3:10">
      <c r="C182" s="522"/>
      <c r="D182" s="366"/>
      <c r="E182" s="523"/>
      <c r="F182" s="523"/>
      <c r="G182" s="523"/>
      <c r="H182" s="523"/>
      <c r="I182" s="523"/>
      <c r="J182" s="524"/>
    </row>
    <row r="183" spans="3:10">
      <c r="C183" s="525"/>
      <c r="D183" s="366"/>
      <c r="E183" s="523"/>
      <c r="F183" s="523"/>
      <c r="G183" s="523"/>
      <c r="H183" s="523"/>
      <c r="I183" s="523"/>
      <c r="J183" s="524"/>
    </row>
    <row r="184" spans="3:10">
      <c r="C184" s="525"/>
      <c r="D184" s="366"/>
      <c r="E184" s="523"/>
      <c r="F184" s="523"/>
      <c r="G184" s="523"/>
      <c r="H184" s="523"/>
      <c r="I184" s="523"/>
      <c r="J184" s="524"/>
    </row>
    <row r="185" spans="3:10">
      <c r="C185" s="521"/>
      <c r="D185" s="366"/>
      <c r="E185" s="526"/>
      <c r="F185" s="526"/>
      <c r="G185" s="526"/>
      <c r="H185" s="526"/>
      <c r="I185" s="526"/>
      <c r="J185" s="524"/>
    </row>
    <row r="186" spans="3:10">
      <c r="E186" s="329"/>
      <c r="F186" s="329"/>
      <c r="G186" s="329"/>
      <c r="H186" s="329"/>
      <c r="I186" s="329"/>
    </row>
    <row r="187" spans="3:10">
      <c r="D187" s="325"/>
    </row>
    <row r="188" spans="3:10">
      <c r="E188" s="329"/>
      <c r="F188" s="329"/>
      <c r="G188" s="329"/>
      <c r="H188" s="329"/>
      <c r="I188" s="329"/>
    </row>
    <row r="189" spans="3:10">
      <c r="E189" s="329"/>
      <c r="F189" s="329"/>
      <c r="G189" s="329"/>
      <c r="H189" s="329"/>
      <c r="I189" s="329"/>
    </row>
    <row r="190" spans="3:10">
      <c r="E190" s="329"/>
      <c r="F190" s="329"/>
      <c r="G190" s="329"/>
      <c r="H190" s="329"/>
      <c r="I190" s="329"/>
    </row>
    <row r="191" spans="3:10">
      <c r="E191" s="329"/>
      <c r="F191" s="329"/>
      <c r="G191" s="329"/>
      <c r="H191" s="329"/>
      <c r="I191" s="329"/>
    </row>
    <row r="192" spans="3:10">
      <c r="E192" s="329"/>
      <c r="F192" s="329"/>
      <c r="G192" s="329"/>
      <c r="H192" s="329"/>
      <c r="I192" s="329"/>
    </row>
    <row r="193" spans="5:9">
      <c r="E193" s="329"/>
      <c r="F193" s="329"/>
      <c r="G193" s="329"/>
      <c r="H193" s="329"/>
      <c r="I193" s="329"/>
    </row>
    <row r="194" spans="5:9">
      <c r="E194" s="329"/>
      <c r="F194" s="329"/>
      <c r="G194" s="329"/>
      <c r="H194" s="329"/>
      <c r="I194" s="329"/>
    </row>
    <row r="195" spans="5:9">
      <c r="E195" s="329"/>
      <c r="F195" s="329"/>
      <c r="G195" s="329"/>
      <c r="H195" s="329"/>
      <c r="I195" s="329"/>
    </row>
    <row r="196" spans="5:9">
      <c r="E196" s="329"/>
      <c r="F196" s="329"/>
      <c r="G196" s="329"/>
      <c r="H196" s="329"/>
      <c r="I196" s="329"/>
    </row>
  </sheetData>
  <pageMargins left="0.75" right="0.75" top="1" bottom="1" header="0.5" footer="0.5"/>
  <ignoredErrors>
    <ignoredError sqref="F123:I123"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39997558519241921"/>
  </sheetPr>
  <dimension ref="C6:S43"/>
  <sheetViews>
    <sheetView showGridLines="0" topLeftCell="A5" zoomScale="70" zoomScaleNormal="70" workbookViewId="0">
      <pane ySplit="5" topLeftCell="A10" activePane="bottomLeft" state="frozen"/>
      <selection pane="bottomLeft" activeCell="R6" sqref="R6"/>
    </sheetView>
  </sheetViews>
  <sheetFormatPr defaultColWidth="8.88671875" defaultRowHeight="14.4"/>
  <cols>
    <col min="1" max="2" width="1.33203125" style="134" customWidth="1"/>
    <col min="3" max="3" width="24.21875" style="330" customWidth="1"/>
    <col min="4" max="4" width="11.21875" style="134" customWidth="1"/>
    <col min="5" max="5" width="10.77734375" style="134" customWidth="1"/>
    <col min="6" max="9" width="12.109375" style="134"/>
    <col min="10" max="19" width="14.21875" style="134"/>
    <col min="20" max="16384" width="8.88671875" style="134"/>
  </cols>
  <sheetData>
    <row r="6" spans="3:19">
      <c r="N6" s="629" t="s">
        <v>488</v>
      </c>
      <c r="O6" s="629"/>
      <c r="P6" s="629"/>
      <c r="Q6" s="629"/>
      <c r="R6" s="629" t="s">
        <v>489</v>
      </c>
    </row>
    <row r="7" spans="3:19" ht="21" customHeight="1">
      <c r="C7" s="597" t="s">
        <v>179</v>
      </c>
      <c r="D7" s="597"/>
      <c r="E7" s="597"/>
      <c r="F7" s="597"/>
      <c r="G7" s="597"/>
      <c r="H7" s="597"/>
      <c r="I7" s="597"/>
      <c r="J7" s="597"/>
      <c r="K7" s="597"/>
      <c r="L7" s="597"/>
      <c r="M7" s="597"/>
      <c r="N7" s="597"/>
      <c r="O7" s="597"/>
      <c r="P7" s="597"/>
      <c r="Q7" s="597"/>
      <c r="R7" s="597"/>
      <c r="S7" s="597"/>
    </row>
    <row r="9" spans="3:19">
      <c r="C9" s="363" t="s">
        <v>40</v>
      </c>
      <c r="D9" s="303"/>
      <c r="E9" s="441">
        <v>2020</v>
      </c>
      <c r="F9" s="304">
        <f t="shared" ref="F9:S9" si="0">E9+1</f>
        <v>2021</v>
      </c>
      <c r="G9" s="304">
        <f t="shared" si="0"/>
        <v>2022</v>
      </c>
      <c r="H9" s="304">
        <f t="shared" si="0"/>
        <v>2023</v>
      </c>
      <c r="I9" s="304">
        <f t="shared" si="0"/>
        <v>2024</v>
      </c>
      <c r="J9" s="310">
        <f t="shared" si="0"/>
        <v>2025</v>
      </c>
      <c r="K9" s="310">
        <f t="shared" si="0"/>
        <v>2026</v>
      </c>
      <c r="L9" s="310">
        <f t="shared" si="0"/>
        <v>2027</v>
      </c>
      <c r="M9" s="310">
        <f t="shared" si="0"/>
        <v>2028</v>
      </c>
      <c r="N9" s="310">
        <f t="shared" si="0"/>
        <v>2029</v>
      </c>
      <c r="O9" s="310">
        <f t="shared" si="0"/>
        <v>2030</v>
      </c>
      <c r="P9" s="310">
        <f t="shared" si="0"/>
        <v>2031</v>
      </c>
      <c r="Q9" s="310">
        <f t="shared" si="0"/>
        <v>2032</v>
      </c>
      <c r="R9" s="310">
        <f t="shared" si="0"/>
        <v>2033</v>
      </c>
      <c r="S9" s="310">
        <f t="shared" si="0"/>
        <v>2034</v>
      </c>
    </row>
    <row r="10" spans="3:19" s="302" customFormat="1">
      <c r="C10" s="351"/>
      <c r="D10" s="305"/>
      <c r="E10" s="442"/>
      <c r="F10" s="306"/>
      <c r="G10" s="306"/>
      <c r="H10" s="306"/>
      <c r="I10" s="306"/>
      <c r="J10" s="311"/>
      <c r="K10" s="311"/>
      <c r="L10" s="311"/>
      <c r="M10" s="311"/>
      <c r="N10" s="311"/>
      <c r="O10" s="311"/>
      <c r="P10" s="311"/>
      <c r="Q10" s="311"/>
      <c r="R10" s="311"/>
      <c r="S10" s="311"/>
    </row>
    <row r="11" spans="3:19" ht="12" customHeight="1">
      <c r="E11" s="443"/>
    </row>
    <row r="12" spans="3:19">
      <c r="C12" s="330" t="s">
        <v>180</v>
      </c>
      <c r="E12" s="444">
        <f>Historical!E7</f>
        <v>608277.22</v>
      </c>
      <c r="F12" s="307">
        <f>Historical!F7</f>
        <v>541406.1</v>
      </c>
      <c r="G12" s="307">
        <f>Historical!G7</f>
        <v>571763.93000000005</v>
      </c>
      <c r="H12" s="307">
        <f>Historical!H7</f>
        <v>569481.15</v>
      </c>
      <c r="I12" s="307">
        <f>Historical!I7</f>
        <v>642697.74</v>
      </c>
      <c r="J12" s="312">
        <f t="shared" ref="J12:S12" si="1">I12*(1+J13)</f>
        <v>681398.183726697</v>
      </c>
      <c r="K12" s="312">
        <f t="shared" si="1"/>
        <v>722428.99871725321</v>
      </c>
      <c r="L12" s="312">
        <f t="shared" si="1"/>
        <v>765930.5097251978</v>
      </c>
      <c r="M12" s="312">
        <f t="shared" si="1"/>
        <v>812051.49124627863</v>
      </c>
      <c r="N12" s="312">
        <f t="shared" si="1"/>
        <v>860949.67632493947</v>
      </c>
      <c r="O12" s="312">
        <f t="shared" si="1"/>
        <v>912792.29599889589</v>
      </c>
      <c r="P12" s="312">
        <f t="shared" si="1"/>
        <v>967756.65122670145</v>
      </c>
      <c r="Q12" s="312">
        <f t="shared" si="1"/>
        <v>1026030.7192542873</v>
      </c>
      <c r="R12" s="312">
        <f t="shared" si="1"/>
        <v>1087813.7964942399</v>
      </c>
      <c r="S12" s="312">
        <f t="shared" si="1"/>
        <v>1153317.1801164539</v>
      </c>
    </row>
    <row r="13" spans="3:19" s="136" customFormat="1">
      <c r="C13" s="364"/>
      <c r="E13" s="445"/>
      <c r="F13" s="308">
        <f>F12/E12-1</f>
        <v>-0.10993526931684205</v>
      </c>
      <c r="G13" s="308">
        <f>G12/F12-1</f>
        <v>5.6072197930536971E-2</v>
      </c>
      <c r="H13" s="308">
        <f>H12/G12-1</f>
        <v>-3.9925218787411065E-3</v>
      </c>
      <c r="I13" s="308">
        <f>I12/H12-1</f>
        <v>0.12856718786916832</v>
      </c>
      <c r="J13" s="313">
        <f t="array" ref="J13:S13">CHOOSE(Assumptions!F20,J41:S41,J42:S42,J43:S43)</f>
        <v>6.0215621306988064E-2</v>
      </c>
      <c r="K13" s="313">
        <v>6.0215621306988064E-2</v>
      </c>
      <c r="L13" s="313">
        <v>6.0215621306988064E-2</v>
      </c>
      <c r="M13" s="313">
        <v>6.0215621306988064E-2</v>
      </c>
      <c r="N13" s="313">
        <v>6.0215621306988064E-2</v>
      </c>
      <c r="O13" s="313">
        <v>6.0215621306988064E-2</v>
      </c>
      <c r="P13" s="313">
        <v>6.0215621306988064E-2</v>
      </c>
      <c r="Q13" s="313">
        <v>6.0215621306988064E-2</v>
      </c>
      <c r="R13" s="313">
        <v>6.0215621306988064E-2</v>
      </c>
      <c r="S13" s="313">
        <v>6.0215621306988064E-2</v>
      </c>
    </row>
    <row r="14" spans="3:19">
      <c r="E14" s="443"/>
      <c r="J14" s="314"/>
      <c r="K14" s="314"/>
      <c r="L14" s="314"/>
      <c r="M14" s="314"/>
      <c r="N14" s="314"/>
      <c r="O14" s="314"/>
      <c r="P14" s="314"/>
      <c r="Q14" s="314"/>
      <c r="R14" s="314"/>
      <c r="S14" s="314"/>
    </row>
    <row r="15" spans="3:19">
      <c r="C15" s="330" t="s">
        <v>181</v>
      </c>
      <c r="E15" s="444">
        <f>Historical!E11</f>
        <v>338042.15</v>
      </c>
      <c r="F15" s="307">
        <f>Historical!F11</f>
        <v>284922.94</v>
      </c>
      <c r="G15" s="307">
        <f>Historical!G11</f>
        <v>274496.23</v>
      </c>
      <c r="H15" s="307">
        <f>Historical!H11</f>
        <v>243396.35</v>
      </c>
      <c r="I15" s="307">
        <f>Historical!I11</f>
        <v>279375.65000000002</v>
      </c>
      <c r="J15" s="312">
        <f t="shared" ref="J15:S15" si="2">J12*J16</f>
        <v>330366.46453739103</v>
      </c>
      <c r="K15" s="312">
        <f t="shared" si="2"/>
        <v>350259.68645850307</v>
      </c>
      <c r="L15" s="312">
        <f t="shared" si="2"/>
        <v>371350.79109739262</v>
      </c>
      <c r="M15" s="312">
        <f t="shared" si="2"/>
        <v>393711.90970616363</v>
      </c>
      <c r="N15" s="312">
        <f t="shared" si="2"/>
        <v>417419.51696508104</v>
      </c>
      <c r="O15" s="312">
        <f t="shared" si="2"/>
        <v>442554.69252479618</v>
      </c>
      <c r="P15" s="312">
        <f t="shared" si="2"/>
        <v>469203.39829749981</v>
      </c>
      <c r="Q15" s="312">
        <f t="shared" si="2"/>
        <v>497456.77244533389</v>
      </c>
      <c r="R15" s="312">
        <f t="shared" si="2"/>
        <v>527411.44107149856</v>
      </c>
      <c r="S15" s="312">
        <f t="shared" si="2"/>
        <v>559169.84868003277</v>
      </c>
    </row>
    <row r="16" spans="3:19">
      <c r="C16" s="365" t="s">
        <v>424</v>
      </c>
      <c r="E16" s="446">
        <f>E15/E12</f>
        <v>0.55573698781618031</v>
      </c>
      <c r="F16" s="308">
        <f>F15/F12</f>
        <v>0.52626473916714278</v>
      </c>
      <c r="G16" s="308">
        <f>G15/G12</f>
        <v>0.48008665044680232</v>
      </c>
      <c r="H16" s="308">
        <f>H15/H12</f>
        <v>0.42740018699477583</v>
      </c>
      <c r="I16" s="308">
        <f>I15/I12</f>
        <v>0.43469213070517415</v>
      </c>
      <c r="J16" s="313">
        <f>AVERAGE(E16:I16)</f>
        <v>0.48483613902601508</v>
      </c>
      <c r="K16" s="313">
        <f t="shared" ref="K16:S16" si="3">J16</f>
        <v>0.48483613902601508</v>
      </c>
      <c r="L16" s="313">
        <f t="shared" si="3"/>
        <v>0.48483613902601508</v>
      </c>
      <c r="M16" s="313">
        <f t="shared" si="3"/>
        <v>0.48483613902601508</v>
      </c>
      <c r="N16" s="313">
        <f t="shared" si="3"/>
        <v>0.48483613902601508</v>
      </c>
      <c r="O16" s="313">
        <f t="shared" si="3"/>
        <v>0.48483613902601508</v>
      </c>
      <c r="P16" s="313">
        <f t="shared" si="3"/>
        <v>0.48483613902601508</v>
      </c>
      <c r="Q16" s="313">
        <f t="shared" si="3"/>
        <v>0.48483613902601508</v>
      </c>
      <c r="R16" s="313">
        <f t="shared" si="3"/>
        <v>0.48483613902601508</v>
      </c>
      <c r="S16" s="313">
        <f t="shared" si="3"/>
        <v>0.48483613902601508</v>
      </c>
    </row>
    <row r="17" spans="3:19">
      <c r="E17" s="443"/>
      <c r="J17" s="315"/>
      <c r="K17" s="315"/>
      <c r="L17" s="315"/>
      <c r="M17" s="315"/>
      <c r="N17" s="315"/>
      <c r="O17" s="315"/>
      <c r="P17" s="315"/>
      <c r="Q17" s="315"/>
      <c r="R17" s="315"/>
      <c r="S17" s="315"/>
    </row>
    <row r="18" spans="3:19">
      <c r="C18" s="330" t="s">
        <v>315</v>
      </c>
      <c r="E18" s="447">
        <f t="shared" ref="E18:S18" si="4">(E12-E15)/E12</f>
        <v>0.44426301218381969</v>
      </c>
      <c r="F18" s="357">
        <f t="shared" si="4"/>
        <v>0.47373526083285722</v>
      </c>
      <c r="G18" s="357">
        <f t="shared" si="4"/>
        <v>0.51991334955319768</v>
      </c>
      <c r="H18" s="357">
        <f t="shared" si="4"/>
        <v>0.57259981300522422</v>
      </c>
      <c r="I18" s="357">
        <f t="shared" si="4"/>
        <v>0.5653078692948259</v>
      </c>
      <c r="J18" s="313">
        <f t="shared" si="4"/>
        <v>0.51516386097398492</v>
      </c>
      <c r="K18" s="313">
        <f t="shared" si="4"/>
        <v>0.51516386097398492</v>
      </c>
      <c r="L18" s="313">
        <f t="shared" si="4"/>
        <v>0.51516386097398492</v>
      </c>
      <c r="M18" s="313">
        <f t="shared" si="4"/>
        <v>0.51516386097398492</v>
      </c>
      <c r="N18" s="313">
        <f t="shared" si="4"/>
        <v>0.51516386097398492</v>
      </c>
      <c r="O18" s="313">
        <f t="shared" si="4"/>
        <v>0.51516386097398492</v>
      </c>
      <c r="P18" s="313">
        <f t="shared" si="4"/>
        <v>0.51516386097398492</v>
      </c>
      <c r="Q18" s="313">
        <f t="shared" si="4"/>
        <v>0.51516386097398492</v>
      </c>
      <c r="R18" s="313">
        <f t="shared" si="4"/>
        <v>0.51516386097398492</v>
      </c>
      <c r="S18" s="313">
        <f t="shared" si="4"/>
        <v>0.51516386097398492</v>
      </c>
    </row>
    <row r="19" spans="3:19">
      <c r="E19" s="443"/>
      <c r="J19" s="315"/>
      <c r="K19" s="315"/>
      <c r="L19" s="315"/>
      <c r="M19" s="315"/>
      <c r="N19" s="315"/>
      <c r="O19" s="315"/>
      <c r="P19" s="315"/>
      <c r="Q19" s="315"/>
      <c r="R19" s="315"/>
      <c r="S19" s="315"/>
    </row>
    <row r="20" spans="3:19">
      <c r="C20" s="330" t="s">
        <v>182</v>
      </c>
      <c r="E20" s="444">
        <f>Historical!E12</f>
        <v>35672.42</v>
      </c>
      <c r="F20" s="307">
        <f>Historical!F12</f>
        <v>31378.18</v>
      </c>
      <c r="G20" s="307">
        <f>Historical!G12</f>
        <v>35398.550000000003</v>
      </c>
      <c r="H20" s="307">
        <f>Historical!H12</f>
        <v>54788.15</v>
      </c>
      <c r="I20" s="307">
        <f>Historical!I12</f>
        <v>54595.22</v>
      </c>
      <c r="J20" s="312">
        <f t="shared" ref="J20:S20" si="5">J12*J21</f>
        <v>49015.295780961904</v>
      </c>
      <c r="K20" s="312">
        <f t="shared" si="5"/>
        <v>51966.782269958312</v>
      </c>
      <c r="L20" s="312">
        <f t="shared" si="5"/>
        <v>55095.994351668822</v>
      </c>
      <c r="M20" s="312">
        <f t="shared" si="5"/>
        <v>58413.63388308086</v>
      </c>
      <c r="N20" s="312">
        <f t="shared" si="5"/>
        <v>61931.047140149509</v>
      </c>
      <c r="O20" s="312">
        <f t="shared" si="5"/>
        <v>65660.26362188597</v>
      </c>
      <c r="P20" s="312">
        <f t="shared" si="5"/>
        <v>69614.037191058451</v>
      </c>
      <c r="Q20" s="312">
        <f t="shared" si="5"/>
        <v>73805.889692205805</v>
      </c>
      <c r="R20" s="312">
        <f t="shared" si="5"/>
        <v>78250.157196136992</v>
      </c>
      <c r="S20" s="312">
        <f t="shared" si="5"/>
        <v>82962.03902907185</v>
      </c>
    </row>
    <row r="21" spans="3:19">
      <c r="C21" s="365" t="s">
        <v>424</v>
      </c>
      <c r="E21" s="448">
        <f>E20/E12</f>
        <v>5.8645003999985401E-2</v>
      </c>
      <c r="F21" s="156">
        <f>F20/F12</f>
        <v>5.7956827601314431E-2</v>
      </c>
      <c r="G21" s="156">
        <f>G20/G12</f>
        <v>6.1911128251829387E-2</v>
      </c>
      <c r="H21" s="156">
        <f>H20/H12</f>
        <v>9.6207135214220876E-2</v>
      </c>
      <c r="I21" s="156">
        <f>I20/I12</f>
        <v>8.4946961226283452E-2</v>
      </c>
      <c r="J21" s="313">
        <f>AVERAGE(E21:I21)</f>
        <v>7.1933411258726696E-2</v>
      </c>
      <c r="K21" s="313">
        <f t="shared" ref="K21:S21" si="6">J21</f>
        <v>7.1933411258726696E-2</v>
      </c>
      <c r="L21" s="313">
        <f t="shared" si="6"/>
        <v>7.1933411258726696E-2</v>
      </c>
      <c r="M21" s="313">
        <f t="shared" si="6"/>
        <v>7.1933411258726696E-2</v>
      </c>
      <c r="N21" s="313">
        <f t="shared" si="6"/>
        <v>7.1933411258726696E-2</v>
      </c>
      <c r="O21" s="313">
        <f t="shared" si="6"/>
        <v>7.1933411258726696E-2</v>
      </c>
      <c r="P21" s="313">
        <f t="shared" si="6"/>
        <v>7.1933411258726696E-2</v>
      </c>
      <c r="Q21" s="313">
        <f t="shared" si="6"/>
        <v>7.1933411258726696E-2</v>
      </c>
      <c r="R21" s="313">
        <f t="shared" si="6"/>
        <v>7.1933411258726696E-2</v>
      </c>
      <c r="S21" s="313">
        <f t="shared" si="6"/>
        <v>7.1933411258726696E-2</v>
      </c>
    </row>
    <row r="22" spans="3:19">
      <c r="E22" s="443"/>
      <c r="J22" s="315"/>
      <c r="K22" s="315"/>
      <c r="L22" s="315"/>
      <c r="M22" s="315"/>
      <c r="N22" s="315"/>
      <c r="O22" s="315"/>
      <c r="P22" s="315"/>
      <c r="Q22" s="315"/>
      <c r="R22" s="315"/>
      <c r="S22" s="315"/>
    </row>
    <row r="23" spans="3:19">
      <c r="C23" s="330" t="s">
        <v>184</v>
      </c>
      <c r="E23" s="444">
        <f>Historical!E15</f>
        <v>121062.31</v>
      </c>
      <c r="F23" s="307">
        <f>Historical!F15</f>
        <v>83325.149999999994</v>
      </c>
      <c r="G23" s="307">
        <f>Historical!G15</f>
        <v>87587.81</v>
      </c>
      <c r="H23" s="307">
        <f>Historical!H15</f>
        <v>98710.8</v>
      </c>
      <c r="I23" s="307">
        <f>Historical!I15</f>
        <v>96369.36</v>
      </c>
      <c r="J23" s="312">
        <f t="shared" ref="J23:S23" si="7">J12*J24</f>
        <v>113030.11774731523</v>
      </c>
      <c r="K23" s="312">
        <f t="shared" si="7"/>
        <v>119836.29651387183</v>
      </c>
      <c r="L23" s="312">
        <f t="shared" si="7"/>
        <v>127052.31356358305</v>
      </c>
      <c r="M23" s="312">
        <f t="shared" si="7"/>
        <v>134702.84756330447</v>
      </c>
      <c r="N23" s="312">
        <f t="shared" si="7"/>
        <v>142814.06322114935</v>
      </c>
      <c r="O23" s="312">
        <f t="shared" si="7"/>
        <v>151413.70076938631</v>
      </c>
      <c r="P23" s="312">
        <f t="shared" si="7"/>
        <v>160531.17083560527</v>
      </c>
      <c r="Q23" s="312">
        <f t="shared" si="7"/>
        <v>170197.65502660949</v>
      </c>
      <c r="R23" s="312">
        <f t="shared" si="7"/>
        <v>180446.21256902916</v>
      </c>
      <c r="S23" s="312">
        <f t="shared" si="7"/>
        <v>191311.89337136605</v>
      </c>
    </row>
    <row r="24" spans="3:19" s="136" customFormat="1">
      <c r="C24" s="365" t="s">
        <v>424</v>
      </c>
      <c r="E24" s="446">
        <f>E23/E12</f>
        <v>0.19902489526074971</v>
      </c>
      <c r="F24" s="308">
        <f>F23/F12</f>
        <v>0.15390508160140789</v>
      </c>
      <c r="G24" s="308">
        <f>G23/G12</f>
        <v>0.15318876446088509</v>
      </c>
      <c r="H24" s="308">
        <f>H23/H12</f>
        <v>0.17333462222586296</v>
      </c>
      <c r="I24" s="308">
        <f>I23/I12</f>
        <v>0.14994507371381141</v>
      </c>
      <c r="J24" s="313">
        <f>AVERAGE(E24:I24)</f>
        <v>0.16587968745254339</v>
      </c>
      <c r="K24" s="313">
        <f t="shared" ref="K24:S24" si="8">J24</f>
        <v>0.16587968745254339</v>
      </c>
      <c r="L24" s="313">
        <f t="shared" si="8"/>
        <v>0.16587968745254339</v>
      </c>
      <c r="M24" s="313">
        <f t="shared" si="8"/>
        <v>0.16587968745254339</v>
      </c>
      <c r="N24" s="313">
        <f t="shared" si="8"/>
        <v>0.16587968745254339</v>
      </c>
      <c r="O24" s="313">
        <f t="shared" si="8"/>
        <v>0.16587968745254339</v>
      </c>
      <c r="P24" s="313">
        <f t="shared" si="8"/>
        <v>0.16587968745254339</v>
      </c>
      <c r="Q24" s="313">
        <f t="shared" si="8"/>
        <v>0.16587968745254339</v>
      </c>
      <c r="R24" s="313">
        <f t="shared" si="8"/>
        <v>0.16587968745254339</v>
      </c>
      <c r="S24" s="313">
        <f t="shared" si="8"/>
        <v>0.16587968745254339</v>
      </c>
    </row>
    <row r="25" spans="3:19">
      <c r="E25" s="448"/>
      <c r="F25" s="156"/>
      <c r="G25" s="156"/>
      <c r="H25" s="156"/>
      <c r="I25" s="156"/>
      <c r="J25" s="316"/>
      <c r="K25" s="315"/>
      <c r="L25" s="315"/>
      <c r="M25" s="315"/>
      <c r="N25" s="315"/>
      <c r="O25" s="315"/>
      <c r="P25" s="315"/>
      <c r="Q25" s="315"/>
      <c r="R25" s="315"/>
      <c r="S25" s="315"/>
    </row>
    <row r="26" spans="3:19">
      <c r="C26" s="330" t="s">
        <v>42</v>
      </c>
      <c r="E26" s="250">
        <f>Historical!E14</f>
        <v>20030.3</v>
      </c>
      <c r="F26" s="217">
        <f>Historical!F14</f>
        <v>15948.3</v>
      </c>
      <c r="G26" s="217">
        <f>Historical!G14</f>
        <v>14943.87</v>
      </c>
      <c r="H26" s="217">
        <f>Historical!H14</f>
        <v>14863.27</v>
      </c>
      <c r="I26" s="217">
        <f>Historical!I14</f>
        <v>14794.67</v>
      </c>
      <c r="J26" s="317">
        <f>'Supporting Schedules'!J21*J27</f>
        <v>18523.442199999998</v>
      </c>
      <c r="K26" s="312">
        <f>'Supporting Schedules'!K21*K27</f>
        <v>18915.845868192002</v>
      </c>
      <c r="L26" s="312">
        <f>'Supporting Schedules'!L21*L27</f>
        <v>19295.3190463756</v>
      </c>
      <c r="M26" s="312">
        <f>'Supporting Schedules'!M21*M27</f>
        <v>23620.609062796531</v>
      </c>
      <c r="N26" s="312">
        <f>'Supporting Schedules'!N21*N27</f>
        <v>23811.590495996636</v>
      </c>
      <c r="O26" s="312">
        <f>'Supporting Schedules'!O21*O27</f>
        <v>23999.177668793938</v>
      </c>
      <c r="P26" s="312">
        <f>'Supporting Schedules'!P21*P27</f>
        <v>28236.027122316686</v>
      </c>
      <c r="Q26" s="312">
        <f>'Supporting Schedules'!Q21*Q27</f>
        <v>28165.594676173885</v>
      </c>
      <c r="R26" s="312">
        <f>'Supporting Schedules'!R21*R27</f>
        <v>28109.554609317162</v>
      </c>
      <c r="S26" s="312">
        <f>'Supporting Schedules'!S21*S27</f>
        <v>32095.099888573266</v>
      </c>
    </row>
    <row r="27" spans="3:19" s="136" customFormat="1">
      <c r="C27" s="365" t="s">
        <v>424</v>
      </c>
      <c r="E27" s="446">
        <f>E26/Model!H34</f>
        <v>4.7917400537896462E-2</v>
      </c>
      <c r="F27" s="308">
        <f>F26/Model!I34</f>
        <v>4.1311789921636005E-2</v>
      </c>
      <c r="G27" s="308">
        <f>G26/Model!J34</f>
        <v>3.3064094477223784E-2</v>
      </c>
      <c r="H27" s="308">
        <f>H26/Model!K34</f>
        <v>3.2158646324516114E-2</v>
      </c>
      <c r="I27" s="308">
        <f>I26/Model!L34</f>
        <v>3.9677055090681056E-2</v>
      </c>
      <c r="J27" s="313">
        <f>I27+1%</f>
        <v>4.9677055090681058E-2</v>
      </c>
      <c r="K27" s="313">
        <f>J27</f>
        <v>4.9677055090681058E-2</v>
      </c>
      <c r="L27" s="313">
        <f>K27</f>
        <v>4.9677055090681058E-2</v>
      </c>
      <c r="M27" s="313">
        <f>L27+1%</f>
        <v>5.967705509068106E-2</v>
      </c>
      <c r="N27" s="313">
        <f>M27</f>
        <v>5.967705509068106E-2</v>
      </c>
      <c r="O27" s="313">
        <f>N27</f>
        <v>5.967705509068106E-2</v>
      </c>
      <c r="P27" s="313">
        <f>O27+1%</f>
        <v>6.9677055090681062E-2</v>
      </c>
      <c r="Q27" s="313">
        <f>P27</f>
        <v>6.9677055090681062E-2</v>
      </c>
      <c r="R27" s="313">
        <f>Q27</f>
        <v>6.9677055090681062E-2</v>
      </c>
      <c r="S27" s="313">
        <f>R27+1%</f>
        <v>7.9677055090681057E-2</v>
      </c>
    </row>
    <row r="28" spans="3:19">
      <c r="E28" s="443"/>
      <c r="J28" s="315"/>
      <c r="K28" s="315"/>
      <c r="L28" s="315"/>
      <c r="M28" s="315"/>
      <c r="N28" s="315"/>
      <c r="O28" s="315"/>
      <c r="P28" s="315"/>
      <c r="Q28" s="315"/>
      <c r="R28" s="315"/>
      <c r="S28" s="315"/>
    </row>
    <row r="29" spans="3:19" ht="13.95" customHeight="1">
      <c r="C29" s="330" t="s">
        <v>185</v>
      </c>
      <c r="E29" s="444">
        <f>Historical!E13</f>
        <v>142694.12</v>
      </c>
      <c r="F29" s="307">
        <f>Historical!F13</f>
        <v>85336.46</v>
      </c>
      <c r="G29" s="307">
        <f>Historical!G13</f>
        <v>62455.21</v>
      </c>
      <c r="H29" s="307">
        <f>Historical!H13</f>
        <v>39213.5</v>
      </c>
      <c r="I29" s="307">
        <f>Historical!I13</f>
        <v>35644.730000000003</v>
      </c>
      <c r="J29" s="312">
        <f>-'Supporting Schedules'!J30</f>
        <v>35644.730000000003</v>
      </c>
      <c r="K29" s="312">
        <f>-'Supporting Schedules'!K30</f>
        <v>35644.730000000003</v>
      </c>
      <c r="L29" s="312">
        <f>-'Supporting Schedules'!L30</f>
        <v>35644.730000000003</v>
      </c>
      <c r="M29" s="312">
        <f>-'Supporting Schedules'!M30</f>
        <v>35644.730000000003</v>
      </c>
      <c r="N29" s="312">
        <f>-'Supporting Schedules'!N30</f>
        <v>35644.730000000003</v>
      </c>
      <c r="O29" s="312">
        <f>-'Supporting Schedules'!O30</f>
        <v>35644.730000000003</v>
      </c>
      <c r="P29" s="312">
        <f>-'Supporting Schedules'!P30</f>
        <v>35644.730000000003</v>
      </c>
      <c r="Q29" s="312">
        <f>-'Supporting Schedules'!Q30</f>
        <v>35644.730000000003</v>
      </c>
      <c r="R29" s="312">
        <f>-'Supporting Schedules'!R30</f>
        <v>35644.730000000003</v>
      </c>
      <c r="S29" s="312">
        <f>-'Supporting Schedules'!S30</f>
        <v>35644.730000000003</v>
      </c>
    </row>
    <row r="30" spans="3:19" s="136" customFormat="1">
      <c r="C30" s="365" t="s">
        <v>424</v>
      </c>
      <c r="E30" s="446">
        <f>E29/Model!H50</f>
        <v>0.22544370911798126</v>
      </c>
      <c r="F30" s="308">
        <f>F29/Model!I50</f>
        <v>0.15131392533825047</v>
      </c>
      <c r="G30" s="308">
        <f>G29/Model!J50</f>
        <v>0.14934855386584039</v>
      </c>
      <c r="H30" s="308">
        <f>H29/Model!K50</f>
        <v>0.11761714241168846</v>
      </c>
      <c r="I30" s="308">
        <f>I29/Model!L50</f>
        <v>7.3739682158771677E-2</v>
      </c>
      <c r="J30" s="313">
        <f t="shared" ref="J30:S30" si="9">I30</f>
        <v>7.3739682158771677E-2</v>
      </c>
      <c r="K30" s="313">
        <f t="shared" si="9"/>
        <v>7.3739682158771677E-2</v>
      </c>
      <c r="L30" s="313">
        <f t="shared" si="9"/>
        <v>7.3739682158771677E-2</v>
      </c>
      <c r="M30" s="313">
        <f t="shared" si="9"/>
        <v>7.3739682158771677E-2</v>
      </c>
      <c r="N30" s="313">
        <f t="shared" si="9"/>
        <v>7.3739682158771677E-2</v>
      </c>
      <c r="O30" s="313">
        <f t="shared" si="9"/>
        <v>7.3739682158771677E-2</v>
      </c>
      <c r="P30" s="313">
        <f t="shared" si="9"/>
        <v>7.3739682158771677E-2</v>
      </c>
      <c r="Q30" s="313">
        <f t="shared" si="9"/>
        <v>7.3739682158771677E-2</v>
      </c>
      <c r="R30" s="313">
        <f t="shared" si="9"/>
        <v>7.3739682158771677E-2</v>
      </c>
      <c r="S30" s="313">
        <f t="shared" si="9"/>
        <v>7.3739682158771677E-2</v>
      </c>
    </row>
    <row r="31" spans="3:19">
      <c r="E31" s="443"/>
      <c r="J31" s="315"/>
      <c r="K31" s="315"/>
      <c r="L31" s="315"/>
      <c r="M31" s="315"/>
      <c r="N31" s="315"/>
      <c r="O31" s="315"/>
      <c r="P31" s="315"/>
      <c r="Q31" s="315"/>
      <c r="R31" s="315"/>
      <c r="S31" s="315"/>
    </row>
    <row r="32" spans="3:19">
      <c r="C32" s="330" t="s">
        <v>177</v>
      </c>
      <c r="E32" s="444">
        <f>SUM(Historical!E8,Historical!E18)</f>
        <v>114570.45</v>
      </c>
      <c r="F32" s="307">
        <f>SUM(Historical!F8,Historical!F18)</f>
        <v>43461.729999999996</v>
      </c>
      <c r="G32" s="307">
        <f>SUM(Historical!G8,Historical!G18)</f>
        <v>19602.16</v>
      </c>
      <c r="H32" s="307">
        <f>SUM(Historical!H8,Historical!H18)</f>
        <v>31730.71</v>
      </c>
      <c r="I32" s="307">
        <f>SUM(Historical!I8,Historical!I18)</f>
        <v>53134.46</v>
      </c>
      <c r="J32" s="312">
        <f t="shared" ref="J32:S32" si="10">J12*J33</f>
        <v>60140.804870122774</v>
      </c>
      <c r="K32" s="312">
        <f t="shared" si="10"/>
        <v>63762.220801279545</v>
      </c>
      <c r="L32" s="312">
        <f t="shared" si="10"/>
        <v>67601.702542741943</v>
      </c>
      <c r="M32" s="312">
        <f t="shared" si="10"/>
        <v>71672.38106276335</v>
      </c>
      <c r="N32" s="312">
        <f t="shared" si="10"/>
        <v>75988.178019008847</v>
      </c>
      <c r="O32" s="312">
        <f t="shared" si="10"/>
        <v>80563.853370409473</v>
      </c>
      <c r="P32" s="312">
        <f t="shared" si="10"/>
        <v>85415.055855993749</v>
      </c>
      <c r="Q32" s="312">
        <f t="shared" si="10"/>
        <v>90558.376513333482</v>
      </c>
      <c r="R32" s="312">
        <f t="shared" si="10"/>
        <v>96011.405419636008</v>
      </c>
      <c r="S32" s="312">
        <f t="shared" si="10"/>
        <v>101792.7918495365</v>
      </c>
    </row>
    <row r="33" spans="3:19" s="136" customFormat="1">
      <c r="C33" s="365" t="s">
        <v>424</v>
      </c>
      <c r="E33" s="446">
        <f>E32/E12</f>
        <v>0.18835236012948176</v>
      </c>
      <c r="F33" s="308">
        <f>F32/F12</f>
        <v>8.0275656295708528E-2</v>
      </c>
      <c r="G33" s="308">
        <f>G32/G12</f>
        <v>3.4283659691509392E-2</v>
      </c>
      <c r="H33" s="308">
        <f>H32/H12</f>
        <v>5.5718630897616188E-2</v>
      </c>
      <c r="I33" s="308">
        <f>I32/I12</f>
        <v>8.267410431535048E-2</v>
      </c>
      <c r="J33" s="313">
        <f>AVERAGE(E33:I33)</f>
        <v>8.8260882265933274E-2</v>
      </c>
      <c r="K33" s="313">
        <f t="shared" ref="K33:S33" si="11">J33</f>
        <v>8.8260882265933274E-2</v>
      </c>
      <c r="L33" s="313">
        <f t="shared" si="11"/>
        <v>8.8260882265933274E-2</v>
      </c>
      <c r="M33" s="313">
        <f t="shared" si="11"/>
        <v>8.8260882265933274E-2</v>
      </c>
      <c r="N33" s="313">
        <f t="shared" si="11"/>
        <v>8.8260882265933274E-2</v>
      </c>
      <c r="O33" s="313">
        <f t="shared" si="11"/>
        <v>8.8260882265933274E-2</v>
      </c>
      <c r="P33" s="313">
        <f t="shared" si="11"/>
        <v>8.8260882265933274E-2</v>
      </c>
      <c r="Q33" s="313">
        <f t="shared" si="11"/>
        <v>8.8260882265933274E-2</v>
      </c>
      <c r="R33" s="313">
        <f t="shared" si="11"/>
        <v>8.8260882265933274E-2</v>
      </c>
      <c r="S33" s="313">
        <f t="shared" si="11"/>
        <v>8.8260882265933274E-2</v>
      </c>
    </row>
    <row r="34" spans="3:19">
      <c r="E34" s="383"/>
      <c r="F34" s="309"/>
      <c r="G34" s="309"/>
      <c r="H34" s="309"/>
      <c r="I34" s="309"/>
      <c r="J34" s="315"/>
      <c r="K34" s="315"/>
      <c r="L34" s="315"/>
      <c r="M34" s="315"/>
      <c r="N34" s="315"/>
      <c r="O34" s="315"/>
      <c r="P34" s="315"/>
      <c r="Q34" s="315"/>
      <c r="R34" s="315"/>
      <c r="S34" s="315"/>
    </row>
    <row r="35" spans="3:19">
      <c r="C35" s="330" t="s">
        <v>432</v>
      </c>
      <c r="E35" s="444">
        <f>Historical!E27</f>
        <v>88952.06</v>
      </c>
      <c r="F35" s="307">
        <f>Historical!F27</f>
        <v>60530.41</v>
      </c>
      <c r="G35" s="307">
        <f>Historical!G27</f>
        <v>65669.67</v>
      </c>
      <c r="H35" s="307">
        <f>Historical!H27</f>
        <v>93302.89</v>
      </c>
      <c r="I35" s="307">
        <f>Historical!I27</f>
        <v>109312.81</v>
      </c>
      <c r="J35" s="312">
        <f t="shared" ref="J35:S35" si="12">J12*J36</f>
        <v>96324.565223008642</v>
      </c>
      <c r="K35" s="312">
        <f t="shared" si="12"/>
        <v>102124.8087650376</v>
      </c>
      <c r="L35" s="312">
        <f t="shared" si="12"/>
        <v>108274.31757568165</v>
      </c>
      <c r="M35" s="312">
        <f t="shared" si="12"/>
        <v>114794.12288009145</v>
      </c>
      <c r="N35" s="312">
        <f t="shared" si="12"/>
        <v>121706.5223117069</v>
      </c>
      <c r="O35" s="312">
        <f t="shared" si="12"/>
        <v>129035.15616981912</v>
      </c>
      <c r="P35" s="312">
        <f t="shared" si="12"/>
        <v>136805.08826902902</v>
      </c>
      <c r="Q35" s="312">
        <f t="shared" si="12"/>
        <v>145042.89165710591</v>
      </c>
      <c r="R35" s="312">
        <f t="shared" si="12"/>
        <v>153776.73949440068</v>
      </c>
      <c r="S35" s="312">
        <f t="shared" si="12"/>
        <v>163036.50140561885</v>
      </c>
    </row>
    <row r="36" spans="3:19">
      <c r="C36" s="365" t="s">
        <v>424</v>
      </c>
      <c r="E36" s="446">
        <f>E35/E12</f>
        <v>0.14623605335738202</v>
      </c>
      <c r="F36" s="308">
        <f>F35/F12</f>
        <v>0.11180223126411026</v>
      </c>
      <c r="G36" s="308">
        <f>G35/G12</f>
        <v>0.11485451696821797</v>
      </c>
      <c r="H36" s="308">
        <f>H35/H12</f>
        <v>0.16383841677639374</v>
      </c>
      <c r="I36" s="308">
        <f>I35/I12</f>
        <v>0.17008432299761939</v>
      </c>
      <c r="J36" s="313">
        <f>AVERAGE(E36:I36)</f>
        <v>0.14136310827274468</v>
      </c>
      <c r="K36" s="313">
        <f t="shared" ref="K36:S36" si="13">J36</f>
        <v>0.14136310827274468</v>
      </c>
      <c r="L36" s="313">
        <f t="shared" si="13"/>
        <v>0.14136310827274468</v>
      </c>
      <c r="M36" s="313">
        <f t="shared" si="13"/>
        <v>0.14136310827274468</v>
      </c>
      <c r="N36" s="313">
        <f t="shared" si="13"/>
        <v>0.14136310827274468</v>
      </c>
      <c r="O36" s="313">
        <f t="shared" si="13"/>
        <v>0.14136310827274468</v>
      </c>
      <c r="P36" s="313">
        <f t="shared" si="13"/>
        <v>0.14136310827274468</v>
      </c>
      <c r="Q36" s="313">
        <f t="shared" si="13"/>
        <v>0.14136310827274468</v>
      </c>
      <c r="R36" s="313">
        <f t="shared" si="13"/>
        <v>0.14136310827274468</v>
      </c>
      <c r="S36" s="313">
        <f t="shared" si="13"/>
        <v>0.14136310827274468</v>
      </c>
    </row>
    <row r="37" spans="3:19">
      <c r="E37" s="383"/>
      <c r="F37" s="309"/>
      <c r="G37" s="309"/>
      <c r="H37" s="309"/>
      <c r="I37" s="309"/>
      <c r="J37" s="315"/>
      <c r="K37" s="315"/>
      <c r="L37" s="315"/>
      <c r="M37" s="315"/>
      <c r="N37" s="315"/>
      <c r="O37" s="315"/>
      <c r="P37" s="315"/>
      <c r="Q37" s="315"/>
      <c r="R37" s="315"/>
      <c r="S37" s="315"/>
    </row>
    <row r="38" spans="3:19">
      <c r="C38" s="330" t="s">
        <v>423</v>
      </c>
      <c r="E38" s="448">
        <f>-Model!H18/Model!H17</f>
        <v>3.2636461673387536</v>
      </c>
      <c r="F38" s="156">
        <f>-Model!I18/Model!I17</f>
        <v>0.43151037200083864</v>
      </c>
      <c r="G38" s="156">
        <f>-Model!J18/Model!J17</f>
        <v>0.27554886739359624</v>
      </c>
      <c r="H38" s="156">
        <f>-Model!K18/Model!K17</f>
        <v>0.2672405891941142</v>
      </c>
      <c r="I38" s="156">
        <f>-Model!L18/Model!L17</f>
        <v>0.24186165271124174</v>
      </c>
      <c r="J38" s="313">
        <f>I38+1%</f>
        <v>0.25186165271124172</v>
      </c>
      <c r="K38" s="313">
        <f>J38</f>
        <v>0.25186165271124172</v>
      </c>
      <c r="L38" s="313">
        <f>K38</f>
        <v>0.25186165271124172</v>
      </c>
      <c r="M38" s="313">
        <f>L38+0.5%</f>
        <v>0.25686165271124173</v>
      </c>
      <c r="N38" s="313">
        <f>M38</f>
        <v>0.25686165271124173</v>
      </c>
      <c r="O38" s="313">
        <f>N38</f>
        <v>0.25686165271124173</v>
      </c>
      <c r="P38" s="313">
        <f>O38+0.5%</f>
        <v>0.26186165271124173</v>
      </c>
      <c r="Q38" s="313">
        <f>P38</f>
        <v>0.26186165271124173</v>
      </c>
      <c r="R38" s="313">
        <f>Q38</f>
        <v>0.26186165271124173</v>
      </c>
      <c r="S38" s="313">
        <f>R38+0.5%</f>
        <v>0.26686165271124174</v>
      </c>
    </row>
    <row r="39" spans="3:19">
      <c r="C39" s="365" t="s">
        <v>425</v>
      </c>
      <c r="E39" s="443"/>
    </row>
    <row r="40" spans="3:19">
      <c r="E40" s="443"/>
    </row>
    <row r="41" spans="3:19" ht="16.2">
      <c r="C41" s="450"/>
      <c r="D41" s="451" t="s">
        <v>187</v>
      </c>
      <c r="E41" s="449"/>
      <c r="F41" s="440"/>
      <c r="G41" s="440"/>
      <c r="H41" s="440"/>
      <c r="I41" s="440"/>
      <c r="J41" s="318">
        <f>AVERAGE(G13:I13)</f>
        <v>6.0215621306988064E-2</v>
      </c>
      <c r="K41" s="318">
        <f t="shared" ref="K41:S41" si="14">J41</f>
        <v>6.0215621306988064E-2</v>
      </c>
      <c r="L41" s="318">
        <f t="shared" si="14"/>
        <v>6.0215621306988064E-2</v>
      </c>
      <c r="M41" s="318">
        <f t="shared" si="14"/>
        <v>6.0215621306988064E-2</v>
      </c>
      <c r="N41" s="318">
        <f t="shared" si="14"/>
        <v>6.0215621306988064E-2</v>
      </c>
      <c r="O41" s="318">
        <f t="shared" si="14"/>
        <v>6.0215621306988064E-2</v>
      </c>
      <c r="P41" s="318">
        <f t="shared" si="14"/>
        <v>6.0215621306988064E-2</v>
      </c>
      <c r="Q41" s="318">
        <f t="shared" si="14"/>
        <v>6.0215621306988064E-2</v>
      </c>
      <c r="R41" s="318">
        <f t="shared" si="14"/>
        <v>6.0215621306988064E-2</v>
      </c>
      <c r="S41" s="318">
        <f t="shared" si="14"/>
        <v>6.0215621306988064E-2</v>
      </c>
    </row>
    <row r="42" spans="3:19" ht="16.2">
      <c r="C42" s="452" t="s">
        <v>4</v>
      </c>
      <c r="D42" s="451" t="s">
        <v>27</v>
      </c>
      <c r="E42" s="449"/>
      <c r="F42" s="440"/>
      <c r="G42" s="440"/>
      <c r="H42" s="440"/>
      <c r="I42" s="440"/>
      <c r="J42" s="318">
        <f>J41+5%</f>
        <v>0.11021562130698806</v>
      </c>
      <c r="K42" s="318">
        <f t="shared" ref="K42:S42" si="15">J42</f>
        <v>0.11021562130698806</v>
      </c>
      <c r="L42" s="318">
        <f t="shared" si="15"/>
        <v>0.11021562130698806</v>
      </c>
      <c r="M42" s="318">
        <f t="shared" si="15"/>
        <v>0.11021562130698806</v>
      </c>
      <c r="N42" s="318">
        <f t="shared" si="15"/>
        <v>0.11021562130698806</v>
      </c>
      <c r="O42" s="318">
        <f t="shared" si="15"/>
        <v>0.11021562130698806</v>
      </c>
      <c r="P42" s="318">
        <f t="shared" si="15"/>
        <v>0.11021562130698806</v>
      </c>
      <c r="Q42" s="318">
        <f t="shared" si="15"/>
        <v>0.11021562130698806</v>
      </c>
      <c r="R42" s="318">
        <f t="shared" si="15"/>
        <v>0.11021562130698806</v>
      </c>
      <c r="S42" s="318">
        <f t="shared" si="15"/>
        <v>0.11021562130698806</v>
      </c>
    </row>
    <row r="43" spans="3:19" ht="16.2">
      <c r="C43" s="450"/>
      <c r="D43" s="451" t="s">
        <v>188</v>
      </c>
      <c r="E43" s="449"/>
      <c r="F43" s="440"/>
      <c r="G43" s="440"/>
      <c r="H43" s="440"/>
      <c r="I43" s="440"/>
      <c r="J43" s="318">
        <f>J41-5%</f>
        <v>1.0215621306988061E-2</v>
      </c>
      <c r="K43" s="318">
        <f t="shared" ref="K43:S43" si="16">J43</f>
        <v>1.0215621306988061E-2</v>
      </c>
      <c r="L43" s="318">
        <f t="shared" si="16"/>
        <v>1.0215621306988061E-2</v>
      </c>
      <c r="M43" s="318">
        <f t="shared" si="16"/>
        <v>1.0215621306988061E-2</v>
      </c>
      <c r="N43" s="318">
        <f t="shared" si="16"/>
        <v>1.0215621306988061E-2</v>
      </c>
      <c r="O43" s="318">
        <f t="shared" si="16"/>
        <v>1.0215621306988061E-2</v>
      </c>
      <c r="P43" s="318">
        <f t="shared" si="16"/>
        <v>1.0215621306988061E-2</v>
      </c>
      <c r="Q43" s="318">
        <f t="shared" si="16"/>
        <v>1.0215621306988061E-2</v>
      </c>
      <c r="R43" s="318">
        <f t="shared" si="16"/>
        <v>1.0215621306988061E-2</v>
      </c>
      <c r="S43" s="318">
        <f t="shared" si="16"/>
        <v>1.0215621306988061E-2</v>
      </c>
    </row>
  </sheetData>
  <mergeCells count="1">
    <mergeCell ref="C7:S7"/>
  </mergeCells>
  <pageMargins left="0.75" right="0.75" top="1" bottom="1" header="0.5" footer="0.5"/>
  <ignoredErrors>
    <ignoredError sqref="M38 P38 M27:P27" formula="1"/>
  </ignoredError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39997558519241921"/>
  </sheetPr>
  <dimension ref="A1:W161"/>
  <sheetViews>
    <sheetView showGridLines="0" topLeftCell="B1" zoomScale="85" zoomScaleNormal="85" workbookViewId="0">
      <selection activeCell="G34" sqref="G34"/>
    </sheetView>
  </sheetViews>
  <sheetFormatPr defaultColWidth="8.88671875" defaultRowHeight="15" customHeight="1"/>
  <cols>
    <col min="1" max="2" width="1.33203125" style="153" customWidth="1"/>
    <col min="3" max="3" width="1.44140625" style="153" customWidth="1"/>
    <col min="4" max="4" width="34.33203125" style="153" customWidth="1"/>
    <col min="5" max="5" width="14.5546875" style="153" customWidth="1"/>
    <col min="6" max="6" width="2.44140625" style="153" customWidth="1"/>
    <col min="7" max="7" width="2.5546875" style="153" customWidth="1"/>
    <col min="8" max="23" width="11.77734375" style="153" customWidth="1"/>
    <col min="24" max="24" width="11" style="153" customWidth="1"/>
    <col min="25" max="25" width="10.6640625" style="153" customWidth="1"/>
    <col min="26" max="26" width="8.88671875" style="153"/>
    <col min="27" max="27" width="13" style="153" customWidth="1"/>
    <col min="28" max="28" width="8.88671875" style="153"/>
    <col min="29" max="29" width="11.33203125" style="153" customWidth="1"/>
    <col min="30" max="16384" width="8.88671875" style="153"/>
  </cols>
  <sheetData>
    <row r="1" spans="2:23" ht="24" customHeight="1">
      <c r="B1" s="195"/>
      <c r="C1" s="600" t="s">
        <v>189</v>
      </c>
      <c r="D1" s="600"/>
      <c r="E1" s="600"/>
      <c r="F1" s="140"/>
      <c r="G1" s="140"/>
      <c r="H1" s="135"/>
      <c r="I1" s="601" t="s">
        <v>190</v>
      </c>
      <c r="J1" s="601"/>
      <c r="K1" s="601"/>
      <c r="L1" s="140"/>
      <c r="M1" s="225"/>
      <c r="N1" s="140"/>
      <c r="O1" s="601" t="s">
        <v>191</v>
      </c>
      <c r="P1" s="601"/>
      <c r="Q1" s="601"/>
      <c r="R1" s="140"/>
      <c r="S1" s="140"/>
      <c r="T1" s="140"/>
      <c r="U1" s="140"/>
      <c r="V1" s="140"/>
      <c r="W1" s="201"/>
    </row>
    <row r="2" spans="2:23" ht="7.05" customHeight="1">
      <c r="B2" s="196"/>
      <c r="C2" s="600"/>
      <c r="D2" s="600"/>
      <c r="E2" s="600"/>
      <c r="F2" s="197"/>
      <c r="G2" s="197"/>
      <c r="H2" s="140"/>
      <c r="I2" s="601"/>
      <c r="J2" s="601"/>
      <c r="K2" s="601"/>
      <c r="L2" s="140"/>
      <c r="M2" s="225"/>
      <c r="N2" s="140"/>
      <c r="O2" s="601"/>
      <c r="P2" s="601"/>
      <c r="Q2" s="601"/>
      <c r="R2" s="140"/>
      <c r="S2" s="140"/>
      <c r="T2" s="140"/>
      <c r="U2" s="140"/>
      <c r="V2" s="140"/>
      <c r="W2" s="201"/>
    </row>
    <row r="3" spans="2:23" ht="18" customHeight="1">
      <c r="B3" s="196"/>
      <c r="C3" s="600"/>
      <c r="D3" s="600"/>
      <c r="E3" s="600"/>
      <c r="F3" s="197"/>
      <c r="G3" s="197"/>
      <c r="H3" s="140"/>
      <c r="I3" s="601"/>
      <c r="J3" s="601"/>
      <c r="K3" s="601"/>
      <c r="L3" s="140"/>
      <c r="M3" s="225"/>
      <c r="N3" s="140"/>
      <c r="O3" s="601"/>
      <c r="P3" s="601"/>
      <c r="Q3" s="601"/>
      <c r="R3" s="140"/>
      <c r="S3" s="140"/>
      <c r="T3" s="140"/>
      <c r="U3" s="140"/>
      <c r="V3" s="140"/>
      <c r="W3" s="201"/>
    </row>
    <row r="4" spans="2:23" ht="18" customHeight="1">
      <c r="B4" s="198"/>
      <c r="C4" s="199"/>
      <c r="D4" s="630" t="s">
        <v>489</v>
      </c>
      <c r="E4" s="199"/>
      <c r="F4" s="200"/>
      <c r="G4" s="200"/>
      <c r="H4" s="201"/>
      <c r="I4" s="226"/>
      <c r="J4" s="226"/>
      <c r="K4" s="226"/>
      <c r="L4" s="201"/>
      <c r="M4" s="201"/>
      <c r="N4" s="201"/>
      <c r="O4" s="227"/>
      <c r="P4" s="227"/>
      <c r="Q4" s="227"/>
      <c r="R4" s="201"/>
      <c r="S4" s="201"/>
      <c r="T4" s="201"/>
      <c r="U4" s="201"/>
      <c r="V4" s="201"/>
      <c r="W4" s="201"/>
    </row>
    <row r="5" spans="2:23" ht="19.2" customHeight="1">
      <c r="B5" s="150" t="s">
        <v>192</v>
      </c>
      <c r="C5" s="135"/>
      <c r="D5" s="135"/>
      <c r="E5" s="135"/>
      <c r="F5" s="202"/>
      <c r="G5" s="202"/>
      <c r="H5" s="152">
        <f>'Ratios Analysis'!F5</f>
        <v>2020</v>
      </c>
      <c r="I5" s="152">
        <f>'Ratios Analysis'!G5</f>
        <v>2021</v>
      </c>
      <c r="J5" s="152">
        <f>'Ratios Analysis'!H5</f>
        <v>2022</v>
      </c>
      <c r="K5" s="152">
        <f>'Ratios Analysis'!I5</f>
        <v>2023</v>
      </c>
      <c r="L5" s="152">
        <f>'Ratios Analysis'!J5</f>
        <v>2024</v>
      </c>
      <c r="M5" s="169">
        <f>'Ratios Analysis'!K5</f>
        <v>2025</v>
      </c>
      <c r="N5" s="170">
        <f>'Ratios Analysis'!L5</f>
        <v>2026</v>
      </c>
      <c r="O5" s="170">
        <f>'Ratios Analysis'!M5</f>
        <v>2027</v>
      </c>
      <c r="P5" s="170">
        <f>'Ratios Analysis'!N5</f>
        <v>2028</v>
      </c>
      <c r="Q5" s="170">
        <f>'Ratios Analysis'!O5</f>
        <v>2029</v>
      </c>
      <c r="R5" s="170">
        <f>'Ratios Analysis'!P5</f>
        <v>2030</v>
      </c>
      <c r="S5" s="170">
        <f>'Ratios Analysis'!Q5</f>
        <v>2031</v>
      </c>
      <c r="T5" s="170">
        <f>'Ratios Analysis'!R5</f>
        <v>2032</v>
      </c>
      <c r="U5" s="170">
        <f>'Ratios Analysis'!S5</f>
        <v>2033</v>
      </c>
      <c r="V5" s="170">
        <f>'Ratios Analysis'!T5</f>
        <v>2034</v>
      </c>
    </row>
    <row r="6" spans="2:23" ht="15.6" customHeight="1">
      <c r="B6" s="193" t="s">
        <v>193</v>
      </c>
      <c r="D6" s="191"/>
      <c r="M6" s="228"/>
    </row>
    <row r="7" spans="2:23" ht="14.4" customHeight="1">
      <c r="D7" s="153" t="s">
        <v>180</v>
      </c>
      <c r="H7" s="203">
        <f>Historical!E7</f>
        <v>608277.22</v>
      </c>
      <c r="I7" s="203">
        <f>Historical!F7</f>
        <v>541406.1</v>
      </c>
      <c r="J7" s="203">
        <f>Historical!G7</f>
        <v>571763.93000000005</v>
      </c>
      <c r="K7" s="203">
        <f>Historical!H7</f>
        <v>569481.15</v>
      </c>
      <c r="L7" s="203">
        <f>Historical!I7</f>
        <v>642697.74</v>
      </c>
      <c r="M7" s="229">
        <f>'Cost Buildup'!J12</f>
        <v>681398.183726697</v>
      </c>
      <c r="N7" s="230">
        <f>'Cost Buildup'!K12</f>
        <v>722428.99871725321</v>
      </c>
      <c r="O7" s="230">
        <f>'Cost Buildup'!L12</f>
        <v>765930.5097251978</v>
      </c>
      <c r="P7" s="230">
        <f>'Cost Buildup'!M12</f>
        <v>812051.49124627863</v>
      </c>
      <c r="Q7" s="230">
        <f>'Cost Buildup'!N12</f>
        <v>860949.67632493947</v>
      </c>
      <c r="R7" s="230">
        <f>'Cost Buildup'!O12</f>
        <v>912792.29599889589</v>
      </c>
      <c r="S7" s="230">
        <f>'Cost Buildup'!P12</f>
        <v>967756.65122670145</v>
      </c>
      <c r="T7" s="230">
        <f>'Cost Buildup'!Q12</f>
        <v>1026030.7192542873</v>
      </c>
      <c r="U7" s="230">
        <f>'Cost Buildup'!R12</f>
        <v>1087813.7964942399</v>
      </c>
      <c r="V7" s="230">
        <f>'Cost Buildup'!S12</f>
        <v>1153317.1801164539</v>
      </c>
    </row>
    <row r="8" spans="2:23" ht="14.4" customHeight="1">
      <c r="D8" s="153" t="s">
        <v>181</v>
      </c>
      <c r="H8" s="203">
        <f>-Historical!E11</f>
        <v>-338042.15</v>
      </c>
      <c r="I8" s="203">
        <f>-Historical!F11</f>
        <v>-284922.94</v>
      </c>
      <c r="J8" s="203">
        <f>-Historical!G11</f>
        <v>-274496.23</v>
      </c>
      <c r="K8" s="203">
        <f>-Historical!H11</f>
        <v>-243396.35</v>
      </c>
      <c r="L8" s="203">
        <f>-Historical!I11</f>
        <v>-279375.65000000002</v>
      </c>
      <c r="M8" s="229">
        <f>-'Cost Buildup'!J15</f>
        <v>-330366.46453739103</v>
      </c>
      <c r="N8" s="230">
        <f>-'Cost Buildup'!K15</f>
        <v>-350259.68645850307</v>
      </c>
      <c r="O8" s="230">
        <f>-'Cost Buildup'!L15</f>
        <v>-371350.79109739262</v>
      </c>
      <c r="P8" s="230">
        <f>-'Cost Buildup'!M15</f>
        <v>-393711.90970616363</v>
      </c>
      <c r="Q8" s="230">
        <f>-'Cost Buildup'!N15</f>
        <v>-417419.51696508104</v>
      </c>
      <c r="R8" s="230">
        <f>-'Cost Buildup'!O15</f>
        <v>-442554.69252479618</v>
      </c>
      <c r="S8" s="230">
        <f>-'Cost Buildup'!P15</f>
        <v>-469203.39829749981</v>
      </c>
      <c r="T8" s="230">
        <f>-'Cost Buildup'!Q15</f>
        <v>-497456.77244533389</v>
      </c>
      <c r="U8" s="230">
        <f>-'Cost Buildup'!R15</f>
        <v>-527411.44107149856</v>
      </c>
      <c r="V8" s="230">
        <f>-'Cost Buildup'!S15</f>
        <v>-559169.84868003277</v>
      </c>
    </row>
    <row r="9" spans="2:23" s="144" customFormat="1" ht="14.4">
      <c r="D9" s="204" t="s">
        <v>194</v>
      </c>
      <c r="E9" s="204"/>
      <c r="F9" s="204"/>
      <c r="G9" s="204"/>
      <c r="H9" s="205">
        <f>SUM(H7:H8)</f>
        <v>270235.06999999995</v>
      </c>
      <c r="I9" s="205">
        <f>SUM(I7:I8)</f>
        <v>256483.15999999997</v>
      </c>
      <c r="J9" s="205">
        <f>SUM(J7:J8)</f>
        <v>297267.70000000007</v>
      </c>
      <c r="K9" s="205">
        <f>SUM(K7:K8)</f>
        <v>326084.80000000005</v>
      </c>
      <c r="L9" s="205">
        <f>SUM(L7:L8)</f>
        <v>363322.08999999997</v>
      </c>
      <c r="M9" s="231">
        <f t="shared" ref="M9:V9" si="0">SUM(M7:M8)</f>
        <v>351031.71918930596</v>
      </c>
      <c r="N9" s="232">
        <f t="shared" si="0"/>
        <v>372169.31225875014</v>
      </c>
      <c r="O9" s="232">
        <f t="shared" si="0"/>
        <v>394579.71862780518</v>
      </c>
      <c r="P9" s="232">
        <f t="shared" si="0"/>
        <v>418339.581540115</v>
      </c>
      <c r="Q9" s="232">
        <f t="shared" si="0"/>
        <v>443530.15935985843</v>
      </c>
      <c r="R9" s="232">
        <f t="shared" si="0"/>
        <v>470237.60347409971</v>
      </c>
      <c r="S9" s="232">
        <f t="shared" si="0"/>
        <v>498553.25292920164</v>
      </c>
      <c r="T9" s="232">
        <f t="shared" si="0"/>
        <v>528573.94680895342</v>
      </c>
      <c r="U9" s="232">
        <f t="shared" si="0"/>
        <v>560402.35542274138</v>
      </c>
      <c r="V9" s="232">
        <f t="shared" si="0"/>
        <v>594147.33143642114</v>
      </c>
    </row>
    <row r="10" spans="2:23" ht="14.4" customHeight="1">
      <c r="D10" s="153" t="s">
        <v>182</v>
      </c>
      <c r="H10" s="203">
        <f>-Historical!E12</f>
        <v>-35672.42</v>
      </c>
      <c r="I10" s="203">
        <f>-Historical!F12</f>
        <v>-31378.18</v>
      </c>
      <c r="J10" s="203">
        <f>-Historical!G12</f>
        <v>-35398.550000000003</v>
      </c>
      <c r="K10" s="203">
        <f>-Historical!H12</f>
        <v>-54788.15</v>
      </c>
      <c r="L10" s="203">
        <f>-Historical!I12</f>
        <v>-54595.22</v>
      </c>
      <c r="M10" s="229">
        <f>-'Cost Buildup'!J20</f>
        <v>-49015.295780961904</v>
      </c>
      <c r="N10" s="230">
        <f>-'Cost Buildup'!K20</f>
        <v>-51966.782269958312</v>
      </c>
      <c r="O10" s="230">
        <f>-'Cost Buildup'!L20</f>
        <v>-55095.994351668822</v>
      </c>
      <c r="P10" s="230">
        <f>-'Cost Buildup'!M20</f>
        <v>-58413.63388308086</v>
      </c>
      <c r="Q10" s="230">
        <f>-'Cost Buildup'!N20</f>
        <v>-61931.047140149509</v>
      </c>
      <c r="R10" s="230">
        <f>-'Cost Buildup'!O20</f>
        <v>-65660.26362188597</v>
      </c>
      <c r="S10" s="230">
        <f>-'Cost Buildup'!P20</f>
        <v>-69614.037191058451</v>
      </c>
      <c r="T10" s="230">
        <f>-'Cost Buildup'!Q20</f>
        <v>-73805.889692205805</v>
      </c>
      <c r="U10" s="230">
        <f>-'Cost Buildup'!R20</f>
        <v>-78250.157196136992</v>
      </c>
      <c r="V10" s="230">
        <f>-'Cost Buildup'!S20</f>
        <v>-82962.03902907185</v>
      </c>
    </row>
    <row r="11" spans="2:23" ht="14.4" customHeight="1">
      <c r="D11" s="153" t="s">
        <v>183</v>
      </c>
      <c r="H11" s="203">
        <f>-Historical!E15</f>
        <v>-121062.31</v>
      </c>
      <c r="I11" s="203">
        <f>-Historical!F15</f>
        <v>-83325.149999999994</v>
      </c>
      <c r="J11" s="203">
        <f>-Historical!G15</f>
        <v>-87587.81</v>
      </c>
      <c r="K11" s="203">
        <f>-Historical!H15</f>
        <v>-98710.8</v>
      </c>
      <c r="L11" s="203">
        <f>-Historical!I15</f>
        <v>-96369.36</v>
      </c>
      <c r="M11" s="229">
        <f>-'Cost Buildup'!J23</f>
        <v>-113030.11774731523</v>
      </c>
      <c r="N11" s="230">
        <f>-'Cost Buildup'!K23</f>
        <v>-119836.29651387183</v>
      </c>
      <c r="O11" s="230">
        <f>-'Cost Buildup'!L23</f>
        <v>-127052.31356358305</v>
      </c>
      <c r="P11" s="230">
        <f>-'Cost Buildup'!M23</f>
        <v>-134702.84756330447</v>
      </c>
      <c r="Q11" s="230">
        <f>-'Cost Buildup'!N23</f>
        <v>-142814.06322114935</v>
      </c>
      <c r="R11" s="230">
        <f>-'Cost Buildup'!O23</f>
        <v>-151413.70076938631</v>
      </c>
      <c r="S11" s="230">
        <f>-'Cost Buildup'!P23</f>
        <v>-160531.17083560527</v>
      </c>
      <c r="T11" s="230">
        <f>-'Cost Buildup'!Q23</f>
        <v>-170197.65502660949</v>
      </c>
      <c r="U11" s="230">
        <f>-'Cost Buildup'!R23</f>
        <v>-180446.21256902916</v>
      </c>
      <c r="V11" s="230">
        <f>-'Cost Buildup'!S23</f>
        <v>-191311.89337136605</v>
      </c>
    </row>
    <row r="12" spans="2:23" s="144" customFormat="1" ht="14.4">
      <c r="D12" s="204" t="s">
        <v>195</v>
      </c>
      <c r="E12" s="204"/>
      <c r="F12" s="204"/>
      <c r="G12" s="204"/>
      <c r="H12" s="205">
        <f>SUM(H9:H11)</f>
        <v>113500.33999999997</v>
      </c>
      <c r="I12" s="205">
        <f>SUM(I9:I11)</f>
        <v>141779.82999999999</v>
      </c>
      <c r="J12" s="205">
        <f>SUM(J9:J11)</f>
        <v>174281.34000000008</v>
      </c>
      <c r="K12" s="205">
        <f>SUM(K9:K11)</f>
        <v>172585.85000000003</v>
      </c>
      <c r="L12" s="205">
        <f>SUM(L9:L11)</f>
        <v>212357.51</v>
      </c>
      <c r="M12" s="231">
        <f t="shared" ref="M12:V12" si="1">SUM(M9:M11)</f>
        <v>188986.3056610288</v>
      </c>
      <c r="N12" s="232">
        <f t="shared" si="1"/>
        <v>200366.23347492004</v>
      </c>
      <c r="O12" s="232">
        <f t="shared" si="1"/>
        <v>212431.4107125533</v>
      </c>
      <c r="P12" s="232">
        <f t="shared" si="1"/>
        <v>225223.10009372968</v>
      </c>
      <c r="Q12" s="232">
        <f t="shared" si="1"/>
        <v>238785.04899855956</v>
      </c>
      <c r="R12" s="232">
        <f t="shared" si="1"/>
        <v>253163.63908282743</v>
      </c>
      <c r="S12" s="232">
        <f t="shared" si="1"/>
        <v>268408.04490253795</v>
      </c>
      <c r="T12" s="232">
        <f t="shared" si="1"/>
        <v>284570.40209013812</v>
      </c>
      <c r="U12" s="232">
        <f t="shared" si="1"/>
        <v>301705.98565757519</v>
      </c>
      <c r="V12" s="232">
        <f t="shared" si="1"/>
        <v>319873.39903598325</v>
      </c>
    </row>
    <row r="13" spans="2:23" ht="14.4" customHeight="1">
      <c r="D13" s="153" t="s">
        <v>196</v>
      </c>
      <c r="H13" s="203">
        <f>'Supporting Schedules'!E23</f>
        <v>-20030.3</v>
      </c>
      <c r="I13" s="203">
        <f>'Supporting Schedules'!F23</f>
        <v>-15948.3</v>
      </c>
      <c r="J13" s="203">
        <f>'Supporting Schedules'!G23</f>
        <v>-14943.87</v>
      </c>
      <c r="K13" s="203">
        <f>'Supporting Schedules'!H23</f>
        <v>-14863.27</v>
      </c>
      <c r="L13" s="203">
        <f>'Supporting Schedules'!I23</f>
        <v>-14794.67</v>
      </c>
      <c r="M13" s="229">
        <f>'Supporting Schedules'!J23</f>
        <v>-18523.442199999998</v>
      </c>
      <c r="N13" s="230">
        <f>'Supporting Schedules'!K23</f>
        <v>-18915.845868192002</v>
      </c>
      <c r="O13" s="230">
        <f>'Supporting Schedules'!L23</f>
        <v>-19295.3190463756</v>
      </c>
      <c r="P13" s="230">
        <f>'Supporting Schedules'!M23</f>
        <v>-23620.609062796531</v>
      </c>
      <c r="Q13" s="230">
        <f>'Supporting Schedules'!N23</f>
        <v>-23811.590495996636</v>
      </c>
      <c r="R13" s="230">
        <f>'Supporting Schedules'!O23</f>
        <v>-23999.177668793938</v>
      </c>
      <c r="S13" s="230">
        <f>'Supporting Schedules'!P23</f>
        <v>-28236.027122316686</v>
      </c>
      <c r="T13" s="230">
        <f>'Supporting Schedules'!Q23</f>
        <v>-28165.594676173885</v>
      </c>
      <c r="U13" s="230">
        <f>'Supporting Schedules'!R23</f>
        <v>-28109.554609317162</v>
      </c>
      <c r="V13" s="230">
        <f>'Supporting Schedules'!S23</f>
        <v>-32095.099888573266</v>
      </c>
    </row>
    <row r="14" spans="2:23" s="144" customFormat="1" ht="14.4">
      <c r="D14" s="204" t="s">
        <v>197</v>
      </c>
      <c r="E14" s="204"/>
      <c r="F14" s="204"/>
      <c r="G14" s="204"/>
      <c r="H14" s="205">
        <f>SUM(H12:H13)</f>
        <v>93470.039999999964</v>
      </c>
      <c r="I14" s="205">
        <f>SUM(I12:I13)</f>
        <v>125831.52999999998</v>
      </c>
      <c r="J14" s="205">
        <f>SUM(J12:J13)</f>
        <v>159337.47000000009</v>
      </c>
      <c r="K14" s="205">
        <f>SUM(K12:K13)</f>
        <v>157722.58000000005</v>
      </c>
      <c r="L14" s="205">
        <f>SUM(L12:L13)</f>
        <v>197562.84</v>
      </c>
      <c r="M14" s="231">
        <f t="shared" ref="M14:V14" si="2">SUM(M12:M13)</f>
        <v>170462.86346102881</v>
      </c>
      <c r="N14" s="232">
        <f t="shared" si="2"/>
        <v>181450.38760672804</v>
      </c>
      <c r="O14" s="232">
        <f t="shared" si="2"/>
        <v>193136.0916661777</v>
      </c>
      <c r="P14" s="232">
        <f t="shared" si="2"/>
        <v>201602.49103093316</v>
      </c>
      <c r="Q14" s="232">
        <f t="shared" si="2"/>
        <v>214973.45850256292</v>
      </c>
      <c r="R14" s="232">
        <f t="shared" si="2"/>
        <v>229164.46141403349</v>
      </c>
      <c r="S14" s="232">
        <f t="shared" si="2"/>
        <v>240172.01778022127</v>
      </c>
      <c r="T14" s="232">
        <f t="shared" si="2"/>
        <v>256404.80741396424</v>
      </c>
      <c r="U14" s="232">
        <f t="shared" si="2"/>
        <v>273596.43104825803</v>
      </c>
      <c r="V14" s="232">
        <f t="shared" si="2"/>
        <v>287778.29914740997</v>
      </c>
    </row>
    <row r="15" spans="2:23" ht="14.4" customHeight="1">
      <c r="D15" s="153" t="s">
        <v>198</v>
      </c>
      <c r="H15" s="203">
        <f>'Supporting Schedules'!E30</f>
        <v>-142694.12</v>
      </c>
      <c r="I15" s="203">
        <f>'Supporting Schedules'!F30</f>
        <v>-85336.46</v>
      </c>
      <c r="J15" s="203">
        <f>'Supporting Schedules'!G30</f>
        <v>-62455.21</v>
      </c>
      <c r="K15" s="203">
        <f>'Supporting Schedules'!H30</f>
        <v>-39213.5</v>
      </c>
      <c r="L15" s="203">
        <f>'Supporting Schedules'!I30</f>
        <v>-35644.730000000003</v>
      </c>
      <c r="M15" s="229">
        <f>'Supporting Schedules'!J30</f>
        <v>-35644.730000000003</v>
      </c>
      <c r="N15" s="230">
        <f>'Supporting Schedules'!K30</f>
        <v>-35644.730000000003</v>
      </c>
      <c r="O15" s="230">
        <f>'Supporting Schedules'!L30</f>
        <v>-35644.730000000003</v>
      </c>
      <c r="P15" s="230">
        <f>'Supporting Schedules'!M30</f>
        <v>-35644.730000000003</v>
      </c>
      <c r="Q15" s="230">
        <f>'Supporting Schedules'!N30</f>
        <v>-35644.730000000003</v>
      </c>
      <c r="R15" s="230">
        <f>'Supporting Schedules'!O30</f>
        <v>-35644.730000000003</v>
      </c>
      <c r="S15" s="230">
        <f>'Supporting Schedules'!P30</f>
        <v>-35644.730000000003</v>
      </c>
      <c r="T15" s="230">
        <f>'Supporting Schedules'!Q30</f>
        <v>-35644.730000000003</v>
      </c>
      <c r="U15" s="230">
        <f>'Supporting Schedules'!R30</f>
        <v>-35644.730000000003</v>
      </c>
      <c r="V15" s="230">
        <f>'Supporting Schedules'!S30</f>
        <v>-35644.730000000003</v>
      </c>
    </row>
    <row r="16" spans="2:23" ht="14.4" customHeight="1">
      <c r="D16" s="153" t="s">
        <v>177</v>
      </c>
      <c r="H16" s="203">
        <f>SUM(Historical!E8,Historical!E18)</f>
        <v>114570.45</v>
      </c>
      <c r="I16" s="203">
        <f>SUM(Historical!F8,Historical!F18)</f>
        <v>43461.729999999996</v>
      </c>
      <c r="J16" s="203">
        <f>SUM(Historical!G8,Historical!G18)</f>
        <v>19602.16</v>
      </c>
      <c r="K16" s="203">
        <f>SUM(Historical!H8,Historical!H18)</f>
        <v>31730.71</v>
      </c>
      <c r="L16" s="203">
        <f>SUM(Historical!I8,Historical!I18)</f>
        <v>53134.46</v>
      </c>
      <c r="M16" s="229">
        <f>'Cost Buildup'!J32</f>
        <v>60140.804870122774</v>
      </c>
      <c r="N16" s="230">
        <f>'Cost Buildup'!K32</f>
        <v>63762.220801279545</v>
      </c>
      <c r="O16" s="230">
        <f>'Cost Buildup'!L32</f>
        <v>67601.702542741943</v>
      </c>
      <c r="P16" s="230">
        <f>'Cost Buildup'!M32</f>
        <v>71672.38106276335</v>
      </c>
      <c r="Q16" s="230">
        <f>'Cost Buildup'!N32</f>
        <v>75988.178019008847</v>
      </c>
      <c r="R16" s="230">
        <f>'Cost Buildup'!O32</f>
        <v>80563.853370409473</v>
      </c>
      <c r="S16" s="230">
        <f>'Cost Buildup'!P32</f>
        <v>85415.055855993749</v>
      </c>
      <c r="T16" s="230">
        <f>'Cost Buildup'!Q32</f>
        <v>90558.376513333482</v>
      </c>
      <c r="U16" s="230">
        <f>'Cost Buildup'!R32</f>
        <v>96011.405419636008</v>
      </c>
      <c r="V16" s="230">
        <f>'Cost Buildup'!S32</f>
        <v>101792.7918495365</v>
      </c>
    </row>
    <row r="17" spans="1:23" s="144" customFormat="1" ht="14.4">
      <c r="D17" s="204" t="s">
        <v>199</v>
      </c>
      <c r="E17" s="204"/>
      <c r="F17" s="204"/>
      <c r="G17" s="204"/>
      <c r="H17" s="205">
        <f>SUM(H14:H16)</f>
        <v>65346.369999999966</v>
      </c>
      <c r="I17" s="205">
        <f>SUM(I14:I16)</f>
        <v>83956.799999999974</v>
      </c>
      <c r="J17" s="205">
        <f>SUM(J14:J16)</f>
        <v>116484.4200000001</v>
      </c>
      <c r="K17" s="205">
        <f>SUM(K14:K16)</f>
        <v>150239.79000000004</v>
      </c>
      <c r="L17" s="205">
        <f>SUM(L14:L16)</f>
        <v>215052.56999999998</v>
      </c>
      <c r="M17" s="233">
        <f t="shared" ref="M17:V17" si="3">SUM(M14:M16)</f>
        <v>194958.93833115158</v>
      </c>
      <c r="N17" s="234">
        <f t="shared" si="3"/>
        <v>209567.87840800756</v>
      </c>
      <c r="O17" s="234">
        <f t="shared" si="3"/>
        <v>225093.06420891965</v>
      </c>
      <c r="P17" s="234">
        <f t="shared" si="3"/>
        <v>237630.14209369652</v>
      </c>
      <c r="Q17" s="234">
        <f t="shared" si="3"/>
        <v>255316.90652157174</v>
      </c>
      <c r="R17" s="234">
        <f t="shared" si="3"/>
        <v>274083.58478444297</v>
      </c>
      <c r="S17" s="234">
        <f t="shared" si="3"/>
        <v>289942.34363621502</v>
      </c>
      <c r="T17" s="234">
        <f t="shared" si="3"/>
        <v>311318.45392729773</v>
      </c>
      <c r="U17" s="234">
        <f t="shared" si="3"/>
        <v>333963.10646789405</v>
      </c>
      <c r="V17" s="234">
        <f t="shared" si="3"/>
        <v>353926.36099694646</v>
      </c>
      <c r="W17" s="208"/>
    </row>
    <row r="18" spans="1:23" ht="14.4" customHeight="1">
      <c r="D18" s="153" t="s">
        <v>200</v>
      </c>
      <c r="H18" s="203">
        <f>-Historical!E24</f>
        <v>-213267.43</v>
      </c>
      <c r="I18" s="203">
        <f>-Historical!F24</f>
        <v>-36228.229999999996</v>
      </c>
      <c r="J18" s="203">
        <f>-Historical!G24</f>
        <v>-32097.149999999998</v>
      </c>
      <c r="K18" s="203">
        <f>-Historical!H24</f>
        <v>-40150.17</v>
      </c>
      <c r="L18" s="203">
        <f>-Historical!I24</f>
        <v>-52012.97</v>
      </c>
      <c r="M18" s="229">
        <f>-M17*'Cost Buildup'!J38</f>
        <v>-49102.680418912896</v>
      </c>
      <c r="N18" s="230">
        <f>-N17*'Cost Buildup'!K38</f>
        <v>-52782.112211029329</v>
      </c>
      <c r="O18" s="230">
        <f>-O17*'Cost Buildup'!L38</f>
        <v>-56692.311165496154</v>
      </c>
      <c r="P18" s="230">
        <f>-P17*'Cost Buildup'!M38</f>
        <v>-61038.071032194101</v>
      </c>
      <c r="Q18" s="230">
        <f>-Q17*'Cost Buildup'!N38</f>
        <v>-65581.122574252528</v>
      </c>
      <c r="R18" s="230">
        <f>-R17*'Cost Buildup'!O38</f>
        <v>-70401.562568753769</v>
      </c>
      <c r="S18" s="230">
        <f>-S17*'Cost Buildup'!P38</f>
        <v>-75924.781295550041</v>
      </c>
      <c r="T18" s="230">
        <f>-T17*'Cost Buildup'!Q38</f>
        <v>-81522.364864910749</v>
      </c>
      <c r="U18" s="230">
        <f>-U17*'Cost Buildup'!R38</f>
        <v>-87452.131004263123</v>
      </c>
      <c r="V18" s="230">
        <f>-V17*'Cost Buildup'!S38</f>
        <v>-94449.373633720694</v>
      </c>
    </row>
    <row r="19" spans="1:23" ht="14.4" customHeight="1">
      <c r="D19" s="153" t="s">
        <v>201</v>
      </c>
      <c r="H19" s="203">
        <f>Historical!E27</f>
        <v>88952.06</v>
      </c>
      <c r="I19" s="203">
        <f>Historical!F27</f>
        <v>60530.41</v>
      </c>
      <c r="J19" s="203">
        <f>Historical!G27</f>
        <v>65669.67</v>
      </c>
      <c r="K19" s="203">
        <f>Historical!H27</f>
        <v>93302.89</v>
      </c>
      <c r="L19" s="203">
        <f>Historical!I27</f>
        <v>109312.81</v>
      </c>
      <c r="M19" s="387">
        <f>'Cost Buildup'!J35</f>
        <v>96324.565223008642</v>
      </c>
      <c r="N19" s="388">
        <f>'Cost Buildup'!K35</f>
        <v>102124.8087650376</v>
      </c>
      <c r="O19" s="388">
        <f>'Cost Buildup'!L35</f>
        <v>108274.31757568165</v>
      </c>
      <c r="P19" s="388">
        <f>'Cost Buildup'!M35</f>
        <v>114794.12288009145</v>
      </c>
      <c r="Q19" s="388">
        <f>'Cost Buildup'!N35</f>
        <v>121706.5223117069</v>
      </c>
      <c r="R19" s="388">
        <f>'Cost Buildup'!O35</f>
        <v>129035.15616981912</v>
      </c>
      <c r="S19" s="388">
        <f>'Cost Buildup'!P35</f>
        <v>136805.08826902902</v>
      </c>
      <c r="T19" s="388">
        <f>'Cost Buildup'!Q35</f>
        <v>145042.89165710591</v>
      </c>
      <c r="U19" s="388">
        <f>'Cost Buildup'!R35</f>
        <v>153776.73949440068</v>
      </c>
      <c r="V19" s="388">
        <f>'Cost Buildup'!S35</f>
        <v>163036.50140561885</v>
      </c>
    </row>
    <row r="20" spans="1:23" ht="15.15" customHeight="1" thickBot="1">
      <c r="D20" s="206" t="s">
        <v>202</v>
      </c>
      <c r="E20" s="206"/>
      <c r="F20" s="206"/>
      <c r="G20" s="206"/>
      <c r="H20" s="207">
        <f t="shared" ref="H20:M20" si="4">SUM(H17:H19)</f>
        <v>-58969.000000000029</v>
      </c>
      <c r="I20" s="236">
        <f t="shared" si="4"/>
        <v>108258.97999999998</v>
      </c>
      <c r="J20" s="236">
        <f t="shared" si="4"/>
        <v>150056.94000000012</v>
      </c>
      <c r="K20" s="236">
        <f t="shared" si="4"/>
        <v>203392.51000000004</v>
      </c>
      <c r="L20" s="236">
        <f t="shared" si="4"/>
        <v>272352.40999999997</v>
      </c>
      <c r="M20" s="237">
        <f t="shared" si="4"/>
        <v>242180.82313524734</v>
      </c>
      <c r="N20" s="207">
        <f t="shared" ref="N20:V20" si="5">SUM(N17:N19)</f>
        <v>258910.57496201582</v>
      </c>
      <c r="O20" s="207">
        <f t="shared" si="5"/>
        <v>276675.07061910513</v>
      </c>
      <c r="P20" s="207">
        <f t="shared" si="5"/>
        <v>291386.19394159387</v>
      </c>
      <c r="Q20" s="207">
        <f t="shared" si="5"/>
        <v>311442.30625902611</v>
      </c>
      <c r="R20" s="207">
        <f t="shared" si="5"/>
        <v>332717.1783855083</v>
      </c>
      <c r="S20" s="207">
        <f t="shared" si="5"/>
        <v>350822.65060969396</v>
      </c>
      <c r="T20" s="207">
        <f t="shared" si="5"/>
        <v>374838.98071949289</v>
      </c>
      <c r="U20" s="207">
        <f t="shared" si="5"/>
        <v>400287.7149580316</v>
      </c>
      <c r="V20" s="207">
        <f t="shared" si="5"/>
        <v>422513.48876884463</v>
      </c>
    </row>
    <row r="21" spans="1:23" ht="15.15" customHeight="1">
      <c r="D21" s="144"/>
      <c r="E21" s="144"/>
      <c r="F21" s="144"/>
      <c r="G21" s="144"/>
      <c r="H21" s="144"/>
      <c r="I21" s="144"/>
      <c r="J21" s="144"/>
      <c r="K21" s="144"/>
      <c r="L21" s="144"/>
      <c r="M21" s="238"/>
      <c r="N21" s="208"/>
      <c r="O21" s="208"/>
      <c r="P21" s="208"/>
      <c r="Q21" s="208"/>
      <c r="R21" s="208"/>
      <c r="S21" s="208"/>
      <c r="T21" s="208"/>
      <c r="U21" s="208"/>
      <c r="V21" s="208"/>
    </row>
    <row r="22" spans="1:23" ht="15" customHeight="1">
      <c r="M22" s="228"/>
      <c r="N22" s="175"/>
      <c r="O22" s="175"/>
      <c r="P22" s="175"/>
      <c r="Q22" s="175"/>
      <c r="R22" s="175"/>
      <c r="S22" s="175"/>
      <c r="T22" s="175"/>
      <c r="U22" s="175"/>
      <c r="V22" s="175"/>
    </row>
    <row r="23" spans="1:23" ht="17.399999999999999" customHeight="1">
      <c r="B23" s="150" t="s">
        <v>203</v>
      </c>
      <c r="C23" s="135"/>
      <c r="D23" s="135"/>
      <c r="E23" s="135"/>
      <c r="F23" s="135"/>
      <c r="G23" s="135"/>
      <c r="H23" s="135"/>
      <c r="I23" s="135"/>
      <c r="J23" s="135"/>
      <c r="K23" s="135"/>
      <c r="L23" s="135"/>
      <c r="M23" s="239"/>
      <c r="N23" s="135"/>
      <c r="O23" s="135"/>
      <c r="P23" s="135"/>
      <c r="Q23" s="135"/>
      <c r="R23" s="135"/>
      <c r="S23" s="135"/>
      <c r="T23" s="135"/>
      <c r="U23" s="135"/>
      <c r="V23" s="135"/>
    </row>
    <row r="24" spans="1:23" ht="6" customHeight="1">
      <c r="M24" s="228"/>
    </row>
    <row r="25" spans="1:23" s="191" customFormat="1" ht="15.6">
      <c r="B25" s="144" t="s">
        <v>204</v>
      </c>
      <c r="C25" s="153"/>
      <c r="D25" s="153"/>
      <c r="E25" s="153"/>
      <c r="F25" s="153"/>
      <c r="G25" s="153"/>
      <c r="H25" s="153"/>
      <c r="I25" s="153"/>
      <c r="J25" s="153"/>
      <c r="K25" s="153"/>
      <c r="L25" s="153"/>
      <c r="M25" s="240"/>
    </row>
    <row r="26" spans="1:23" s="191" customFormat="1" ht="15.6">
      <c r="A26" s="153"/>
      <c r="B26" s="153"/>
      <c r="C26" s="144" t="s">
        <v>205</v>
      </c>
      <c r="E26" s="153"/>
      <c r="F26" s="153"/>
      <c r="G26" s="153"/>
      <c r="H26" s="153"/>
      <c r="I26" s="153"/>
      <c r="J26" s="153"/>
      <c r="K26" s="153"/>
      <c r="L26" s="153"/>
      <c r="M26" s="240"/>
    </row>
    <row r="27" spans="1:23" s="191" customFormat="1" ht="15.6">
      <c r="A27" s="153"/>
      <c r="B27" s="153"/>
      <c r="C27" s="153"/>
      <c r="D27" s="153" t="s">
        <v>206</v>
      </c>
      <c r="E27" s="153"/>
      <c r="F27" s="153"/>
      <c r="G27" s="153"/>
      <c r="H27" s="209">
        <f>Historical!E56</f>
        <v>161545.82999999999</v>
      </c>
      <c r="I27" s="209">
        <f>Historical!F56</f>
        <v>104472.82</v>
      </c>
      <c r="J27" s="209">
        <f>Historical!G56</f>
        <v>30605.75</v>
      </c>
      <c r="K27" s="209">
        <f>Historical!H56</f>
        <v>21107.94</v>
      </c>
      <c r="L27" s="209">
        <f>Historical!I56</f>
        <v>139383.01999999999</v>
      </c>
      <c r="M27" s="229">
        <f>'Cash Flow'!J35</f>
        <v>-31296.926357115648</v>
      </c>
      <c r="N27" s="230">
        <f>'Cash Flow'!K35</f>
        <v>4636.4642283869616</v>
      </c>
      <c r="O27" s="230">
        <f>'Cash Flow'!L35</f>
        <v>44939.131912124081</v>
      </c>
      <c r="P27" s="230">
        <f>'Cash Flow'!M35</f>
        <v>90961.892161919415</v>
      </c>
      <c r="Q27" s="230">
        <f>'Cash Flow'!N35</f>
        <v>141736.07669620455</v>
      </c>
      <c r="R27" s="230">
        <f>'Cash Flow'!O35</f>
        <v>197547.93682292098</v>
      </c>
      <c r="S27" s="230">
        <f>'Cash Flow'!P35</f>
        <v>259677.92139271335</v>
      </c>
      <c r="T27" s="230">
        <f>'Cash Flow'!Q35</f>
        <v>327275.04966571566</v>
      </c>
      <c r="U27" s="230">
        <f>'Cash Flow'!R35</f>
        <v>400685.19635370921</v>
      </c>
      <c r="V27" s="230">
        <f>'Cash Flow'!S35</f>
        <v>481032.40079755522</v>
      </c>
    </row>
    <row r="28" spans="1:23" s="191" customFormat="1" ht="15.6">
      <c r="A28" s="153"/>
      <c r="B28" s="153"/>
      <c r="C28" s="153"/>
      <c r="D28" s="153" t="s">
        <v>43</v>
      </c>
      <c r="E28" s="153"/>
      <c r="F28" s="153"/>
      <c r="G28" s="153"/>
      <c r="H28" s="209">
        <f>Historical!E57</f>
        <v>80496.69</v>
      </c>
      <c r="I28" s="209">
        <f>Historical!F57</f>
        <v>36214.57</v>
      </c>
      <c r="J28" s="209">
        <f>Historical!G57</f>
        <v>62556.43</v>
      </c>
      <c r="K28" s="209">
        <f>Historical!H57</f>
        <v>206363.9</v>
      </c>
      <c r="L28" s="209">
        <f>Historical!I57</f>
        <v>299051.5</v>
      </c>
      <c r="M28" s="235">
        <f t="shared" ref="M28:V28" si="6">L28</f>
        <v>299051.5</v>
      </c>
      <c r="N28" s="7">
        <f t="shared" si="6"/>
        <v>299051.5</v>
      </c>
      <c r="O28" s="7">
        <f t="shared" si="6"/>
        <v>299051.5</v>
      </c>
      <c r="P28" s="7">
        <f t="shared" si="6"/>
        <v>299051.5</v>
      </c>
      <c r="Q28" s="7">
        <f t="shared" si="6"/>
        <v>299051.5</v>
      </c>
      <c r="R28" s="7">
        <f t="shared" si="6"/>
        <v>299051.5</v>
      </c>
      <c r="S28" s="7">
        <f t="shared" si="6"/>
        <v>299051.5</v>
      </c>
      <c r="T28" s="7">
        <f t="shared" si="6"/>
        <v>299051.5</v>
      </c>
      <c r="U28" s="7">
        <f t="shared" si="6"/>
        <v>299051.5</v>
      </c>
      <c r="V28" s="7">
        <f t="shared" si="6"/>
        <v>299051.5</v>
      </c>
    </row>
    <row r="29" spans="1:23" s="191" customFormat="1" ht="15.6">
      <c r="A29" s="153"/>
      <c r="B29" s="153"/>
      <c r="C29" s="153"/>
      <c r="D29" s="153" t="s">
        <v>207</v>
      </c>
      <c r="E29" s="153"/>
      <c r="F29" s="153"/>
      <c r="G29" s="153"/>
      <c r="H29" s="209">
        <f>Historical!E55</f>
        <v>72039.399999999994</v>
      </c>
      <c r="I29" s="209">
        <f>Historical!F55</f>
        <v>58129.04</v>
      </c>
      <c r="J29" s="209">
        <f>Historical!G55</f>
        <v>56360.01</v>
      </c>
      <c r="K29" s="209">
        <f>Historical!H55</f>
        <v>54923.360000000001</v>
      </c>
      <c r="L29" s="209">
        <f>Historical!I55</f>
        <v>53807.08</v>
      </c>
      <c r="M29" s="229">
        <f>M7*'Supporting Schedules'!J14/365</f>
        <v>68757.989089810741</v>
      </c>
      <c r="N29" s="230">
        <f>N7*'Supporting Schedules'!K14/365</f>
        <v>72898.2941226728</v>
      </c>
      <c r="O29" s="230">
        <f>O7*'Supporting Schedules'!L14/365</f>
        <v>77287.910195489094</v>
      </c>
      <c r="P29" s="230">
        <f>P7*'Supporting Schedules'!M14/365</f>
        <v>81941.849727429159</v>
      </c>
      <c r="Q29" s="230">
        <f>Q7*'Supporting Schedules'!N14/365</f>
        <v>86876.029119810162</v>
      </c>
      <c r="R29" s="230">
        <f>R7*'Supporting Schedules'!O14/365</f>
        <v>92107.323189943505</v>
      </c>
      <c r="S29" s="230">
        <f>S7*'Supporting Schedules'!P14/365</f>
        <v>97653.622882749492</v>
      </c>
      <c r="T29" s="230">
        <f>T7*'Supporting Schedules'!Q14/365</f>
        <v>103533.89645751256</v>
      </c>
      <c r="U29" s="230">
        <f>U7*'Supporting Schedules'!R14/365</f>
        <v>109768.25435903503</v>
      </c>
      <c r="V29" s="230">
        <f>V7*'Supporting Schedules'!S14/365</f>
        <v>116378.01799504779</v>
      </c>
    </row>
    <row r="30" spans="1:23" s="191" customFormat="1" ht="15.6">
      <c r="A30" s="153"/>
      <c r="B30" s="153"/>
      <c r="C30" s="153"/>
      <c r="D30" s="153" t="s">
        <v>208</v>
      </c>
      <c r="E30" s="153"/>
      <c r="F30" s="153"/>
      <c r="G30" s="153"/>
      <c r="H30" s="209">
        <f>Historical!E52</f>
        <v>2248624.19</v>
      </c>
      <c r="I30" s="209">
        <f>Historical!F52</f>
        <v>2108663.64</v>
      </c>
      <c r="J30" s="209">
        <f>Historical!G52</f>
        <v>2010699.21</v>
      </c>
      <c r="K30" s="209">
        <f>Historical!H52</f>
        <v>1936122.5</v>
      </c>
      <c r="L30" s="209">
        <f>Historical!I52</f>
        <v>2115413.1800000002</v>
      </c>
      <c r="M30" s="229">
        <f>-M8*'Supporting Schedules'!J15/365</f>
        <v>2438389.729069347</v>
      </c>
      <c r="N30" s="230">
        <f>-N8*'Supporting Schedules'!K15/365</f>
        <v>2585218.881593836</v>
      </c>
      <c r="O30" s="230">
        <f>-O8*'Supporting Schedules'!L15/365</f>
        <v>2740889.4427635651</v>
      </c>
      <c r="P30" s="230">
        <f>-P8*'Supporting Schedules'!M15/365</f>
        <v>2905933.8034933372</v>
      </c>
      <c r="Q30" s="230">
        <f>-Q8*'Supporting Schedules'!N15/365</f>
        <v>3080916.4129476678</v>
      </c>
      <c r="R30" s="230">
        <f>-R8*'Supporting Schedules'!O15/365</f>
        <v>3266435.708948208</v>
      </c>
      <c r="S30" s="230">
        <f>-S8*'Supporting Schedules'!P15/365</f>
        <v>3463126.1646218561</v>
      </c>
      <c r="T30" s="230">
        <f>-T8*'Supporting Schedules'!Q15/365</f>
        <v>3671660.4582890472</v>
      </c>
      <c r="U30" s="230">
        <f>-U8*'Supporting Schedules'!R15/365</f>
        <v>3892751.7740132222</v>
      </c>
      <c r="V30" s="230">
        <f>-V8*'Supporting Schedules'!S15/365</f>
        <v>4127156.2406793083</v>
      </c>
    </row>
    <row r="31" spans="1:23" s="191" customFormat="1" ht="15.6">
      <c r="A31" s="153"/>
      <c r="B31" s="153"/>
      <c r="C31" s="153"/>
      <c r="D31" s="153" t="s">
        <v>209</v>
      </c>
      <c r="E31" s="153"/>
      <c r="F31" s="153"/>
      <c r="G31" s="153"/>
      <c r="H31" s="209">
        <f>Historical!E60</f>
        <v>72580.429999999993</v>
      </c>
      <c r="I31" s="209">
        <f>Historical!F60</f>
        <v>43685.06</v>
      </c>
      <c r="J31" s="209">
        <f>Historical!G60</f>
        <v>34073.550000000003</v>
      </c>
      <c r="K31" s="209">
        <f>Historical!H60</f>
        <v>71178.38</v>
      </c>
      <c r="L31" s="209">
        <f>Historical!I60</f>
        <v>132852.56</v>
      </c>
      <c r="M31" s="235">
        <f t="shared" ref="M31:V31" si="7">L31</f>
        <v>132852.56</v>
      </c>
      <c r="N31" s="7">
        <f t="shared" si="7"/>
        <v>132852.56</v>
      </c>
      <c r="O31" s="7">
        <f t="shared" si="7"/>
        <v>132852.56</v>
      </c>
      <c r="P31" s="7">
        <f t="shared" si="7"/>
        <v>132852.56</v>
      </c>
      <c r="Q31" s="7">
        <f t="shared" si="7"/>
        <v>132852.56</v>
      </c>
      <c r="R31" s="7">
        <f t="shared" si="7"/>
        <v>132852.56</v>
      </c>
      <c r="S31" s="7">
        <f t="shared" si="7"/>
        <v>132852.56</v>
      </c>
      <c r="T31" s="7">
        <f t="shared" si="7"/>
        <v>132852.56</v>
      </c>
      <c r="U31" s="7">
        <f t="shared" si="7"/>
        <v>132852.56</v>
      </c>
      <c r="V31" s="7">
        <f t="shared" si="7"/>
        <v>132852.56</v>
      </c>
    </row>
    <row r="32" spans="1:23" s="192" customFormat="1" ht="15.6">
      <c r="A32" s="133"/>
      <c r="B32" s="133"/>
      <c r="C32" s="133"/>
      <c r="D32" s="210" t="s">
        <v>210</v>
      </c>
      <c r="E32" s="210"/>
      <c r="F32" s="210"/>
      <c r="G32" s="210"/>
      <c r="H32" s="211">
        <f>SUM(H27:H31)</f>
        <v>2635286.54</v>
      </c>
      <c r="I32" s="211">
        <f t="shared" ref="I32:M32" si="8">SUM(I27:I31)</f>
        <v>2351165.1300000004</v>
      </c>
      <c r="J32" s="211">
        <f t="shared" si="8"/>
        <v>2194294.9499999997</v>
      </c>
      <c r="K32" s="211">
        <f t="shared" si="8"/>
        <v>2289696.08</v>
      </c>
      <c r="L32" s="211">
        <f t="shared" si="8"/>
        <v>2740507.3400000003</v>
      </c>
      <c r="M32" s="241">
        <f t="shared" si="8"/>
        <v>2907754.8518020422</v>
      </c>
      <c r="N32" s="211">
        <f t="shared" ref="N32" si="9">SUM(N27:N31)</f>
        <v>3094657.6999448957</v>
      </c>
      <c r="O32" s="211">
        <f t="shared" ref="O32" si="10">SUM(O27:O31)</f>
        <v>3295020.5448711785</v>
      </c>
      <c r="P32" s="211">
        <f t="shared" ref="P32" si="11">SUM(P27:P31)</f>
        <v>3510741.605382686</v>
      </c>
      <c r="Q32" s="211">
        <f t="shared" ref="Q32" si="12">SUM(Q27:Q31)</f>
        <v>3741432.5787636824</v>
      </c>
      <c r="R32" s="211">
        <f t="shared" ref="R32" si="13">SUM(R27:R31)</f>
        <v>3987995.0289610727</v>
      </c>
      <c r="S32" s="211">
        <f t="shared" ref="S32" si="14">SUM(S27:S31)</f>
        <v>4252361.7688973183</v>
      </c>
      <c r="T32" s="211">
        <f t="shared" ref="T32" si="15">SUM(T27:T31)</f>
        <v>4534373.4644122748</v>
      </c>
      <c r="U32" s="211">
        <f t="shared" ref="U32:V32" si="16">SUM(U27:U31)</f>
        <v>4835109.2847259659</v>
      </c>
      <c r="V32" s="211">
        <f t="shared" si="16"/>
        <v>5156470.719471911</v>
      </c>
    </row>
    <row r="33" spans="1:22" s="191" customFormat="1" ht="15.6">
      <c r="A33" s="153"/>
      <c r="B33" s="153"/>
      <c r="C33" s="144" t="s">
        <v>211</v>
      </c>
      <c r="E33" s="153"/>
      <c r="F33" s="153"/>
      <c r="G33" s="153"/>
      <c r="H33" s="209"/>
      <c r="I33" s="209"/>
      <c r="J33" s="209"/>
      <c r="K33" s="209"/>
      <c r="L33" s="209"/>
      <c r="M33" s="242"/>
      <c r="N33" s="153"/>
      <c r="O33" s="153"/>
      <c r="P33" s="153"/>
      <c r="Q33" s="153"/>
      <c r="R33" s="153"/>
      <c r="S33" s="153"/>
      <c r="T33" s="153"/>
      <c r="U33" s="153"/>
      <c r="V33" s="153"/>
    </row>
    <row r="34" spans="1:22" s="191" customFormat="1" ht="15.6">
      <c r="A34" s="153"/>
      <c r="B34" s="153"/>
      <c r="C34" s="153"/>
      <c r="D34" s="153" t="s">
        <v>212</v>
      </c>
      <c r="E34" s="153"/>
      <c r="F34" s="153"/>
      <c r="G34" s="153"/>
      <c r="H34" s="209">
        <f>'Supporting Schedules'!E24</f>
        <v>418017.25</v>
      </c>
      <c r="I34" s="209">
        <f>'Supporting Schedules'!F24</f>
        <v>386047.18</v>
      </c>
      <c r="J34" s="209">
        <f>'Supporting Schedules'!G24</f>
        <v>451966.70999999996</v>
      </c>
      <c r="K34" s="209">
        <f>'Supporting Schedules'!H24</f>
        <v>462185.80999999994</v>
      </c>
      <c r="L34" s="209">
        <f>'Supporting Schedules'!I24</f>
        <v>372877.22</v>
      </c>
      <c r="M34" s="243">
        <f>'Supporting Schedules'!J24</f>
        <v>380776.31280000001</v>
      </c>
      <c r="N34" s="7">
        <f>'Supporting Schedules'!K24</f>
        <v>388415.11460680806</v>
      </c>
      <c r="O34" s="7">
        <f>'Supporting Schedules'!L24</f>
        <v>395807.21647380746</v>
      </c>
      <c r="P34" s="7">
        <f>'Supporting Schedules'!M24</f>
        <v>399007.46542895283</v>
      </c>
      <c r="Q34" s="7">
        <f>'Supporting Schedules'!N24</f>
        <v>402150.83724098775</v>
      </c>
      <c r="R34" s="7">
        <f>'Supporting Schedules'!O24</f>
        <v>405241.39669176552</v>
      </c>
      <c r="S34" s="7">
        <f>'Supporting Schedules'!P24</f>
        <v>404230.55537461839</v>
      </c>
      <c r="T34" s="7">
        <f>'Supporting Schedules'!Q24</f>
        <v>403426.27243263996</v>
      </c>
      <c r="U34" s="7">
        <f>'Supporting Schedules'!R24</f>
        <v>402814.8361161892</v>
      </c>
      <c r="V34" s="7">
        <f>'Supporting Schedules'!S24</f>
        <v>398355.34511194663</v>
      </c>
    </row>
    <row r="35" spans="1:22" s="191" customFormat="1" ht="15.6">
      <c r="A35" s="153"/>
      <c r="B35" s="153"/>
      <c r="C35" s="153"/>
      <c r="D35" s="153" t="s">
        <v>72</v>
      </c>
      <c r="E35" s="153"/>
      <c r="F35" s="153"/>
      <c r="G35" s="153"/>
      <c r="H35" s="209">
        <f>SUM(Historical!E38:E40)</f>
        <v>109540.03</v>
      </c>
      <c r="I35" s="209">
        <f>SUM(Historical!F38:F40)</f>
        <v>109072.91999999998</v>
      </c>
      <c r="J35" s="209">
        <f>SUM(Historical!G38:G40)</f>
        <v>42377.51</v>
      </c>
      <c r="K35" s="209">
        <f>SUM(Historical!H38:H40)</f>
        <v>22464.95</v>
      </c>
      <c r="L35" s="209">
        <f>SUM(Historical!I38:I40)</f>
        <v>22194.35</v>
      </c>
      <c r="M35" s="243">
        <f t="shared" ref="M35:V35" si="17">L35</f>
        <v>22194.35</v>
      </c>
      <c r="N35" s="7">
        <f t="shared" si="17"/>
        <v>22194.35</v>
      </c>
      <c r="O35" s="7">
        <f t="shared" si="17"/>
        <v>22194.35</v>
      </c>
      <c r="P35" s="7">
        <f t="shared" si="17"/>
        <v>22194.35</v>
      </c>
      <c r="Q35" s="7">
        <f t="shared" si="17"/>
        <v>22194.35</v>
      </c>
      <c r="R35" s="7">
        <f t="shared" si="17"/>
        <v>22194.35</v>
      </c>
      <c r="S35" s="7">
        <f t="shared" si="17"/>
        <v>22194.35</v>
      </c>
      <c r="T35" s="7">
        <f t="shared" si="17"/>
        <v>22194.35</v>
      </c>
      <c r="U35" s="7">
        <f t="shared" si="17"/>
        <v>22194.35</v>
      </c>
      <c r="V35" s="7">
        <f t="shared" si="17"/>
        <v>22194.35</v>
      </c>
    </row>
    <row r="36" spans="1:22" s="191" customFormat="1" ht="15.6">
      <c r="A36" s="153"/>
      <c r="B36" s="153"/>
      <c r="C36" s="153"/>
      <c r="D36" s="153" t="s">
        <v>213</v>
      </c>
      <c r="E36" s="153"/>
      <c r="F36" s="153"/>
      <c r="G36" s="153"/>
      <c r="H36" s="209">
        <f>SUM(Historical!E43:E45,Historical!E58,Historical!E59,Historical!E54,Historical!E62)</f>
        <v>354661.93</v>
      </c>
      <c r="I36" s="209">
        <f>SUM(Historical!F43:F45,Historical!F58,Historical!F59,Historical!F54,Historical!F62)</f>
        <v>409171.22</v>
      </c>
      <c r="J36" s="209">
        <f>SUM(Historical!G43:G45,Historical!G58,Historical!G59,Historical!G54,Historical!G62)</f>
        <v>328923.58999999997</v>
      </c>
      <c r="K36" s="209">
        <f>SUM(Historical!H43:H45,Historical!H58,Historical!H59,Historical!H54,Historical!H62)</f>
        <v>398346.94999999995</v>
      </c>
      <c r="L36" s="209">
        <f>SUM(Historical!I43:I45,Historical!I58,Historical!I59,Historical!I54,Historical!I62)</f>
        <v>594065.15</v>
      </c>
      <c r="M36" s="243">
        <f t="shared" ref="M36:V36" si="18">L36</f>
        <v>594065.15</v>
      </c>
      <c r="N36" s="7">
        <f t="shared" si="18"/>
        <v>594065.15</v>
      </c>
      <c r="O36" s="7">
        <f t="shared" si="18"/>
        <v>594065.15</v>
      </c>
      <c r="P36" s="7">
        <f t="shared" si="18"/>
        <v>594065.15</v>
      </c>
      <c r="Q36" s="7">
        <f t="shared" si="18"/>
        <v>594065.15</v>
      </c>
      <c r="R36" s="7">
        <f t="shared" si="18"/>
        <v>594065.15</v>
      </c>
      <c r="S36" s="7">
        <f t="shared" si="18"/>
        <v>594065.15</v>
      </c>
      <c r="T36" s="7">
        <f t="shared" si="18"/>
        <v>594065.15</v>
      </c>
      <c r="U36" s="7">
        <f t="shared" si="18"/>
        <v>594065.15</v>
      </c>
      <c r="V36" s="7">
        <f t="shared" si="18"/>
        <v>594065.15</v>
      </c>
    </row>
    <row r="37" spans="1:22" s="191" customFormat="1" ht="15.6">
      <c r="A37" s="153"/>
      <c r="B37" s="153"/>
      <c r="C37" s="153"/>
      <c r="D37" s="153" t="s">
        <v>214</v>
      </c>
      <c r="E37" s="153"/>
      <c r="F37" s="153"/>
      <c r="G37" s="153"/>
      <c r="H37" s="209">
        <f>Historical!E41</f>
        <v>1802291.49</v>
      </c>
      <c r="I37" s="209">
        <f>Historical!F41</f>
        <v>1858548.34</v>
      </c>
      <c r="J37" s="209">
        <f>Historical!G41</f>
        <v>1884233.69</v>
      </c>
      <c r="K37" s="209">
        <f>Historical!H41</f>
        <v>1862798.67</v>
      </c>
      <c r="L37" s="209">
        <f>Historical!I41</f>
        <v>1931306.97</v>
      </c>
      <c r="M37" s="243">
        <f t="shared" ref="M37:V38" si="19">L37</f>
        <v>1931306.97</v>
      </c>
      <c r="N37" s="7">
        <f t="shared" si="19"/>
        <v>1931306.97</v>
      </c>
      <c r="O37" s="7">
        <f t="shared" si="19"/>
        <v>1931306.97</v>
      </c>
      <c r="P37" s="7">
        <f t="shared" si="19"/>
        <v>1931306.97</v>
      </c>
      <c r="Q37" s="7">
        <f t="shared" si="19"/>
        <v>1931306.97</v>
      </c>
      <c r="R37" s="7">
        <f t="shared" si="19"/>
        <v>1931306.97</v>
      </c>
      <c r="S37" s="7">
        <f t="shared" si="19"/>
        <v>1931306.97</v>
      </c>
      <c r="T37" s="7">
        <f t="shared" si="19"/>
        <v>1931306.97</v>
      </c>
      <c r="U37" s="7">
        <f t="shared" si="19"/>
        <v>1931306.97</v>
      </c>
      <c r="V37" s="7">
        <f t="shared" si="19"/>
        <v>1931306.97</v>
      </c>
    </row>
    <row r="38" spans="1:22" s="191" customFormat="1" ht="15.6">
      <c r="A38" s="153"/>
      <c r="B38" s="153"/>
      <c r="C38" s="153"/>
      <c r="D38" s="153" t="s">
        <v>215</v>
      </c>
      <c r="E38" s="153"/>
      <c r="F38" s="153"/>
      <c r="G38" s="153"/>
      <c r="H38" s="209">
        <f>SUM(Historical!E46:E48)</f>
        <v>403181.46000000008</v>
      </c>
      <c r="I38" s="209">
        <f>SUM(Historical!F46:F48)</f>
        <v>366962.28</v>
      </c>
      <c r="J38" s="209">
        <f>SUM(Historical!G46:G48)</f>
        <v>348543.07</v>
      </c>
      <c r="K38" s="209">
        <f>SUM(Historical!H46:H48)</f>
        <v>357306.62</v>
      </c>
      <c r="L38" s="209">
        <f>SUM(Historical!I46:I48)</f>
        <v>365288.67000000004</v>
      </c>
      <c r="M38" s="243">
        <f t="shared" si="19"/>
        <v>365288.67000000004</v>
      </c>
      <c r="N38" s="7">
        <f t="shared" si="19"/>
        <v>365288.67000000004</v>
      </c>
      <c r="O38" s="7">
        <f t="shared" si="19"/>
        <v>365288.67000000004</v>
      </c>
      <c r="P38" s="7">
        <f t="shared" si="19"/>
        <v>365288.67000000004</v>
      </c>
      <c r="Q38" s="7">
        <f t="shared" si="19"/>
        <v>365288.67000000004</v>
      </c>
      <c r="R38" s="7">
        <f t="shared" si="19"/>
        <v>365288.67000000004</v>
      </c>
      <c r="S38" s="7">
        <f t="shared" si="19"/>
        <v>365288.67000000004</v>
      </c>
      <c r="T38" s="7">
        <f t="shared" si="19"/>
        <v>365288.67000000004</v>
      </c>
      <c r="U38" s="7">
        <f t="shared" si="19"/>
        <v>365288.67000000004</v>
      </c>
      <c r="V38" s="7">
        <f t="shared" si="19"/>
        <v>365288.67000000004</v>
      </c>
    </row>
    <row r="39" spans="1:22" s="191" customFormat="1" ht="15.6">
      <c r="A39" s="153"/>
      <c r="B39" s="153"/>
      <c r="C39" s="153"/>
      <c r="D39" s="212" t="s">
        <v>216</v>
      </c>
      <c r="E39" s="213"/>
      <c r="F39" s="213"/>
      <c r="G39" s="213"/>
      <c r="H39" s="211">
        <f>SUM(H34:H38)</f>
        <v>3087692.16</v>
      </c>
      <c r="I39" s="211">
        <f t="shared" ref="I39:V39" si="20">SUM(I34:I38)</f>
        <v>3129801.9400000004</v>
      </c>
      <c r="J39" s="211">
        <f t="shared" si="20"/>
        <v>3056044.57</v>
      </c>
      <c r="K39" s="211">
        <f t="shared" si="20"/>
        <v>3103103</v>
      </c>
      <c r="L39" s="211">
        <f t="shared" si="20"/>
        <v>3285732.36</v>
      </c>
      <c r="M39" s="241">
        <f t="shared" si="20"/>
        <v>3293631.4528000001</v>
      </c>
      <c r="N39" s="211">
        <f t="shared" si="20"/>
        <v>3301270.2546068081</v>
      </c>
      <c r="O39" s="211">
        <f t="shared" si="20"/>
        <v>3308662.3564738072</v>
      </c>
      <c r="P39" s="211">
        <f t="shared" si="20"/>
        <v>3311862.6054289527</v>
      </c>
      <c r="Q39" s="211">
        <f t="shared" si="20"/>
        <v>3315005.9772409876</v>
      </c>
      <c r="R39" s="211">
        <f t="shared" si="20"/>
        <v>3318096.5366917653</v>
      </c>
      <c r="S39" s="211">
        <f t="shared" si="20"/>
        <v>3317085.6953746183</v>
      </c>
      <c r="T39" s="211">
        <f t="shared" si="20"/>
        <v>3316281.4124326399</v>
      </c>
      <c r="U39" s="211">
        <f t="shared" si="20"/>
        <v>3315669.9761161888</v>
      </c>
      <c r="V39" s="211">
        <f t="shared" si="20"/>
        <v>3311210.4851119462</v>
      </c>
    </row>
    <row r="40" spans="1:22" s="191" customFormat="1" ht="15.6">
      <c r="A40" s="153"/>
      <c r="B40" s="153"/>
      <c r="C40" s="153"/>
      <c r="D40" s="144"/>
      <c r="E40" s="153"/>
      <c r="F40" s="153"/>
      <c r="G40" s="153"/>
      <c r="H40" s="214"/>
      <c r="I40" s="214"/>
      <c r="J40" s="214"/>
      <c r="K40" s="214"/>
      <c r="L40" s="214"/>
      <c r="M40" s="244"/>
      <c r="N40" s="214"/>
      <c r="O40" s="214"/>
      <c r="P40" s="214"/>
      <c r="Q40" s="214"/>
      <c r="R40" s="214"/>
      <c r="S40" s="214"/>
      <c r="T40" s="214"/>
      <c r="U40" s="214"/>
      <c r="V40" s="214"/>
    </row>
    <row r="41" spans="1:22" s="191" customFormat="1" ht="15.6">
      <c r="A41" s="153"/>
      <c r="B41" s="153"/>
      <c r="C41" s="153"/>
      <c r="D41" s="206" t="s">
        <v>91</v>
      </c>
      <c r="E41" s="206"/>
      <c r="F41" s="206"/>
      <c r="G41" s="206"/>
      <c r="H41" s="215">
        <f t="shared" ref="H41:V41" si="21">SUM(H32,H39)</f>
        <v>5722978.7000000002</v>
      </c>
      <c r="I41" s="215">
        <f t="shared" si="21"/>
        <v>5480967.0700000003</v>
      </c>
      <c r="J41" s="215">
        <f t="shared" si="21"/>
        <v>5250339.5199999996</v>
      </c>
      <c r="K41" s="215">
        <f t="shared" si="21"/>
        <v>5392799.0800000001</v>
      </c>
      <c r="L41" s="215">
        <f t="shared" si="21"/>
        <v>6026239.7000000002</v>
      </c>
      <c r="M41" s="245">
        <f t="shared" si="21"/>
        <v>6201386.3046020418</v>
      </c>
      <c r="N41" s="215">
        <f t="shared" si="21"/>
        <v>6395927.9545517042</v>
      </c>
      <c r="O41" s="215">
        <f t="shared" si="21"/>
        <v>6603682.9013449857</v>
      </c>
      <c r="P41" s="215">
        <f t="shared" si="21"/>
        <v>6822604.2108116392</v>
      </c>
      <c r="Q41" s="215">
        <f t="shared" si="21"/>
        <v>7056438.5560046695</v>
      </c>
      <c r="R41" s="215">
        <f t="shared" si="21"/>
        <v>7306091.565652838</v>
      </c>
      <c r="S41" s="215">
        <f t="shared" si="21"/>
        <v>7569447.4642719366</v>
      </c>
      <c r="T41" s="215">
        <f t="shared" si="21"/>
        <v>7850654.8768449146</v>
      </c>
      <c r="U41" s="215">
        <f t="shared" si="21"/>
        <v>8150779.2608421547</v>
      </c>
      <c r="V41" s="215">
        <f t="shared" si="21"/>
        <v>8467681.2045838572</v>
      </c>
    </row>
    <row r="42" spans="1:22" s="191" customFormat="1" ht="7.05" customHeight="1" thickTop="1">
      <c r="A42" s="153"/>
      <c r="B42" s="153"/>
      <c r="C42" s="153"/>
      <c r="D42" s="144"/>
      <c r="E42" s="144"/>
      <c r="F42" s="144"/>
      <c r="G42" s="144"/>
      <c r="H42" s="216"/>
      <c r="I42" s="216"/>
      <c r="J42" s="216"/>
      <c r="K42" s="216"/>
      <c r="L42" s="216"/>
      <c r="M42" s="240"/>
    </row>
    <row r="43" spans="1:22" s="191" customFormat="1" ht="15.6">
      <c r="B43" s="144" t="s">
        <v>217</v>
      </c>
      <c r="C43" s="153"/>
      <c r="D43" s="153"/>
      <c r="E43" s="153"/>
      <c r="F43" s="153"/>
      <c r="G43" s="153"/>
      <c r="H43" s="153"/>
      <c r="I43" s="153"/>
      <c r="J43" s="153"/>
      <c r="K43" s="153"/>
      <c r="L43" s="153"/>
      <c r="M43" s="240"/>
    </row>
    <row r="44" spans="1:22" s="191" customFormat="1" ht="15.6">
      <c r="A44" s="153"/>
      <c r="B44" s="153"/>
      <c r="C44" s="144" t="s">
        <v>218</v>
      </c>
      <c r="E44" s="153"/>
      <c r="F44" s="153"/>
      <c r="G44" s="153"/>
      <c r="H44" s="153"/>
      <c r="I44" s="153"/>
      <c r="J44" s="153"/>
      <c r="K44" s="153"/>
      <c r="L44" s="153"/>
      <c r="M44" s="240"/>
    </row>
    <row r="45" spans="1:22" s="191" customFormat="1" ht="15.6">
      <c r="A45" s="153"/>
      <c r="B45" s="153"/>
      <c r="C45" s="153"/>
      <c r="D45" s="153" t="s">
        <v>219</v>
      </c>
      <c r="E45" s="153"/>
      <c r="F45" s="153"/>
      <c r="G45" s="153"/>
      <c r="H45" s="209">
        <f>SUM(Historical!E93:E94,Historical!E81)</f>
        <v>185044.34</v>
      </c>
      <c r="I45" s="209">
        <f>SUM(Historical!F93:F94,Historical!F81)</f>
        <v>202898.54</v>
      </c>
      <c r="J45" s="209">
        <f>SUM(Historical!G93:G94,Historical!G81)</f>
        <v>232291.24000000002</v>
      </c>
      <c r="K45" s="209">
        <f>SUM(Historical!H93:H94,Historical!H81)</f>
        <v>243788.84</v>
      </c>
      <c r="L45" s="209">
        <f>SUM(Historical!I93:I94,Historical!I81)</f>
        <v>258200.63999999998</v>
      </c>
      <c r="M45" s="229">
        <f>-M8*'Supporting Schedules'!J16/365</f>
        <v>266379.87238127791</v>
      </c>
      <c r="N45" s="230">
        <f>-N8*'Supporting Schedules'!K16/365</f>
        <v>282420.10190039274</v>
      </c>
      <c r="O45" s="230">
        <f>-O8*'Supporting Schedules'!L16/365</f>
        <v>299426.20380590769</v>
      </c>
      <c r="P45" s="230">
        <f>-P8*'Supporting Schedules'!M16/365</f>
        <v>317456.33870367327</v>
      </c>
      <c r="Q45" s="230">
        <f>-Q8*'Supporting Schedules'!N16/365</f>
        <v>336572.16937655653</v>
      </c>
      <c r="R45" s="230">
        <f>-R8*'Supporting Schedules'!O16/365</f>
        <v>356839.07167020667</v>
      </c>
      <c r="S45" s="230">
        <f>-S8*'Supporting Schedules'!P16/365</f>
        <v>378326.35807743703</v>
      </c>
      <c r="T45" s="230">
        <f>-T8*'Supporting Schedules'!Q16/365</f>
        <v>401107.51478587987</v>
      </c>
      <c r="U45" s="230">
        <f>-U8*'Supporting Schedules'!R16/365</f>
        <v>425260.45299961348</v>
      </c>
      <c r="V45" s="230">
        <f>-V8*'Supporting Schedules'!S16/365</f>
        <v>450867.77539427642</v>
      </c>
    </row>
    <row r="46" spans="1:22" s="191" customFormat="1" ht="15.6">
      <c r="A46" s="153"/>
      <c r="B46" s="153"/>
      <c r="C46" s="153"/>
      <c r="D46" s="153" t="s">
        <v>220</v>
      </c>
      <c r="E46" s="153"/>
      <c r="F46" s="153"/>
      <c r="G46" s="153"/>
      <c r="H46" s="209">
        <f>SUM(Historical!E95:E97,Historical!E99)</f>
        <v>1223922.6400000001</v>
      </c>
      <c r="I46" s="209">
        <f>SUM(Historical!F95:F97,Historical!F99)</f>
        <v>920475.14000000013</v>
      </c>
      <c r="J46" s="209">
        <f>SUM(Historical!G95:G97,Historical!G99)</f>
        <v>709196.33</v>
      </c>
      <c r="K46" s="209">
        <f>SUM(Historical!H95:H97,Historical!H99)</f>
        <v>747801.42999999993</v>
      </c>
      <c r="L46" s="209">
        <f>SUM(Historical!I95:I97,Historical!I99)</f>
        <v>1018635.77</v>
      </c>
      <c r="M46" s="235">
        <f t="shared" ref="M46:V46" si="22">L46</f>
        <v>1018635.77</v>
      </c>
      <c r="N46" s="7">
        <f t="shared" si="22"/>
        <v>1018635.77</v>
      </c>
      <c r="O46" s="7">
        <f t="shared" si="22"/>
        <v>1018635.77</v>
      </c>
      <c r="P46" s="7">
        <f t="shared" si="22"/>
        <v>1018635.77</v>
      </c>
      <c r="Q46" s="7">
        <f t="shared" si="22"/>
        <v>1018635.77</v>
      </c>
      <c r="R46" s="7">
        <f t="shared" si="22"/>
        <v>1018635.77</v>
      </c>
      <c r="S46" s="7">
        <f t="shared" si="22"/>
        <v>1018635.77</v>
      </c>
      <c r="T46" s="7">
        <f t="shared" si="22"/>
        <v>1018635.77</v>
      </c>
      <c r="U46" s="7">
        <f t="shared" si="22"/>
        <v>1018635.77</v>
      </c>
      <c r="V46" s="7">
        <f t="shared" si="22"/>
        <v>1018635.77</v>
      </c>
    </row>
    <row r="47" spans="1:22" s="193" customFormat="1" ht="15.6">
      <c r="A47" s="144"/>
      <c r="B47" s="144"/>
      <c r="C47" s="144"/>
      <c r="D47" s="212" t="s">
        <v>221</v>
      </c>
      <c r="E47" s="212"/>
      <c r="F47" s="212"/>
      <c r="G47" s="212"/>
      <c r="H47" s="211">
        <f t="shared" ref="H47:V47" si="23">SUM(H45:H46)</f>
        <v>1408966.9800000002</v>
      </c>
      <c r="I47" s="211">
        <f t="shared" si="23"/>
        <v>1123373.6800000002</v>
      </c>
      <c r="J47" s="211">
        <f t="shared" si="23"/>
        <v>941487.57</v>
      </c>
      <c r="K47" s="211">
        <f t="shared" si="23"/>
        <v>991590.2699999999</v>
      </c>
      <c r="L47" s="211">
        <f t="shared" si="23"/>
        <v>1276836.4099999999</v>
      </c>
      <c r="M47" s="246">
        <f t="shared" si="23"/>
        <v>1285015.6423812779</v>
      </c>
      <c r="N47" s="211">
        <f t="shared" si="23"/>
        <v>1301055.8719003927</v>
      </c>
      <c r="O47" s="211">
        <f t="shared" si="23"/>
        <v>1318061.9738059076</v>
      </c>
      <c r="P47" s="211">
        <f t="shared" si="23"/>
        <v>1336092.1087036734</v>
      </c>
      <c r="Q47" s="211">
        <f t="shared" si="23"/>
        <v>1355207.9393765565</v>
      </c>
      <c r="R47" s="211">
        <f t="shared" si="23"/>
        <v>1375474.8416702067</v>
      </c>
      <c r="S47" s="211">
        <f t="shared" si="23"/>
        <v>1396962.1280774372</v>
      </c>
      <c r="T47" s="211">
        <f t="shared" si="23"/>
        <v>1419743.2847858798</v>
      </c>
      <c r="U47" s="211">
        <f t="shared" si="23"/>
        <v>1443896.2229996135</v>
      </c>
      <c r="V47" s="211">
        <f t="shared" si="23"/>
        <v>1469503.5453942765</v>
      </c>
    </row>
    <row r="48" spans="1:22" s="191" customFormat="1" ht="6" customHeight="1">
      <c r="A48" s="153"/>
      <c r="B48" s="153"/>
      <c r="C48" s="153"/>
      <c r="D48" s="144"/>
      <c r="E48" s="153"/>
      <c r="F48" s="153"/>
      <c r="G48" s="153"/>
      <c r="H48" s="217"/>
      <c r="I48" s="217"/>
      <c r="J48" s="217"/>
      <c r="K48" s="217"/>
      <c r="L48" s="217"/>
      <c r="M48" s="247"/>
      <c r="N48" s="217"/>
      <c r="O48" s="217"/>
      <c r="P48" s="217"/>
      <c r="Q48" s="217"/>
      <c r="R48" s="217"/>
      <c r="S48" s="217"/>
      <c r="T48" s="217"/>
      <c r="U48" s="217"/>
      <c r="V48" s="217"/>
    </row>
    <row r="49" spans="1:23" s="191" customFormat="1" ht="15.6">
      <c r="A49" s="153"/>
      <c r="B49" s="153"/>
      <c r="C49" s="144" t="s">
        <v>222</v>
      </c>
      <c r="E49" s="153"/>
      <c r="F49" s="153"/>
      <c r="G49" s="153"/>
      <c r="H49" s="209"/>
      <c r="I49" s="209"/>
      <c r="J49" s="209"/>
      <c r="K49" s="209"/>
      <c r="L49" s="209"/>
      <c r="M49" s="228"/>
      <c r="N49" s="7"/>
      <c r="O49" s="153"/>
      <c r="P49" s="153"/>
      <c r="Q49" s="153"/>
      <c r="R49" s="153"/>
      <c r="S49" s="153"/>
      <c r="T49" s="153"/>
      <c r="U49" s="153"/>
      <c r="V49" s="153"/>
    </row>
    <row r="50" spans="1:23" s="191" customFormat="1" ht="15.6">
      <c r="A50" s="153"/>
      <c r="B50" s="153"/>
      <c r="C50" s="153"/>
      <c r="D50" s="153" t="s">
        <v>223</v>
      </c>
      <c r="E50" s="153"/>
      <c r="F50" s="153"/>
      <c r="G50" s="153"/>
      <c r="H50" s="209">
        <f>'Supporting Schedules'!E29</f>
        <v>632947.89</v>
      </c>
      <c r="I50" s="209">
        <f>'Supporting Schedules'!F29</f>
        <v>563969.64</v>
      </c>
      <c r="J50" s="209">
        <f>'Supporting Schedules'!G29</f>
        <v>418184.23000000004</v>
      </c>
      <c r="K50" s="209">
        <f>'Supporting Schedules'!H29</f>
        <v>333399.53000000003</v>
      </c>
      <c r="L50" s="209">
        <f>'Supporting Schedules'!I29</f>
        <v>483386</v>
      </c>
      <c r="M50" s="235">
        <f>'Supporting Schedules'!J29</f>
        <v>483386</v>
      </c>
      <c r="N50" s="7">
        <f>'Supporting Schedules'!K29</f>
        <v>483386</v>
      </c>
      <c r="O50" s="7">
        <f>'Supporting Schedules'!L29</f>
        <v>483386</v>
      </c>
      <c r="P50" s="7">
        <f>'Supporting Schedules'!M29</f>
        <v>483386</v>
      </c>
      <c r="Q50" s="7">
        <f>'Supporting Schedules'!N29</f>
        <v>483386</v>
      </c>
      <c r="R50" s="7">
        <f>'Supporting Schedules'!O29</f>
        <v>483386</v>
      </c>
      <c r="S50" s="7">
        <f>'Supporting Schedules'!P29</f>
        <v>483386</v>
      </c>
      <c r="T50" s="7">
        <f>'Supporting Schedules'!Q29</f>
        <v>483386</v>
      </c>
      <c r="U50" s="7">
        <f>'Supporting Schedules'!R29</f>
        <v>483386</v>
      </c>
      <c r="V50" s="7">
        <f>'Supporting Schedules'!S29</f>
        <v>483386</v>
      </c>
    </row>
    <row r="51" spans="1:23" s="191" customFormat="1" ht="15.6">
      <c r="A51" s="153"/>
      <c r="B51" s="153"/>
      <c r="C51" s="153"/>
      <c r="D51" s="153" t="s">
        <v>224</v>
      </c>
      <c r="E51" s="153"/>
      <c r="F51" s="153"/>
      <c r="G51" s="153"/>
      <c r="H51" s="209">
        <f>SUM(Historical!E82:E85)</f>
        <v>234548.71000000002</v>
      </c>
      <c r="I51" s="209">
        <f>SUM(Historical!F82:F85)</f>
        <v>257202.62</v>
      </c>
      <c r="J51" s="209">
        <f>SUM(Historical!G82:G85)</f>
        <v>252492.66</v>
      </c>
      <c r="K51" s="209">
        <f>SUM(Historical!H82:H85)</f>
        <v>298619.48</v>
      </c>
      <c r="L51" s="209">
        <f>SUM(Historical!I82:I85)</f>
        <v>322855.63999999996</v>
      </c>
      <c r="M51" s="235">
        <f t="shared" ref="M50:V51" si="24">L51</f>
        <v>322855.63999999996</v>
      </c>
      <c r="N51" s="7">
        <f t="shared" si="24"/>
        <v>322855.63999999996</v>
      </c>
      <c r="O51" s="7">
        <f t="shared" si="24"/>
        <v>322855.63999999996</v>
      </c>
      <c r="P51" s="7">
        <f t="shared" si="24"/>
        <v>322855.63999999996</v>
      </c>
      <c r="Q51" s="7">
        <f t="shared" si="24"/>
        <v>322855.63999999996</v>
      </c>
      <c r="R51" s="7">
        <f t="shared" si="24"/>
        <v>322855.63999999996</v>
      </c>
      <c r="S51" s="7">
        <f t="shared" si="24"/>
        <v>322855.63999999996</v>
      </c>
      <c r="T51" s="7">
        <f t="shared" si="24"/>
        <v>322855.63999999996</v>
      </c>
      <c r="U51" s="7">
        <f t="shared" si="24"/>
        <v>322855.63999999996</v>
      </c>
      <c r="V51" s="7">
        <f t="shared" si="24"/>
        <v>322855.63999999996</v>
      </c>
    </row>
    <row r="52" spans="1:23" s="193" customFormat="1" ht="15.6">
      <c r="A52" s="144"/>
      <c r="B52" s="144"/>
      <c r="C52" s="144"/>
      <c r="D52" s="212" t="s">
        <v>225</v>
      </c>
      <c r="E52" s="212"/>
      <c r="F52" s="212"/>
      <c r="G52" s="212"/>
      <c r="H52" s="218">
        <f t="shared" ref="H52:V52" si="25">SUM(H50:H51)</f>
        <v>867496.60000000009</v>
      </c>
      <c r="I52" s="218">
        <f t="shared" si="25"/>
        <v>821172.26</v>
      </c>
      <c r="J52" s="218">
        <f t="shared" si="25"/>
        <v>670676.89</v>
      </c>
      <c r="K52" s="218">
        <f t="shared" si="25"/>
        <v>632019.01</v>
      </c>
      <c r="L52" s="218">
        <f t="shared" si="25"/>
        <v>806241.6399999999</v>
      </c>
      <c r="M52" s="248">
        <f t="shared" si="25"/>
        <v>806241.6399999999</v>
      </c>
      <c r="N52" s="218">
        <f t="shared" si="25"/>
        <v>806241.6399999999</v>
      </c>
      <c r="O52" s="218">
        <f t="shared" si="25"/>
        <v>806241.6399999999</v>
      </c>
      <c r="P52" s="218">
        <f t="shared" si="25"/>
        <v>806241.6399999999</v>
      </c>
      <c r="Q52" s="218">
        <f t="shared" si="25"/>
        <v>806241.6399999999</v>
      </c>
      <c r="R52" s="218">
        <f t="shared" si="25"/>
        <v>806241.6399999999</v>
      </c>
      <c r="S52" s="218">
        <f t="shared" si="25"/>
        <v>806241.6399999999</v>
      </c>
      <c r="T52" s="218">
        <f t="shared" si="25"/>
        <v>806241.6399999999</v>
      </c>
      <c r="U52" s="218">
        <f t="shared" si="25"/>
        <v>806241.6399999999</v>
      </c>
      <c r="V52" s="218">
        <f t="shared" si="25"/>
        <v>806241.6399999999</v>
      </c>
    </row>
    <row r="53" spans="1:23" s="191" customFormat="1" ht="6" customHeight="1">
      <c r="A53" s="153"/>
      <c r="B53" s="153"/>
      <c r="C53" s="153"/>
      <c r="D53" s="144"/>
      <c r="E53" s="153"/>
      <c r="F53" s="153"/>
      <c r="G53" s="153"/>
      <c r="H53" s="7"/>
      <c r="I53" s="7"/>
      <c r="J53" s="7"/>
      <c r="K53" s="7"/>
      <c r="L53" s="7"/>
      <c r="M53" s="235"/>
      <c r="N53" s="7"/>
      <c r="O53" s="7"/>
      <c r="P53" s="7"/>
      <c r="Q53" s="7"/>
      <c r="R53" s="7"/>
      <c r="S53" s="7"/>
      <c r="T53" s="7"/>
      <c r="U53" s="7"/>
      <c r="V53" s="7"/>
    </row>
    <row r="54" spans="1:23" s="191" customFormat="1" ht="15.6">
      <c r="A54" s="153"/>
      <c r="B54" s="153"/>
      <c r="C54" s="144" t="s">
        <v>226</v>
      </c>
      <c r="E54" s="153"/>
      <c r="F54" s="153"/>
      <c r="G54" s="153"/>
      <c r="H54" s="7"/>
      <c r="I54" s="7"/>
      <c r="J54" s="7"/>
      <c r="K54" s="7"/>
      <c r="L54" s="7"/>
      <c r="M54" s="240"/>
    </row>
    <row r="55" spans="1:23" s="191" customFormat="1" ht="15.6">
      <c r="A55" s="153"/>
      <c r="B55" s="153"/>
      <c r="C55" s="153"/>
      <c r="D55" s="153" t="s">
        <v>227</v>
      </c>
      <c r="E55" s="153"/>
      <c r="F55" s="153"/>
      <c r="G55" s="153"/>
      <c r="H55" s="209">
        <f>Historical!E69</f>
        <v>49506.23</v>
      </c>
      <c r="I55" s="209">
        <f>Historical!F69</f>
        <v>49506.23</v>
      </c>
      <c r="J55" s="209">
        <f>Historical!G69</f>
        <v>49506.23</v>
      </c>
      <c r="K55" s="209">
        <f>Historical!H69</f>
        <v>49506.23</v>
      </c>
      <c r="L55" s="209">
        <f>Historical!I69</f>
        <v>49506.23</v>
      </c>
      <c r="M55" s="235">
        <f t="shared" ref="M55:V55" si="26">L55</f>
        <v>49506.23</v>
      </c>
      <c r="N55" s="7">
        <f t="shared" si="26"/>
        <v>49506.23</v>
      </c>
      <c r="O55" s="7">
        <f t="shared" si="26"/>
        <v>49506.23</v>
      </c>
      <c r="P55" s="7">
        <f t="shared" si="26"/>
        <v>49506.23</v>
      </c>
      <c r="Q55" s="7">
        <f t="shared" si="26"/>
        <v>49506.23</v>
      </c>
      <c r="R55" s="7">
        <f t="shared" si="26"/>
        <v>49506.23</v>
      </c>
      <c r="S55" s="7">
        <f t="shared" si="26"/>
        <v>49506.23</v>
      </c>
      <c r="T55" s="7">
        <f t="shared" si="26"/>
        <v>49506.23</v>
      </c>
      <c r="U55" s="7">
        <f t="shared" si="26"/>
        <v>49506.23</v>
      </c>
      <c r="V55" s="7">
        <f t="shared" si="26"/>
        <v>49506.23</v>
      </c>
    </row>
    <row r="56" spans="1:23" s="191" customFormat="1" ht="15.6">
      <c r="A56" s="153"/>
      <c r="B56" s="153"/>
      <c r="C56" s="153"/>
      <c r="D56" s="153" t="s">
        <v>228</v>
      </c>
      <c r="E56" s="153"/>
      <c r="F56" s="153"/>
      <c r="G56" s="153"/>
      <c r="H56" s="209">
        <f>Historical!E70</f>
        <v>3395168.07</v>
      </c>
      <c r="I56" s="209">
        <f>Historical!F70</f>
        <v>3484886.55</v>
      </c>
      <c r="J56" s="209">
        <f>Historical!G70</f>
        <v>3586721.82</v>
      </c>
      <c r="K56" s="209">
        <f>Historical!H70</f>
        <v>3719247.21</v>
      </c>
      <c r="L56" s="209">
        <f>Historical!I70</f>
        <v>3893575.21</v>
      </c>
      <c r="M56" s="235">
        <f>SUM(L56,M20,'Cash Flow'!J28)</f>
        <v>4060542.5922207641</v>
      </c>
      <c r="N56" s="7">
        <f>SUM(M56,N20,'Cash Flow'!K28)</f>
        <v>4239044.0126513112</v>
      </c>
      <c r="O56" s="7">
        <f>SUM(N56,O20,'Cash Flow'!L28)</f>
        <v>4429792.8575390782</v>
      </c>
      <c r="P56" s="7">
        <f>SUM(O56,P20,'Cash Flow'!M28)</f>
        <v>4630684.032107966</v>
      </c>
      <c r="Q56" s="7">
        <f>SUM(P56,Q20,'Cash Flow'!N28)</f>
        <v>4845402.5466281138</v>
      </c>
      <c r="R56" s="7">
        <f>SUM(Q56,R20,'Cash Flow'!O28)</f>
        <v>5074788.6539826319</v>
      </c>
      <c r="S56" s="7">
        <f>SUM(R56,S20,'Cash Flow'!P28)</f>
        <v>5316657.266194501</v>
      </c>
      <c r="T56" s="7">
        <f>SUM(S56,T20,'Cash Flow'!Q28)</f>
        <v>5575083.5220590364</v>
      </c>
      <c r="U56" s="7">
        <f>SUM(T56,U20,'Cash Flow'!R28)</f>
        <v>5851054.9678425435</v>
      </c>
      <c r="V56" s="7">
        <f>SUM(U56,V20,'Cash Flow'!S28)</f>
        <v>6142349.5891895834</v>
      </c>
    </row>
    <row r="57" spans="1:23" s="191" customFormat="1" ht="15.6">
      <c r="A57" s="153"/>
      <c r="B57" s="153"/>
      <c r="C57" s="153"/>
      <c r="D57" s="153" t="s">
        <v>229</v>
      </c>
      <c r="E57" s="153"/>
      <c r="F57" s="153"/>
      <c r="G57" s="153"/>
      <c r="H57" s="209">
        <f>Historical!E72</f>
        <v>1840.82</v>
      </c>
      <c r="I57" s="209">
        <f>Historical!F72</f>
        <v>2028.35</v>
      </c>
      <c r="J57" s="209">
        <f>Historical!G72</f>
        <v>1947.01</v>
      </c>
      <c r="K57" s="209">
        <f>Historical!H72</f>
        <v>436.36</v>
      </c>
      <c r="L57" s="209">
        <f>Historical!I72</f>
        <v>80.209999999999994</v>
      </c>
      <c r="M57" s="235">
        <f t="shared" ref="M57:V57" si="27">L57</f>
        <v>80.209999999999994</v>
      </c>
      <c r="N57" s="7">
        <f t="shared" si="27"/>
        <v>80.209999999999994</v>
      </c>
      <c r="O57" s="7">
        <f t="shared" si="27"/>
        <v>80.209999999999994</v>
      </c>
      <c r="P57" s="7">
        <f t="shared" si="27"/>
        <v>80.209999999999994</v>
      </c>
      <c r="Q57" s="7">
        <f t="shared" si="27"/>
        <v>80.209999999999994</v>
      </c>
      <c r="R57" s="7">
        <f t="shared" si="27"/>
        <v>80.209999999999994</v>
      </c>
      <c r="S57" s="7">
        <f t="shared" si="27"/>
        <v>80.209999999999994</v>
      </c>
      <c r="T57" s="7">
        <f t="shared" si="27"/>
        <v>80.209999999999994</v>
      </c>
      <c r="U57" s="7">
        <f t="shared" si="27"/>
        <v>80.209999999999994</v>
      </c>
      <c r="V57" s="7">
        <f t="shared" si="27"/>
        <v>80.209999999999994</v>
      </c>
    </row>
    <row r="58" spans="1:23" s="193" customFormat="1" ht="15.6">
      <c r="A58" s="144"/>
      <c r="B58" s="144"/>
      <c r="C58" s="144"/>
      <c r="D58" s="219" t="s">
        <v>230</v>
      </c>
      <c r="E58" s="219"/>
      <c r="F58" s="219"/>
      <c r="G58" s="219"/>
      <c r="H58" s="220">
        <f>SUM(H55:H57)</f>
        <v>3446515.1199999996</v>
      </c>
      <c r="I58" s="220">
        <f t="shared" ref="I58:V58" si="28">SUM(I55:I57)</f>
        <v>3536421.13</v>
      </c>
      <c r="J58" s="220">
        <f t="shared" si="28"/>
        <v>3638175.0599999996</v>
      </c>
      <c r="K58" s="220">
        <f t="shared" si="28"/>
        <v>3769189.8</v>
      </c>
      <c r="L58" s="220">
        <f t="shared" si="28"/>
        <v>3943161.65</v>
      </c>
      <c r="M58" s="249">
        <f t="shared" si="28"/>
        <v>4110129.0322207641</v>
      </c>
      <c r="N58" s="220">
        <f t="shared" si="28"/>
        <v>4288630.4526513116</v>
      </c>
      <c r="O58" s="220">
        <f t="shared" si="28"/>
        <v>4479379.2975390786</v>
      </c>
      <c r="P58" s="220">
        <f t="shared" si="28"/>
        <v>4680270.4721079664</v>
      </c>
      <c r="Q58" s="220">
        <f t="shared" si="28"/>
        <v>4894988.9866281142</v>
      </c>
      <c r="R58" s="220">
        <f t="shared" si="28"/>
        <v>5124375.0939826323</v>
      </c>
      <c r="S58" s="220">
        <f t="shared" si="28"/>
        <v>5366243.7061945014</v>
      </c>
      <c r="T58" s="220">
        <f t="shared" si="28"/>
        <v>5624669.9620590368</v>
      </c>
      <c r="U58" s="220">
        <f t="shared" si="28"/>
        <v>5900641.4078425439</v>
      </c>
      <c r="V58" s="220">
        <f t="shared" si="28"/>
        <v>6191936.0291895838</v>
      </c>
    </row>
    <row r="59" spans="1:23" s="191" customFormat="1" ht="6" customHeight="1">
      <c r="A59" s="153"/>
      <c r="B59" s="153"/>
      <c r="C59" s="153"/>
      <c r="D59" s="144"/>
      <c r="E59" s="153"/>
      <c r="F59" s="153"/>
      <c r="G59" s="153"/>
      <c r="H59" s="217"/>
      <c r="I59" s="217"/>
      <c r="J59" s="217"/>
      <c r="K59" s="217"/>
      <c r="L59" s="217"/>
      <c r="M59" s="250"/>
      <c r="N59" s="217"/>
      <c r="O59" s="217"/>
      <c r="P59" s="217"/>
      <c r="Q59" s="217"/>
      <c r="R59" s="217"/>
      <c r="S59" s="217"/>
      <c r="T59" s="217"/>
      <c r="U59" s="217"/>
      <c r="V59" s="217"/>
    </row>
    <row r="60" spans="1:23" s="193" customFormat="1" ht="16.2" thickBot="1">
      <c r="A60" s="144"/>
      <c r="B60" s="144"/>
      <c r="C60" s="144"/>
      <c r="D60" s="206" t="s">
        <v>231</v>
      </c>
      <c r="E60" s="206"/>
      <c r="F60" s="206"/>
      <c r="G60" s="206"/>
      <c r="H60" s="215">
        <f>SUM(H47,H52,H58)</f>
        <v>5722978.6999999993</v>
      </c>
      <c r="I60" s="215">
        <f t="shared" ref="I60:V60" si="29">SUM(I47,I52,I58)</f>
        <v>5480967.0700000003</v>
      </c>
      <c r="J60" s="215">
        <f t="shared" si="29"/>
        <v>5250339.5199999996</v>
      </c>
      <c r="K60" s="215">
        <f t="shared" si="29"/>
        <v>5392799.0800000001</v>
      </c>
      <c r="L60" s="215">
        <f t="shared" si="29"/>
        <v>6026239.6999999993</v>
      </c>
      <c r="M60" s="251">
        <f t="shared" si="29"/>
        <v>6201386.3146020416</v>
      </c>
      <c r="N60" s="215">
        <f t="shared" si="29"/>
        <v>6395927.964551704</v>
      </c>
      <c r="O60" s="215">
        <f t="shared" si="29"/>
        <v>6603682.9113449864</v>
      </c>
      <c r="P60" s="215">
        <f t="shared" si="29"/>
        <v>6822604.2208116399</v>
      </c>
      <c r="Q60" s="215">
        <f t="shared" si="29"/>
        <v>7056438.5660046712</v>
      </c>
      <c r="R60" s="215">
        <f t="shared" si="29"/>
        <v>7306091.5756528387</v>
      </c>
      <c r="S60" s="215">
        <f t="shared" si="29"/>
        <v>7569447.4742719382</v>
      </c>
      <c r="T60" s="215">
        <f t="shared" si="29"/>
        <v>7850654.8868449163</v>
      </c>
      <c r="U60" s="215">
        <f t="shared" si="29"/>
        <v>8150779.2708421573</v>
      </c>
      <c r="V60" s="215">
        <f t="shared" si="29"/>
        <v>8467681.2145838607</v>
      </c>
      <c r="W60" s="221"/>
    </row>
    <row r="61" spans="1:23" s="193" customFormat="1" ht="16.2" thickTop="1">
      <c r="A61" s="144"/>
      <c r="B61" s="144"/>
      <c r="C61" s="144"/>
      <c r="D61" s="144"/>
      <c r="E61" s="144"/>
      <c r="F61" s="144"/>
      <c r="G61" s="144"/>
      <c r="H61" s="221"/>
      <c r="I61" s="221"/>
      <c r="J61" s="221"/>
      <c r="K61" s="221"/>
      <c r="L61" s="221"/>
      <c r="M61" s="414"/>
    </row>
    <row r="62" spans="1:23" s="191" customFormat="1" ht="16.2">
      <c r="D62" s="453" t="s">
        <v>458</v>
      </c>
      <c r="E62" s="222"/>
      <c r="F62" s="222"/>
      <c r="G62" s="222"/>
      <c r="H62" s="519">
        <f>H41-H60</f>
        <v>0</v>
      </c>
      <c r="I62" s="519">
        <f t="shared" ref="I62:V62" si="30">I41-I60</f>
        <v>0</v>
      </c>
      <c r="J62" s="519">
        <f t="shared" si="30"/>
        <v>0</v>
      </c>
      <c r="K62" s="519">
        <f t="shared" si="30"/>
        <v>0</v>
      </c>
      <c r="L62" s="519">
        <f t="shared" si="30"/>
        <v>0</v>
      </c>
      <c r="M62" s="519">
        <f t="shared" si="30"/>
        <v>-9.9999997764825821E-3</v>
      </c>
      <c r="N62" s="519">
        <f t="shared" si="30"/>
        <v>-9.9999997764825821E-3</v>
      </c>
      <c r="O62" s="519">
        <f t="shared" si="30"/>
        <v>-1.0000000707805157E-2</v>
      </c>
      <c r="P62" s="519">
        <f t="shared" si="30"/>
        <v>-1.0000000707805157E-2</v>
      </c>
      <c r="Q62" s="519">
        <f t="shared" si="30"/>
        <v>-1.0000001639127731E-2</v>
      </c>
      <c r="R62" s="519">
        <f t="shared" si="30"/>
        <v>-1.0000000707805157E-2</v>
      </c>
      <c r="S62" s="519">
        <f t="shared" si="30"/>
        <v>-1.0000001639127731E-2</v>
      </c>
      <c r="T62" s="519">
        <f t="shared" si="30"/>
        <v>-1.0000001639127731E-2</v>
      </c>
      <c r="U62" s="519">
        <f t="shared" si="30"/>
        <v>-1.0000002570450306E-2</v>
      </c>
      <c r="V62" s="519">
        <f t="shared" si="30"/>
        <v>-1.0000003501772881E-2</v>
      </c>
    </row>
    <row r="63" spans="1:23" s="194" customFormat="1" ht="15.6">
      <c r="A63" s="191"/>
      <c r="B63" s="191"/>
      <c r="C63" s="191"/>
      <c r="D63" s="193"/>
      <c r="E63" s="191"/>
      <c r="F63" s="191"/>
      <c r="G63" s="191"/>
      <c r="H63" s="223"/>
      <c r="I63" s="223"/>
      <c r="J63" s="223"/>
      <c r="K63" s="223"/>
      <c r="L63" s="223"/>
      <c r="M63" s="223"/>
      <c r="N63" s="223"/>
      <c r="O63" s="223"/>
      <c r="P63" s="223"/>
      <c r="Q63" s="223"/>
      <c r="R63" s="223"/>
      <c r="S63" s="223"/>
      <c r="T63" s="223"/>
      <c r="U63" s="223"/>
      <c r="V63" s="223"/>
    </row>
    <row r="64" spans="1:23" ht="18" customHeight="1"/>
    <row r="65" spans="3:3" s="191" customFormat="1" ht="15.6"/>
    <row r="66" spans="3:3" s="191" customFormat="1" ht="15.6"/>
    <row r="67" spans="3:3" s="191" customFormat="1" ht="15.6">
      <c r="C67" s="153"/>
    </row>
    <row r="68" spans="3:3" s="191" customFormat="1" ht="15.6">
      <c r="C68" s="153"/>
    </row>
    <row r="69" spans="3:3" s="191" customFormat="1" ht="15.6">
      <c r="C69" s="153"/>
    </row>
    <row r="70" spans="3:3" s="191" customFormat="1" ht="15.6">
      <c r="C70" s="153"/>
    </row>
    <row r="71" spans="3:3" s="193" customFormat="1" ht="15.6">
      <c r="C71" s="144"/>
    </row>
    <row r="72" spans="3:3" s="191" customFormat="1" ht="15.6">
      <c r="C72" s="153"/>
    </row>
    <row r="73" spans="3:3" s="191" customFormat="1" ht="15.6">
      <c r="C73" s="153"/>
    </row>
    <row r="74" spans="3:3" s="191" customFormat="1" ht="15.6">
      <c r="C74" s="153"/>
    </row>
    <row r="75" spans="3:3" s="191" customFormat="1" ht="15.6">
      <c r="C75" s="153"/>
    </row>
    <row r="76" spans="3:3" s="191" customFormat="1" ht="15.6">
      <c r="C76" s="153"/>
    </row>
    <row r="77" spans="3:3" s="191" customFormat="1" ht="15.6">
      <c r="C77" s="153"/>
    </row>
    <row r="78" spans="3:3" s="191" customFormat="1" ht="15.6">
      <c r="C78" s="153"/>
    </row>
    <row r="79" spans="3:3" s="191" customFormat="1" ht="15.6">
      <c r="C79" s="153"/>
    </row>
    <row r="80" spans="3:3" s="193" customFormat="1" ht="15.6">
      <c r="C80" s="144"/>
    </row>
    <row r="81" spans="3:3" s="191" customFormat="1" ht="15.6">
      <c r="C81" s="153"/>
    </row>
    <row r="82" spans="3:3" s="191" customFormat="1" ht="15.6">
      <c r="C82" s="153"/>
    </row>
    <row r="83" spans="3:3" s="191" customFormat="1" ht="15.6">
      <c r="C83" s="153"/>
    </row>
    <row r="84" spans="3:3" s="191" customFormat="1" ht="15.6">
      <c r="C84" s="153"/>
    </row>
    <row r="87" spans="3:3" s="191" customFormat="1" ht="15.6">
      <c r="C87" s="153"/>
    </row>
    <row r="88" spans="3:3" s="191" customFormat="1" ht="15.6">
      <c r="C88" s="153"/>
    </row>
    <row r="89" spans="3:3" s="193" customFormat="1" ht="15.6">
      <c r="C89" s="144"/>
    </row>
    <row r="90" spans="3:3" s="191" customFormat="1" ht="15.6">
      <c r="C90" s="153"/>
    </row>
    <row r="91" spans="3:3" s="191" customFormat="1" ht="15.6">
      <c r="C91" s="153"/>
    </row>
    <row r="92" spans="3:3" s="191" customFormat="1" ht="15.6">
      <c r="C92" s="153"/>
    </row>
    <row r="93" spans="3:3" s="192" customFormat="1" ht="15.6">
      <c r="C93" s="133"/>
    </row>
    <row r="94" spans="3:3" s="191" customFormat="1" ht="15.6"/>
    <row r="95" spans="3:3" s="191" customFormat="1" ht="15.6"/>
    <row r="96" spans="3:3" ht="19.95" customHeight="1"/>
    <row r="98" ht="14.4" customHeight="1"/>
    <row r="99" ht="14.4" customHeight="1"/>
    <row r="100" ht="14.4" customHeight="1"/>
    <row r="101" ht="14.4" customHeight="1"/>
    <row r="102" ht="14.4" customHeight="1"/>
    <row r="103" ht="14.4" customHeight="1"/>
    <row r="104" ht="14.4" customHeight="1"/>
    <row r="105" ht="14.4" customHeight="1"/>
    <row r="106" ht="14.4" customHeight="1"/>
    <row r="109" s="144" customFormat="1" ht="15.15" customHeight="1"/>
    <row r="110" ht="14.4" customHeight="1"/>
    <row r="111" ht="14.4" customHeight="1"/>
    <row r="112" ht="14.4" customHeight="1"/>
    <row r="114" ht="14.4" customHeight="1"/>
    <row r="115" ht="14.4" customHeight="1"/>
    <row r="116" s="144" customFormat="1" ht="14.4" customHeight="1"/>
    <row r="117" ht="14.4" customHeight="1"/>
    <row r="118" ht="14.4" customHeight="1"/>
    <row r="119" ht="14.4" customHeight="1"/>
    <row r="120" s="144" customFormat="1" ht="14.4"/>
    <row r="121" ht="7.2" customHeight="1"/>
    <row r="122" s="144" customFormat="1" ht="14.4" customHeight="1"/>
    <row r="126" s="144" customFormat="1" ht="14.4"/>
    <row r="127" ht="14.4" customHeight="1"/>
    <row r="128" ht="14.4" customHeight="1"/>
    <row r="129" spans="1:22" ht="14.4" customHeight="1"/>
    <row r="130" spans="1:22" ht="15.15" customHeight="1"/>
    <row r="131" spans="1:22" ht="14.4" customHeight="1"/>
    <row r="133" spans="1:22" ht="14.4" customHeight="1"/>
    <row r="136" spans="1:22" ht="19.95" customHeight="1">
      <c r="B136" s="224" t="s">
        <v>309</v>
      </c>
      <c r="C136" s="202"/>
      <c r="D136" s="135"/>
      <c r="E136" s="135"/>
      <c r="F136" s="135"/>
      <c r="G136" s="135"/>
      <c r="H136" s="135"/>
      <c r="I136" s="135"/>
      <c r="J136" s="135"/>
      <c r="K136" s="135"/>
      <c r="L136" s="135"/>
      <c r="M136" s="135"/>
      <c r="N136" s="135"/>
      <c r="O136" s="135"/>
      <c r="P136" s="135"/>
      <c r="Q136" s="135"/>
      <c r="R136" s="135"/>
      <c r="S136" s="202"/>
      <c r="T136" s="202"/>
      <c r="U136" s="202"/>
      <c r="V136" s="202"/>
    </row>
    <row r="137" spans="1:22" ht="15" customHeight="1">
      <c r="A137" s="280"/>
      <c r="B137" s="280"/>
      <c r="C137" s="280"/>
      <c r="D137" s="280"/>
      <c r="E137" s="280"/>
      <c r="F137" s="280"/>
      <c r="G137" s="280"/>
    </row>
    <row r="138" spans="1:22" ht="14.4">
      <c r="A138" s="280"/>
      <c r="B138" s="281"/>
      <c r="C138" s="281"/>
      <c r="D138" s="281"/>
      <c r="E138" s="281"/>
      <c r="F138" s="281"/>
      <c r="G138" s="281"/>
    </row>
    <row r="139" spans="1:22" ht="14.4">
      <c r="A139" s="280"/>
      <c r="B139" s="281"/>
      <c r="C139" s="281"/>
      <c r="D139" s="281"/>
      <c r="E139" s="281"/>
      <c r="F139" s="281"/>
      <c r="G139" s="281"/>
    </row>
    <row r="140" spans="1:22" ht="14.4">
      <c r="A140" s="280"/>
      <c r="B140" s="281"/>
      <c r="C140" s="281"/>
      <c r="D140" s="281"/>
      <c r="E140" s="281"/>
      <c r="F140" s="281"/>
      <c r="G140" s="281"/>
    </row>
    <row r="141" spans="1:22" ht="16.05" customHeight="1">
      <c r="A141" s="280"/>
      <c r="B141" s="281"/>
      <c r="C141" s="281"/>
      <c r="D141" s="281"/>
      <c r="E141" s="281"/>
      <c r="F141" s="281"/>
      <c r="G141" s="281"/>
      <c r="K141" s="598" t="s">
        <v>310</v>
      </c>
      <c r="L141" s="598"/>
      <c r="M141" s="598"/>
      <c r="N141" s="598"/>
      <c r="O141" s="598"/>
    </row>
    <row r="142" spans="1:22" ht="14.4">
      <c r="A142" s="280"/>
      <c r="B142" s="281"/>
      <c r="C142" s="281"/>
      <c r="D142" s="281"/>
      <c r="E142" s="281"/>
      <c r="F142" s="281"/>
      <c r="G142" s="281"/>
      <c r="I142" s="285"/>
      <c r="J142" s="285"/>
      <c r="K142" s="285"/>
      <c r="L142" s="285"/>
      <c r="M142" s="285"/>
    </row>
    <row r="143" spans="1:22" ht="15" customHeight="1">
      <c r="A143" s="280"/>
      <c r="B143" s="281"/>
      <c r="C143" s="281"/>
      <c r="D143" s="281"/>
      <c r="E143" s="281"/>
      <c r="F143" s="281"/>
      <c r="G143" s="281"/>
    </row>
    <row r="144" spans="1:22" ht="15" customHeight="1">
      <c r="A144" s="280"/>
      <c r="B144" s="281"/>
      <c r="C144" s="281"/>
      <c r="D144" s="281"/>
      <c r="E144" s="281"/>
      <c r="F144" s="281"/>
      <c r="G144" s="281"/>
      <c r="H144" s="599" t="s">
        <v>275</v>
      </c>
      <c r="I144" s="286">
        <f>' DCF Valuation'!D41</f>
        <v>106.33341227022024</v>
      </c>
      <c r="J144" s="287">
        <v>15</v>
      </c>
      <c r="K144" s="287">
        <v>15.4</v>
      </c>
      <c r="L144" s="287">
        <v>18</v>
      </c>
      <c r="M144" s="287">
        <v>21.3</v>
      </c>
      <c r="N144" s="287">
        <v>24</v>
      </c>
      <c r="O144" s="287">
        <v>24.3</v>
      </c>
      <c r="P144" s="180"/>
      <c r="Q144" s="180"/>
      <c r="R144" s="180"/>
      <c r="S144" s="180"/>
    </row>
    <row r="145" spans="1:19" ht="15" customHeight="1">
      <c r="A145" s="280"/>
      <c r="B145" s="281"/>
      <c r="C145" s="281"/>
      <c r="D145" s="281"/>
      <c r="E145" s="281"/>
      <c r="F145" s="281"/>
      <c r="G145" s="281"/>
      <c r="H145" s="599"/>
      <c r="I145" s="288">
        <v>7.9100000000000004E-2</v>
      </c>
      <c r="J145" s="7" t="e">
        <f t="dataTable" ref="J145:O149" dt2D="1" dtr="1" del1="1" del2="1" r1="E102" r2="E104"/>
        <v>#REF!</v>
      </c>
      <c r="K145" s="7" t="e">
        <v>#REF!</v>
      </c>
      <c r="L145" s="7" t="e">
        <v>#REF!</v>
      </c>
      <c r="M145" s="7" t="e">
        <v>#REF!</v>
      </c>
      <c r="N145" s="7" t="e">
        <v>#REF!</v>
      </c>
      <c r="O145" s="7" t="e">
        <v>#REF!</v>
      </c>
    </row>
    <row r="146" spans="1:19" ht="15" customHeight="1">
      <c r="A146" s="280"/>
      <c r="B146" s="281"/>
      <c r="C146" s="281"/>
      <c r="D146" s="281"/>
      <c r="E146" s="281"/>
      <c r="F146" s="281"/>
      <c r="G146" s="281"/>
      <c r="H146" s="599"/>
      <c r="I146" s="288">
        <v>8.9099999999999999E-2</v>
      </c>
      <c r="J146" s="7" t="e">
        <v>#REF!</v>
      </c>
      <c r="K146" s="289" t="e">
        <v>#REF!</v>
      </c>
      <c r="L146" s="289" t="e">
        <v>#REF!</v>
      </c>
      <c r="M146" s="289" t="e">
        <v>#REF!</v>
      </c>
      <c r="N146" s="289" t="e">
        <v>#REF!</v>
      </c>
      <c r="O146" s="7" t="e">
        <v>#REF!</v>
      </c>
    </row>
    <row r="147" spans="1:19" ht="15" customHeight="1">
      <c r="A147" s="280"/>
      <c r="B147" s="281"/>
      <c r="C147" s="281"/>
      <c r="D147" s="281"/>
      <c r="E147" s="281"/>
      <c r="F147" s="281"/>
      <c r="G147" s="281"/>
      <c r="H147" s="599"/>
      <c r="I147" s="288">
        <v>0.10879999999999999</v>
      </c>
      <c r="J147" s="7" t="e">
        <v>#REF!</v>
      </c>
      <c r="K147" s="289" t="e">
        <v>#REF!</v>
      </c>
      <c r="L147" s="289" t="e">
        <v>#REF!</v>
      </c>
      <c r="M147" s="290" t="e">
        <v>#REF!</v>
      </c>
      <c r="N147" s="289" t="e">
        <v>#REF!</v>
      </c>
      <c r="O147" s="7" t="e">
        <v>#REF!</v>
      </c>
    </row>
    <row r="148" spans="1:19" ht="15" customHeight="1">
      <c r="A148" s="280"/>
      <c r="B148" s="281"/>
      <c r="C148" s="281"/>
      <c r="D148" s="281"/>
      <c r="E148" s="281"/>
      <c r="F148" s="281"/>
      <c r="G148" s="281"/>
      <c r="H148" s="599"/>
      <c r="I148" s="288">
        <v>0.1142</v>
      </c>
      <c r="J148" s="7" t="e">
        <v>#REF!</v>
      </c>
      <c r="K148" s="289" t="e">
        <v>#REF!</v>
      </c>
      <c r="L148" s="289" t="e">
        <v>#REF!</v>
      </c>
      <c r="M148" s="291" t="e">
        <v>#REF!</v>
      </c>
      <c r="N148" s="289" t="e">
        <v>#REF!</v>
      </c>
      <c r="O148" s="7" t="e">
        <v>#REF!</v>
      </c>
    </row>
    <row r="149" spans="1:19" ht="15" customHeight="1">
      <c r="A149" s="280"/>
      <c r="B149" s="281"/>
      <c r="C149" s="281"/>
      <c r="D149" s="281"/>
      <c r="E149" s="281"/>
      <c r="F149" s="281"/>
      <c r="G149" s="281"/>
      <c r="H149" s="599"/>
      <c r="I149" s="288">
        <v>0.12909999999999999</v>
      </c>
      <c r="J149" s="7" t="e">
        <v>#REF!</v>
      </c>
      <c r="K149" s="7" t="e">
        <v>#REF!</v>
      </c>
      <c r="L149" s="7" t="e">
        <v>#REF!</v>
      </c>
      <c r="M149" s="7" t="e">
        <v>#REF!</v>
      </c>
      <c r="N149" s="7" t="e">
        <v>#REF!</v>
      </c>
      <c r="O149" s="7" t="e">
        <v>#REF!</v>
      </c>
    </row>
    <row r="150" spans="1:19" ht="15" customHeight="1">
      <c r="A150" s="280"/>
      <c r="B150" s="281"/>
      <c r="C150" s="281"/>
      <c r="D150" s="281"/>
      <c r="E150" s="281"/>
      <c r="F150" s="281"/>
      <c r="G150" s="281"/>
    </row>
    <row r="151" spans="1:19" ht="16.05" customHeight="1">
      <c r="A151" s="280"/>
      <c r="B151" s="281"/>
      <c r="C151" s="281"/>
      <c r="D151" s="281"/>
      <c r="E151" s="281"/>
      <c r="F151" s="281"/>
      <c r="G151" s="281"/>
      <c r="K151" s="598" t="s">
        <v>274</v>
      </c>
      <c r="L151" s="598"/>
      <c r="M151" s="598"/>
      <c r="N151" s="598"/>
      <c r="O151" s="598"/>
    </row>
    <row r="152" spans="1:19" ht="15" customHeight="1">
      <c r="A152" s="280"/>
      <c r="B152" s="281"/>
      <c r="C152" s="281"/>
      <c r="D152" s="281"/>
      <c r="E152" s="281"/>
      <c r="F152" s="281"/>
      <c r="G152" s="281"/>
    </row>
    <row r="153" spans="1:19" ht="15" customHeight="1">
      <c r="A153" s="280"/>
      <c r="B153" s="281"/>
      <c r="C153" s="281"/>
      <c r="D153" s="281"/>
      <c r="E153" s="281"/>
      <c r="F153" s="281"/>
      <c r="G153" s="281"/>
    </row>
    <row r="154" spans="1:19" ht="15" customHeight="1">
      <c r="A154" s="280"/>
      <c r="B154" s="281"/>
      <c r="C154" s="281"/>
      <c r="D154" s="281"/>
      <c r="E154" s="281"/>
      <c r="F154" s="281"/>
      <c r="G154" s="281"/>
      <c r="H154" s="599" t="s">
        <v>275</v>
      </c>
      <c r="I154" s="292">
        <f>' DCF Valuation'!D41</f>
        <v>106.33341227022024</v>
      </c>
      <c r="J154" s="293">
        <v>0.04</v>
      </c>
      <c r="K154" s="294">
        <v>4.48E-2</v>
      </c>
      <c r="L154" s="294">
        <v>0.06</v>
      </c>
      <c r="M154" s="294">
        <v>6.4000000000000001E-2</v>
      </c>
      <c r="N154" s="294">
        <v>0.08</v>
      </c>
      <c r="O154" s="294">
        <v>8.4000000000000005E-2</v>
      </c>
      <c r="P154" s="259"/>
      <c r="Q154" s="259"/>
      <c r="R154" s="259"/>
      <c r="S154" s="259"/>
    </row>
    <row r="155" spans="1:19" ht="15" customHeight="1">
      <c r="A155" s="280"/>
      <c r="B155" s="281"/>
      <c r="C155" s="281"/>
      <c r="D155" s="281"/>
      <c r="E155" s="281"/>
      <c r="F155" s="281"/>
      <c r="G155" s="281"/>
      <c r="H155" s="599"/>
      <c r="I155" s="288">
        <v>7.9100000000000004E-2</v>
      </c>
      <c r="J155" s="7" t="e">
        <f t="dataTable" ref="J155:O159" dt2D="1" dtr="1" del1="1" del2="1" r1="E103" r2="E104"/>
        <v>#REF!</v>
      </c>
      <c r="K155" s="7" t="e">
        <v>#REF!</v>
      </c>
      <c r="L155" s="7" t="e">
        <v>#REF!</v>
      </c>
      <c r="M155" s="7" t="e">
        <v>#REF!</v>
      </c>
      <c r="N155" s="7" t="e">
        <v>#REF!</v>
      </c>
      <c r="O155" s="7" t="e">
        <v>#REF!</v>
      </c>
    </row>
    <row r="156" spans="1:19" ht="15" customHeight="1">
      <c r="A156" s="280"/>
      <c r="B156" s="281"/>
      <c r="C156" s="281"/>
      <c r="D156" s="281"/>
      <c r="E156" s="281"/>
      <c r="F156" s="281"/>
      <c r="G156" s="281"/>
      <c r="H156" s="599"/>
      <c r="I156" s="288">
        <v>8.9099999999999999E-2</v>
      </c>
      <c r="J156" s="7" t="e">
        <v>#REF!</v>
      </c>
      <c r="K156" s="7" t="e">
        <v>#REF!</v>
      </c>
      <c r="L156" s="289" t="e">
        <v>#REF!</v>
      </c>
      <c r="M156" s="289" t="e">
        <v>#REF!</v>
      </c>
      <c r="N156" s="289" t="e">
        <v>#REF!</v>
      </c>
      <c r="O156" s="7" t="e">
        <v>#REF!</v>
      </c>
    </row>
    <row r="157" spans="1:19" ht="15" customHeight="1">
      <c r="A157" s="280"/>
      <c r="B157" s="281"/>
      <c r="C157" s="281"/>
      <c r="D157" s="281"/>
      <c r="E157" s="281"/>
      <c r="F157" s="281"/>
      <c r="G157" s="281"/>
      <c r="H157" s="599"/>
      <c r="I157" s="288">
        <v>0.10879999999999999</v>
      </c>
      <c r="J157" s="7" t="e">
        <v>#REF!</v>
      </c>
      <c r="K157" s="7" t="e">
        <v>#REF!</v>
      </c>
      <c r="L157" s="289" t="e">
        <v>#REF!</v>
      </c>
      <c r="M157" s="290" t="e">
        <v>#REF!</v>
      </c>
      <c r="N157" s="289" t="e">
        <v>#REF!</v>
      </c>
      <c r="O157" s="7" t="e">
        <v>#REF!</v>
      </c>
    </row>
    <row r="158" spans="1:19" ht="15" customHeight="1">
      <c r="A158" s="280"/>
      <c r="B158" s="281"/>
      <c r="C158" s="281"/>
      <c r="D158" s="281"/>
      <c r="E158" s="281"/>
      <c r="F158" s="281"/>
      <c r="G158" s="281"/>
      <c r="H158" s="599"/>
      <c r="I158" s="288">
        <v>0.1142</v>
      </c>
      <c r="J158" s="7" t="e">
        <v>#REF!</v>
      </c>
      <c r="K158" s="7" t="e">
        <v>#REF!</v>
      </c>
      <c r="L158" s="289" t="e">
        <v>#REF!</v>
      </c>
      <c r="M158" s="291" t="e">
        <v>#REF!</v>
      </c>
      <c r="N158" s="289" t="e">
        <v>#REF!</v>
      </c>
      <c r="O158" s="7" t="e">
        <v>#REF!</v>
      </c>
    </row>
    <row r="159" spans="1:19" ht="15" customHeight="1">
      <c r="A159" s="280"/>
      <c r="B159" s="281"/>
      <c r="C159" s="281"/>
      <c r="D159" s="281"/>
      <c r="E159" s="281"/>
      <c r="F159" s="281"/>
      <c r="G159" s="281"/>
      <c r="H159" s="599"/>
      <c r="I159" s="288">
        <v>0.12909999999999999</v>
      </c>
      <c r="J159" s="7" t="e">
        <v>#REF!</v>
      </c>
      <c r="K159" s="7" t="e">
        <v>#REF!</v>
      </c>
      <c r="L159" s="7" t="e">
        <v>#REF!</v>
      </c>
      <c r="M159" s="7" t="e">
        <v>#REF!</v>
      </c>
      <c r="N159" s="7" t="e">
        <v>#REF!</v>
      </c>
      <c r="O159" s="7" t="e">
        <v>#REF!</v>
      </c>
    </row>
    <row r="160" spans="1:19" ht="15" customHeight="1">
      <c r="A160" s="280"/>
      <c r="B160" s="281"/>
      <c r="C160" s="281"/>
      <c r="D160" s="281"/>
      <c r="E160" s="281"/>
      <c r="F160" s="281"/>
      <c r="G160" s="281"/>
    </row>
    <row r="161" spans="1:7" ht="15" customHeight="1">
      <c r="A161" s="280"/>
      <c r="B161" s="281"/>
      <c r="C161" s="281"/>
      <c r="D161" s="281"/>
      <c r="E161" s="281"/>
      <c r="F161" s="281"/>
      <c r="G161" s="281"/>
    </row>
  </sheetData>
  <mergeCells count="7">
    <mergeCell ref="K141:O141"/>
    <mergeCell ref="K151:O151"/>
    <mergeCell ref="H144:H149"/>
    <mergeCell ref="H154:H159"/>
    <mergeCell ref="C1:E3"/>
    <mergeCell ref="I1:K3"/>
    <mergeCell ref="O1:Q3"/>
  </mergeCells>
  <pageMargins left="0.75" right="0.75" top="1" bottom="1" header="0.5" footer="0.5"/>
  <ignoredErrors>
    <ignoredError sqref="M56:V56" formula="1"/>
    <ignoredError sqref="H45:L45 H51:L51 H38:L38 I35:L35 H36:L36 H46:L46"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7B0D-044B-4125-959C-7DF6B0C4EB85}">
  <sheetPr>
    <tabColor theme="4" tint="0.39997558519241921"/>
  </sheetPr>
  <dimension ref="A1:S36"/>
  <sheetViews>
    <sheetView showGridLines="0" zoomScale="55" zoomScaleNormal="55" workbookViewId="0">
      <selection activeCell="E36" sqref="E36"/>
    </sheetView>
  </sheetViews>
  <sheetFormatPr defaultRowHeight="13.2"/>
  <cols>
    <col min="1" max="2" width="1.33203125" customWidth="1"/>
    <col min="3" max="3" width="41.5546875" customWidth="1"/>
  </cols>
  <sheetData>
    <row r="1" spans="1:19">
      <c r="A1" s="405"/>
    </row>
    <row r="2" spans="1:19">
      <c r="A2" s="405"/>
    </row>
    <row r="3" spans="1:19" ht="18">
      <c r="B3" s="400"/>
      <c r="C3" s="597" t="s">
        <v>232</v>
      </c>
      <c r="D3" s="597"/>
      <c r="E3" s="597"/>
      <c r="F3" s="597"/>
      <c r="G3" s="597"/>
      <c r="H3" s="597"/>
      <c r="I3" s="597"/>
      <c r="J3" s="597"/>
      <c r="K3" s="597"/>
      <c r="L3" s="597"/>
      <c r="M3" s="597"/>
      <c r="N3" s="597"/>
      <c r="O3" s="597"/>
      <c r="P3" s="597"/>
      <c r="Q3" s="597"/>
      <c r="R3" s="597"/>
      <c r="S3" s="597"/>
    </row>
    <row r="4" spans="1:19" s="366" customFormat="1" ht="18">
      <c r="G4" s="556"/>
      <c r="H4" s="556"/>
      <c r="I4" s="556"/>
      <c r="J4" s="556"/>
      <c r="K4" s="556"/>
    </row>
    <row r="5" spans="1:19">
      <c r="C5" t="s">
        <v>489</v>
      </c>
    </row>
    <row r="6" spans="1:19" ht="17.399999999999999">
      <c r="B6" s="408"/>
      <c r="C6" s="400"/>
      <c r="D6" s="408"/>
      <c r="E6" s="409">
        <v>2020</v>
      </c>
      <c r="F6" s="409">
        <f t="shared" ref="F6:S6" si="0">E6+1</f>
        <v>2021</v>
      </c>
      <c r="G6" s="409">
        <f t="shared" si="0"/>
        <v>2022</v>
      </c>
      <c r="H6" s="409">
        <f t="shared" si="0"/>
        <v>2023</v>
      </c>
      <c r="I6" s="409">
        <f t="shared" si="0"/>
        <v>2024</v>
      </c>
      <c r="J6" s="410">
        <f t="shared" si="0"/>
        <v>2025</v>
      </c>
      <c r="K6" s="411">
        <f t="shared" si="0"/>
        <v>2026</v>
      </c>
      <c r="L6" s="411">
        <f t="shared" si="0"/>
        <v>2027</v>
      </c>
      <c r="M6" s="411">
        <f t="shared" si="0"/>
        <v>2028</v>
      </c>
      <c r="N6" s="411">
        <f t="shared" si="0"/>
        <v>2029</v>
      </c>
      <c r="O6" s="411">
        <f t="shared" si="0"/>
        <v>2030</v>
      </c>
      <c r="P6" s="411">
        <f t="shared" si="0"/>
        <v>2031</v>
      </c>
      <c r="Q6" s="411">
        <f t="shared" si="0"/>
        <v>2032</v>
      </c>
      <c r="R6" s="411">
        <f t="shared" si="0"/>
        <v>2033</v>
      </c>
      <c r="S6" s="411">
        <f t="shared" si="0"/>
        <v>2034</v>
      </c>
    </row>
    <row r="8" spans="1:19" ht="15.6">
      <c r="B8" s="144" t="s">
        <v>233</v>
      </c>
      <c r="E8" s="153"/>
      <c r="F8" s="153"/>
      <c r="G8" s="153"/>
      <c r="H8" s="153"/>
      <c r="I8" s="153"/>
      <c r="J8" s="240"/>
      <c r="K8" s="191"/>
      <c r="L8" s="191"/>
      <c r="M8" s="191"/>
      <c r="N8" s="191"/>
      <c r="O8" s="191"/>
      <c r="P8" s="191"/>
      <c r="Q8" s="191"/>
      <c r="R8" s="191"/>
      <c r="S8" s="191"/>
    </row>
    <row r="9" spans="1:19" ht="14.4">
      <c r="C9" s="153" t="s">
        <v>234</v>
      </c>
      <c r="E9" s="203">
        <f>SUM(Historical!E108,Historical!E139)</f>
        <v>61122.61</v>
      </c>
      <c r="F9" s="203">
        <f>SUM(Historical!F108,Historical!F139)</f>
        <v>124102.34</v>
      </c>
      <c r="G9" s="203">
        <f>SUM(Historical!G108,Historical!G139)</f>
        <v>138435.29999999999</v>
      </c>
      <c r="H9" s="203">
        <f>SUM(Historical!H108,Historical!H139)</f>
        <v>141662.33000000002</v>
      </c>
      <c r="I9" s="203">
        <f>SUM(Historical!I108,Historical!I139)</f>
        <v>189339.18</v>
      </c>
      <c r="J9" s="229">
        <f>Model!M20</f>
        <v>242180.82313524734</v>
      </c>
      <c r="K9" s="230">
        <f>Model!N20</f>
        <v>258910.57496201582</v>
      </c>
      <c r="L9" s="230">
        <f>Model!O20</f>
        <v>276675.07061910513</v>
      </c>
      <c r="M9" s="230">
        <f>Model!P20</f>
        <v>291386.19394159387</v>
      </c>
      <c r="N9" s="230">
        <f>Model!Q20</f>
        <v>311442.30625902611</v>
      </c>
      <c r="O9" s="230">
        <f>Model!R20</f>
        <v>332717.1783855083</v>
      </c>
      <c r="P9" s="230">
        <f>Model!S20</f>
        <v>350822.65060969396</v>
      </c>
      <c r="Q9" s="230">
        <f>Model!T20</f>
        <v>374838.98071949289</v>
      </c>
      <c r="R9" s="230">
        <f>Model!U20</f>
        <v>400287.7149580316</v>
      </c>
      <c r="S9" s="230">
        <f>Model!V20</f>
        <v>422513.48876884463</v>
      </c>
    </row>
    <row r="10" spans="1:19" ht="14.4">
      <c r="C10" s="153" t="s">
        <v>235</v>
      </c>
      <c r="E10" s="203">
        <f>-'Supporting Schedules'!E23</f>
        <v>20030.3</v>
      </c>
      <c r="F10" s="203">
        <f>-'Supporting Schedules'!F23</f>
        <v>15948.3</v>
      </c>
      <c r="G10" s="203">
        <f>-'Supporting Schedules'!G23</f>
        <v>14943.87</v>
      </c>
      <c r="H10" s="203">
        <f>-'Supporting Schedules'!H23</f>
        <v>14863.27</v>
      </c>
      <c r="I10" s="203">
        <f>-'Supporting Schedules'!I23</f>
        <v>14794.67</v>
      </c>
      <c r="J10" s="229">
        <f>-'Supporting Schedules'!J23</f>
        <v>18523.442199999998</v>
      </c>
      <c r="K10" s="230">
        <f>-'Supporting Schedules'!K23</f>
        <v>18915.845868192002</v>
      </c>
      <c r="L10" s="230">
        <f>-'Supporting Schedules'!L23</f>
        <v>19295.3190463756</v>
      </c>
      <c r="M10" s="230">
        <f>-'Supporting Schedules'!M23</f>
        <v>23620.609062796531</v>
      </c>
      <c r="N10" s="230">
        <f>-'Supporting Schedules'!N23</f>
        <v>23811.590495996636</v>
      </c>
      <c r="O10" s="230">
        <f>-'Supporting Schedules'!O23</f>
        <v>23999.177668793938</v>
      </c>
      <c r="P10" s="230">
        <f>-'Supporting Schedules'!P23</f>
        <v>28236.027122316686</v>
      </c>
      <c r="Q10" s="230">
        <f>-'Supporting Schedules'!Q23</f>
        <v>28165.594676173885</v>
      </c>
      <c r="R10" s="230">
        <f>-'Supporting Schedules'!R23</f>
        <v>28109.554609317162</v>
      </c>
      <c r="S10" s="230">
        <f>-'Supporting Schedules'!S23</f>
        <v>32095.099888573266</v>
      </c>
    </row>
    <row r="11" spans="1:19" ht="14.4">
      <c r="C11" s="153" t="s">
        <v>236</v>
      </c>
      <c r="E11" s="203">
        <f>Historical!E123-Historical!E110</f>
        <v>60850.849999999977</v>
      </c>
      <c r="F11" s="203">
        <f>Historical!F123-Historical!F110</f>
        <v>76169.51999999999</v>
      </c>
      <c r="G11" s="203">
        <f>Historical!G123-Historical!G110</f>
        <v>54401.749999999993</v>
      </c>
      <c r="H11" s="203">
        <f>Historical!H123-Historical!H110</f>
        <v>24717.280000000006</v>
      </c>
      <c r="I11" s="203">
        <f>Historical!I123-Historical!I110</f>
        <v>-29328.399999999994</v>
      </c>
      <c r="J11" s="229">
        <f>-Model!M15-Model!M16</f>
        <v>-24496.074870122771</v>
      </c>
      <c r="K11" s="230">
        <f>-Model!N15-Model!N16</f>
        <v>-28117.490801279542</v>
      </c>
      <c r="L11" s="230">
        <f>-Model!O15-Model!O16</f>
        <v>-31956.97254274194</v>
      </c>
      <c r="M11" s="230">
        <f>-Model!P15-Model!P16</f>
        <v>-36027.651062763347</v>
      </c>
      <c r="N11" s="230">
        <f>-Model!Q15-Model!Q16</f>
        <v>-40343.448019008843</v>
      </c>
      <c r="O11" s="230">
        <f>-Model!R15-Model!R16</f>
        <v>-44919.12337040947</v>
      </c>
      <c r="P11" s="230">
        <f>-Model!S15-Model!S16</f>
        <v>-49770.325855993746</v>
      </c>
      <c r="Q11" s="230">
        <f>-Model!T15-Model!T16</f>
        <v>-54913.646513333479</v>
      </c>
      <c r="R11" s="230">
        <f>-Model!U15-Model!U16</f>
        <v>-60366.675419636005</v>
      </c>
      <c r="S11" s="230">
        <f>-Model!V15-Model!V16</f>
        <v>-66148.061849536491</v>
      </c>
    </row>
    <row r="12" spans="1:19" ht="14.4">
      <c r="C12" s="153" t="s">
        <v>237</v>
      </c>
      <c r="E12" s="203">
        <f>Historical!E136</f>
        <v>-106435.44</v>
      </c>
      <c r="F12" s="203">
        <f>Historical!F136</f>
        <v>-70201.860000000044</v>
      </c>
      <c r="G12" s="203">
        <f>Historical!G136</f>
        <v>75400.840000000011</v>
      </c>
      <c r="H12" s="203">
        <f>Historical!H136</f>
        <v>56283.509999999995</v>
      </c>
      <c r="I12" s="203">
        <f>Historical!I136</f>
        <v>79075.31</v>
      </c>
      <c r="J12" s="229">
        <f>'Supporting Schedules'!J12</f>
        <v>-329748.22577787971</v>
      </c>
      <c r="K12" s="230">
        <f>'Supporting Schedules'!K12</f>
        <v>-134929.22803823621</v>
      </c>
      <c r="L12" s="230">
        <f>'Supporting Schedules'!L12</f>
        <v>-143054.07533703046</v>
      </c>
      <c r="M12" s="230">
        <f>'Supporting Schedules'!M12</f>
        <v>-151668.16536394661</v>
      </c>
      <c r="N12" s="230">
        <f>'Supporting Schedules'!N12</f>
        <v>-160800.95817382826</v>
      </c>
      <c r="O12" s="230">
        <f>'Supporting Schedules'!O12</f>
        <v>-170483.68777702347</v>
      </c>
      <c r="P12" s="230">
        <f>'Supporting Schedules'!P12</f>
        <v>-180749.46895922365</v>
      </c>
      <c r="Q12" s="230">
        <f>'Supporting Schedules'!Q12</f>
        <v>-191633.4105335114</v>
      </c>
      <c r="R12" s="230">
        <f>'Supporting Schedules'!R12</f>
        <v>-203172.73541196383</v>
      </c>
      <c r="S12" s="230">
        <f>'Supporting Schedules'!S12</f>
        <v>-215406.90790743593</v>
      </c>
    </row>
    <row r="13" spans="1:19" ht="14.4">
      <c r="C13" s="252" t="s">
        <v>238</v>
      </c>
      <c r="D13" s="412"/>
      <c r="E13" s="253">
        <f t="shared" ref="E13:S13" si="1">SUM(E9:E12)</f>
        <v>35568.319999999978</v>
      </c>
      <c r="F13" s="253">
        <f t="shared" si="1"/>
        <v>146018.29999999993</v>
      </c>
      <c r="G13" s="253">
        <f t="shared" si="1"/>
        <v>283181.76</v>
      </c>
      <c r="H13" s="253">
        <f t="shared" si="1"/>
        <v>237526.39</v>
      </c>
      <c r="I13" s="253">
        <f t="shared" si="1"/>
        <v>253880.76</v>
      </c>
      <c r="J13" s="261">
        <f t="shared" si="1"/>
        <v>-93540.03531275515</v>
      </c>
      <c r="K13" s="262">
        <f t="shared" si="1"/>
        <v>114779.70199069206</v>
      </c>
      <c r="L13" s="262">
        <f t="shared" si="1"/>
        <v>120959.34178570833</v>
      </c>
      <c r="M13" s="262">
        <f t="shared" si="1"/>
        <v>127310.98657768042</v>
      </c>
      <c r="N13" s="262">
        <f t="shared" si="1"/>
        <v>134109.49056218565</v>
      </c>
      <c r="O13" s="262">
        <f t="shared" si="1"/>
        <v>141313.5449068693</v>
      </c>
      <c r="P13" s="262">
        <f t="shared" si="1"/>
        <v>148538.88291679329</v>
      </c>
      <c r="Q13" s="262">
        <f t="shared" si="1"/>
        <v>156457.51834882188</v>
      </c>
      <c r="R13" s="262">
        <f t="shared" si="1"/>
        <v>164857.85873574892</v>
      </c>
      <c r="S13" s="262">
        <f t="shared" si="1"/>
        <v>173053.61890044549</v>
      </c>
    </row>
    <row r="14" spans="1:19" ht="15.6">
      <c r="C14" s="153"/>
      <c r="E14" s="153"/>
      <c r="F14" s="153"/>
      <c r="G14" s="153"/>
      <c r="H14" s="153"/>
      <c r="I14" s="153"/>
      <c r="J14" s="240"/>
      <c r="K14" s="191"/>
      <c r="L14" s="191"/>
      <c r="M14" s="191"/>
      <c r="N14" s="191"/>
      <c r="O14" s="191"/>
      <c r="P14" s="191"/>
      <c r="Q14" s="191"/>
      <c r="R14" s="191"/>
      <c r="S14" s="191"/>
    </row>
    <row r="15" spans="1:19" ht="15.6">
      <c r="B15" s="144" t="s">
        <v>239</v>
      </c>
      <c r="E15" s="153"/>
      <c r="F15" s="153"/>
      <c r="G15" s="153"/>
      <c r="H15" s="153"/>
      <c r="I15" s="153"/>
      <c r="J15" s="457"/>
      <c r="K15" s="191"/>
      <c r="L15" s="191"/>
      <c r="M15" s="191"/>
      <c r="N15" s="191"/>
      <c r="O15" s="191"/>
      <c r="P15" s="191"/>
      <c r="Q15" s="191"/>
      <c r="R15" s="191"/>
      <c r="S15" s="191"/>
    </row>
    <row r="16" spans="1:19" ht="14.4">
      <c r="C16" s="153" t="s">
        <v>240</v>
      </c>
      <c r="E16" s="203">
        <f>Historical!E144</f>
        <v>-20630.71</v>
      </c>
      <c r="F16" s="203">
        <f>Historical!F144</f>
        <v>-1350.81</v>
      </c>
      <c r="G16" s="203">
        <f>Historical!G144</f>
        <v>-14843.28</v>
      </c>
      <c r="H16" s="203">
        <f>Historical!H144</f>
        <v>-6374.35</v>
      </c>
      <c r="I16" s="203">
        <f>Historical!I144</f>
        <v>-11552.05</v>
      </c>
      <c r="J16" s="375">
        <f>-'Supporting Schedules'!J22</f>
        <v>-26422.535000000007</v>
      </c>
      <c r="K16" s="230">
        <f>-'Supporting Schedules'!K22</f>
        <v>-26554.647675000004</v>
      </c>
      <c r="L16" s="230">
        <f>-'Supporting Schedules'!L22</f>
        <v>-26687.420913375001</v>
      </c>
      <c r="M16" s="230">
        <f>-'Supporting Schedules'!M22</f>
        <v>-26820.858017941871</v>
      </c>
      <c r="N16" s="230">
        <f>-'Supporting Schedules'!N22</f>
        <v>-26954.96230803158</v>
      </c>
      <c r="O16" s="230">
        <f>-'Supporting Schedules'!O22</f>
        <v>-27089.737119571735</v>
      </c>
      <c r="P16" s="230">
        <f>-'Supporting Schedules'!P22</f>
        <v>-27225.185805169593</v>
      </c>
      <c r="Q16" s="230">
        <f>-'Supporting Schedules'!Q22</f>
        <v>-27361.311734195438</v>
      </c>
      <c r="R16" s="230">
        <f>-'Supporting Schedules'!R22</f>
        <v>-27498.118292866413</v>
      </c>
      <c r="S16" s="230">
        <f>-'Supporting Schedules'!S22</f>
        <v>-27635.608884330741</v>
      </c>
    </row>
    <row r="17" spans="2:19" ht="15.6">
      <c r="C17" s="153" t="s">
        <v>241</v>
      </c>
      <c r="E17" s="203">
        <f>SUM(Historical!E145,Historical!E147)</f>
        <v>6766.81</v>
      </c>
      <c r="F17" s="203">
        <f>SUM(Historical!F145,Historical!F147)</f>
        <v>8473.5400000000009</v>
      </c>
      <c r="G17" s="203">
        <f>SUM(Historical!G145,Historical!G147)</f>
        <v>33311.03</v>
      </c>
      <c r="H17" s="203">
        <f>SUM(Historical!H145,Historical!H147)</f>
        <v>947.18</v>
      </c>
      <c r="I17" s="203">
        <f>SUM(Historical!I145,Historical!I147)</f>
        <v>74308.33</v>
      </c>
      <c r="J17" s="457"/>
      <c r="K17" s="191"/>
      <c r="L17" s="191"/>
      <c r="M17" s="191"/>
      <c r="N17" s="191"/>
      <c r="O17" s="191"/>
      <c r="P17" s="191"/>
      <c r="Q17" s="191"/>
      <c r="R17" s="191"/>
      <c r="S17" s="191"/>
    </row>
    <row r="18" spans="2:19" ht="15.6">
      <c r="C18" s="153" t="s">
        <v>242</v>
      </c>
      <c r="E18" s="203">
        <f>SUM(Historical!E148,Historical!E151,Historical!E152)</f>
        <v>579673.31000000006</v>
      </c>
      <c r="F18" s="203">
        <f>SUM(Historical!F148,Historical!F151,Historical!F152)</f>
        <v>-1748.7700000000004</v>
      </c>
      <c r="G18" s="203">
        <f>SUM(Historical!G148,Historical!G151,Historical!G152)</f>
        <v>-8861.0300000000007</v>
      </c>
      <c r="H18" s="203">
        <f>SUM(Historical!H148,Historical!H151,Historical!H152)</f>
        <v>-9487.9</v>
      </c>
      <c r="I18" s="203">
        <f>SUM(Historical!I148,Historical!I151,Historical!I152)</f>
        <v>-1897.4899999999998</v>
      </c>
      <c r="J18" s="457"/>
      <c r="K18" s="191"/>
      <c r="L18" s="191"/>
      <c r="M18" s="191"/>
      <c r="N18" s="191"/>
      <c r="O18" s="191"/>
      <c r="P18" s="191"/>
      <c r="Q18" s="191"/>
      <c r="R18" s="191"/>
      <c r="S18" s="191"/>
    </row>
    <row r="19" spans="2:19" ht="15.6">
      <c r="C19" s="153" t="s">
        <v>243</v>
      </c>
      <c r="E19" s="203">
        <f>SUM(Historical!E146,Historical!E149,Historical!E150,Historical!E153,Historical!E154)</f>
        <v>-123812.77999999993</v>
      </c>
      <c r="F19" s="203">
        <f>SUM(Historical!F146,Historical!F149,Historical!F150,Historical!F153,Historical!F154)</f>
        <v>-23517.469999999979</v>
      </c>
      <c r="G19" s="203">
        <f>SUM(Historical!G146,Historical!G149,Historical!G150,Historical!G153,Historical!G154)</f>
        <v>-28059.070000000011</v>
      </c>
      <c r="H19" s="203">
        <f>SUM(Historical!H146,Historical!H149,Historical!H150,Historical!H153,Historical!H154)</f>
        <v>-131257.84000000003</v>
      </c>
      <c r="I19" s="203">
        <f>SUM(Historical!I146,Historical!I149,Historical!I150,Historical!I153,Historical!I154)</f>
        <v>-290069.36</v>
      </c>
      <c r="J19" s="240"/>
      <c r="K19" s="191"/>
      <c r="L19" s="191"/>
      <c r="M19" s="191"/>
      <c r="N19" s="191"/>
      <c r="O19" s="191"/>
      <c r="P19" s="191"/>
      <c r="Q19" s="191"/>
      <c r="R19" s="191"/>
      <c r="S19" s="191"/>
    </row>
    <row r="20" spans="2:19" ht="14.4">
      <c r="C20" s="153" t="s">
        <v>244</v>
      </c>
      <c r="E20" s="203">
        <f>Historical!E155</f>
        <v>12369.33</v>
      </c>
      <c r="F20" s="203">
        <f>Historical!F155</f>
        <v>13832.18</v>
      </c>
      <c r="G20" s="203">
        <f>Historical!G155</f>
        <v>11170.89</v>
      </c>
      <c r="H20" s="203">
        <f>Historical!H155</f>
        <v>4464.58</v>
      </c>
      <c r="I20" s="203">
        <f>Historical!I155</f>
        <v>18013.8</v>
      </c>
      <c r="J20" s="229">
        <f>Model!M16</f>
        <v>60140.804870122774</v>
      </c>
      <c r="K20" s="230">
        <f>Model!N16</f>
        <v>63762.220801279545</v>
      </c>
      <c r="L20" s="230">
        <f>Model!O16</f>
        <v>67601.702542741943</v>
      </c>
      <c r="M20" s="230">
        <f>Model!P16</f>
        <v>71672.38106276335</v>
      </c>
      <c r="N20" s="230">
        <f>Model!Q16</f>
        <v>75988.178019008847</v>
      </c>
      <c r="O20" s="230">
        <f>Model!R16</f>
        <v>80563.853370409473</v>
      </c>
      <c r="P20" s="230">
        <f>Model!S16</f>
        <v>85415.055855993749</v>
      </c>
      <c r="Q20" s="230">
        <f>Model!T16</f>
        <v>90558.376513333482</v>
      </c>
      <c r="R20" s="230">
        <f>Model!U16</f>
        <v>96011.405419636008</v>
      </c>
      <c r="S20" s="230">
        <f>Model!V16</f>
        <v>101792.7918495365</v>
      </c>
    </row>
    <row r="21" spans="2:19" ht="15.6">
      <c r="C21" s="153" t="s">
        <v>245</v>
      </c>
      <c r="E21" s="203">
        <f>Historical!E156</f>
        <v>197315.72</v>
      </c>
      <c r="F21" s="203">
        <f>Historical!F156</f>
        <v>19707.37</v>
      </c>
      <c r="G21" s="203">
        <f>Historical!G156</f>
        <v>33578.68</v>
      </c>
      <c r="H21" s="203">
        <f>Historical!H156</f>
        <v>95445.96</v>
      </c>
      <c r="I21" s="203">
        <f>Historical!I156</f>
        <v>58330.04</v>
      </c>
      <c r="J21" s="240"/>
      <c r="K21" s="191"/>
      <c r="L21" s="191"/>
      <c r="M21" s="191"/>
      <c r="N21" s="191"/>
      <c r="O21" s="191"/>
      <c r="P21" s="191"/>
      <c r="Q21" s="191"/>
      <c r="R21" s="191"/>
      <c r="S21" s="191"/>
    </row>
    <row r="22" spans="2:19" ht="14.4">
      <c r="C22" s="252" t="s">
        <v>239</v>
      </c>
      <c r="D22" s="412"/>
      <c r="E22" s="253">
        <f>SUM(E16:E21)</f>
        <v>651681.68000000017</v>
      </c>
      <c r="F22" s="253">
        <f t="shared" ref="F22:S22" si="2">SUM(F16:F21)</f>
        <v>15396.040000000019</v>
      </c>
      <c r="G22" s="253">
        <f t="shared" si="2"/>
        <v>26297.219999999987</v>
      </c>
      <c r="H22" s="253">
        <f t="shared" si="2"/>
        <v>-46262.370000000039</v>
      </c>
      <c r="I22" s="253">
        <f t="shared" si="2"/>
        <v>-152866.72999999998</v>
      </c>
      <c r="J22" s="263">
        <f t="shared" si="2"/>
        <v>33718.269870122764</v>
      </c>
      <c r="K22" s="253">
        <f t="shared" si="2"/>
        <v>37207.573126279545</v>
      </c>
      <c r="L22" s="253">
        <f t="shared" si="2"/>
        <v>40914.281629366946</v>
      </c>
      <c r="M22" s="253">
        <f t="shared" si="2"/>
        <v>44851.523044821479</v>
      </c>
      <c r="N22" s="253">
        <f t="shared" si="2"/>
        <v>49033.215710977267</v>
      </c>
      <c r="O22" s="253">
        <f t="shared" si="2"/>
        <v>53474.116250837738</v>
      </c>
      <c r="P22" s="253">
        <f t="shared" si="2"/>
        <v>58189.87005082416</v>
      </c>
      <c r="Q22" s="253">
        <f t="shared" si="2"/>
        <v>63197.064779138047</v>
      </c>
      <c r="R22" s="253">
        <f t="shared" si="2"/>
        <v>68513.287126769603</v>
      </c>
      <c r="S22" s="253">
        <f t="shared" si="2"/>
        <v>74157.182965205764</v>
      </c>
    </row>
    <row r="23" spans="2:19" ht="15.6">
      <c r="C23" s="153"/>
      <c r="E23" s="153"/>
      <c r="F23" s="153"/>
      <c r="G23" s="153"/>
      <c r="H23" s="153"/>
      <c r="I23" s="153"/>
      <c r="J23" s="240"/>
      <c r="K23" s="191"/>
      <c r="L23" s="191"/>
      <c r="M23" s="191"/>
      <c r="N23" s="191"/>
      <c r="O23" s="191"/>
      <c r="P23" s="191"/>
      <c r="Q23" s="191"/>
      <c r="R23" s="191"/>
      <c r="S23" s="191"/>
    </row>
    <row r="24" spans="2:19" ht="15.6">
      <c r="B24" s="144" t="s">
        <v>246</v>
      </c>
      <c r="E24" s="153"/>
      <c r="F24" s="153"/>
      <c r="G24" s="153"/>
      <c r="H24" s="153"/>
      <c r="I24" s="153"/>
      <c r="J24" s="240"/>
      <c r="K24" s="191"/>
      <c r="L24" s="191"/>
      <c r="M24" s="191"/>
      <c r="N24" s="191"/>
      <c r="O24" s="191"/>
      <c r="P24" s="191"/>
      <c r="Q24" s="191"/>
      <c r="R24" s="191"/>
      <c r="S24" s="191"/>
    </row>
    <row r="25" spans="2:19" ht="14.4">
      <c r="C25" s="153" t="s">
        <v>247</v>
      </c>
      <c r="E25" s="203">
        <f>SUM(Historical!E161:E166,Historical!E168)</f>
        <v>-857806.29</v>
      </c>
      <c r="F25" s="203">
        <f>SUM(Historical!F161:F166,Historical!F168)</f>
        <v>-126557.69999999997</v>
      </c>
      <c r="G25" s="203">
        <f>SUM(Historical!G161:G166,Historical!G168)</f>
        <v>-270035.13999999996</v>
      </c>
      <c r="H25" s="203">
        <f>SUM(Historical!H161:H166,Historical!H168)</f>
        <v>-90040.63</v>
      </c>
      <c r="I25" s="203">
        <f>SUM(Historical!I161:I166,Historical!I168)</f>
        <v>86015.489999999976</v>
      </c>
      <c r="J25" s="228">
        <v>0</v>
      </c>
      <c r="K25" s="153">
        <v>0</v>
      </c>
      <c r="L25" s="153">
        <v>0</v>
      </c>
      <c r="M25" s="153">
        <v>0</v>
      </c>
      <c r="N25" s="153">
        <v>0</v>
      </c>
      <c r="O25" s="153">
        <v>0</v>
      </c>
      <c r="P25" s="153">
        <v>0</v>
      </c>
      <c r="Q25" s="153">
        <v>0</v>
      </c>
      <c r="R25" s="153">
        <v>0</v>
      </c>
      <c r="S25" s="153">
        <v>0</v>
      </c>
    </row>
    <row r="26" spans="2:19" ht="14.4">
      <c r="C26" s="153" t="s">
        <v>248</v>
      </c>
      <c r="E26" s="203">
        <f>Historical!E160</f>
        <v>224990</v>
      </c>
      <c r="F26" s="203">
        <f>Historical!F160</f>
        <v>0</v>
      </c>
      <c r="G26" s="203">
        <f>Historical!G160</f>
        <v>0</v>
      </c>
      <c r="H26" s="203">
        <f>Historical!H160</f>
        <v>0</v>
      </c>
      <c r="I26" s="203">
        <f>Historical!I160</f>
        <v>59801</v>
      </c>
      <c r="J26" s="228">
        <v>0</v>
      </c>
      <c r="K26" s="153">
        <v>0</v>
      </c>
      <c r="L26" s="153">
        <v>0</v>
      </c>
      <c r="M26" s="153">
        <v>0</v>
      </c>
      <c r="N26" s="153">
        <v>0</v>
      </c>
      <c r="O26" s="153">
        <v>0</v>
      </c>
      <c r="P26" s="153">
        <v>0</v>
      </c>
      <c r="Q26" s="153">
        <v>0</v>
      </c>
      <c r="R26" s="153">
        <v>0</v>
      </c>
      <c r="S26" s="153">
        <v>0</v>
      </c>
    </row>
    <row r="27" spans="2:19" ht="28.8">
      <c r="C27" s="413" t="s">
        <v>171</v>
      </c>
      <c r="E27" s="203">
        <f>Historical!E169</f>
        <v>-400.89</v>
      </c>
      <c r="F27" s="203">
        <f>Historical!F169</f>
        <v>72.400000000000006</v>
      </c>
      <c r="G27" s="203">
        <f>Historical!G169</f>
        <v>179.35</v>
      </c>
      <c r="H27" s="203">
        <f>Historical!H169</f>
        <v>24.96</v>
      </c>
      <c r="I27" s="203">
        <f>Historical!I169</f>
        <v>-327.01</v>
      </c>
      <c r="J27" s="228"/>
      <c r="K27" s="153"/>
      <c r="L27" s="153"/>
      <c r="M27" s="153"/>
      <c r="N27" s="153"/>
      <c r="O27" s="153"/>
      <c r="P27" s="153"/>
      <c r="Q27" s="153"/>
      <c r="R27" s="153"/>
      <c r="S27" s="153"/>
    </row>
    <row r="28" spans="2:19" ht="14.4">
      <c r="C28" s="153" t="s">
        <v>249</v>
      </c>
      <c r="E28" s="203">
        <f>Historical!E170</f>
        <v>-80771.44</v>
      </c>
      <c r="F28" s="203">
        <f>Historical!F170</f>
        <v>-19874.89</v>
      </c>
      <c r="G28" s="203">
        <f>Historical!G170</f>
        <v>-49685.58</v>
      </c>
      <c r="H28" s="203">
        <f>Historical!H170</f>
        <v>-74284.31</v>
      </c>
      <c r="I28" s="203">
        <f>Historical!I170</f>
        <v>-98685.46</v>
      </c>
      <c r="J28" s="229">
        <f>-Model!M20*'Ratios Analysis'!K35</f>
        <v>-75213.440914483261</v>
      </c>
      <c r="K28" s="230">
        <f>-Model!N20*'Ratios Analysis'!L35</f>
        <v>-80409.154531469001</v>
      </c>
      <c r="L28" s="230">
        <f>-Model!O20*'Ratios Analysis'!M35</f>
        <v>-85926.225731338156</v>
      </c>
      <c r="M28" s="230">
        <f>-Model!P20*'Ratios Analysis'!N35</f>
        <v>-90495.019372706563</v>
      </c>
      <c r="N28" s="230">
        <f>-Model!Q20*'Ratios Analysis'!O35</f>
        <v>-96723.791738877786</v>
      </c>
      <c r="O28" s="230">
        <f>-Model!R20*'Ratios Analysis'!P35</f>
        <v>-103331.0710309906</v>
      </c>
      <c r="P28" s="230">
        <f>-Model!S20*'Ratios Analysis'!Q35</f>
        <v>-108954.03839782506</v>
      </c>
      <c r="Q28" s="230">
        <f>-Model!T20*'Ratios Analysis'!R35</f>
        <v>-116412.72485495763</v>
      </c>
      <c r="R28" s="230">
        <f>-Model!U20*'Ratios Analysis'!S35</f>
        <v>-124316.26917452495</v>
      </c>
      <c r="S28" s="230">
        <f>-Model!V20*'Ratios Analysis'!T35</f>
        <v>-131218.86742180522</v>
      </c>
    </row>
    <row r="29" spans="2:19" ht="14.4">
      <c r="C29" s="153" t="s">
        <v>250</v>
      </c>
      <c r="E29" s="203">
        <f>Historical!E167</f>
        <v>-238186.6</v>
      </c>
      <c r="F29" s="203">
        <f>Historical!F167</f>
        <v>-72018.36</v>
      </c>
      <c r="G29" s="203">
        <f>Historical!G167</f>
        <v>-63277.62</v>
      </c>
      <c r="H29" s="203">
        <f>Historical!H167</f>
        <v>-37015.08</v>
      </c>
      <c r="I29" s="203">
        <f>Historical!I167</f>
        <v>-29143.51</v>
      </c>
      <c r="J29" s="229">
        <f>'Supporting Schedules'!J30</f>
        <v>-35644.730000000003</v>
      </c>
      <c r="K29" s="230">
        <f>'Supporting Schedules'!K30</f>
        <v>-35644.730000000003</v>
      </c>
      <c r="L29" s="230">
        <f>'Supporting Schedules'!L30</f>
        <v>-35644.730000000003</v>
      </c>
      <c r="M29" s="230">
        <f>'Supporting Schedules'!M30</f>
        <v>-35644.730000000003</v>
      </c>
      <c r="N29" s="230">
        <f>'Supporting Schedules'!N30</f>
        <v>-35644.730000000003</v>
      </c>
      <c r="O29" s="230">
        <f>'Supporting Schedules'!O30</f>
        <v>-35644.730000000003</v>
      </c>
      <c r="P29" s="230">
        <f>'Supporting Schedules'!P30</f>
        <v>-35644.730000000003</v>
      </c>
      <c r="Q29" s="230">
        <f>'Supporting Schedules'!Q30</f>
        <v>-35644.730000000003</v>
      </c>
      <c r="R29" s="230">
        <f>'Supporting Schedules'!R30</f>
        <v>-35644.730000000003</v>
      </c>
      <c r="S29" s="230">
        <f>'Supporting Schedules'!S30</f>
        <v>-35644.730000000003</v>
      </c>
    </row>
    <row r="30" spans="2:19" ht="14.4">
      <c r="C30" s="252" t="s">
        <v>251</v>
      </c>
      <c r="D30" s="412"/>
      <c r="E30" s="253">
        <f t="shared" ref="E30:S30" si="3">SUM(E25:E29)</f>
        <v>-952175.22000000009</v>
      </c>
      <c r="F30" s="253">
        <f t="shared" si="3"/>
        <v>-218378.55</v>
      </c>
      <c r="G30" s="253">
        <f t="shared" si="3"/>
        <v>-382818.99</v>
      </c>
      <c r="H30" s="253">
        <f t="shared" si="3"/>
        <v>-201315.06</v>
      </c>
      <c r="I30" s="253">
        <f t="shared" si="3"/>
        <v>17660.509999999977</v>
      </c>
      <c r="J30" s="263">
        <f t="shared" si="3"/>
        <v>-110858.17091448326</v>
      </c>
      <c r="K30" s="253">
        <f t="shared" si="3"/>
        <v>-116053.884531469</v>
      </c>
      <c r="L30" s="253">
        <f t="shared" si="3"/>
        <v>-121570.95573133815</v>
      </c>
      <c r="M30" s="253">
        <f t="shared" si="3"/>
        <v>-126139.74937270657</v>
      </c>
      <c r="N30" s="253">
        <f t="shared" si="3"/>
        <v>-132368.52173887778</v>
      </c>
      <c r="O30" s="253">
        <f t="shared" si="3"/>
        <v>-138975.80103099061</v>
      </c>
      <c r="P30" s="253">
        <f t="shared" si="3"/>
        <v>-144598.76839782507</v>
      </c>
      <c r="Q30" s="253">
        <f t="shared" si="3"/>
        <v>-152057.45485495764</v>
      </c>
      <c r="R30" s="253">
        <f t="shared" si="3"/>
        <v>-159960.99917452494</v>
      </c>
      <c r="S30" s="253">
        <f t="shared" si="3"/>
        <v>-166863.59742180523</v>
      </c>
    </row>
    <row r="31" spans="2:19" ht="14.4">
      <c r="C31" s="153"/>
      <c r="E31" s="203"/>
      <c r="F31" s="203"/>
      <c r="G31" s="203"/>
      <c r="H31" s="203"/>
      <c r="I31" s="203"/>
      <c r="J31" s="264"/>
      <c r="K31" s="203"/>
      <c r="L31" s="203"/>
      <c r="M31" s="203"/>
      <c r="N31" s="203"/>
      <c r="O31" s="203"/>
      <c r="P31" s="203"/>
      <c r="Q31" s="203"/>
      <c r="R31" s="203"/>
      <c r="S31" s="203"/>
    </row>
    <row r="32" spans="2:19" ht="14.4">
      <c r="C32" s="153"/>
      <c r="E32" s="203"/>
      <c r="F32" s="203"/>
      <c r="G32" s="203"/>
      <c r="H32" s="203"/>
      <c r="I32" s="203"/>
      <c r="J32" s="423"/>
      <c r="K32" s="203"/>
      <c r="L32" s="203"/>
      <c r="M32" s="203"/>
      <c r="N32" s="203"/>
      <c r="O32" s="203"/>
      <c r="P32" s="203"/>
      <c r="Q32" s="203"/>
      <c r="R32" s="203"/>
      <c r="S32" s="203"/>
    </row>
    <row r="33" spans="3:19" ht="14.4">
      <c r="C33" s="541" t="s">
        <v>252</v>
      </c>
      <c r="D33" s="366"/>
      <c r="E33" s="542">
        <f t="shared" ref="E33:S33" si="4">SUM(E13,E22,E30)</f>
        <v>-264925.21999999997</v>
      </c>
      <c r="F33" s="542">
        <f t="shared" si="4"/>
        <v>-56964.21000000005</v>
      </c>
      <c r="G33" s="542">
        <f t="shared" si="4"/>
        <v>-73340.010000000009</v>
      </c>
      <c r="H33" s="542">
        <f t="shared" si="4"/>
        <v>-10051.040000000037</v>
      </c>
      <c r="I33" s="542">
        <f t="shared" si="4"/>
        <v>118674.54000000001</v>
      </c>
      <c r="J33" s="543">
        <f t="shared" si="4"/>
        <v>-170679.93635711563</v>
      </c>
      <c r="K33" s="544">
        <f t="shared" si="4"/>
        <v>35933.39058550261</v>
      </c>
      <c r="L33" s="544">
        <f t="shared" si="4"/>
        <v>40302.66768373712</v>
      </c>
      <c r="M33" s="544">
        <f t="shared" si="4"/>
        <v>46022.760249795334</v>
      </c>
      <c r="N33" s="544">
        <f t="shared" si="4"/>
        <v>50774.18453428513</v>
      </c>
      <c r="O33" s="544">
        <f t="shared" si="4"/>
        <v>55811.860126716434</v>
      </c>
      <c r="P33" s="544">
        <f t="shared" si="4"/>
        <v>62129.984569792374</v>
      </c>
      <c r="Q33" s="544">
        <f t="shared" si="4"/>
        <v>67597.128273002279</v>
      </c>
      <c r="R33" s="544">
        <f t="shared" si="4"/>
        <v>73410.146687993576</v>
      </c>
      <c r="S33" s="544">
        <f t="shared" si="4"/>
        <v>80347.204443846043</v>
      </c>
    </row>
    <row r="34" spans="3:19" ht="14.4">
      <c r="C34" s="280" t="s">
        <v>253</v>
      </c>
      <c r="D34" s="366"/>
      <c r="E34" s="542">
        <f>SUM(Historical!E175:E177)</f>
        <v>425762.62</v>
      </c>
      <c r="F34" s="542">
        <f>SUM(Historical!F175:F177)</f>
        <v>160488.25999999992</v>
      </c>
      <c r="G34" s="542">
        <f>SUM(Historical!G175:G177)</f>
        <v>103924.98999999993</v>
      </c>
      <c r="H34" s="542">
        <f>SUM(Historical!H175:H177)</f>
        <v>30786.199999999935</v>
      </c>
      <c r="I34" s="542">
        <f>SUM(Historical!I175:I177)</f>
        <v>20708.469999999965</v>
      </c>
      <c r="J34" s="545">
        <f t="shared" ref="J34:S34" si="5">I35</f>
        <v>139383.00999999998</v>
      </c>
      <c r="K34" s="544">
        <f t="shared" si="5"/>
        <v>-31296.926357115648</v>
      </c>
      <c r="L34" s="544">
        <f t="shared" si="5"/>
        <v>4636.4642283869616</v>
      </c>
      <c r="M34" s="544">
        <f t="shared" si="5"/>
        <v>44939.131912124081</v>
      </c>
      <c r="N34" s="544">
        <f t="shared" si="5"/>
        <v>90961.892161919415</v>
      </c>
      <c r="O34" s="544">
        <f t="shared" si="5"/>
        <v>141736.07669620455</v>
      </c>
      <c r="P34" s="544">
        <f t="shared" si="5"/>
        <v>197547.93682292098</v>
      </c>
      <c r="Q34" s="544">
        <f t="shared" si="5"/>
        <v>259677.92139271335</v>
      </c>
      <c r="R34" s="544">
        <f t="shared" si="5"/>
        <v>327275.04966571566</v>
      </c>
      <c r="S34" s="544">
        <f t="shared" si="5"/>
        <v>400685.19635370921</v>
      </c>
    </row>
    <row r="35" spans="3:19" ht="15" thickBot="1">
      <c r="C35" s="546" t="s">
        <v>254</v>
      </c>
      <c r="D35" s="547"/>
      <c r="E35" s="548">
        <f>SUM(E33:E34)</f>
        <v>160837.40000000002</v>
      </c>
      <c r="F35" s="548">
        <f t="shared" ref="F35:S35" si="6">SUM(F33:F34)</f>
        <v>103524.04999999987</v>
      </c>
      <c r="G35" s="548">
        <f t="shared" si="6"/>
        <v>30584.979999999923</v>
      </c>
      <c r="H35" s="548">
        <f>SUM(H33:H34)</f>
        <v>20735.159999999898</v>
      </c>
      <c r="I35" s="548">
        <f t="shared" si="6"/>
        <v>139383.00999999998</v>
      </c>
      <c r="J35" s="549">
        <f t="shared" si="6"/>
        <v>-31296.926357115648</v>
      </c>
      <c r="K35" s="548">
        <f t="shared" si="6"/>
        <v>4636.4642283869616</v>
      </c>
      <c r="L35" s="548">
        <f t="shared" si="6"/>
        <v>44939.131912124081</v>
      </c>
      <c r="M35" s="548">
        <f t="shared" si="6"/>
        <v>90961.892161919415</v>
      </c>
      <c r="N35" s="548">
        <f t="shared" si="6"/>
        <v>141736.07669620455</v>
      </c>
      <c r="O35" s="548">
        <f t="shared" si="6"/>
        <v>197547.93682292098</v>
      </c>
      <c r="P35" s="548">
        <f t="shared" si="6"/>
        <v>259677.92139271335</v>
      </c>
      <c r="Q35" s="548">
        <f t="shared" si="6"/>
        <v>327275.04966571566</v>
      </c>
      <c r="R35" s="548">
        <f t="shared" si="6"/>
        <v>400685.19635370921</v>
      </c>
      <c r="S35" s="548">
        <f t="shared" si="6"/>
        <v>481032.40079755522</v>
      </c>
    </row>
    <row r="36" spans="3:19" ht="13.8" thickTop="1"/>
  </sheetData>
  <mergeCells count="1">
    <mergeCell ref="C3:S3"/>
  </mergeCells>
  <pageMargins left="0.7" right="0.7" top="0.75" bottom="0.75" header="0.3" footer="0.3"/>
  <ignoredErrors>
    <ignoredError sqref="E34:I34"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FE657-9683-4304-AC06-340DCEF98B25}">
  <sheetPr>
    <tabColor theme="4" tint="0.39997558519241921"/>
  </sheetPr>
  <dimension ref="C3:S30"/>
  <sheetViews>
    <sheetView showGridLines="0" zoomScale="70" zoomScaleNormal="70" workbookViewId="0">
      <selection activeCell="V20" sqref="V20"/>
    </sheetView>
  </sheetViews>
  <sheetFormatPr defaultRowHeight="13.2"/>
  <cols>
    <col min="1" max="2" width="1.33203125" customWidth="1"/>
    <col min="3" max="3" width="21.6640625" customWidth="1"/>
    <col min="5" max="9" width="9.77734375" bestFit="1" customWidth="1"/>
    <col min="10" max="19" width="10.77734375" bestFit="1" customWidth="1"/>
  </cols>
  <sheetData>
    <row r="3" spans="3:19" ht="17.399999999999999">
      <c r="C3" s="592" t="s">
        <v>255</v>
      </c>
      <c r="D3" s="592"/>
      <c r="E3" s="592"/>
      <c r="F3" s="592"/>
      <c r="G3" s="592"/>
      <c r="H3" s="592"/>
      <c r="I3" s="592"/>
      <c r="J3" s="592"/>
      <c r="K3" s="592"/>
      <c r="L3" s="592"/>
      <c r="M3" s="592"/>
      <c r="N3" s="592"/>
      <c r="O3" s="592"/>
      <c r="P3" s="592"/>
      <c r="Q3" s="592"/>
      <c r="R3" s="592"/>
      <c r="S3" s="592"/>
    </row>
    <row r="5" spans="3:19" s="402" customFormat="1" ht="21" customHeight="1">
      <c r="C5" s="401"/>
      <c r="D5" s="401"/>
      <c r="E5" s="403">
        <v>2020</v>
      </c>
      <c r="F5" s="403">
        <f t="shared" ref="F5:S5" si="0">E5+1</f>
        <v>2021</v>
      </c>
      <c r="G5" s="403">
        <f t="shared" si="0"/>
        <v>2022</v>
      </c>
      <c r="H5" s="403">
        <f t="shared" si="0"/>
        <v>2023</v>
      </c>
      <c r="I5" s="403">
        <f t="shared" si="0"/>
        <v>2024</v>
      </c>
      <c r="J5" s="404">
        <f t="shared" si="0"/>
        <v>2025</v>
      </c>
      <c r="K5" s="404">
        <f t="shared" si="0"/>
        <v>2026</v>
      </c>
      <c r="L5" s="404">
        <f t="shared" si="0"/>
        <v>2027</v>
      </c>
      <c r="M5" s="404">
        <f t="shared" si="0"/>
        <v>2028</v>
      </c>
      <c r="N5" s="404">
        <f t="shared" si="0"/>
        <v>2029</v>
      </c>
      <c r="O5" s="404">
        <f t="shared" si="0"/>
        <v>2030</v>
      </c>
      <c r="P5" s="404">
        <f t="shared" si="0"/>
        <v>2031</v>
      </c>
      <c r="Q5" s="404">
        <f t="shared" si="0"/>
        <v>2032</v>
      </c>
      <c r="R5" s="404">
        <f t="shared" si="0"/>
        <v>2033</v>
      </c>
      <c r="S5" s="404">
        <f t="shared" si="0"/>
        <v>2034</v>
      </c>
    </row>
    <row r="6" spans="3:19" s="420" customFormat="1" ht="17.399999999999999">
      <c r="C6" s="631" t="s">
        <v>489</v>
      </c>
      <c r="E6" s="421"/>
      <c r="F6" s="421"/>
      <c r="G6" s="421"/>
      <c r="H6" s="421"/>
      <c r="I6" s="421"/>
      <c r="J6" s="422"/>
      <c r="K6" s="422"/>
      <c r="L6" s="422"/>
      <c r="M6" s="422"/>
      <c r="N6" s="422"/>
      <c r="O6" s="422"/>
      <c r="P6" s="422"/>
      <c r="Q6" s="422"/>
      <c r="R6" s="422"/>
      <c r="S6" s="422"/>
    </row>
    <row r="7" spans="3:19" ht="15.6">
      <c r="C7" s="438" t="s">
        <v>256</v>
      </c>
      <c r="D7" s="434"/>
      <c r="E7" s="434"/>
      <c r="F7" s="434"/>
      <c r="G7" s="434"/>
      <c r="H7" s="434"/>
      <c r="I7" s="434"/>
      <c r="J7" s="436"/>
      <c r="K7" s="439"/>
      <c r="L7" s="439"/>
      <c r="M7" s="439"/>
      <c r="N7" s="439"/>
      <c r="O7" s="439"/>
      <c r="P7" s="439"/>
      <c r="Q7" s="439"/>
      <c r="R7" s="439"/>
      <c r="S7" s="439"/>
    </row>
    <row r="8" spans="3:19" ht="14.4">
      <c r="C8" s="153" t="s">
        <v>257</v>
      </c>
      <c r="D8" s="153"/>
      <c r="E8" s="203">
        <f>Historical!E131</f>
        <v>-8156.69</v>
      </c>
      <c r="F8" s="203">
        <f>Historical!F131</f>
        <v>3085</v>
      </c>
      <c r="G8" s="203">
        <f>Historical!G131</f>
        <v>2412.9299999999998</v>
      </c>
      <c r="H8" s="203">
        <f>Historical!H131</f>
        <v>6054.15</v>
      </c>
      <c r="I8" s="203">
        <f>Historical!I131</f>
        <v>3612.76</v>
      </c>
      <c r="J8" s="229">
        <f>Model!L29-Model!M29</f>
        <v>-14950.909089810739</v>
      </c>
      <c r="K8" s="230">
        <f>Model!M29-Model!N29</f>
        <v>-4140.3050328620593</v>
      </c>
      <c r="L8" s="230">
        <f>Model!N29-Model!O29</f>
        <v>-4389.616072816294</v>
      </c>
      <c r="M8" s="230">
        <f>Model!O29-Model!P29</f>
        <v>-4653.9395319400646</v>
      </c>
      <c r="N8" s="230">
        <f>Model!P29-Model!Q29</f>
        <v>-4934.1793923810037</v>
      </c>
      <c r="O8" s="230">
        <f>Model!Q29-Model!R29</f>
        <v>-5231.2940701333428</v>
      </c>
      <c r="P8" s="230">
        <f>Model!R29-Model!S29</f>
        <v>-5546.2996928059874</v>
      </c>
      <c r="Q8" s="230">
        <f>Model!S29-Model!T29</f>
        <v>-5880.273574763065</v>
      </c>
      <c r="R8" s="230">
        <f>Model!T29-Model!U29</f>
        <v>-6234.3579015224677</v>
      </c>
      <c r="S8" s="230">
        <f>Model!U29-Model!V29</f>
        <v>-6609.7636360127653</v>
      </c>
    </row>
    <row r="9" spans="3:19" ht="14.4">
      <c r="C9" s="153" t="s">
        <v>208</v>
      </c>
      <c r="D9" s="153"/>
      <c r="E9" s="203">
        <f>Historical!E128</f>
        <v>252339.42</v>
      </c>
      <c r="F9" s="203">
        <f>Historical!F128</f>
        <v>148003.04999999999</v>
      </c>
      <c r="G9" s="203">
        <f>Historical!G128</f>
        <v>98689.69</v>
      </c>
      <c r="H9" s="203">
        <f>Historical!H128</f>
        <v>79205.81</v>
      </c>
      <c r="I9" s="203">
        <f>Historical!I128</f>
        <v>-153291.63</v>
      </c>
      <c r="J9" s="229">
        <f>Model!L30-Model!M30</f>
        <v>-322976.54906934686</v>
      </c>
      <c r="K9" s="230">
        <f>Model!M30-Model!N30</f>
        <v>-146829.15252448898</v>
      </c>
      <c r="L9" s="230">
        <f>Model!N30-Model!O30</f>
        <v>-155670.5611697291</v>
      </c>
      <c r="M9" s="230">
        <f>Model!O30-Model!P30</f>
        <v>-165044.36072977213</v>
      </c>
      <c r="N9" s="230">
        <f>Model!P30-Model!Q30</f>
        <v>-174982.60945433052</v>
      </c>
      <c r="O9" s="230">
        <f>Model!Q30-Model!R30</f>
        <v>-185519.29600054026</v>
      </c>
      <c r="P9" s="230">
        <f>Model!R30-Model!S30</f>
        <v>-196690.45567364804</v>
      </c>
      <c r="Q9" s="230">
        <f>Model!S30-Model!T30</f>
        <v>-208534.29366719117</v>
      </c>
      <c r="R9" s="230">
        <f>Model!T30-Model!U30</f>
        <v>-221091.31572417496</v>
      </c>
      <c r="S9" s="230">
        <f>Model!U30-Model!V30</f>
        <v>-234404.46666608611</v>
      </c>
    </row>
    <row r="10" spans="3:19" ht="14.4">
      <c r="C10" s="153" t="s">
        <v>258</v>
      </c>
      <c r="D10" s="153"/>
      <c r="E10" s="203">
        <f>Historical!E135</f>
        <v>-14090.14</v>
      </c>
      <c r="F10" s="203">
        <f>Historical!F135</f>
        <v>21907.34</v>
      </c>
      <c r="G10" s="203">
        <f>Historical!G135</f>
        <v>31993.47</v>
      </c>
      <c r="H10" s="203">
        <f>Historical!H135</f>
        <v>12539.48</v>
      </c>
      <c r="I10" s="203">
        <f>Historical!I135</f>
        <v>14988.5</v>
      </c>
      <c r="J10" s="229">
        <f>Model!M45-Model!L45</f>
        <v>8179.2323812779214</v>
      </c>
      <c r="K10" s="230">
        <f>Model!N45-Model!M45</f>
        <v>16040.22951911483</v>
      </c>
      <c r="L10" s="230">
        <f>Model!O45-Model!N45</f>
        <v>17006.101905514952</v>
      </c>
      <c r="M10" s="230">
        <f>Model!P45-Model!O45</f>
        <v>18030.134897765587</v>
      </c>
      <c r="N10" s="230">
        <f>Model!Q45-Model!P45</f>
        <v>19115.830672883254</v>
      </c>
      <c r="O10" s="230">
        <f>Model!R45-Model!Q45</f>
        <v>20266.902293650142</v>
      </c>
      <c r="P10" s="230">
        <f>Model!S45-Model!R45</f>
        <v>21487.286407230364</v>
      </c>
      <c r="Q10" s="230">
        <f>Model!T45-Model!S45</f>
        <v>22781.156708442839</v>
      </c>
      <c r="R10" s="230">
        <f>Model!U45-Model!T45</f>
        <v>24152.938213733607</v>
      </c>
      <c r="S10" s="230">
        <f>Model!V45-Model!U45</f>
        <v>25607.322394662944</v>
      </c>
    </row>
    <row r="11" spans="3:19" ht="14.4">
      <c r="C11" s="153" t="s">
        <v>259</v>
      </c>
      <c r="D11" s="153"/>
      <c r="E11" s="203">
        <f>Historical!E136</f>
        <v>-106435.44</v>
      </c>
      <c r="F11" s="203">
        <f>Historical!F136</f>
        <v>-70201.860000000044</v>
      </c>
      <c r="G11" s="203">
        <f>Historical!G136</f>
        <v>75400.840000000011</v>
      </c>
      <c r="H11" s="203">
        <f>Historical!H136</f>
        <v>56283.509999999995</v>
      </c>
      <c r="I11" s="203">
        <f>Historical!I136</f>
        <v>79075.31</v>
      </c>
      <c r="J11" s="428">
        <v>0</v>
      </c>
      <c r="K11" s="153">
        <v>0</v>
      </c>
      <c r="L11" s="153">
        <v>0</v>
      </c>
      <c r="M11" s="153">
        <v>0</v>
      </c>
      <c r="N11" s="153">
        <v>0</v>
      </c>
      <c r="O11" s="153">
        <v>0</v>
      </c>
      <c r="P11" s="153">
        <v>0</v>
      </c>
      <c r="Q11" s="153">
        <v>0</v>
      </c>
      <c r="R11" s="153">
        <v>0</v>
      </c>
      <c r="S11" s="153">
        <v>0</v>
      </c>
    </row>
    <row r="12" spans="3:19" ht="14.4">
      <c r="C12" s="252" t="s">
        <v>178</v>
      </c>
      <c r="D12" s="252"/>
      <c r="E12" s="253">
        <f t="shared" ref="E12:S12" si="1">SUM(E8:E11)</f>
        <v>123657.15000000002</v>
      </c>
      <c r="F12" s="253">
        <f t="shared" si="1"/>
        <v>102793.52999999994</v>
      </c>
      <c r="G12" s="253">
        <f t="shared" si="1"/>
        <v>208496.93</v>
      </c>
      <c r="H12" s="253">
        <f t="shared" si="1"/>
        <v>154082.94999999998</v>
      </c>
      <c r="I12" s="253">
        <f t="shared" si="1"/>
        <v>-55615.06</v>
      </c>
      <c r="J12" s="429">
        <f t="shared" si="1"/>
        <v>-329748.22577787971</v>
      </c>
      <c r="K12" s="253">
        <f t="shared" si="1"/>
        <v>-134929.22803823621</v>
      </c>
      <c r="L12" s="253">
        <f t="shared" si="1"/>
        <v>-143054.07533703046</v>
      </c>
      <c r="M12" s="253">
        <f t="shared" si="1"/>
        <v>-151668.16536394661</v>
      </c>
      <c r="N12" s="253">
        <f t="shared" si="1"/>
        <v>-160800.95817382826</v>
      </c>
      <c r="O12" s="253">
        <f t="shared" si="1"/>
        <v>-170483.68777702347</v>
      </c>
      <c r="P12" s="253">
        <f t="shared" si="1"/>
        <v>-180749.46895922365</v>
      </c>
      <c r="Q12" s="253">
        <f t="shared" si="1"/>
        <v>-191633.4105335114</v>
      </c>
      <c r="R12" s="253">
        <f t="shared" si="1"/>
        <v>-203172.73541196383</v>
      </c>
      <c r="S12" s="253">
        <f t="shared" si="1"/>
        <v>-215406.90790743593</v>
      </c>
    </row>
    <row r="13" spans="3:19" ht="15.6">
      <c r="C13" s="153"/>
      <c r="D13" s="153"/>
      <c r="E13" s="153"/>
      <c r="F13" s="153"/>
      <c r="G13" s="153"/>
      <c r="H13" s="153"/>
      <c r="I13" s="153"/>
      <c r="J13" s="430"/>
      <c r="K13" s="191"/>
      <c r="L13" s="191"/>
      <c r="M13" s="191"/>
      <c r="N13" s="191"/>
      <c r="O13" s="191"/>
      <c r="P13" s="191"/>
      <c r="Q13" s="191"/>
      <c r="R13" s="191"/>
      <c r="S13" s="191"/>
    </row>
    <row r="14" spans="3:19" ht="14.4">
      <c r="C14" s="617" t="s">
        <v>452</v>
      </c>
      <c r="D14" s="618"/>
      <c r="E14" s="623">
        <f>Model!H29/Model!H7*365</f>
        <v>43.227627363720771</v>
      </c>
      <c r="F14" s="623">
        <f>Model!I29/Model!I7*365</f>
        <v>39.188881691580498</v>
      </c>
      <c r="G14" s="623">
        <f>Model!J29/Model!J7*365</f>
        <v>35.978841215114777</v>
      </c>
      <c r="H14" s="623">
        <f>Model!K29/Model!K7*365</f>
        <v>35.202265079362149</v>
      </c>
      <c r="I14" s="624">
        <f>Model!L29/Model!L7*365</f>
        <v>30.558041483077258</v>
      </c>
      <c r="J14" s="614">
        <f>AVERAGE(E14:I14)</f>
        <v>36.831131366571093</v>
      </c>
      <c r="K14" s="550">
        <f t="shared" ref="K14:S14" si="2">J14</f>
        <v>36.831131366571093</v>
      </c>
      <c r="L14" s="550">
        <f t="shared" si="2"/>
        <v>36.831131366571093</v>
      </c>
      <c r="M14" s="550">
        <f t="shared" si="2"/>
        <v>36.831131366571093</v>
      </c>
      <c r="N14" s="550">
        <f t="shared" si="2"/>
        <v>36.831131366571093</v>
      </c>
      <c r="O14" s="550">
        <f t="shared" si="2"/>
        <v>36.831131366571093</v>
      </c>
      <c r="P14" s="550">
        <f t="shared" si="2"/>
        <v>36.831131366571093</v>
      </c>
      <c r="Q14" s="550">
        <f t="shared" si="2"/>
        <v>36.831131366571093</v>
      </c>
      <c r="R14" s="550">
        <f t="shared" si="2"/>
        <v>36.831131366571093</v>
      </c>
      <c r="S14" s="551">
        <f t="shared" si="2"/>
        <v>36.831131366571093</v>
      </c>
    </row>
    <row r="15" spans="3:19" ht="14.4">
      <c r="C15" s="619" t="s">
        <v>454</v>
      </c>
      <c r="D15" s="620"/>
      <c r="E15" s="625">
        <f>-Model!H30/Model!H8*365</f>
        <v>2427.9452410002714</v>
      </c>
      <c r="F15" s="625">
        <f>-Model!I30/Model!I8*365</f>
        <v>2701.2996166612629</v>
      </c>
      <c r="G15" s="625">
        <f>-Model!J30/Model!J8*365</f>
        <v>2673.6440484082423</v>
      </c>
      <c r="H15" s="625">
        <f>-Model!K30/Model!K8*365</f>
        <v>2903.4318406993366</v>
      </c>
      <c r="I15" s="626">
        <f>-Model!L30/Model!L8*365</f>
        <v>2763.754860883545</v>
      </c>
      <c r="J15" s="615">
        <f>AVERAGE(E15:I15)</f>
        <v>2694.0151215305318</v>
      </c>
      <c r="K15" s="552">
        <f t="shared" ref="K15:S15" si="3">J15</f>
        <v>2694.0151215305318</v>
      </c>
      <c r="L15" s="552">
        <f t="shared" si="3"/>
        <v>2694.0151215305318</v>
      </c>
      <c r="M15" s="552">
        <f t="shared" si="3"/>
        <v>2694.0151215305318</v>
      </c>
      <c r="N15" s="552">
        <f t="shared" si="3"/>
        <v>2694.0151215305318</v>
      </c>
      <c r="O15" s="552">
        <f t="shared" si="3"/>
        <v>2694.0151215305318</v>
      </c>
      <c r="P15" s="552">
        <f t="shared" si="3"/>
        <v>2694.0151215305318</v>
      </c>
      <c r="Q15" s="552">
        <f t="shared" si="3"/>
        <v>2694.0151215305318</v>
      </c>
      <c r="R15" s="552">
        <f t="shared" si="3"/>
        <v>2694.0151215305318</v>
      </c>
      <c r="S15" s="553">
        <f t="shared" si="3"/>
        <v>2694.0151215305318</v>
      </c>
    </row>
    <row r="16" spans="3:19" ht="14.4">
      <c r="C16" s="621" t="s">
        <v>453</v>
      </c>
      <c r="D16" s="622"/>
      <c r="E16" s="627">
        <f>-Model!H45/Model!H8*365</f>
        <v>199.80107244022676</v>
      </c>
      <c r="F16" s="627">
        <f>-Model!I45/Model!I8*365</f>
        <v>259.92279561624628</v>
      </c>
      <c r="G16" s="627">
        <f>-Model!J45/Model!J8*365</f>
        <v>308.87966148023236</v>
      </c>
      <c r="H16" s="627">
        <f>-Model!K45/Model!K8*365</f>
        <v>365.58858257323908</v>
      </c>
      <c r="I16" s="628">
        <f>-Model!L45/Model!L8*365</f>
        <v>337.33517434321851</v>
      </c>
      <c r="J16" s="616">
        <f>AVERAGE(E16:I16)</f>
        <v>294.3054572906326</v>
      </c>
      <c r="K16" s="554">
        <f t="shared" ref="K16:S16" si="4">J16</f>
        <v>294.3054572906326</v>
      </c>
      <c r="L16" s="554">
        <f t="shared" si="4"/>
        <v>294.3054572906326</v>
      </c>
      <c r="M16" s="554">
        <f t="shared" si="4"/>
        <v>294.3054572906326</v>
      </c>
      <c r="N16" s="554">
        <f t="shared" si="4"/>
        <v>294.3054572906326</v>
      </c>
      <c r="O16" s="554">
        <f t="shared" si="4"/>
        <v>294.3054572906326</v>
      </c>
      <c r="P16" s="554">
        <f t="shared" si="4"/>
        <v>294.3054572906326</v>
      </c>
      <c r="Q16" s="554">
        <f t="shared" si="4"/>
        <v>294.3054572906326</v>
      </c>
      <c r="R16" s="554">
        <f t="shared" si="4"/>
        <v>294.3054572906326</v>
      </c>
      <c r="S16" s="555">
        <f t="shared" si="4"/>
        <v>294.3054572906326</v>
      </c>
    </row>
    <row r="17" spans="3:19" ht="16.2" thickBot="1">
      <c r="C17" s="153"/>
      <c r="D17" s="153"/>
      <c r="E17" s="153"/>
      <c r="F17" s="153"/>
      <c r="G17" s="153"/>
      <c r="H17" s="153"/>
      <c r="I17" s="153"/>
      <c r="J17" s="430"/>
      <c r="K17" s="191"/>
      <c r="L17" s="191"/>
      <c r="M17" s="191"/>
      <c r="N17" s="191"/>
      <c r="O17" s="191"/>
      <c r="P17" s="191"/>
      <c r="Q17" s="191"/>
      <c r="R17" s="191"/>
      <c r="S17" s="191"/>
    </row>
    <row r="18" spans="3:19" ht="15.6" thickTop="1" thickBot="1">
      <c r="C18" s="431" t="s">
        <v>455</v>
      </c>
      <c r="D18" s="431"/>
      <c r="E18" s="432">
        <f t="shared" ref="E18:S18" si="5">-E16+SUM(E14:E15)</f>
        <v>2271.3717959237656</v>
      </c>
      <c r="F18" s="432">
        <f t="shared" si="5"/>
        <v>2480.5657027365974</v>
      </c>
      <c r="G18" s="432">
        <f t="shared" si="5"/>
        <v>2400.7432281431247</v>
      </c>
      <c r="H18" s="432">
        <f t="shared" si="5"/>
        <v>2573.0455232054596</v>
      </c>
      <c r="I18" s="432">
        <f t="shared" si="5"/>
        <v>2456.9777280234039</v>
      </c>
      <c r="J18" s="455">
        <f t="shared" si="5"/>
        <v>2436.5407956064705</v>
      </c>
      <c r="K18" s="456">
        <f t="shared" si="5"/>
        <v>2436.5407956064705</v>
      </c>
      <c r="L18" s="456">
        <f t="shared" si="5"/>
        <v>2436.5407956064705</v>
      </c>
      <c r="M18" s="456">
        <f t="shared" si="5"/>
        <v>2436.5407956064705</v>
      </c>
      <c r="N18" s="456">
        <f t="shared" si="5"/>
        <v>2436.5407956064705</v>
      </c>
      <c r="O18" s="456">
        <f t="shared" si="5"/>
        <v>2436.5407956064705</v>
      </c>
      <c r="P18" s="456">
        <f t="shared" si="5"/>
        <v>2436.5407956064705</v>
      </c>
      <c r="Q18" s="456">
        <f t="shared" si="5"/>
        <v>2436.5407956064705</v>
      </c>
      <c r="R18" s="456">
        <f t="shared" si="5"/>
        <v>2436.5407956064705</v>
      </c>
      <c r="S18" s="456">
        <f t="shared" si="5"/>
        <v>2436.5407956064705</v>
      </c>
    </row>
    <row r="19" spans="3:19" ht="16.2" thickTop="1">
      <c r="C19" s="153"/>
      <c r="D19" s="153"/>
      <c r="E19" s="153"/>
      <c r="F19" s="153"/>
      <c r="G19" s="153"/>
      <c r="H19" s="153"/>
      <c r="I19" s="153"/>
      <c r="J19" s="240"/>
      <c r="K19" s="191"/>
      <c r="L19" s="191"/>
      <c r="M19" s="191"/>
      <c r="N19" s="191"/>
      <c r="O19" s="191"/>
      <c r="P19" s="191"/>
      <c r="Q19" s="191"/>
      <c r="R19" s="191"/>
      <c r="S19" s="191"/>
    </row>
    <row r="20" spans="3:19" ht="15.6">
      <c r="C20" s="433" t="s">
        <v>260</v>
      </c>
      <c r="D20" s="434"/>
      <c r="E20" s="435"/>
      <c r="F20" s="434"/>
      <c r="G20" s="434"/>
      <c r="H20" s="434"/>
      <c r="I20" s="434"/>
      <c r="J20" s="436"/>
      <c r="K20" s="437"/>
      <c r="L20" s="437"/>
      <c r="M20" s="437"/>
      <c r="N20" s="437"/>
      <c r="O20" s="437"/>
      <c r="P20" s="437"/>
      <c r="Q20" s="437"/>
      <c r="R20" s="437"/>
      <c r="S20" s="437"/>
    </row>
    <row r="21" spans="3:19" ht="14.4">
      <c r="C21" s="153" t="s">
        <v>261</v>
      </c>
      <c r="D21" s="153"/>
      <c r="E21" s="254"/>
      <c r="F21" s="209">
        <f>E24</f>
        <v>418017.25</v>
      </c>
      <c r="G21" s="209">
        <f t="shared" ref="F21:S21" si="6">F24</f>
        <v>386047.18</v>
      </c>
      <c r="H21" s="209">
        <f t="shared" si="6"/>
        <v>451966.70999999996</v>
      </c>
      <c r="I21" s="209">
        <f t="shared" si="6"/>
        <v>462185.80999999994</v>
      </c>
      <c r="J21" s="229">
        <f t="shared" si="6"/>
        <v>372877.22</v>
      </c>
      <c r="K21" s="230">
        <f t="shared" si="6"/>
        <v>380776.31280000001</v>
      </c>
      <c r="L21" s="230">
        <f t="shared" si="6"/>
        <v>388415.11460680806</v>
      </c>
      <c r="M21" s="230">
        <f t="shared" si="6"/>
        <v>395807.21647380746</v>
      </c>
      <c r="N21" s="230">
        <f t="shared" si="6"/>
        <v>399007.46542895283</v>
      </c>
      <c r="O21" s="230">
        <f t="shared" si="6"/>
        <v>402150.83724098775</v>
      </c>
      <c r="P21" s="230">
        <f t="shared" si="6"/>
        <v>405241.39669176552</v>
      </c>
      <c r="Q21" s="230">
        <f t="shared" si="6"/>
        <v>404230.55537461839</v>
      </c>
      <c r="R21" s="230">
        <f t="shared" si="6"/>
        <v>403426.27243263996</v>
      </c>
      <c r="S21" s="230">
        <f t="shared" si="6"/>
        <v>402814.8361161892</v>
      </c>
    </row>
    <row r="22" spans="3:19" ht="14.4">
      <c r="C22" s="153" t="s">
        <v>262</v>
      </c>
      <c r="D22" s="153"/>
      <c r="E22" s="254"/>
      <c r="F22" s="209">
        <f>F21-F24-F23</f>
        <v>47918.37000000001</v>
      </c>
      <c r="G22" s="209">
        <f>G21-G24-G23</f>
        <v>-50975.659999999967</v>
      </c>
      <c r="H22" s="209">
        <f>H21-H24-H23</f>
        <v>4644.1700000000237</v>
      </c>
      <c r="I22" s="209">
        <f>I21-I24-I23</f>
        <v>104103.25999999997</v>
      </c>
      <c r="J22" s="229">
        <f>AVERAGE(F22:I22)</f>
        <v>26422.535000000007</v>
      </c>
      <c r="K22" s="230">
        <f t="shared" ref="K22:S22" si="7">J22*(1+0.5%)</f>
        <v>26554.647675000004</v>
      </c>
      <c r="L22" s="230">
        <f t="shared" si="7"/>
        <v>26687.420913375001</v>
      </c>
      <c r="M22" s="230">
        <f t="shared" si="7"/>
        <v>26820.858017941871</v>
      </c>
      <c r="N22" s="230">
        <f t="shared" si="7"/>
        <v>26954.96230803158</v>
      </c>
      <c r="O22" s="230">
        <f t="shared" si="7"/>
        <v>27089.737119571735</v>
      </c>
      <c r="P22" s="230">
        <f t="shared" si="7"/>
        <v>27225.185805169593</v>
      </c>
      <c r="Q22" s="230">
        <f t="shared" si="7"/>
        <v>27361.311734195438</v>
      </c>
      <c r="R22" s="230">
        <f t="shared" si="7"/>
        <v>27498.118292866413</v>
      </c>
      <c r="S22" s="230">
        <f t="shared" si="7"/>
        <v>27635.608884330741</v>
      </c>
    </row>
    <row r="23" spans="3:19" ht="14.4">
      <c r="C23" s="153" t="s">
        <v>263</v>
      </c>
      <c r="D23" s="153"/>
      <c r="E23" s="203">
        <f>-Historical!E14</f>
        <v>-20030.3</v>
      </c>
      <c r="F23" s="203">
        <f>-Historical!F14</f>
        <v>-15948.3</v>
      </c>
      <c r="G23" s="203">
        <f>-Historical!G14</f>
        <v>-14943.87</v>
      </c>
      <c r="H23" s="203">
        <f>-Historical!H14</f>
        <v>-14863.27</v>
      </c>
      <c r="I23" s="203">
        <f>-Historical!I14</f>
        <v>-14794.67</v>
      </c>
      <c r="J23" s="370">
        <f>-J21*'Cost Buildup'!J27</f>
        <v>-18523.442199999998</v>
      </c>
      <c r="K23" s="367">
        <f>-K21*'Cost Buildup'!K27</f>
        <v>-18915.845868192002</v>
      </c>
      <c r="L23" s="367">
        <f>-L21*'Cost Buildup'!L27</f>
        <v>-19295.3190463756</v>
      </c>
      <c r="M23" s="367">
        <f>-M21*'Cost Buildup'!M27</f>
        <v>-23620.609062796531</v>
      </c>
      <c r="N23" s="367">
        <f>-N21*'Cost Buildup'!N27</f>
        <v>-23811.590495996636</v>
      </c>
      <c r="O23" s="367">
        <f>-O21*'Cost Buildup'!O27</f>
        <v>-23999.177668793938</v>
      </c>
      <c r="P23" s="367">
        <f>-P21*'Cost Buildup'!P27</f>
        <v>-28236.027122316686</v>
      </c>
      <c r="Q23" s="367">
        <f>-Q21*'Cost Buildup'!Q27</f>
        <v>-28165.594676173885</v>
      </c>
      <c r="R23" s="367">
        <f>-R21*'Cost Buildup'!R27</f>
        <v>-28109.554609317162</v>
      </c>
      <c r="S23" s="367">
        <f>-S21*'Cost Buildup'!S27</f>
        <v>-32095.099888573266</v>
      </c>
    </row>
    <row r="24" spans="3:19" ht="14.4">
      <c r="C24" s="252" t="s">
        <v>264</v>
      </c>
      <c r="D24" s="252"/>
      <c r="E24" s="255">
        <f>SUM(Historical!E34:E37)</f>
        <v>418017.25</v>
      </c>
      <c r="F24" s="255">
        <f>SUM(Historical!F34:F37)</f>
        <v>386047.18</v>
      </c>
      <c r="G24" s="255">
        <f>SUM(Historical!G34:G37)</f>
        <v>451966.70999999996</v>
      </c>
      <c r="H24" s="255">
        <f>SUM(Historical!H34:H37)</f>
        <v>462185.80999999994</v>
      </c>
      <c r="I24" s="255">
        <f>SUM(Historical!I34:I37)</f>
        <v>372877.22</v>
      </c>
      <c r="J24" s="266">
        <f t="shared" ref="J24:S24" si="8">SUM(J21:J23)</f>
        <v>380776.31280000001</v>
      </c>
      <c r="K24" s="255">
        <f t="shared" si="8"/>
        <v>388415.11460680806</v>
      </c>
      <c r="L24" s="255">
        <f t="shared" si="8"/>
        <v>395807.21647380746</v>
      </c>
      <c r="M24" s="255">
        <f t="shared" si="8"/>
        <v>399007.46542895283</v>
      </c>
      <c r="N24" s="255">
        <f t="shared" si="8"/>
        <v>402150.83724098775</v>
      </c>
      <c r="O24" s="255">
        <f t="shared" si="8"/>
        <v>405241.39669176552</v>
      </c>
      <c r="P24" s="253">
        <f t="shared" si="8"/>
        <v>404230.55537461839</v>
      </c>
      <c r="Q24" s="253">
        <f t="shared" si="8"/>
        <v>403426.27243263996</v>
      </c>
      <c r="R24" s="253">
        <f t="shared" si="8"/>
        <v>402814.8361161892</v>
      </c>
      <c r="S24" s="253">
        <f t="shared" si="8"/>
        <v>398355.34511194663</v>
      </c>
    </row>
    <row r="25" spans="3:19" ht="15.6">
      <c r="C25" s="153"/>
      <c r="D25" s="153"/>
      <c r="E25" s="153"/>
      <c r="F25" s="7"/>
      <c r="G25" s="153"/>
      <c r="H25" s="153"/>
      <c r="I25" s="153"/>
      <c r="J25" s="267"/>
      <c r="K25" s="265"/>
      <c r="L25" s="265"/>
      <c r="M25" s="265"/>
      <c r="N25" s="265"/>
      <c r="O25" s="265"/>
      <c r="P25" s="265"/>
      <c r="Q25" s="265"/>
      <c r="R25" s="265"/>
      <c r="S25" s="265"/>
    </row>
    <row r="26" spans="3:19" ht="15.6">
      <c r="C26" s="433" t="s">
        <v>265</v>
      </c>
      <c r="D26" s="434"/>
      <c r="E26" s="434"/>
      <c r="F26" s="434"/>
      <c r="G26" s="434"/>
      <c r="H26" s="434"/>
      <c r="I26" s="434"/>
      <c r="J26" s="436"/>
      <c r="K26" s="439"/>
      <c r="L26" s="439"/>
      <c r="M26" s="439"/>
      <c r="N26" s="439"/>
      <c r="O26" s="439"/>
      <c r="P26" s="439"/>
      <c r="Q26" s="439"/>
      <c r="R26" s="439"/>
      <c r="S26" s="439"/>
    </row>
    <row r="27" spans="3:19" ht="14.4">
      <c r="C27" s="153" t="s">
        <v>266</v>
      </c>
      <c r="D27" s="153"/>
      <c r="E27" s="254"/>
      <c r="F27" s="209">
        <f>E29</f>
        <v>632947.89</v>
      </c>
      <c r="G27" s="209">
        <f t="shared" ref="F27:S27" si="9">F29</f>
        <v>563969.64</v>
      </c>
      <c r="H27" s="209">
        <f t="shared" si="9"/>
        <v>418184.23000000004</v>
      </c>
      <c r="I27" s="209">
        <f t="shared" si="9"/>
        <v>333399.53000000003</v>
      </c>
      <c r="J27" s="235">
        <f t="shared" si="9"/>
        <v>483386</v>
      </c>
      <c r="K27" s="7">
        <f t="shared" si="9"/>
        <v>483386</v>
      </c>
      <c r="L27" s="7">
        <f t="shared" si="9"/>
        <v>483386</v>
      </c>
      <c r="M27" s="7">
        <f t="shared" si="9"/>
        <v>483386</v>
      </c>
      <c r="N27" s="7">
        <f t="shared" si="9"/>
        <v>483386</v>
      </c>
      <c r="O27" s="7">
        <f t="shared" si="9"/>
        <v>483386</v>
      </c>
      <c r="P27" s="7">
        <f t="shared" si="9"/>
        <v>483386</v>
      </c>
      <c r="Q27" s="7">
        <f t="shared" si="9"/>
        <v>483386</v>
      </c>
      <c r="R27" s="7">
        <f t="shared" si="9"/>
        <v>483386</v>
      </c>
      <c r="S27" s="7">
        <f t="shared" si="9"/>
        <v>483386</v>
      </c>
    </row>
    <row r="28" spans="3:19" ht="14.4">
      <c r="C28" s="153" t="s">
        <v>267</v>
      </c>
      <c r="D28" s="153"/>
      <c r="E28" s="254"/>
      <c r="F28" s="203">
        <f>F29-F27</f>
        <v>-68978.25</v>
      </c>
      <c r="G28" s="203">
        <f>G29-G27</f>
        <v>-145785.40999999997</v>
      </c>
      <c r="H28" s="203">
        <f>H29-H27</f>
        <v>-84784.700000000012</v>
      </c>
      <c r="I28" s="203">
        <f>I29-I27</f>
        <v>149986.46999999997</v>
      </c>
      <c r="J28" s="228">
        <v>0</v>
      </c>
      <c r="K28" s="153">
        <v>0</v>
      </c>
      <c r="L28" s="153">
        <v>0</v>
      </c>
      <c r="M28" s="153">
        <v>0</v>
      </c>
      <c r="N28" s="153">
        <v>0</v>
      </c>
      <c r="O28" s="153">
        <v>0</v>
      </c>
      <c r="P28" s="153">
        <v>0</v>
      </c>
      <c r="Q28" s="153">
        <v>0</v>
      </c>
      <c r="R28" s="153">
        <v>0</v>
      </c>
      <c r="S28" s="153">
        <v>0</v>
      </c>
    </row>
    <row r="29" spans="3:19" ht="14.4">
      <c r="C29" s="252" t="s">
        <v>268</v>
      </c>
      <c r="D29" s="252"/>
      <c r="E29" s="255">
        <f>SUM(Historical!E77:E78,Historical!E90:E91)</f>
        <v>632947.89</v>
      </c>
      <c r="F29" s="255">
        <f>SUM(Historical!F77:F78,Historical!F90:F91)</f>
        <v>563969.64</v>
      </c>
      <c r="G29" s="255">
        <f>SUM(Historical!G77:G78,Historical!G90:G91)</f>
        <v>418184.23000000004</v>
      </c>
      <c r="H29" s="255">
        <f>SUM(Historical!H77:H78,Historical!H90:H91)</f>
        <v>333399.53000000003</v>
      </c>
      <c r="I29" s="255">
        <f>SUM(Historical!I77:I78,Historical!I90:I91)</f>
        <v>483386</v>
      </c>
      <c r="J29" s="266">
        <f t="shared" ref="J29:S29" si="10">SUM(J27:J28)</f>
        <v>483386</v>
      </c>
      <c r="K29" s="255">
        <f t="shared" si="10"/>
        <v>483386</v>
      </c>
      <c r="L29" s="255">
        <f t="shared" si="10"/>
        <v>483386</v>
      </c>
      <c r="M29" s="255">
        <f t="shared" si="10"/>
        <v>483386</v>
      </c>
      <c r="N29" s="255">
        <f t="shared" si="10"/>
        <v>483386</v>
      </c>
      <c r="O29" s="255">
        <f t="shared" si="10"/>
        <v>483386</v>
      </c>
      <c r="P29" s="255">
        <f t="shared" si="10"/>
        <v>483386</v>
      </c>
      <c r="Q29" s="255">
        <f t="shared" si="10"/>
        <v>483386</v>
      </c>
      <c r="R29" s="255">
        <f t="shared" si="10"/>
        <v>483386</v>
      </c>
      <c r="S29" s="255">
        <f t="shared" si="10"/>
        <v>483386</v>
      </c>
    </row>
    <row r="30" spans="3:19" ht="14.4">
      <c r="C30" s="153" t="s">
        <v>269</v>
      </c>
      <c r="D30" s="153"/>
      <c r="E30" s="367">
        <f>-Historical!E13</f>
        <v>-142694.12</v>
      </c>
      <c r="F30" s="367">
        <f>-Historical!F13</f>
        <v>-85336.46</v>
      </c>
      <c r="G30" s="367">
        <f>-Historical!G13</f>
        <v>-62455.21</v>
      </c>
      <c r="H30" s="367">
        <f>-Historical!H13</f>
        <v>-39213.5</v>
      </c>
      <c r="I30" s="367">
        <f>-Historical!I13</f>
        <v>-35644.730000000003</v>
      </c>
      <c r="J30" s="370">
        <f>-J29*'Cost Buildup'!J30</f>
        <v>-35644.730000000003</v>
      </c>
      <c r="K30" s="367">
        <f>-K29*'Cost Buildup'!K30</f>
        <v>-35644.730000000003</v>
      </c>
      <c r="L30" s="367">
        <f>-L29*'Cost Buildup'!L30</f>
        <v>-35644.730000000003</v>
      </c>
      <c r="M30" s="367">
        <f>-M29*'Cost Buildup'!M30</f>
        <v>-35644.730000000003</v>
      </c>
      <c r="N30" s="367">
        <f>-N29*'Cost Buildup'!N30</f>
        <v>-35644.730000000003</v>
      </c>
      <c r="O30" s="367">
        <f>-O29*'Cost Buildup'!O30</f>
        <v>-35644.730000000003</v>
      </c>
      <c r="P30" s="367">
        <f>-P29*'Cost Buildup'!P30</f>
        <v>-35644.730000000003</v>
      </c>
      <c r="Q30" s="367">
        <f>-Q29*'Cost Buildup'!Q30</f>
        <v>-35644.730000000003</v>
      </c>
      <c r="R30" s="367">
        <f>-R29*'Cost Buildup'!R30</f>
        <v>-35644.730000000003</v>
      </c>
      <c r="S30" s="367">
        <f>-S29*'Cost Buildup'!S30</f>
        <v>-35644.730000000003</v>
      </c>
    </row>
  </sheetData>
  <mergeCells count="1">
    <mergeCell ref="C3:S3"/>
  </mergeCells>
  <pageMargins left="0.7" right="0.7" top="0.75" bottom="0.75" header="0.3" footer="0.3"/>
  <ignoredErrors>
    <ignoredError sqref="E24:I24"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BB7D7-A91D-440D-BA21-64B4621C5C51}">
  <sheetPr>
    <tabColor theme="4" tint="0.39997558519241921"/>
  </sheetPr>
  <dimension ref="B3:Z64"/>
  <sheetViews>
    <sheetView showGridLines="0" topLeftCell="A25" zoomScale="85" zoomScaleNormal="85" workbookViewId="0">
      <selection activeCell="O55" sqref="O55"/>
    </sheetView>
  </sheetViews>
  <sheetFormatPr defaultRowHeight="13.2"/>
  <cols>
    <col min="1" max="2" width="1.33203125" customWidth="1"/>
    <col min="3" max="3" width="28.44140625" customWidth="1"/>
    <col min="4" max="4" width="10.33203125" bestFit="1" customWidth="1"/>
    <col min="6" max="21" width="11.44140625" customWidth="1"/>
    <col min="25" max="25" width="10.6640625" bestFit="1" customWidth="1"/>
  </cols>
  <sheetData>
    <row r="3" spans="2:26">
      <c r="C3" s="631" t="s">
        <v>489</v>
      </c>
    </row>
    <row r="4" spans="2:26" ht="18">
      <c r="B4" s="562" t="s">
        <v>270</v>
      </c>
      <c r="C4" s="202"/>
      <c r="D4" s="135"/>
      <c r="E4" s="135"/>
      <c r="F4" s="135"/>
      <c r="G4" s="135"/>
      <c r="H4" s="135"/>
      <c r="I4" s="135"/>
      <c r="J4" s="135"/>
      <c r="K4" s="135"/>
      <c r="L4" s="135"/>
      <c r="M4" s="135"/>
      <c r="N4" s="135"/>
      <c r="O4" s="135"/>
      <c r="P4" s="135"/>
      <c r="Q4" s="135"/>
      <c r="R4" s="202"/>
      <c r="S4" s="202"/>
      <c r="T4" s="202"/>
      <c r="U4" s="202"/>
    </row>
    <row r="6" spans="2:26" ht="14.4">
      <c r="C6" s="256" t="s">
        <v>1</v>
      </c>
      <c r="D6" s="257"/>
      <c r="E6" s="153"/>
      <c r="F6" s="153"/>
      <c r="G6" s="153"/>
      <c r="H6" s="153"/>
      <c r="I6" s="153"/>
      <c r="J6" s="153"/>
      <c r="K6" s="153"/>
      <c r="L6" s="153"/>
      <c r="M6" s="153"/>
      <c r="N6" s="153"/>
      <c r="O6" s="153"/>
      <c r="P6" s="153"/>
      <c r="Q6" s="153"/>
      <c r="R6" s="153"/>
      <c r="S6" s="153"/>
      <c r="T6" s="153"/>
      <c r="U6" s="153"/>
      <c r="V6" s="153"/>
      <c r="W6" s="153"/>
      <c r="X6" s="153"/>
      <c r="Y6" s="153"/>
      <c r="Z6" s="153"/>
    </row>
    <row r="7" spans="2:26" ht="14.4">
      <c r="C7" s="153" t="s">
        <v>271</v>
      </c>
      <c r="D7" s="258">
        <v>45730</v>
      </c>
      <c r="E7" s="153"/>
      <c r="F7" s="153"/>
      <c r="G7" s="153"/>
      <c r="H7" s="153"/>
      <c r="I7" s="153"/>
      <c r="J7" s="153"/>
      <c r="K7" s="153"/>
      <c r="L7" s="153"/>
      <c r="M7" s="153"/>
      <c r="N7" s="153"/>
      <c r="O7" s="153"/>
      <c r="P7" s="153"/>
      <c r="Q7" s="153"/>
      <c r="R7" s="153"/>
      <c r="S7" s="153"/>
      <c r="T7" s="153"/>
      <c r="U7" s="153"/>
      <c r="V7" s="153"/>
      <c r="W7" s="153"/>
      <c r="X7" s="153"/>
      <c r="Y7" s="153"/>
      <c r="Z7" s="153"/>
    </row>
    <row r="8" spans="2:26" ht="14.4">
      <c r="C8" s="153" t="s">
        <v>272</v>
      </c>
      <c r="D8" s="258">
        <v>45747</v>
      </c>
      <c r="E8" s="153"/>
      <c r="F8" s="153"/>
      <c r="G8" s="153"/>
      <c r="H8" s="153"/>
      <c r="I8" s="153"/>
      <c r="J8" s="153"/>
      <c r="K8" s="153"/>
      <c r="L8" s="153"/>
      <c r="M8" s="153"/>
      <c r="N8" s="153"/>
      <c r="O8" s="153"/>
      <c r="P8" s="153"/>
      <c r="Q8" s="153"/>
      <c r="R8" s="153"/>
      <c r="S8" s="153"/>
      <c r="T8" s="153"/>
      <c r="U8" s="153"/>
      <c r="V8" s="153"/>
      <c r="W8" s="153"/>
      <c r="X8" s="153"/>
      <c r="Y8" s="153"/>
      <c r="Z8" s="153"/>
    </row>
    <row r="9" spans="2:26" ht="14.4">
      <c r="C9" s="153" t="s">
        <v>186</v>
      </c>
      <c r="D9" s="259">
        <f>'Cost Buildup'!J38</f>
        <v>0.25186165271124172</v>
      </c>
      <c r="E9" s="153"/>
      <c r="F9" s="153"/>
      <c r="G9" s="153"/>
      <c r="H9" s="153"/>
      <c r="I9" s="153"/>
      <c r="J9" s="153"/>
      <c r="K9" s="153"/>
      <c r="L9" s="153"/>
      <c r="M9" s="153"/>
      <c r="N9" s="153"/>
      <c r="O9" s="153"/>
      <c r="P9" s="153"/>
      <c r="Q9" s="153"/>
      <c r="R9" s="153"/>
      <c r="S9" s="153"/>
      <c r="T9" s="153"/>
      <c r="U9" s="153"/>
      <c r="V9" s="153"/>
      <c r="W9" s="153"/>
      <c r="X9" s="153"/>
      <c r="Y9" s="153"/>
      <c r="Z9" s="153"/>
    </row>
    <row r="10" spans="2:26" ht="14.4">
      <c r="C10" s="153" t="s">
        <v>273</v>
      </c>
      <c r="D10" s="180">
        <f>Comps!Q17</f>
        <v>21.325000000000003</v>
      </c>
      <c r="E10" s="153"/>
      <c r="F10" s="153"/>
      <c r="G10" s="153"/>
      <c r="H10" s="153"/>
      <c r="I10" s="153"/>
      <c r="J10" s="153"/>
      <c r="K10" s="153"/>
      <c r="L10" s="153"/>
      <c r="M10" s="153"/>
      <c r="N10" s="153"/>
      <c r="O10" s="153"/>
      <c r="P10" s="153"/>
      <c r="Q10" s="153"/>
      <c r="R10" s="153"/>
      <c r="S10" s="153"/>
      <c r="T10" s="153"/>
      <c r="U10" s="153"/>
      <c r="V10" s="153"/>
      <c r="W10" s="153"/>
      <c r="X10" s="153"/>
      <c r="Y10" s="153"/>
      <c r="Z10" s="153"/>
    </row>
    <row r="11" spans="2:26" ht="14.4">
      <c r="C11" s="153" t="s">
        <v>274</v>
      </c>
      <c r="D11" s="260">
        <v>6.4000000000000001E-2</v>
      </c>
      <c r="E11" s="153"/>
      <c r="F11" s="153"/>
      <c r="G11" s="153"/>
      <c r="H11" s="153"/>
      <c r="I11" s="153"/>
      <c r="J11" s="153"/>
      <c r="K11" s="153"/>
      <c r="L11" s="153"/>
      <c r="M11" s="153"/>
      <c r="N11" s="153"/>
      <c r="O11" s="153"/>
      <c r="P11" s="153"/>
      <c r="Q11" s="153"/>
      <c r="R11" s="153"/>
      <c r="S11" s="153"/>
      <c r="T11" s="153"/>
      <c r="U11" s="153"/>
      <c r="V11" s="153"/>
      <c r="W11" s="153"/>
      <c r="X11" s="153"/>
      <c r="Y11" s="153"/>
      <c r="Z11" s="153"/>
    </row>
    <row r="12" spans="2:26" ht="14.4">
      <c r="C12" s="153" t="s">
        <v>275</v>
      </c>
      <c r="D12" s="259">
        <f>WACC!E49</f>
        <v>0.11042471713617524</v>
      </c>
      <c r="E12" s="153"/>
      <c r="F12" s="153"/>
      <c r="G12" s="153"/>
      <c r="H12" s="153"/>
      <c r="I12" s="153"/>
      <c r="J12" s="153"/>
      <c r="K12" s="153"/>
      <c r="L12" s="153"/>
      <c r="M12" s="153"/>
      <c r="N12" s="153"/>
      <c r="O12" s="153"/>
      <c r="P12" s="153"/>
      <c r="Q12" s="153"/>
      <c r="R12" s="153"/>
      <c r="S12" s="153"/>
      <c r="T12" s="153"/>
      <c r="U12" s="153"/>
      <c r="V12" s="153"/>
      <c r="W12" s="153"/>
      <c r="X12" s="153"/>
      <c r="Y12" s="153"/>
      <c r="Z12" s="153"/>
    </row>
    <row r="13" spans="2:26" ht="14.4">
      <c r="C13" s="153" t="s">
        <v>276</v>
      </c>
      <c r="D13" s="178">
        <v>247.53</v>
      </c>
      <c r="E13" s="153"/>
      <c r="F13" s="153"/>
      <c r="G13" s="153"/>
      <c r="H13" s="153"/>
      <c r="I13" s="153"/>
      <c r="J13" s="153"/>
      <c r="K13" s="153"/>
      <c r="L13" s="153"/>
      <c r="M13" s="153"/>
      <c r="N13" s="153"/>
      <c r="O13" s="153"/>
      <c r="P13" s="153"/>
      <c r="Q13" s="153"/>
      <c r="R13" s="153"/>
      <c r="S13" s="153"/>
      <c r="T13" s="153"/>
      <c r="U13" s="153"/>
      <c r="V13" s="153"/>
      <c r="W13" s="153"/>
      <c r="X13" s="153"/>
      <c r="Y13" s="153"/>
      <c r="Z13" s="153"/>
    </row>
    <row r="14" spans="2:26" ht="14.4">
      <c r="C14" s="153" t="s">
        <v>277</v>
      </c>
      <c r="D14" s="268">
        <v>623.6</v>
      </c>
      <c r="E14" s="153"/>
      <c r="F14" s="153"/>
      <c r="G14" s="153"/>
      <c r="H14" s="153"/>
      <c r="I14" s="153"/>
      <c r="J14" s="153"/>
      <c r="K14" s="153"/>
      <c r="L14" s="153"/>
      <c r="M14" s="153"/>
      <c r="N14" s="153"/>
      <c r="O14" s="153"/>
      <c r="P14" s="153"/>
      <c r="Q14" s="153"/>
      <c r="R14" s="153"/>
      <c r="S14" s="153"/>
      <c r="T14" s="153"/>
      <c r="U14" s="153"/>
      <c r="V14" s="153"/>
      <c r="W14" s="153"/>
      <c r="X14" s="153"/>
      <c r="Y14" s="153"/>
      <c r="Z14" s="153"/>
    </row>
    <row r="15" spans="2:26" ht="14.4">
      <c r="C15" s="153"/>
      <c r="D15" s="153"/>
      <c r="E15" s="153"/>
      <c r="F15" s="153"/>
      <c r="G15" s="153"/>
      <c r="H15" s="153"/>
      <c r="I15" s="153"/>
      <c r="J15" s="153"/>
      <c r="K15" s="153"/>
      <c r="L15" s="153"/>
      <c r="M15" s="153"/>
      <c r="N15" s="153"/>
      <c r="O15" s="153"/>
      <c r="P15" s="153"/>
      <c r="Q15" s="153"/>
      <c r="R15" s="153"/>
      <c r="S15" s="153"/>
      <c r="T15" s="153"/>
      <c r="U15" s="153"/>
      <c r="V15" s="153"/>
      <c r="W15" s="153"/>
      <c r="X15" s="153"/>
      <c r="Y15" s="153"/>
      <c r="Z15" s="153"/>
    </row>
    <row r="16" spans="2:26" ht="14.4">
      <c r="C16" s="153"/>
      <c r="D16" s="153"/>
      <c r="E16" s="153"/>
      <c r="F16" s="153"/>
      <c r="G16" s="153"/>
      <c r="H16" s="153"/>
      <c r="I16" s="153"/>
      <c r="J16" s="153"/>
      <c r="K16" s="153"/>
      <c r="L16" s="153"/>
      <c r="M16" s="153"/>
      <c r="N16" s="153"/>
      <c r="O16" s="153"/>
      <c r="P16" s="153"/>
      <c r="Q16" s="153"/>
      <c r="R16" s="153"/>
      <c r="S16" s="153"/>
      <c r="T16" s="153"/>
      <c r="U16" s="153"/>
      <c r="V16" s="153"/>
      <c r="W16" s="153"/>
      <c r="X16" s="153"/>
      <c r="Y16" s="153"/>
      <c r="Z16" s="153"/>
    </row>
    <row r="17" spans="3:26" ht="15" thickBot="1">
      <c r="C17" s="144" t="s">
        <v>278</v>
      </c>
      <c r="D17" s="144"/>
      <c r="E17" s="144"/>
      <c r="F17" s="269">
        <v>2020</v>
      </c>
      <c r="G17" s="269">
        <f>F17+1</f>
        <v>2021</v>
      </c>
      <c r="H17" s="269">
        <f>G17+1</f>
        <v>2022</v>
      </c>
      <c r="I17" s="269">
        <f>H17+1</f>
        <v>2023</v>
      </c>
      <c r="J17" s="269">
        <f>I17+1</f>
        <v>2024</v>
      </c>
      <c r="K17" s="371">
        <f>YEAR(D8)</f>
        <v>2025</v>
      </c>
      <c r="L17" s="282">
        <f t="shared" ref="L17:T17" si="0">K17+1</f>
        <v>2026</v>
      </c>
      <c r="M17" s="282">
        <f t="shared" si="0"/>
        <v>2027</v>
      </c>
      <c r="N17" s="282">
        <f t="shared" si="0"/>
        <v>2028</v>
      </c>
      <c r="O17" s="282">
        <f t="shared" si="0"/>
        <v>2029</v>
      </c>
      <c r="P17" s="282">
        <f t="shared" si="0"/>
        <v>2030</v>
      </c>
      <c r="Q17" s="282">
        <f t="shared" si="0"/>
        <v>2031</v>
      </c>
      <c r="R17" s="282">
        <f t="shared" si="0"/>
        <v>2032</v>
      </c>
      <c r="S17" s="282">
        <f t="shared" si="0"/>
        <v>2033</v>
      </c>
      <c r="T17" s="282">
        <f t="shared" si="0"/>
        <v>2034</v>
      </c>
      <c r="U17" s="295" t="s">
        <v>279</v>
      </c>
      <c r="V17" s="144"/>
      <c r="W17" s="415" t="s">
        <v>280</v>
      </c>
      <c r="X17" s="415"/>
      <c r="Y17" s="415"/>
      <c r="Z17" s="144"/>
    </row>
    <row r="18" spans="3:26" ht="14.4">
      <c r="C18" s="270" t="s">
        <v>281</v>
      </c>
      <c r="D18" s="271"/>
      <c r="E18" s="271"/>
      <c r="F18" s="272">
        <v>43921</v>
      </c>
      <c r="G18" s="272">
        <v>44286</v>
      </c>
      <c r="H18" s="272">
        <v>44651</v>
      </c>
      <c r="I18" s="272">
        <v>45016</v>
      </c>
      <c r="J18" s="272">
        <v>45382</v>
      </c>
      <c r="K18" s="372">
        <f t="shared" ref="K18:T18" si="1">DATE(YEAR($D$8)+K19,MONTH($D$8),DAY($D$8))</f>
        <v>45747</v>
      </c>
      <c r="L18" s="283">
        <f t="shared" si="1"/>
        <v>46112</v>
      </c>
      <c r="M18" s="283">
        <f t="shared" si="1"/>
        <v>46477</v>
      </c>
      <c r="N18" s="283">
        <f t="shared" si="1"/>
        <v>46843</v>
      </c>
      <c r="O18" s="283">
        <f t="shared" si="1"/>
        <v>47208</v>
      </c>
      <c r="P18" s="283">
        <f t="shared" si="1"/>
        <v>47573</v>
      </c>
      <c r="Q18" s="283">
        <f t="shared" si="1"/>
        <v>47938</v>
      </c>
      <c r="R18" s="283">
        <f t="shared" si="1"/>
        <v>48304</v>
      </c>
      <c r="S18" s="283">
        <f t="shared" si="1"/>
        <v>48669</v>
      </c>
      <c r="T18" s="283">
        <f t="shared" si="1"/>
        <v>49034</v>
      </c>
      <c r="U18" s="296">
        <f>T18</f>
        <v>49034</v>
      </c>
      <c r="V18" s="153"/>
      <c r="W18" s="153" t="s">
        <v>282</v>
      </c>
      <c r="X18" s="153"/>
      <c r="Y18" s="7">
        <f>(T22+T24)*D10</f>
        <v>10728101.676483152</v>
      </c>
      <c r="Z18" s="153"/>
    </row>
    <row r="19" spans="3:26" ht="14.4">
      <c r="C19" s="273" t="s">
        <v>283</v>
      </c>
      <c r="D19" s="153"/>
      <c r="E19" s="153"/>
      <c r="F19" s="273">
        <v>1</v>
      </c>
      <c r="G19" s="273">
        <f>F19+1</f>
        <v>2</v>
      </c>
      <c r="H19" s="273">
        <f>G19+1</f>
        <v>3</v>
      </c>
      <c r="I19" s="273">
        <f>H19+1</f>
        <v>4</v>
      </c>
      <c r="J19" s="273">
        <f>I19+1</f>
        <v>5</v>
      </c>
      <c r="K19" s="373">
        <v>0</v>
      </c>
      <c r="L19" s="273">
        <f t="shared" ref="L19:T19" si="2">K19+1</f>
        <v>1</v>
      </c>
      <c r="M19" s="273">
        <f t="shared" si="2"/>
        <v>2</v>
      </c>
      <c r="N19" s="273">
        <f t="shared" si="2"/>
        <v>3</v>
      </c>
      <c r="O19" s="273">
        <f t="shared" si="2"/>
        <v>4</v>
      </c>
      <c r="P19" s="273">
        <f t="shared" si="2"/>
        <v>5</v>
      </c>
      <c r="Q19" s="273">
        <f t="shared" si="2"/>
        <v>6</v>
      </c>
      <c r="R19" s="273">
        <f t="shared" si="2"/>
        <v>7</v>
      </c>
      <c r="S19" s="273">
        <f t="shared" si="2"/>
        <v>8</v>
      </c>
      <c r="T19" s="273">
        <f t="shared" si="2"/>
        <v>9</v>
      </c>
      <c r="U19" s="273"/>
      <c r="V19" s="153"/>
      <c r="W19" s="153" t="s">
        <v>284</v>
      </c>
      <c r="X19" s="153"/>
      <c r="Y19" s="230">
        <f>T28*(1+D11)/(D12-D11)</f>
        <v>99709.822725661434</v>
      </c>
      <c r="Z19" s="153"/>
    </row>
    <row r="20" spans="3:26" ht="14.4">
      <c r="C20" s="273" t="s">
        <v>285</v>
      </c>
      <c r="D20" s="153"/>
      <c r="E20" s="153"/>
      <c r="F20" s="274">
        <f>YEARFRAC(F18,G18)</f>
        <v>1</v>
      </c>
      <c r="G20" s="274">
        <f>YEARFRAC(G18,H18)</f>
        <v>1</v>
      </c>
      <c r="H20" s="274">
        <f>YEARFRAC(H18,I18)</f>
        <v>1</v>
      </c>
      <c r="I20" s="274">
        <f>YEARFRAC(I18,J18)</f>
        <v>1</v>
      </c>
      <c r="J20" s="274">
        <f>YEARFRAC(J18,K18)</f>
        <v>1</v>
      </c>
      <c r="K20" s="374">
        <f>YEARFRAC(D7,K18)</f>
        <v>4.7222222222222221E-2</v>
      </c>
      <c r="L20" s="274">
        <f t="shared" ref="L20:T20" si="3">YEARFRAC(K18,L18)</f>
        <v>1</v>
      </c>
      <c r="M20" s="274">
        <f t="shared" si="3"/>
        <v>1</v>
      </c>
      <c r="N20" s="274">
        <f t="shared" si="3"/>
        <v>1</v>
      </c>
      <c r="O20" s="274">
        <f t="shared" si="3"/>
        <v>1</v>
      </c>
      <c r="P20" s="274">
        <f t="shared" si="3"/>
        <v>1</v>
      </c>
      <c r="Q20" s="274">
        <f t="shared" si="3"/>
        <v>1</v>
      </c>
      <c r="R20" s="274">
        <f t="shared" si="3"/>
        <v>1</v>
      </c>
      <c r="S20" s="274">
        <f t="shared" si="3"/>
        <v>1</v>
      </c>
      <c r="T20" s="274">
        <f t="shared" si="3"/>
        <v>1</v>
      </c>
      <c r="U20" s="297">
        <v>1</v>
      </c>
      <c r="V20" s="153"/>
      <c r="W20" s="300" t="s">
        <v>286</v>
      </c>
      <c r="X20" s="300"/>
      <c r="Y20" s="301">
        <f>AVERAGE(Y18:Y19)</f>
        <v>5413905.7496044068</v>
      </c>
      <c r="Z20" s="153"/>
    </row>
    <row r="21" spans="3:26" ht="14.4">
      <c r="C21" s="153"/>
      <c r="D21" s="153"/>
      <c r="E21" s="153"/>
      <c r="F21" s="153"/>
      <c r="G21" s="153"/>
      <c r="H21" s="153"/>
      <c r="I21" s="153"/>
      <c r="J21" s="153"/>
      <c r="K21" s="242"/>
      <c r="L21" s="153"/>
      <c r="M21" s="153"/>
      <c r="N21" s="153"/>
      <c r="O21" s="153"/>
      <c r="P21" s="153"/>
      <c r="Q21" s="153"/>
      <c r="R21" s="153"/>
      <c r="S21" s="153"/>
      <c r="T21" s="153"/>
      <c r="U21" s="153"/>
      <c r="V21" s="153"/>
      <c r="W21" s="153"/>
      <c r="X21" s="153"/>
      <c r="Y21" s="153"/>
      <c r="Z21" s="153"/>
    </row>
    <row r="22" spans="3:26" ht="14.4">
      <c r="C22" s="153" t="s">
        <v>197</v>
      </c>
      <c r="D22" s="153"/>
      <c r="E22" s="153"/>
      <c r="F22" s="230">
        <f>Model!H14</f>
        <v>93470.039999999964</v>
      </c>
      <c r="G22" s="230">
        <f>Model!I14</f>
        <v>125831.52999999998</v>
      </c>
      <c r="H22" s="230">
        <f>Model!J14</f>
        <v>159337.47000000009</v>
      </c>
      <c r="I22" s="230">
        <f>Model!K14</f>
        <v>157722.58000000005</v>
      </c>
      <c r="J22" s="230">
        <f>Model!L14</f>
        <v>197562.84</v>
      </c>
      <c r="K22" s="375">
        <f>Model!M14</f>
        <v>170462.86346102881</v>
      </c>
      <c r="L22" s="230">
        <f>Model!N14</f>
        <v>181450.38760672804</v>
      </c>
      <c r="M22" s="230">
        <f>Model!O14</f>
        <v>193136.0916661777</v>
      </c>
      <c r="N22" s="230">
        <f>Model!P14</f>
        <v>201602.49103093316</v>
      </c>
      <c r="O22" s="230">
        <f>Model!Q14</f>
        <v>214973.45850256292</v>
      </c>
      <c r="P22" s="230">
        <f>Model!R14</f>
        <v>229164.46141403349</v>
      </c>
      <c r="Q22" s="230">
        <f>Model!S14</f>
        <v>240172.01778022127</v>
      </c>
      <c r="R22" s="230">
        <f>Model!T14</f>
        <v>256404.80741396424</v>
      </c>
      <c r="S22" s="230">
        <f>Model!U14</f>
        <v>273596.43104825803</v>
      </c>
      <c r="T22" s="230">
        <f>Model!V14</f>
        <v>287778.29914740997</v>
      </c>
      <c r="U22" s="153"/>
      <c r="V22" s="153"/>
      <c r="W22" s="153"/>
      <c r="X22" s="153"/>
      <c r="Y22" s="153"/>
      <c r="Z22" s="153"/>
    </row>
    <row r="23" spans="3:26" ht="14.4">
      <c r="C23" s="153" t="s">
        <v>287</v>
      </c>
      <c r="D23" s="153"/>
      <c r="E23" s="153"/>
      <c r="F23" s="367">
        <f t="shared" ref="F23:T23" si="4">-F22*$D$9</f>
        <v>-23541.518753385863</v>
      </c>
      <c r="G23" s="367">
        <f t="shared" si="4"/>
        <v>-31692.137108984189</v>
      </c>
      <c r="H23" s="367">
        <f t="shared" si="4"/>
        <v>-40130.998533027916</v>
      </c>
      <c r="I23" s="367">
        <f t="shared" si="4"/>
        <v>-39724.269668681052</v>
      </c>
      <c r="J23" s="367">
        <f t="shared" si="4"/>
        <v>-49758.503396726614</v>
      </c>
      <c r="K23" s="376">
        <f t="shared" si="4"/>
        <v>-42933.058517185455</v>
      </c>
      <c r="L23" s="367">
        <f t="shared" si="4"/>
        <v>-45700.394507725934</v>
      </c>
      <c r="M23" s="367">
        <f t="shared" si="4"/>
        <v>-48643.575245233398</v>
      </c>
      <c r="N23" s="367">
        <f t="shared" si="4"/>
        <v>-50775.936581754111</v>
      </c>
      <c r="O23" s="367">
        <f t="shared" si="4"/>
        <v>-54143.570547507035</v>
      </c>
      <c r="P23" s="367">
        <f t="shared" si="4"/>
        <v>-57717.739994420059</v>
      </c>
      <c r="Q23" s="367">
        <f t="shared" si="4"/>
        <v>-60490.12133312026</v>
      </c>
      <c r="R23" s="367">
        <f t="shared" si="4"/>
        <v>-64578.538558388682</v>
      </c>
      <c r="S23" s="367">
        <f t="shared" si="4"/>
        <v>-68908.449299711559</v>
      </c>
      <c r="T23" s="367">
        <f t="shared" si="4"/>
        <v>-72480.318037696794</v>
      </c>
      <c r="U23" s="153"/>
      <c r="V23" s="153"/>
      <c r="W23" s="153"/>
      <c r="X23" s="153"/>
      <c r="Y23" s="153"/>
      <c r="Z23" s="153"/>
    </row>
    <row r="24" spans="3:26" ht="14.4">
      <c r="C24" s="275" t="s">
        <v>288</v>
      </c>
      <c r="D24" s="204"/>
      <c r="E24" s="204"/>
      <c r="F24" s="276">
        <f>SUM(F22:F23)</f>
        <v>69928.521246614109</v>
      </c>
      <c r="G24" s="276">
        <f>SUM(G22:G23)</f>
        <v>94139.392891015799</v>
      </c>
      <c r="H24" s="276">
        <f>SUM(H22:H23)</f>
        <v>119206.47146697217</v>
      </c>
      <c r="I24" s="276">
        <f>SUM(I22:I23)</f>
        <v>117998.31033131899</v>
      </c>
      <c r="J24" s="276">
        <f>SUM(J22:J23)</f>
        <v>147804.33660327338</v>
      </c>
      <c r="K24" s="377">
        <f>[1]Model!$H$151</f>
        <v>110159.06650663599</v>
      </c>
      <c r="L24" s="232">
        <f t="shared" ref="L24:T24" si="5">SUM(L22:L23)</f>
        <v>135749.99309900211</v>
      </c>
      <c r="M24" s="232">
        <f t="shared" si="5"/>
        <v>144492.5164209443</v>
      </c>
      <c r="N24" s="232">
        <f t="shared" si="5"/>
        <v>150826.55444917904</v>
      </c>
      <c r="O24" s="232">
        <f t="shared" si="5"/>
        <v>160829.88795505589</v>
      </c>
      <c r="P24" s="232">
        <f t="shared" si="5"/>
        <v>171446.72141961343</v>
      </c>
      <c r="Q24" s="232">
        <f t="shared" si="5"/>
        <v>179681.89644710103</v>
      </c>
      <c r="R24" s="232">
        <f t="shared" si="5"/>
        <v>191826.26885557556</v>
      </c>
      <c r="S24" s="232">
        <f t="shared" si="5"/>
        <v>204687.98174854647</v>
      </c>
      <c r="T24" s="232">
        <f t="shared" si="5"/>
        <v>215297.98110971318</v>
      </c>
      <c r="U24" s="144"/>
      <c r="V24" s="144"/>
      <c r="W24" s="144"/>
      <c r="X24" s="144"/>
      <c r="Y24" s="144"/>
      <c r="Z24" s="144"/>
    </row>
    <row r="25" spans="3:26" ht="14.4">
      <c r="C25" s="153" t="s">
        <v>289</v>
      </c>
      <c r="D25" s="153"/>
      <c r="E25" s="153"/>
      <c r="F25" s="230">
        <f>'Cash Flow'!E10</f>
        <v>20030.3</v>
      </c>
      <c r="G25" s="230">
        <f>'Cash Flow'!F10</f>
        <v>15948.3</v>
      </c>
      <c r="H25" s="230">
        <f>'Cash Flow'!G10</f>
        <v>14943.87</v>
      </c>
      <c r="I25" s="230">
        <f>'Cash Flow'!H10</f>
        <v>14863.27</v>
      </c>
      <c r="J25" s="230">
        <f>'Cash Flow'!I10</f>
        <v>14794.67</v>
      </c>
      <c r="K25" s="375">
        <f>'Cash Flow'!J10</f>
        <v>18523.442199999998</v>
      </c>
      <c r="L25" s="230">
        <f>'Cash Flow'!K10</f>
        <v>18915.845868192002</v>
      </c>
      <c r="M25" s="230">
        <f>'Cash Flow'!L10</f>
        <v>19295.3190463756</v>
      </c>
      <c r="N25" s="230">
        <f>'Cash Flow'!M10</f>
        <v>23620.609062796531</v>
      </c>
      <c r="O25" s="230">
        <f>'Cash Flow'!N10</f>
        <v>23811.590495996636</v>
      </c>
      <c r="P25" s="230">
        <f>'Cash Flow'!O10</f>
        <v>23999.177668793938</v>
      </c>
      <c r="Q25" s="230">
        <f>'Cash Flow'!P10</f>
        <v>28236.027122316686</v>
      </c>
      <c r="R25" s="230">
        <f>'Cash Flow'!Q10</f>
        <v>28165.594676173885</v>
      </c>
      <c r="S25" s="230">
        <f>'Cash Flow'!R10</f>
        <v>28109.554609317162</v>
      </c>
      <c r="T25" s="230">
        <f>'Cash Flow'!S10</f>
        <v>32095.099888573266</v>
      </c>
      <c r="U25" s="153"/>
      <c r="V25" s="153"/>
      <c r="W25" s="153"/>
      <c r="X25" s="153"/>
      <c r="Y25" s="153"/>
      <c r="Z25" s="153"/>
    </row>
    <row r="26" spans="3:26" ht="14.4">
      <c r="C26" s="153" t="s">
        <v>290</v>
      </c>
      <c r="D26" s="153"/>
      <c r="E26" s="153"/>
      <c r="F26" s="367"/>
      <c r="G26" s="367">
        <f>-'Supporting Schedules'!F22</f>
        <v>-47918.37000000001</v>
      </c>
      <c r="H26" s="367">
        <f>-'Supporting Schedules'!G22</f>
        <v>50975.659999999967</v>
      </c>
      <c r="I26" s="367">
        <f>-'Supporting Schedules'!H22</f>
        <v>-4644.1700000000237</v>
      </c>
      <c r="J26" s="367">
        <f>-'Supporting Schedules'!I22</f>
        <v>-104103.25999999997</v>
      </c>
      <c r="K26" s="376">
        <f>-'Supporting Schedules'!J22</f>
        <v>-26422.535000000007</v>
      </c>
      <c r="L26" s="367">
        <f>-'Supporting Schedules'!K22</f>
        <v>-26554.647675000004</v>
      </c>
      <c r="M26" s="367">
        <f>-'Supporting Schedules'!L22</f>
        <v>-26687.420913375001</v>
      </c>
      <c r="N26" s="367">
        <f>-'Supporting Schedules'!M22</f>
        <v>-26820.858017941871</v>
      </c>
      <c r="O26" s="367">
        <f>-'Supporting Schedules'!N22</f>
        <v>-26954.96230803158</v>
      </c>
      <c r="P26" s="367">
        <f>-'Supporting Schedules'!O22</f>
        <v>-27089.737119571735</v>
      </c>
      <c r="Q26" s="367">
        <f>-'Supporting Schedules'!P22</f>
        <v>-27225.185805169593</v>
      </c>
      <c r="R26" s="367">
        <f>-'Supporting Schedules'!Q22</f>
        <v>-27361.311734195438</v>
      </c>
      <c r="S26" s="367">
        <f>-'Supporting Schedules'!R22</f>
        <v>-27498.118292866413</v>
      </c>
      <c r="T26" s="367">
        <f>-'Supporting Schedules'!S22</f>
        <v>-27635.608884330741</v>
      </c>
      <c r="U26" s="153"/>
      <c r="V26" s="153"/>
      <c r="W26" s="153"/>
      <c r="X26" s="153"/>
      <c r="Y26" s="153"/>
      <c r="Z26" s="153"/>
    </row>
    <row r="27" spans="3:26" ht="14.4">
      <c r="C27" s="153" t="s">
        <v>291</v>
      </c>
      <c r="D27" s="153"/>
      <c r="E27" s="153"/>
      <c r="F27" s="367">
        <f>'Supporting Schedules'!E12</f>
        <v>123657.15000000002</v>
      </c>
      <c r="G27" s="367">
        <f>'Supporting Schedules'!F12</f>
        <v>102793.52999999994</v>
      </c>
      <c r="H27" s="367">
        <f>'Supporting Schedules'!G12</f>
        <v>208496.93</v>
      </c>
      <c r="I27" s="367">
        <f>'Supporting Schedules'!H12</f>
        <v>154082.94999999998</v>
      </c>
      <c r="J27" s="367">
        <f>'Supporting Schedules'!I12</f>
        <v>-55615.06</v>
      </c>
      <c r="K27" s="376">
        <f>'Supporting Schedules'!J12</f>
        <v>-329748.22577787971</v>
      </c>
      <c r="L27" s="367">
        <f>'Supporting Schedules'!K12</f>
        <v>-134929.22803823621</v>
      </c>
      <c r="M27" s="367">
        <f>'Supporting Schedules'!L12</f>
        <v>-143054.07533703046</v>
      </c>
      <c r="N27" s="367">
        <f>'Supporting Schedules'!M12</f>
        <v>-151668.16536394661</v>
      </c>
      <c r="O27" s="367">
        <f>'Supporting Schedules'!N12</f>
        <v>-160800.95817382826</v>
      </c>
      <c r="P27" s="367">
        <f>'Supporting Schedules'!O12</f>
        <v>-170483.68777702347</v>
      </c>
      <c r="Q27" s="367">
        <f>'Supporting Schedules'!P12</f>
        <v>-180749.46895922365</v>
      </c>
      <c r="R27" s="367">
        <f>'Supporting Schedules'!Q12</f>
        <v>-191633.4105335114</v>
      </c>
      <c r="S27" s="367">
        <f>'Supporting Schedules'!R12</f>
        <v>-203172.73541196383</v>
      </c>
      <c r="T27" s="367">
        <f>'Supporting Schedules'!S12</f>
        <v>-215406.90790743593</v>
      </c>
      <c r="U27" s="153"/>
      <c r="V27" s="153"/>
      <c r="W27" s="153"/>
      <c r="X27" s="153"/>
      <c r="Y27" s="153"/>
      <c r="Z27" s="153"/>
    </row>
    <row r="28" spans="3:26" ht="14.4">
      <c r="C28" s="204" t="s">
        <v>292</v>
      </c>
      <c r="D28" s="204"/>
      <c r="E28" s="204"/>
      <c r="F28" s="369">
        <f t="shared" ref="F28:T28" si="6">SUM(F24:F27)</f>
        <v>213615.97124661412</v>
      </c>
      <c r="G28" s="369">
        <f t="shared" si="6"/>
        <v>164962.85289101573</v>
      </c>
      <c r="H28" s="369">
        <f t="shared" si="6"/>
        <v>393622.93146697211</v>
      </c>
      <c r="I28" s="369">
        <f t="shared" si="6"/>
        <v>282300.36033131892</v>
      </c>
      <c r="J28" s="369">
        <f t="shared" si="6"/>
        <v>2880.6866032734251</v>
      </c>
      <c r="K28" s="378">
        <f t="shared" si="6"/>
        <v>-227488.25207124371</v>
      </c>
      <c r="L28" s="369">
        <f t="shared" si="6"/>
        <v>-6818.0367460420966</v>
      </c>
      <c r="M28" s="369">
        <f t="shared" si="6"/>
        <v>-5953.6607830855646</v>
      </c>
      <c r="N28" s="369">
        <f t="shared" si="6"/>
        <v>-4041.8598699129361</v>
      </c>
      <c r="O28" s="369">
        <f t="shared" si="6"/>
        <v>-3114.4420308073168</v>
      </c>
      <c r="P28" s="369">
        <f t="shared" si="6"/>
        <v>-2127.5258081878419</v>
      </c>
      <c r="Q28" s="369">
        <f t="shared" si="6"/>
        <v>-56.73119497555308</v>
      </c>
      <c r="R28" s="369">
        <f t="shared" si="6"/>
        <v>997.14126404258423</v>
      </c>
      <c r="S28" s="369">
        <f t="shared" si="6"/>
        <v>2126.6826530333783</v>
      </c>
      <c r="T28" s="369">
        <f t="shared" si="6"/>
        <v>4350.5642065197462</v>
      </c>
      <c r="U28" s="368">
        <f>Y20</f>
        <v>5413905.7496044068</v>
      </c>
      <c r="V28" s="144"/>
      <c r="W28" s="144"/>
      <c r="X28" s="144"/>
      <c r="Y28" s="144"/>
      <c r="Z28" s="144"/>
    </row>
    <row r="29" spans="3:26" ht="14.4">
      <c r="C29" s="153"/>
      <c r="D29" s="153"/>
      <c r="E29" s="153"/>
      <c r="F29" s="368"/>
      <c r="G29" s="368"/>
      <c r="H29" s="368"/>
      <c r="I29" s="368"/>
      <c r="J29" s="368"/>
      <c r="K29" s="379"/>
      <c r="L29" s="368"/>
      <c r="M29" s="368"/>
      <c r="N29" s="368"/>
      <c r="O29" s="368"/>
      <c r="P29" s="368"/>
      <c r="Q29" s="368"/>
      <c r="R29" s="368"/>
      <c r="S29" s="368"/>
      <c r="T29" s="368"/>
      <c r="U29" s="368"/>
      <c r="V29" s="153"/>
      <c r="W29" s="153"/>
      <c r="X29" s="153"/>
      <c r="Y29" s="153"/>
      <c r="Z29" s="153"/>
    </row>
    <row r="30" spans="3:26" ht="14.4">
      <c r="C30" s="144" t="s">
        <v>293</v>
      </c>
      <c r="D30" s="144"/>
      <c r="E30" s="144"/>
      <c r="F30" s="368">
        <f t="shared" ref="F30:U30" si="7">F28*F20</f>
        <v>213615.97124661412</v>
      </c>
      <c r="G30" s="368">
        <f t="shared" si="7"/>
        <v>164962.85289101573</v>
      </c>
      <c r="H30" s="368">
        <f t="shared" si="7"/>
        <v>393622.93146697211</v>
      </c>
      <c r="I30" s="368">
        <f t="shared" si="7"/>
        <v>282300.36033131892</v>
      </c>
      <c r="J30" s="368">
        <f t="shared" si="7"/>
        <v>2880.6866032734251</v>
      </c>
      <c r="K30" s="379">
        <f t="shared" si="7"/>
        <v>-10742.500792253175</v>
      </c>
      <c r="L30" s="368">
        <f t="shared" si="7"/>
        <v>-6818.0367460420966</v>
      </c>
      <c r="M30" s="368">
        <f t="shared" si="7"/>
        <v>-5953.6607830855646</v>
      </c>
      <c r="N30" s="368">
        <f t="shared" si="7"/>
        <v>-4041.8598699129361</v>
      </c>
      <c r="O30" s="368">
        <f t="shared" si="7"/>
        <v>-3114.4420308073168</v>
      </c>
      <c r="P30" s="368">
        <f t="shared" si="7"/>
        <v>-2127.5258081878419</v>
      </c>
      <c r="Q30" s="368">
        <f t="shared" si="7"/>
        <v>-56.73119497555308</v>
      </c>
      <c r="R30" s="368">
        <f t="shared" si="7"/>
        <v>997.14126404258423</v>
      </c>
      <c r="S30" s="368">
        <f t="shared" si="7"/>
        <v>2126.6826530333783</v>
      </c>
      <c r="T30" s="368">
        <f t="shared" si="7"/>
        <v>4350.5642065197462</v>
      </c>
      <c r="U30" s="368">
        <f t="shared" si="7"/>
        <v>5413905.7496044068</v>
      </c>
      <c r="V30" s="144"/>
      <c r="W30" s="144"/>
      <c r="X30" s="144"/>
      <c r="Y30" s="144"/>
      <c r="Z30" s="144"/>
    </row>
    <row r="31" spans="3:26" ht="14.4">
      <c r="C31" s="153"/>
      <c r="D31" s="153"/>
      <c r="E31" s="153"/>
      <c r="F31" s="153"/>
      <c r="G31" s="153"/>
      <c r="H31" s="153"/>
      <c r="I31" s="153"/>
      <c r="J31" s="153"/>
      <c r="K31" s="153"/>
      <c r="L31" s="153"/>
      <c r="M31" s="153"/>
      <c r="N31" s="153"/>
      <c r="O31" s="153"/>
      <c r="P31" s="153"/>
      <c r="Q31" s="153"/>
      <c r="R31" s="153"/>
      <c r="S31" s="153"/>
      <c r="T31" s="153"/>
      <c r="U31" s="153"/>
      <c r="V31" s="153"/>
      <c r="W31" s="153"/>
      <c r="X31" s="153"/>
      <c r="Y31" s="153"/>
      <c r="Z31" s="153"/>
    </row>
    <row r="32" spans="3:26" ht="14.4">
      <c r="C32" s="153"/>
      <c r="D32" s="153"/>
      <c r="E32" s="153"/>
      <c r="F32" s="153"/>
      <c r="G32" s="153"/>
      <c r="H32" s="153"/>
      <c r="I32" s="153"/>
      <c r="J32" s="153"/>
      <c r="K32" s="153"/>
      <c r="L32" s="153"/>
      <c r="M32" s="153"/>
      <c r="N32" s="153"/>
      <c r="O32" s="153"/>
      <c r="P32" s="153"/>
      <c r="Q32" s="153"/>
      <c r="R32" s="153"/>
      <c r="S32" s="153"/>
      <c r="T32" s="153"/>
      <c r="U32" s="153"/>
      <c r="V32" s="153"/>
      <c r="W32" s="153"/>
      <c r="X32" s="153"/>
      <c r="Y32" s="153"/>
      <c r="Z32" s="153"/>
    </row>
    <row r="33" spans="2:26" ht="14.4">
      <c r="C33" s="153"/>
      <c r="D33" s="153"/>
      <c r="E33" s="153"/>
      <c r="F33" s="153"/>
      <c r="G33" s="153"/>
      <c r="H33" s="153"/>
      <c r="I33" s="153"/>
      <c r="J33" s="153"/>
      <c r="K33" s="153"/>
      <c r="L33" s="153"/>
      <c r="M33" s="153"/>
      <c r="N33" s="153"/>
      <c r="O33" s="153"/>
      <c r="P33" s="153"/>
      <c r="Q33" s="153"/>
      <c r="R33" s="153"/>
      <c r="S33" s="153"/>
      <c r="T33" s="153"/>
      <c r="U33" s="153"/>
      <c r="V33" s="153"/>
      <c r="W33" s="153"/>
      <c r="X33" s="153"/>
      <c r="Y33" s="153"/>
      <c r="Z33" s="153"/>
    </row>
    <row r="34" spans="2:26" ht="15" thickBot="1">
      <c r="C34" s="636" t="s">
        <v>294</v>
      </c>
      <c r="D34" s="636"/>
      <c r="E34" s="637"/>
      <c r="F34" s="637"/>
      <c r="G34" s="638" t="s">
        <v>295</v>
      </c>
      <c r="H34" s="638"/>
      <c r="I34" s="638"/>
      <c r="J34" s="638"/>
      <c r="K34" s="637"/>
      <c r="L34" s="637"/>
      <c r="M34" s="638" t="s">
        <v>296</v>
      </c>
      <c r="N34" s="638"/>
      <c r="O34" s="638"/>
      <c r="P34" s="144"/>
      <c r="Q34" s="144"/>
      <c r="R34" s="144"/>
      <c r="S34" s="144"/>
      <c r="T34" s="144"/>
      <c r="U34" s="144"/>
      <c r="V34" s="144"/>
      <c r="W34" s="144"/>
      <c r="X34" s="144"/>
      <c r="Y34" s="144"/>
      <c r="Z34" s="144"/>
    </row>
    <row r="35" spans="2:26" ht="14.4">
      <c r="C35" s="153" t="s">
        <v>297</v>
      </c>
      <c r="D35" s="7">
        <f>XNPV(D12,K30:U30,K18:U18)</f>
        <v>2083037.4939247617</v>
      </c>
      <c r="E35" s="153"/>
      <c r="F35" s="153"/>
      <c r="G35" s="153" t="s">
        <v>298</v>
      </c>
      <c r="H35" s="153"/>
      <c r="I35" s="153"/>
      <c r="J35" s="7">
        <f>D13*D14</f>
        <v>154359.70800000001</v>
      </c>
      <c r="K35" s="153"/>
      <c r="L35" s="153"/>
      <c r="M35" s="153" t="s">
        <v>277</v>
      </c>
      <c r="N35" s="153"/>
      <c r="O35" s="298">
        <f>D14</f>
        <v>623.6</v>
      </c>
      <c r="P35" s="153"/>
      <c r="Q35" s="153"/>
      <c r="R35" s="153"/>
      <c r="S35" s="153"/>
      <c r="T35" s="153"/>
      <c r="U35" s="153"/>
      <c r="V35" s="153"/>
      <c r="W35" s="153"/>
      <c r="X35" s="153"/>
      <c r="Y35" s="153"/>
      <c r="Z35" s="153"/>
    </row>
    <row r="36" spans="2:26" ht="14.4">
      <c r="C36" s="153" t="s">
        <v>299</v>
      </c>
      <c r="D36" s="7">
        <f>SUM(Model!L27,Model!L28,Model!L36)</f>
        <v>1032499.67</v>
      </c>
      <c r="E36" s="153"/>
      <c r="F36" s="153"/>
      <c r="G36" s="153" t="s">
        <v>300</v>
      </c>
      <c r="H36" s="153"/>
      <c r="I36" s="153"/>
      <c r="J36" s="7">
        <f>'Supporting Schedules'!I29</f>
        <v>483386</v>
      </c>
      <c r="K36" s="153"/>
      <c r="L36" s="153"/>
      <c r="M36" s="153" t="s">
        <v>301</v>
      </c>
      <c r="N36" s="153"/>
      <c r="O36" s="539">
        <f>D41</f>
        <v>106.33341227022024</v>
      </c>
      <c r="P36" s="153"/>
      <c r="Q36" s="153"/>
      <c r="R36" s="153"/>
      <c r="S36" s="153"/>
      <c r="T36" s="153"/>
      <c r="U36" s="153"/>
      <c r="V36" s="153"/>
      <c r="W36" s="153"/>
      <c r="X36" s="153"/>
      <c r="Y36" s="153"/>
      <c r="Z36" s="153"/>
    </row>
    <row r="37" spans="2:26" ht="14.4">
      <c r="C37" s="153" t="s">
        <v>302</v>
      </c>
      <c r="D37" s="230">
        <f>-'Supporting Schedules'!I29</f>
        <v>-483386</v>
      </c>
      <c r="E37" s="153"/>
      <c r="F37" s="153"/>
      <c r="G37" s="153" t="s">
        <v>303</v>
      </c>
      <c r="H37" s="153"/>
      <c r="I37" s="153"/>
      <c r="J37" s="7">
        <f>Model!L57</f>
        <v>80.209999999999994</v>
      </c>
      <c r="K37" s="153"/>
      <c r="L37" s="153"/>
      <c r="M37" s="153" t="s">
        <v>304</v>
      </c>
      <c r="N37" s="153"/>
      <c r="O37" s="299">
        <f>O36/O35-1</f>
        <v>-0.82948458583992912</v>
      </c>
      <c r="P37" s="153"/>
      <c r="Q37" s="153"/>
      <c r="R37" s="153"/>
      <c r="S37" s="153"/>
      <c r="T37" s="153"/>
      <c r="U37" s="153"/>
      <c r="V37" s="153"/>
      <c r="W37" s="153"/>
      <c r="X37" s="153"/>
      <c r="Y37" s="153"/>
      <c r="Z37" s="153"/>
    </row>
    <row r="38" spans="2:26" ht="15" thickBot="1">
      <c r="C38" s="153" t="s">
        <v>305</v>
      </c>
      <c r="D38" s="277">
        <f>-Model!L57</f>
        <v>-80.209999999999994</v>
      </c>
      <c r="E38" s="153"/>
      <c r="F38" s="153"/>
      <c r="G38" s="153" t="s">
        <v>306</v>
      </c>
      <c r="H38" s="153"/>
      <c r="I38" s="153"/>
      <c r="J38" s="284">
        <f>-D36</f>
        <v>-1032499.67</v>
      </c>
      <c r="K38" s="153"/>
      <c r="L38" s="153"/>
      <c r="M38" s="153"/>
      <c r="N38" s="153"/>
      <c r="O38" s="153"/>
      <c r="P38" s="153"/>
      <c r="Q38" s="153"/>
      <c r="R38" s="153"/>
      <c r="S38" s="153"/>
      <c r="T38" s="153"/>
      <c r="U38" s="153"/>
      <c r="V38" s="153"/>
      <c r="W38" s="153"/>
      <c r="X38" s="153"/>
      <c r="Y38" s="153"/>
      <c r="Z38" s="153"/>
    </row>
    <row r="39" spans="2:26" ht="14.4">
      <c r="C39" s="271" t="s">
        <v>307</v>
      </c>
      <c r="D39" s="278">
        <f>SUM(D35:D38)</f>
        <v>2632070.9539247616</v>
      </c>
      <c r="E39" s="153"/>
      <c r="F39" s="153"/>
      <c r="G39" s="271" t="s">
        <v>297</v>
      </c>
      <c r="H39" s="271"/>
      <c r="I39" s="271"/>
      <c r="J39" s="230">
        <f>SUM(J35:J38)</f>
        <v>-394673.75200000009</v>
      </c>
      <c r="K39" s="153"/>
      <c r="L39" s="153"/>
      <c r="M39" s="153"/>
      <c r="N39" s="153"/>
      <c r="O39" s="153"/>
      <c r="P39" s="153"/>
      <c r="Q39" s="153"/>
      <c r="R39" s="153"/>
      <c r="S39" s="153"/>
      <c r="T39" s="153"/>
      <c r="U39" s="153"/>
      <c r="V39" s="153"/>
      <c r="W39" s="153"/>
      <c r="X39" s="153"/>
      <c r="Y39" s="153"/>
      <c r="Z39" s="153"/>
    </row>
    <row r="40" spans="2:26" ht="14.4">
      <c r="C40" s="153"/>
      <c r="D40" s="153"/>
      <c r="E40" s="153"/>
      <c r="F40" s="153"/>
      <c r="G40" s="153"/>
      <c r="H40" s="153"/>
      <c r="I40" s="153"/>
      <c r="J40" s="153"/>
      <c r="K40" s="153"/>
      <c r="L40" s="153"/>
      <c r="M40" s="153"/>
      <c r="N40" s="153"/>
      <c r="O40" s="153"/>
      <c r="P40" s="153"/>
      <c r="Q40" s="153"/>
      <c r="R40" s="153"/>
      <c r="S40" s="153"/>
      <c r="T40" s="153"/>
      <c r="U40" s="153"/>
      <c r="V40" s="153"/>
      <c r="W40" s="153"/>
      <c r="X40" s="153"/>
      <c r="Y40" s="153"/>
      <c r="Z40" s="153"/>
    </row>
    <row r="41" spans="2:26" ht="14.4">
      <c r="C41" s="153" t="s">
        <v>308</v>
      </c>
      <c r="D41" s="279">
        <f>D39/(D13*100)</f>
        <v>106.33341227022024</v>
      </c>
      <c r="E41" s="153"/>
      <c r="F41" s="153"/>
      <c r="G41" s="153" t="s">
        <v>308</v>
      </c>
      <c r="H41" s="153"/>
      <c r="I41" s="153"/>
      <c r="J41" s="279">
        <f>J35/D13</f>
        <v>623.6</v>
      </c>
      <c r="K41" s="153"/>
      <c r="L41" s="153"/>
      <c r="M41" s="153"/>
      <c r="N41" s="153"/>
      <c r="O41" s="153"/>
      <c r="P41" s="153"/>
      <c r="Q41" s="153"/>
      <c r="R41" s="153"/>
      <c r="S41" s="153"/>
      <c r="T41" s="153"/>
      <c r="U41" s="153"/>
      <c r="V41" s="153"/>
      <c r="W41" s="153"/>
      <c r="X41" s="153"/>
      <c r="Y41" s="153"/>
      <c r="Z41" s="153"/>
    </row>
    <row r="44" spans="2:26" ht="17.399999999999999">
      <c r="B44" s="408" t="s">
        <v>309</v>
      </c>
      <c r="C44" s="202"/>
      <c r="D44" s="135"/>
      <c r="E44" s="135"/>
      <c r="F44" s="135"/>
      <c r="G44" s="135"/>
      <c r="H44" s="135"/>
      <c r="I44" s="135"/>
      <c r="J44" s="135"/>
      <c r="K44" s="135"/>
      <c r="L44" s="135"/>
      <c r="M44" s="135"/>
      <c r="N44" s="135"/>
      <c r="O44" s="135"/>
      <c r="P44" s="135"/>
      <c r="Q44" s="135"/>
      <c r="R44" s="202"/>
      <c r="S44" s="202"/>
      <c r="T44" s="202"/>
      <c r="U44" s="202"/>
    </row>
    <row r="45" spans="2:26" s="366" customFormat="1" ht="17.399999999999999">
      <c r="B45" s="419"/>
      <c r="C45" s="280"/>
      <c r="D45" s="305"/>
      <c r="E45" s="305"/>
      <c r="F45" s="305"/>
      <c r="G45" s="305"/>
      <c r="H45" s="305"/>
      <c r="I45" s="305"/>
      <c r="J45" s="305"/>
      <c r="K45" s="305"/>
      <c r="L45" s="305"/>
      <c r="M45" s="305"/>
      <c r="N45" s="305"/>
      <c r="O45" s="305"/>
      <c r="P45" s="305"/>
      <c r="Q45" s="305"/>
      <c r="R45" s="280"/>
      <c r="S45" s="280"/>
      <c r="T45" s="280"/>
      <c r="U45" s="280"/>
    </row>
    <row r="46" spans="2:26" ht="14.4">
      <c r="C46" s="472"/>
      <c r="D46" s="472"/>
      <c r="E46" s="472"/>
      <c r="I46" s="602" t="s">
        <v>310</v>
      </c>
      <c r="J46" s="602"/>
      <c r="K46" s="602"/>
      <c r="L46" s="602"/>
      <c r="M46" s="602"/>
    </row>
    <row r="47" spans="2:26">
      <c r="C47" s="472"/>
      <c r="D47" s="472"/>
      <c r="E47" s="472"/>
    </row>
    <row r="48" spans="2:26" ht="14.4">
      <c r="C48" s="472"/>
      <c r="D48" s="472"/>
      <c r="E48" s="472"/>
      <c r="F48" s="603" t="s">
        <v>275</v>
      </c>
      <c r="G48" s="463">
        <f>D41</f>
        <v>106.33341227022024</v>
      </c>
      <c r="H48" s="464">
        <v>15</v>
      </c>
      <c r="I48" s="464">
        <v>15.4</v>
      </c>
      <c r="J48" s="464">
        <v>18</v>
      </c>
      <c r="K48" s="464">
        <v>21.3</v>
      </c>
      <c r="L48" s="464">
        <v>24</v>
      </c>
      <c r="M48" s="464">
        <v>24.3</v>
      </c>
    </row>
    <row r="49" spans="3:15" ht="14.4" customHeight="1">
      <c r="C49" s="472"/>
      <c r="D49" s="472"/>
      <c r="E49" s="472"/>
      <c r="F49" s="603"/>
      <c r="G49" s="465">
        <v>7.9100000000000004E-2</v>
      </c>
      <c r="H49" s="466">
        <f t="dataTable" ref="H49:M53" dt2D="1" dtr="1" r1="D10" r2="D12"/>
        <v>101.07506239550999</v>
      </c>
      <c r="I49" s="466">
        <v>103.12291927828691</v>
      </c>
      <c r="J49" s="466">
        <v>116.43398901633688</v>
      </c>
      <c r="K49" s="466">
        <v>133.32880829924645</v>
      </c>
      <c r="L49" s="466">
        <v>147.15184225799064</v>
      </c>
      <c r="M49" s="466">
        <v>148.68773492007332</v>
      </c>
    </row>
    <row r="50" spans="3:15" ht="14.4">
      <c r="C50" s="472"/>
      <c r="D50" s="472"/>
      <c r="E50" s="472"/>
      <c r="F50" s="603"/>
      <c r="G50" s="465">
        <v>8.9099999999999999E-2</v>
      </c>
      <c r="H50" s="466">
        <v>93.564933128865789</v>
      </c>
      <c r="I50" s="467">
        <v>95.449549943218358</v>
      </c>
      <c r="J50" s="467">
        <v>107.69955923651005</v>
      </c>
      <c r="K50" s="467">
        <v>123.24764795491875</v>
      </c>
      <c r="L50" s="467">
        <v>135.96881145179856</v>
      </c>
      <c r="M50" s="466">
        <v>137.38227406256297</v>
      </c>
    </row>
    <row r="51" spans="3:15" ht="14.4">
      <c r="C51" s="472"/>
      <c r="D51" s="472"/>
      <c r="E51" s="472"/>
      <c r="F51" s="603"/>
      <c r="G51" s="465">
        <v>0.10879999999999999</v>
      </c>
      <c r="H51" s="466">
        <v>82.13397542582419</v>
      </c>
      <c r="I51" s="467">
        <v>83.737631628749568</v>
      </c>
      <c r="J51" s="467">
        <v>94.161396947764459</v>
      </c>
      <c r="K51" s="468">
        <v>107.39156062189871</v>
      </c>
      <c r="L51" s="467">
        <v>118.21623999164494</v>
      </c>
      <c r="M51" s="466">
        <v>119.41898214383896</v>
      </c>
    </row>
    <row r="52" spans="3:15" ht="14.4">
      <c r="C52" s="472"/>
      <c r="D52" s="472"/>
      <c r="E52" s="472"/>
      <c r="F52" s="603"/>
      <c r="G52" s="465">
        <v>0.1106</v>
      </c>
      <c r="H52" s="466">
        <v>81.219497471090577</v>
      </c>
      <c r="I52" s="467">
        <v>82.799898637803167</v>
      </c>
      <c r="J52" s="467">
        <v>93.072506221435006</v>
      </c>
      <c r="K52" s="469">
        <v>106.11081584681386</v>
      </c>
      <c r="L52" s="467">
        <v>116.77852372212385</v>
      </c>
      <c r="M52" s="466">
        <v>117.96382459715828</v>
      </c>
    </row>
    <row r="53" spans="3:15" ht="14.4">
      <c r="C53" s="472"/>
      <c r="D53" s="472"/>
      <c r="E53" s="472"/>
      <c r="F53" s="603"/>
      <c r="G53" s="465">
        <v>0.12909999999999999</v>
      </c>
      <c r="H53" s="466">
        <v>72.737456337493015</v>
      </c>
      <c r="I53" s="466">
        <v>74.099388210141669</v>
      </c>
      <c r="J53" s="466">
        <v>82.951945382357863</v>
      </c>
      <c r="K53" s="466">
        <v>94.187883331709159</v>
      </c>
      <c r="L53" s="466">
        <v>103.3809234720875</v>
      </c>
      <c r="M53" s="466">
        <v>104.40237237657399</v>
      </c>
    </row>
    <row r="54" spans="3:15">
      <c r="C54" s="472"/>
      <c r="D54" s="472"/>
      <c r="E54" s="472"/>
    </row>
    <row r="55" spans="3:15">
      <c r="C55" s="472"/>
      <c r="D55" s="472"/>
      <c r="E55" s="472"/>
      <c r="O55" s="405" t="s">
        <v>504</v>
      </c>
    </row>
    <row r="56" spans="3:15">
      <c r="C56" s="472"/>
      <c r="D56" s="472"/>
      <c r="E56" s="472"/>
    </row>
    <row r="57" spans="3:15" ht="14.4">
      <c r="C57" s="472"/>
      <c r="D57" s="472"/>
      <c r="E57" s="472"/>
      <c r="I57" s="602" t="s">
        <v>274</v>
      </c>
      <c r="J57" s="602"/>
      <c r="K57" s="602"/>
      <c r="L57" s="602"/>
      <c r="M57" s="602"/>
    </row>
    <row r="58" spans="3:15">
      <c r="C58" s="472"/>
      <c r="D58" s="472"/>
      <c r="E58" s="472"/>
    </row>
    <row r="59" spans="3:15" ht="14.4">
      <c r="C59" s="472"/>
      <c r="D59" s="472"/>
      <c r="E59" s="472"/>
      <c r="F59" s="603" t="s">
        <v>275</v>
      </c>
      <c r="G59" s="463">
        <f>D41</f>
        <v>106.33341227022024</v>
      </c>
      <c r="H59" s="470">
        <v>0.04</v>
      </c>
      <c r="I59" s="471">
        <v>4.48E-2</v>
      </c>
      <c r="J59" s="471">
        <v>0.06</v>
      </c>
      <c r="K59" s="471">
        <v>6.4000000000000001E-2</v>
      </c>
      <c r="L59" s="471">
        <v>0.08</v>
      </c>
      <c r="M59" s="471">
        <v>8.4000000000000005E-2</v>
      </c>
    </row>
    <row r="60" spans="3:15" ht="14.4" customHeight="1">
      <c r="C60" s="472"/>
      <c r="D60" s="472"/>
      <c r="E60" s="472"/>
      <c r="F60" s="603"/>
      <c r="G60" s="465">
        <v>7.9100000000000004E-2</v>
      </c>
      <c r="H60" s="466">
        <f t="dataTable" ref="H60:M64" dt2D="1" dtr="1" r1="D11" r2="D12" ca="1"/>
        <v>131.51470385555237</v>
      </c>
      <c r="I60" s="466">
        <v>131.68569885282878</v>
      </c>
      <c r="J60" s="466">
        <v>132.79418212923918</v>
      </c>
      <c r="K60" s="466">
        <v>133.45679935442001</v>
      </c>
      <c r="L60" s="466">
        <v>77.207959350179905</v>
      </c>
      <c r="M60" s="466">
        <v>120.54252486365063</v>
      </c>
    </row>
    <row r="61" spans="3:15" ht="14.4">
      <c r="C61" s="472"/>
      <c r="D61" s="472"/>
      <c r="E61" s="472"/>
      <c r="F61" s="603"/>
      <c r="G61" s="465">
        <v>8.9099999999999999E-2</v>
      </c>
      <c r="H61" s="466">
        <v>122.5012676754782</v>
      </c>
      <c r="I61" s="467">
        <v>122.59919380478506</v>
      </c>
      <c r="J61" s="467">
        <v>123.12241995616185</v>
      </c>
      <c r="K61" s="467">
        <v>123.36543650581577</v>
      </c>
      <c r="L61" s="467">
        <v>126.47391193215826</v>
      </c>
      <c r="M61" s="466">
        <v>130.29855571653067</v>
      </c>
    </row>
    <row r="62" spans="3:15" ht="14.4">
      <c r="C62" s="472"/>
      <c r="D62" s="472"/>
      <c r="E62" s="472"/>
      <c r="F62" s="603"/>
      <c r="G62" s="465">
        <v>0.10879999999999999</v>
      </c>
      <c r="H62" s="466">
        <v>107.19245170486937</v>
      </c>
      <c r="I62" s="467">
        <v>107.23435894502907</v>
      </c>
      <c r="J62" s="467">
        <v>107.4214530172175</v>
      </c>
      <c r="K62" s="468">
        <v>107.49178913458154</v>
      </c>
      <c r="L62" s="467">
        <v>107.96851170782688</v>
      </c>
      <c r="M62" s="466">
        <v>108.18380577316348</v>
      </c>
    </row>
    <row r="63" spans="3:15" ht="14.4">
      <c r="C63" s="472"/>
      <c r="D63" s="472"/>
      <c r="E63" s="472"/>
      <c r="F63" s="603"/>
      <c r="G63" s="465">
        <v>0.1106</v>
      </c>
      <c r="H63" s="466">
        <v>105.93277097043807</v>
      </c>
      <c r="I63" s="467">
        <v>105.97198011827139</v>
      </c>
      <c r="J63" s="467">
        <v>106.14521842823059</v>
      </c>
      <c r="K63" s="469">
        <v>106.20959091973339</v>
      </c>
      <c r="L63" s="467">
        <v>106.63537498117677</v>
      </c>
      <c r="M63" s="466">
        <v>106.82185559455328</v>
      </c>
    </row>
    <row r="64" spans="3:15" ht="14.4">
      <c r="C64" s="472"/>
      <c r="D64" s="472"/>
      <c r="E64" s="472"/>
      <c r="F64" s="603"/>
      <c r="G64" s="465">
        <v>0.12909999999999999</v>
      </c>
      <c r="H64" s="466">
        <v>94.1354440981452</v>
      </c>
      <c r="I64" s="466">
        <v>94.156690016085548</v>
      </c>
      <c r="J64" s="466">
        <v>94.243441618789845</v>
      </c>
      <c r="K64" s="466">
        <v>94.273004073749689</v>
      </c>
      <c r="L64" s="466">
        <v>94.439420826313992</v>
      </c>
      <c r="M64" s="466">
        <v>94.499474765293698</v>
      </c>
    </row>
  </sheetData>
  <mergeCells count="4">
    <mergeCell ref="I57:M57"/>
    <mergeCell ref="I46:M46"/>
    <mergeCell ref="F48:F53"/>
    <mergeCell ref="F59:F64"/>
  </mergeCells>
  <pageMargins left="0.7" right="0.7" top="0.75" bottom="0.75" header="0.3" footer="0.3"/>
  <ignoredErrors>
    <ignoredError sqref="K17 L18:U18 K24"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39997558519241921"/>
  </sheetPr>
  <dimension ref="B1:W38"/>
  <sheetViews>
    <sheetView showGridLines="0" tabSelected="1" topLeftCell="P1" zoomScale="70" zoomScaleNormal="70" workbookViewId="0">
      <pane ySplit="5" topLeftCell="A6" activePane="bottomLeft" state="frozen"/>
      <selection pane="bottomLeft" activeCell="W3" sqref="W3"/>
    </sheetView>
  </sheetViews>
  <sheetFormatPr defaultColWidth="8.88671875" defaultRowHeight="16.05" customHeight="1"/>
  <cols>
    <col min="1" max="3" width="1.33203125" style="149" customWidth="1"/>
    <col min="4" max="4" width="22.5546875" style="134" bestFit="1" customWidth="1"/>
    <col min="5" max="5" width="0.21875" style="134" hidden="1" customWidth="1"/>
    <col min="6" max="11" width="9.6640625" style="134" customWidth="1"/>
    <col min="12" max="20" width="9.5546875" style="134" customWidth="1"/>
    <col min="21" max="21" width="17.88671875" style="149" customWidth="1"/>
    <col min="22" max="22" width="2.6640625" style="149" customWidth="1"/>
    <col min="23" max="23" width="228.77734375" style="134" customWidth="1"/>
    <col min="24" max="24" width="9.33203125" style="149"/>
    <col min="25" max="16384" width="8.88671875" style="149"/>
  </cols>
  <sheetData>
    <row r="1" spans="3:23" ht="14.4">
      <c r="F1" s="149"/>
      <c r="G1" s="149"/>
      <c r="H1" s="149"/>
      <c r="I1" s="149"/>
      <c r="J1" s="149"/>
      <c r="K1" s="149"/>
      <c r="L1" s="149"/>
      <c r="M1" s="149"/>
      <c r="N1" s="149"/>
      <c r="O1" s="149"/>
      <c r="P1" s="149"/>
      <c r="Q1" s="149"/>
      <c r="R1" s="149"/>
      <c r="S1" s="149"/>
      <c r="T1" s="149"/>
      <c r="W1" s="149"/>
    </row>
    <row r="2" spans="3:23" ht="14.4">
      <c r="W2" s="149"/>
    </row>
    <row r="3" spans="3:23" ht="21.6" customHeight="1">
      <c r="C3" s="604" t="s">
        <v>311</v>
      </c>
      <c r="D3" s="604"/>
      <c r="E3" s="604"/>
      <c r="F3" s="604"/>
      <c r="G3" s="604"/>
      <c r="H3" s="604"/>
      <c r="I3" s="604"/>
      <c r="J3" s="604"/>
      <c r="K3" s="604"/>
      <c r="L3" s="604"/>
      <c r="M3" s="604"/>
      <c r="N3" s="604"/>
      <c r="O3" s="604"/>
      <c r="P3" s="604"/>
      <c r="Q3" s="604"/>
      <c r="R3" s="604"/>
      <c r="S3" s="604"/>
      <c r="T3" s="604"/>
      <c r="U3" s="604"/>
      <c r="W3" s="149"/>
    </row>
    <row r="4" spans="3:23" ht="14.4">
      <c r="F4" s="149"/>
      <c r="G4" s="149"/>
      <c r="H4" s="149"/>
      <c r="I4" s="149"/>
      <c r="J4" s="149"/>
      <c r="K4" s="149"/>
      <c r="L4" s="149"/>
      <c r="M4" s="149"/>
      <c r="N4" s="149"/>
      <c r="O4" s="149"/>
      <c r="P4" s="149"/>
      <c r="Q4" s="149"/>
      <c r="R4" s="149"/>
      <c r="S4" s="149"/>
      <c r="T4" s="149"/>
      <c r="W4" s="149"/>
    </row>
    <row r="5" spans="3:23" s="148" customFormat="1" ht="21" customHeight="1">
      <c r="C5" s="150" t="s">
        <v>40</v>
      </c>
      <c r="D5" s="151"/>
      <c r="E5" s="151"/>
      <c r="F5" s="152">
        <v>2020</v>
      </c>
      <c r="G5" s="152">
        <f t="shared" ref="G5:T5" si="0">F5+1</f>
        <v>2021</v>
      </c>
      <c r="H5" s="152">
        <f t="shared" si="0"/>
        <v>2022</v>
      </c>
      <c r="I5" s="152">
        <f t="shared" si="0"/>
        <v>2023</v>
      </c>
      <c r="J5" s="152">
        <f t="shared" si="0"/>
        <v>2024</v>
      </c>
      <c r="K5" s="169">
        <f t="shared" si="0"/>
        <v>2025</v>
      </c>
      <c r="L5" s="170">
        <f t="shared" si="0"/>
        <v>2026</v>
      </c>
      <c r="M5" s="170">
        <f t="shared" si="0"/>
        <v>2027</v>
      </c>
      <c r="N5" s="170">
        <f t="shared" si="0"/>
        <v>2028</v>
      </c>
      <c r="O5" s="170">
        <f t="shared" si="0"/>
        <v>2029</v>
      </c>
      <c r="P5" s="170">
        <f t="shared" si="0"/>
        <v>2030</v>
      </c>
      <c r="Q5" s="170">
        <f t="shared" si="0"/>
        <v>2031</v>
      </c>
      <c r="R5" s="170">
        <f t="shared" si="0"/>
        <v>2032</v>
      </c>
      <c r="S5" s="170">
        <f t="shared" si="0"/>
        <v>2033</v>
      </c>
      <c r="T5" s="170">
        <f t="shared" si="0"/>
        <v>2034</v>
      </c>
      <c r="U5" s="189" t="s">
        <v>312</v>
      </c>
      <c r="W5" s="642" t="s">
        <v>313</v>
      </c>
    </row>
    <row r="6" spans="3:23" ht="14.4">
      <c r="D6" s="144"/>
      <c r="E6" s="144"/>
      <c r="F6" s="154"/>
      <c r="G6" s="149"/>
      <c r="H6" s="149"/>
      <c r="I6" s="149"/>
      <c r="J6" s="149"/>
      <c r="K6" s="171"/>
      <c r="L6" s="149"/>
      <c r="M6" s="149"/>
      <c r="N6" s="149"/>
      <c r="O6" s="149"/>
      <c r="P6" s="149"/>
      <c r="Q6" s="149"/>
      <c r="R6" s="149"/>
      <c r="S6" s="149"/>
      <c r="T6" s="149"/>
      <c r="U6" s="190"/>
    </row>
    <row r="7" spans="3:23" ht="14.4">
      <c r="D7" s="144" t="s">
        <v>314</v>
      </c>
      <c r="E7" s="153"/>
      <c r="F7" s="155"/>
      <c r="G7" s="155"/>
      <c r="H7" s="155"/>
      <c r="I7" s="155"/>
      <c r="J7" s="155"/>
      <c r="K7" s="172"/>
      <c r="L7" s="173"/>
      <c r="M7" s="173"/>
      <c r="N7" s="173"/>
      <c r="O7" s="173"/>
      <c r="P7" s="173"/>
      <c r="Q7" s="173"/>
      <c r="R7" s="173"/>
      <c r="S7" s="173"/>
      <c r="T7" s="173"/>
      <c r="U7" s="190"/>
    </row>
    <row r="8" spans="3:23" ht="28.8">
      <c r="D8" s="153" t="s">
        <v>315</v>
      </c>
      <c r="E8" s="153"/>
      <c r="F8" s="155">
        <f>'Cost Buildup'!E18</f>
        <v>0.44426301218381969</v>
      </c>
      <c r="G8" s="155">
        <f>'Cost Buildup'!F18</f>
        <v>0.47373526083285722</v>
      </c>
      <c r="H8" s="155">
        <f>'Cost Buildup'!G18</f>
        <v>0.51991334955319768</v>
      </c>
      <c r="I8" s="155">
        <f>'Cost Buildup'!H18</f>
        <v>0.57259981300522422</v>
      </c>
      <c r="J8" s="155">
        <f>'Cost Buildup'!I18</f>
        <v>0.5653078692948259</v>
      </c>
      <c r="K8" s="172">
        <f>'Cost Buildup'!J18</f>
        <v>0.51516386097398492</v>
      </c>
      <c r="L8" s="173">
        <f>'Cost Buildup'!K18</f>
        <v>0.51516386097398492</v>
      </c>
      <c r="M8" s="173">
        <f>'Cost Buildup'!L18</f>
        <v>0.51516386097398492</v>
      </c>
      <c r="N8" s="173">
        <f>'Cost Buildup'!M18</f>
        <v>0.51516386097398492</v>
      </c>
      <c r="O8" s="173">
        <f>'Cost Buildup'!N18</f>
        <v>0.51516386097398492</v>
      </c>
      <c r="P8" s="173">
        <f>'Cost Buildup'!O18</f>
        <v>0.51516386097398492</v>
      </c>
      <c r="Q8" s="173">
        <f>'Cost Buildup'!P18</f>
        <v>0.51516386097398492</v>
      </c>
      <c r="R8" s="173">
        <f>'Cost Buildup'!Q18</f>
        <v>0.51516386097398492</v>
      </c>
      <c r="S8" s="173">
        <f>'Cost Buildup'!R18</f>
        <v>0.51516386097398492</v>
      </c>
      <c r="T8" s="173">
        <f>'Cost Buildup'!S18</f>
        <v>0.51516386097398492</v>
      </c>
      <c r="U8" s="190"/>
      <c r="W8" s="460" t="s">
        <v>460</v>
      </c>
    </row>
    <row r="9" spans="3:23" ht="48" customHeight="1">
      <c r="D9" s="153" t="s">
        <v>316</v>
      </c>
      <c r="E9" s="153"/>
      <c r="F9" s="382">
        <f>Model!H12/Model!H7</f>
        <v>0.18659311292308459</v>
      </c>
      <c r="G9" s="382">
        <f>Model!I12/Model!I7</f>
        <v>0.26187335163013492</v>
      </c>
      <c r="H9" s="382">
        <f>Model!J12/Model!J7</f>
        <v>0.30481345684048322</v>
      </c>
      <c r="I9" s="382">
        <f>Model!K12/Model!K7</f>
        <v>0.30305805556514037</v>
      </c>
      <c r="J9" s="382">
        <f>Model!L12/Model!L7</f>
        <v>0.33041583435473104</v>
      </c>
      <c r="K9" s="174">
        <f>Model!M12/Model!M7</f>
        <v>0.27735076226271482</v>
      </c>
      <c r="L9" s="156">
        <f>Model!N12/Model!N7</f>
        <v>0.27735076226271488</v>
      </c>
      <c r="M9" s="156">
        <f>Model!O12/Model!O7</f>
        <v>0.27735076226271482</v>
      </c>
      <c r="N9" s="156">
        <f>Model!P12/Model!P7</f>
        <v>0.27735076226271482</v>
      </c>
      <c r="O9" s="156">
        <f>Model!Q12/Model!Q7</f>
        <v>0.27735076226271482</v>
      </c>
      <c r="P9" s="156">
        <f>Model!R12/Model!R7</f>
        <v>0.27735076226271488</v>
      </c>
      <c r="Q9" s="156">
        <f>Model!S12/Model!S7</f>
        <v>0.27735076226271488</v>
      </c>
      <c r="R9" s="156">
        <f>Model!T12/Model!T7</f>
        <v>0.27735076226271482</v>
      </c>
      <c r="S9" s="156">
        <f>Model!U12/Model!U7</f>
        <v>0.27735076226271482</v>
      </c>
      <c r="T9" s="156">
        <f>Model!V12/Model!V7</f>
        <v>0.27735076226271482</v>
      </c>
      <c r="U9" s="190"/>
      <c r="W9" s="460" t="s">
        <v>479</v>
      </c>
    </row>
    <row r="10" spans="3:23" ht="55.2" customHeight="1">
      <c r="D10" s="153" t="s">
        <v>317</v>
      </c>
      <c r="E10" s="153"/>
      <c r="F10" s="382">
        <f>Model!H14/Model!H7</f>
        <v>0.15366355491662168</v>
      </c>
      <c r="G10" s="382">
        <f>Model!I14/Model!I7</f>
        <v>0.23241616597965925</v>
      </c>
      <c r="H10" s="382">
        <f>Model!J14/Model!J7</f>
        <v>0.27867702322530225</v>
      </c>
      <c r="I10" s="382">
        <f>Model!K14/Model!K7</f>
        <v>0.27695838571654224</v>
      </c>
      <c r="J10" s="382">
        <f>Model!L14/Model!L7</f>
        <v>0.30739619529391843</v>
      </c>
      <c r="K10" s="172">
        <f>Model!M14/Model!M7</f>
        <v>0.25016630148430219</v>
      </c>
      <c r="L10" s="173">
        <f>Model!N14/Model!N7</f>
        <v>0.25116708760156614</v>
      </c>
      <c r="M10" s="173">
        <f>Model!O14/Model!O7</f>
        <v>0.25215876533691223</v>
      </c>
      <c r="N10" s="173">
        <f>Model!P14/Model!P7</f>
        <v>0.24826318676113512</v>
      </c>
      <c r="O10" s="173">
        <f>Model!Q14/Model!Q7</f>
        <v>0.24969340765676493</v>
      </c>
      <c r="P10" s="173">
        <f>Model!R14/Model!R7</f>
        <v>0.25105871556820269</v>
      </c>
      <c r="Q10" s="173">
        <f>Model!S14/Model!S7</f>
        <v>0.24817397790631135</v>
      </c>
      <c r="R10" s="173">
        <f>Model!T14/Model!T7</f>
        <v>0.24989973750524511</v>
      </c>
      <c r="S10" s="173">
        <f>Model!U14/Model!U7</f>
        <v>0.25151035216688095</v>
      </c>
      <c r="T10" s="173">
        <f>Model!V14/Model!V7</f>
        <v>0.24952225121484112</v>
      </c>
      <c r="U10" s="190"/>
      <c r="W10" s="460" t="s">
        <v>494</v>
      </c>
    </row>
    <row r="11" spans="3:23" ht="35.4" customHeight="1">
      <c r="D11" s="153" t="s">
        <v>318</v>
      </c>
      <c r="E11" s="153"/>
      <c r="F11" s="382">
        <f>Model!H17/Model!H7</f>
        <v>0.1074285997427291</v>
      </c>
      <c r="G11" s="382">
        <f>Model!I17/Model!I7</f>
        <v>0.15507176590732905</v>
      </c>
      <c r="H11" s="382">
        <f>Model!J17/Model!J7</f>
        <v>0.20372817152001893</v>
      </c>
      <c r="I11" s="382">
        <f>Model!K17/Model!K7</f>
        <v>0.26381872341165291</v>
      </c>
      <c r="J11" s="382">
        <f>Model!L17/Model!L7</f>
        <v>0.33460918969467668</v>
      </c>
      <c r="K11" s="174">
        <f>Model!M17/Model!M7</f>
        <v>0.28611602288823823</v>
      </c>
      <c r="L11" s="156">
        <f>Model!N17/Model!N7</f>
        <v>0.29008785469591725</v>
      </c>
      <c r="M11" s="156">
        <f>Model!O17/Model!O7</f>
        <v>0.29388183568987092</v>
      </c>
      <c r="N11" s="156">
        <f>Model!P17/Model!P7</f>
        <v>0.29262940177475538</v>
      </c>
      <c r="O11" s="156">
        <f>Model!Q17/Model!Q7</f>
        <v>0.29655264824701566</v>
      </c>
      <c r="P11" s="156">
        <f>Model!R17/Model!R7</f>
        <v>0.30026938876001918</v>
      </c>
      <c r="Q11" s="156">
        <f>Model!S17/Model!S7</f>
        <v>0.29960253258780722</v>
      </c>
      <c r="R11" s="156">
        <f>Model!T17/Model!T7</f>
        <v>0.30342020768497263</v>
      </c>
      <c r="S11" s="156">
        <f>Model!U17/Model!U7</f>
        <v>0.30700392617208583</v>
      </c>
      <c r="T11" s="156">
        <f>Model!V17/Model!V7</f>
        <v>0.30687686535737674</v>
      </c>
      <c r="U11" s="190"/>
      <c r="W11" s="460" t="s">
        <v>484</v>
      </c>
    </row>
    <row r="12" spans="3:23" ht="21" customHeight="1">
      <c r="D12" s="153" t="s">
        <v>319</v>
      </c>
      <c r="E12" s="153"/>
      <c r="F12" s="382">
        <f>'Cost Buildup'!E38</f>
        <v>3.2636461673387536</v>
      </c>
      <c r="G12" s="382">
        <f>'Cost Buildup'!F38</f>
        <v>0.43151037200083864</v>
      </c>
      <c r="H12" s="382">
        <f>'Cost Buildup'!G38</f>
        <v>0.27554886739359624</v>
      </c>
      <c r="I12" s="382">
        <f>'Cost Buildup'!H38</f>
        <v>0.2672405891941142</v>
      </c>
      <c r="J12" s="382">
        <f>'Cost Buildup'!I38</f>
        <v>0.24186165271124174</v>
      </c>
      <c r="K12" s="172">
        <f>'Cost Buildup'!J38</f>
        <v>0.25186165271124172</v>
      </c>
      <c r="L12" s="173">
        <f>'Cost Buildup'!K38</f>
        <v>0.25186165271124172</v>
      </c>
      <c r="M12" s="173">
        <f>'Cost Buildup'!L38</f>
        <v>0.25186165271124172</v>
      </c>
      <c r="N12" s="173">
        <f>'Cost Buildup'!M38</f>
        <v>0.25686165271124173</v>
      </c>
      <c r="O12" s="173">
        <f>'Cost Buildup'!N38</f>
        <v>0.25686165271124173</v>
      </c>
      <c r="P12" s="173">
        <f>'Cost Buildup'!O38</f>
        <v>0.25686165271124173</v>
      </c>
      <c r="Q12" s="173">
        <f>'Cost Buildup'!P38</f>
        <v>0.26186165271124173</v>
      </c>
      <c r="R12" s="173">
        <f>'Cost Buildup'!Q38</f>
        <v>0.26186165271124173</v>
      </c>
      <c r="S12" s="173">
        <f>'Cost Buildup'!R38</f>
        <v>0.26186165271124173</v>
      </c>
      <c r="T12" s="173">
        <f>'Cost Buildup'!S38</f>
        <v>0.26686165271124174</v>
      </c>
      <c r="U12" s="190"/>
      <c r="W12" s="460" t="s">
        <v>436</v>
      </c>
    </row>
    <row r="13" spans="3:23" ht="38.4" customHeight="1">
      <c r="D13" s="134" t="s">
        <v>320</v>
      </c>
      <c r="E13" s="153"/>
      <c r="F13" s="382">
        <f>Model!H20/Model!H7</f>
        <v>-9.6944284712815701E-2</v>
      </c>
      <c r="G13" s="382">
        <f>Model!I20/Model!I7</f>
        <v>0.19995892177794078</v>
      </c>
      <c r="H13" s="382">
        <f>Model!J20/Model!J7</f>
        <v>0.26244562156972739</v>
      </c>
      <c r="I13" s="382">
        <f>Model!K20/Model!K7</f>
        <v>0.35715406910307745</v>
      </c>
      <c r="J13" s="382">
        <f>Model!L20/Model!L7</f>
        <v>0.42376438106037212</v>
      </c>
      <c r="K13" s="174">
        <f>Model!M20/Model!M7</f>
        <v>0.35541747676918378</v>
      </c>
      <c r="L13" s="156">
        <f>Model!N20/Model!N7</f>
        <v>0.35838895645348967</v>
      </c>
      <c r="M13" s="156">
        <f>Model!O20/Model!O7</f>
        <v>0.36122737912395109</v>
      </c>
      <c r="N13" s="156">
        <f>Model!P20/Model!P7</f>
        <v>0.35882723827573437</v>
      </c>
      <c r="O13" s="156">
        <f>Model!Q20/Model!Q7</f>
        <v>0.36174275317513632</v>
      </c>
      <c r="P13" s="156">
        <f>Model!R20/Model!R7</f>
        <v>0.36450480557727094</v>
      </c>
      <c r="Q13" s="156">
        <f>Model!S20/Model!S7</f>
        <v>0.362511226520635</v>
      </c>
      <c r="R13" s="156">
        <f>Model!T20/Model!T7</f>
        <v>0.36532919890734217</v>
      </c>
      <c r="S13" s="156">
        <f>Model!U20/Model!U7</f>
        <v>0.36797447894856805</v>
      </c>
      <c r="T13" s="156">
        <f>Model!V20/Model!V7</f>
        <v>0.3663463061620067</v>
      </c>
      <c r="U13" s="190"/>
      <c r="W13" s="460" t="s">
        <v>495</v>
      </c>
    </row>
    <row r="14" spans="3:23" ht="14.4">
      <c r="E14" s="153"/>
      <c r="G14" s="176"/>
      <c r="H14" s="176"/>
      <c r="I14" s="176"/>
      <c r="J14" s="176"/>
      <c r="K14" s="177"/>
      <c r="L14" s="178"/>
      <c r="M14" s="178"/>
      <c r="N14" s="178"/>
      <c r="O14" s="178"/>
      <c r="P14" s="178"/>
      <c r="Q14" s="178"/>
      <c r="R14" s="178"/>
      <c r="S14" s="178"/>
      <c r="T14" s="153"/>
      <c r="U14" s="190"/>
      <c r="W14" s="462"/>
    </row>
    <row r="15" spans="3:23" ht="16.8" customHeight="1">
      <c r="D15" s="133" t="s">
        <v>321</v>
      </c>
      <c r="E15" s="153"/>
      <c r="G15" s="176"/>
      <c r="H15" s="159"/>
      <c r="I15" s="159"/>
      <c r="J15" s="159"/>
      <c r="K15" s="179"/>
      <c r="L15" s="180"/>
      <c r="M15" s="180"/>
      <c r="N15" s="180"/>
      <c r="O15" s="180"/>
      <c r="P15" s="180"/>
      <c r="Q15" s="180"/>
      <c r="R15" s="180"/>
      <c r="S15" s="180"/>
      <c r="T15" s="153"/>
      <c r="U15" s="190"/>
      <c r="V15" s="398"/>
      <c r="W15" s="461"/>
    </row>
    <row r="16" spans="3:23" ht="33.6" customHeight="1">
      <c r="D16" s="134" t="s">
        <v>322</v>
      </c>
      <c r="E16" s="153"/>
      <c r="G16" s="155">
        <f>Model!I17/AVERAGE(Model!H41:I41)</f>
        <v>1.4987005778768594E-2</v>
      </c>
      <c r="H16" s="155">
        <f>Model!J17/AVERAGE(Model!I41:J41)</f>
        <v>2.1709270725439239E-2</v>
      </c>
      <c r="I16" s="155">
        <f>Model!K17/AVERAGE(Model!J41:K41)</f>
        <v>2.8232234051711033E-2</v>
      </c>
      <c r="J16" s="155">
        <f>Model!L17/AVERAGE(Model!K41:L41)</f>
        <v>3.7665616895295274E-2</v>
      </c>
      <c r="K16" s="389">
        <f>Model!M17/AVERAGE(Model!L41:M41)</f>
        <v>3.1888273039717772E-2</v>
      </c>
      <c r="L16" s="390">
        <f>Model!N17/AVERAGE(Model!M41:N41)</f>
        <v>3.3271834630262807E-2</v>
      </c>
      <c r="M16" s="390">
        <f>Model!O17/AVERAGE(Model!N41:O41)</f>
        <v>3.4630738828126735E-2</v>
      </c>
      <c r="N16" s="390">
        <f>Model!P17/AVERAGE(Model!O41:P41)</f>
        <v>3.5397744753802848E-2</v>
      </c>
      <c r="O16" s="390">
        <f>Model!Q17/AVERAGE(Model!P41:Q41)</f>
        <v>3.6791716952125006E-2</v>
      </c>
      <c r="P16" s="390">
        <f>Model!R17/AVERAGE(Model!Q41:R41)</f>
        <v>3.816647658355788E-2</v>
      </c>
      <c r="Q16" s="390">
        <f>Model!S17/AVERAGE(Model!R41:S41)</f>
        <v>3.8982431904207943E-2</v>
      </c>
      <c r="R16" s="390">
        <f>Model!T17/AVERAGE(Model!S41:T41)</f>
        <v>4.0378260408451931E-2</v>
      </c>
      <c r="S16" s="390">
        <f>Model!U17/AVERAGE(Model!T41:U41)</f>
        <v>4.1741646854182135E-2</v>
      </c>
      <c r="T16" s="391">
        <f>Model!V17/AVERAGE(Model!U41:V41)</f>
        <v>4.2594362062993128E-2</v>
      </c>
      <c r="U16" s="190"/>
      <c r="W16" s="460" t="s">
        <v>496</v>
      </c>
    </row>
    <row r="17" spans="2:23" ht="47.4" customHeight="1">
      <c r="D17" s="134" t="s">
        <v>323</v>
      </c>
      <c r="E17" s="153"/>
      <c r="G17" s="155">
        <f>Model!I17/AVERAGE(Model!H58:I58)</f>
        <v>2.4046274230270961E-2</v>
      </c>
      <c r="H17" s="155">
        <f>Model!J17/AVERAGE(Model!I58:J58)</f>
        <v>3.2471352230905165E-2</v>
      </c>
      <c r="I17" s="155">
        <f>Model!K17/AVERAGE(Model!J58:K58)</f>
        <v>4.0564976301167392E-2</v>
      </c>
      <c r="J17" s="155">
        <f>Model!L17/AVERAGE(Model!K58:L58)</f>
        <v>5.576835324329002E-2</v>
      </c>
      <c r="K17" s="389">
        <f>Model!M17/AVERAGE(Model!L58:M58)</f>
        <v>4.8417211305078575E-2</v>
      </c>
      <c r="L17" s="390">
        <f>Model!N17/AVERAGE(Model!M58:N58)</f>
        <v>4.990448381942194E-2</v>
      </c>
      <c r="M17" s="390">
        <f>Model!O17/AVERAGE(Model!N58:O58)</f>
        <v>5.1344163754843436E-2</v>
      </c>
      <c r="N17" s="390">
        <f>Model!P17/AVERAGE(Model!O58:P58)</f>
        <v>5.1886294360543719E-2</v>
      </c>
      <c r="O17" s="390">
        <f>Model!Q17/AVERAGE(Model!P58:Q58)</f>
        <v>5.3328457076665614E-2</v>
      </c>
      <c r="P17" s="390">
        <f>Model!R17/AVERAGE(Model!Q58:R58)</f>
        <v>5.4710774571979773E-2</v>
      </c>
      <c r="Q17" s="390">
        <f>Model!S17/AVERAGE(Model!R58:S58)</f>
        <v>5.5276499729705046E-2</v>
      </c>
      <c r="R17" s="390">
        <f>Model!T17/AVERAGE(Model!S58:T58)</f>
        <v>5.6650149991900794E-2</v>
      </c>
      <c r="S17" s="390">
        <f>Model!U17/AVERAGE(Model!T58:U58)</f>
        <v>5.795298638786292E-2</v>
      </c>
      <c r="T17" s="391">
        <f>Model!V17/AVERAGE(Model!U58:V58)</f>
        <v>5.8536133068387501E-2</v>
      </c>
      <c r="U17" s="190"/>
      <c r="W17" s="460" t="s">
        <v>497</v>
      </c>
    </row>
    <row r="18" spans="2:23" ht="44.4" customHeight="1">
      <c r="D18" s="134" t="s">
        <v>324</v>
      </c>
      <c r="E18" s="153"/>
      <c r="F18" s="158">
        <f>Model!H20/Model!H17</f>
        <v>-0.90240666773074096</v>
      </c>
      <c r="G18" s="158">
        <f>Model!I20/Model!I17</f>
        <v>1.2894605320831667</v>
      </c>
      <c r="H18" s="158">
        <f>Model!J20/Model!J17</f>
        <v>1.2882146814140465</v>
      </c>
      <c r="I18" s="158">
        <f>Model!K20/Model!K17</f>
        <v>1.3537859045197014</v>
      </c>
      <c r="J18" s="158">
        <f>Model!L20/Model!L17</f>
        <v>1.2664457346406044</v>
      </c>
      <c r="K18" s="392">
        <f>Model!M20/Model!M17</f>
        <v>1.2422145155708944</v>
      </c>
      <c r="L18" s="393">
        <f>Model!N20/Model!N17</f>
        <v>1.235449711706023</v>
      </c>
      <c r="M18" s="393">
        <f>Model!O20/Model!O17</f>
        <v>1.2291585775486611</v>
      </c>
      <c r="N18" s="393">
        <f>Model!P20/Model!P17</f>
        <v>1.2262173113825836</v>
      </c>
      <c r="O18" s="393">
        <f>Model!Q20/Model!Q17</f>
        <v>1.2198264129943637</v>
      </c>
      <c r="P18" s="393">
        <f>Model!R20/Model!R17</f>
        <v>1.2139259585617963</v>
      </c>
      <c r="Q18" s="393">
        <f>Model!S20/Model!S17</f>
        <v>1.2099738389707724</v>
      </c>
      <c r="R18" s="393">
        <f>Model!T20/Model!T17</f>
        <v>1.2040371394335305</v>
      </c>
      <c r="S18" s="393">
        <f>Model!U20/Model!U17</f>
        <v>1.1985986092643852</v>
      </c>
      <c r="T18" s="394">
        <f>Model!V20/Model!V17</f>
        <v>1.1937892605080351</v>
      </c>
      <c r="U18" s="190"/>
      <c r="W18" s="460" t="s">
        <v>498</v>
      </c>
    </row>
    <row r="19" spans="2:23" ht="37.200000000000003" customHeight="1">
      <c r="D19" s="134" t="s">
        <v>325</v>
      </c>
      <c r="E19" s="153"/>
      <c r="F19" s="159"/>
      <c r="G19" s="155">
        <f>Model!I20/AVERAGE(Model!H58:I58)</f>
        <v>3.1006721563582935E-2</v>
      </c>
      <c r="H19" s="155">
        <f>Model!J20/AVERAGE(Model!I58:J58)</f>
        <v>4.1830072669218787E-2</v>
      </c>
      <c r="I19" s="155">
        <f>Model!K20/AVERAGE(Model!J58:K58)</f>
        <v>5.4916293133696142E-2</v>
      </c>
      <c r="J19" s="155">
        <f>Model!L20/AVERAGE(Model!K58:L58)</f>
        <v>7.0627593092895166E-2</v>
      </c>
      <c r="K19" s="389">
        <f>Model!M20/AVERAGE(Model!L58:M58)</f>
        <v>6.0144562686631819E-2</v>
      </c>
      <c r="L19" s="390">
        <f>Model!N20/AVERAGE(Model!M58:N58)</f>
        <v>6.1654480147542726E-2</v>
      </c>
      <c r="M19" s="390">
        <f>Model!O20/AVERAGE(Model!N58:O58)</f>
        <v>6.3110119286328883E-2</v>
      </c>
      <c r="N19" s="390">
        <f>Model!P20/AVERAGE(Model!O58:P58)</f>
        <v>6.3623872368391232E-2</v>
      </c>
      <c r="O19" s="390">
        <f>Model!Q20/AVERAGE(Model!P58:Q58)</f>
        <v>6.5051460506352896E-2</v>
      </c>
      <c r="P19" s="390">
        <f>Model!R20/AVERAGE(Model!Q58:R58)</f>
        <v>6.6414829465948899E-2</v>
      </c>
      <c r="Q19" s="390">
        <f>Model!S20/AVERAGE(Model!R58:S58)</f>
        <v>6.6883118582818063E-2</v>
      </c>
      <c r="R19" s="390">
        <f>Model!T20/AVERAGE(Model!S58:T58)</f>
        <v>6.8208884544728662E-2</v>
      </c>
      <c r="S19" s="390">
        <f>Model!U20/AVERAGE(Model!T58:U58)</f>
        <v>6.9462368887210343E-2</v>
      </c>
      <c r="T19" s="391">
        <f>Model!V20/AVERAGE(Model!U58:V58)</f>
        <v>6.9879807008710257E-2</v>
      </c>
      <c r="U19" s="190"/>
      <c r="W19" s="460" t="s">
        <v>490</v>
      </c>
    </row>
    <row r="20" spans="2:23" ht="60" customHeight="1">
      <c r="D20" s="160" t="s">
        <v>326</v>
      </c>
      <c r="E20" s="153"/>
      <c r="F20" s="161">
        <f>Model!H56/Model!H20</f>
        <v>-57.575473045159292</v>
      </c>
      <c r="G20" s="161">
        <f>Model!I56/Model!I20</f>
        <v>32.190276963629259</v>
      </c>
      <c r="H20" s="161">
        <f>Model!J56/Model!J20</f>
        <v>23.902405446892338</v>
      </c>
      <c r="I20" s="161">
        <f>Model!K56/Model!K20</f>
        <v>18.286057878925824</v>
      </c>
      <c r="J20" s="161">
        <f>Model!L56/Model!L20</f>
        <v>14.296092367972806</v>
      </c>
      <c r="K20" s="395">
        <f>Model!M56/Model!M20</f>
        <v>16.766573586023075</v>
      </c>
      <c r="L20" s="396">
        <f>Model!N56/Model!N20</f>
        <v>16.372618280551929</v>
      </c>
      <c r="M20" s="396">
        <f>Model!O56/Model!O20</f>
        <v>16.010813144916533</v>
      </c>
      <c r="N20" s="396">
        <f>Model!P56/Model!P20</f>
        <v>15.891912960832149</v>
      </c>
      <c r="O20" s="396">
        <f>Model!Q56/Model!Q20</f>
        <v>15.557945883557</v>
      </c>
      <c r="P20" s="396">
        <f>Model!R56/Model!R20</f>
        <v>15.25255978247881</v>
      </c>
      <c r="Q20" s="396">
        <f>Model!S56/Model!S20</f>
        <v>15.154828962596039</v>
      </c>
      <c r="R20" s="396">
        <f>Model!T56/Model!T20</f>
        <v>14.873275749917525</v>
      </c>
      <c r="S20" s="396">
        <f>Model!U56/Model!U20</f>
        <v>14.617123506915521</v>
      </c>
      <c r="T20" s="397">
        <f>Model!V56/Model!V20</f>
        <v>14.537641406639297</v>
      </c>
      <c r="U20" s="190"/>
      <c r="W20" s="460" t="s">
        <v>499</v>
      </c>
    </row>
    <row r="21" spans="2:23" ht="19.8" customHeight="1">
      <c r="D21" s="160"/>
      <c r="E21" s="153"/>
      <c r="F21" s="162"/>
      <c r="G21" s="162"/>
      <c r="H21" s="162"/>
      <c r="I21" s="162"/>
      <c r="J21" s="162"/>
      <c r="K21" s="181"/>
      <c r="L21" s="182"/>
      <c r="M21" s="182"/>
      <c r="N21" s="182"/>
      <c r="O21" s="182"/>
      <c r="P21" s="182"/>
      <c r="Q21" s="182"/>
      <c r="R21" s="182"/>
      <c r="S21" s="182"/>
      <c r="T21" s="154"/>
      <c r="U21" s="190"/>
      <c r="W21" s="460"/>
    </row>
    <row r="22" spans="2:23" ht="11.4" customHeight="1">
      <c r="D22" s="163" t="s">
        <v>327</v>
      </c>
      <c r="E22" s="153"/>
      <c r="F22" s="162"/>
      <c r="G22" s="162"/>
      <c r="H22" s="162"/>
      <c r="I22" s="162"/>
      <c r="J22" s="162"/>
      <c r="K22" s="181"/>
      <c r="L22" s="182"/>
      <c r="M22" s="182"/>
      <c r="N22" s="182"/>
      <c r="O22" s="182"/>
      <c r="P22" s="182"/>
      <c r="Q22" s="182"/>
      <c r="R22" s="182"/>
      <c r="S22" s="182"/>
      <c r="T22" s="154"/>
      <c r="U22" s="190"/>
      <c r="W22" s="460"/>
    </row>
    <row r="23" spans="2:23" ht="38.4" customHeight="1">
      <c r="D23" s="160" t="s">
        <v>328</v>
      </c>
      <c r="E23" s="153"/>
      <c r="F23" s="164">
        <f>(Model!H32-Model!H30)/Model!H52</f>
        <v>0.44572203510653535</v>
      </c>
      <c r="G23" s="164">
        <f>(Model!I32-Model!I30)/Model!I52</f>
        <v>0.29531135160362115</v>
      </c>
      <c r="H23" s="164">
        <f>(Model!J32-Model!J30)/Model!J52</f>
        <v>0.27374693050777366</v>
      </c>
      <c r="I23" s="164">
        <f>(Model!K32-Model!K30)/Model!K52</f>
        <v>0.5594350397783131</v>
      </c>
      <c r="J23" s="164">
        <f>(Model!L32-Model!L30)/Model!L52</f>
        <v>0.7753186253193276</v>
      </c>
      <c r="K23" s="183">
        <f>(Model!M32-Model!M30)/Model!M52</f>
        <v>0.58216432821888886</v>
      </c>
      <c r="L23" s="184">
        <f>(Model!N32-Model!N30)/Model!N52</f>
        <v>0.63186865212153986</v>
      </c>
      <c r="M23" s="184">
        <f>(Model!O32-Model!O30)/Model!O52</f>
        <v>0.68730151683509355</v>
      </c>
      <c r="N23" s="381">
        <f>(Model!P32-Model!P30)/Model!P52</f>
        <v>0.75015699001771829</v>
      </c>
      <c r="O23" s="381">
        <f>(Model!Q32-Model!Q30)/Model!Q52</f>
        <v>0.81925335165771729</v>
      </c>
      <c r="P23" s="381">
        <f>(Model!R32-Model!R30)/Model!R52</f>
        <v>0.89496657604147656</v>
      </c>
      <c r="Q23" s="381">
        <f>(Model!S32-Model!S30)/Model!S52</f>
        <v>0.97890702379929462</v>
      </c>
      <c r="R23" s="381">
        <f>(Model!T32-Model!T30)/Model!T52</f>
        <v>1.0700427307664582</v>
      </c>
      <c r="S23" s="381">
        <f>(Model!U32-Model!U30)/Model!U52</f>
        <v>1.1688276367277977</v>
      </c>
      <c r="T23" s="381">
        <f>(Model!V32-Model!V30)/Model!V52</f>
        <v>1.2766823588925558</v>
      </c>
      <c r="U23" s="190"/>
      <c r="W23" s="460" t="s">
        <v>483</v>
      </c>
    </row>
    <row r="24" spans="2:23" ht="39.6" customHeight="1">
      <c r="D24" s="160" t="s">
        <v>329</v>
      </c>
      <c r="E24" s="153"/>
      <c r="F24" s="164">
        <f>Model!H32/Model!H47</f>
        <v>1.8703678492167357</v>
      </c>
      <c r="G24" s="164">
        <f>Model!I32/Model!I47</f>
        <v>2.0929501659679262</v>
      </c>
      <c r="H24" s="164">
        <f>Model!J32/Model!J47</f>
        <v>2.330667998091573</v>
      </c>
      <c r="I24" s="164">
        <f>Model!K32/Model!K47</f>
        <v>2.3091151146531526</v>
      </c>
      <c r="J24" s="164">
        <f>Model!L32/Model!L47</f>
        <v>2.1463261217621454</v>
      </c>
      <c r="K24" s="183">
        <f>Model!M32/Model!M47</f>
        <v>2.262816697245527</v>
      </c>
      <c r="L24" s="184">
        <f>Model!N32/Model!N47</f>
        <v>2.3785740234388788</v>
      </c>
      <c r="M24" s="184">
        <f>Model!O32/Model!O47</f>
        <v>2.4998980399660553</v>
      </c>
      <c r="N24" s="184">
        <f>Model!P32/Model!P47</f>
        <v>2.6276194451810206</v>
      </c>
      <c r="O24" s="184">
        <f>Model!Q32/Model!Q47</f>
        <v>2.76078118350227</v>
      </c>
      <c r="P24" s="184">
        <f>Model!R32/Model!R47</f>
        <v>2.8993587582587437</v>
      </c>
      <c r="Q24" s="184">
        <f>Model!S32/Model!S47</f>
        <v>3.0440064790801538</v>
      </c>
      <c r="R24" s="184">
        <f>Model!T32/Model!T47</f>
        <v>3.1937981415394625</v>
      </c>
      <c r="S24" s="184">
        <f>Model!U32/Model!U47</f>
        <v>3.3486542922602132</v>
      </c>
      <c r="T24" s="184">
        <f>Model!V32/Model!V47</f>
        <v>3.5089882808607986</v>
      </c>
      <c r="U24" s="190"/>
      <c r="W24" s="460" t="s">
        <v>482</v>
      </c>
    </row>
    <row r="25" spans="2:23" ht="28.8">
      <c r="B25" s="133"/>
      <c r="D25" s="160" t="s">
        <v>330</v>
      </c>
      <c r="E25" s="153"/>
      <c r="F25" s="165">
        <f>'Supporting Schedules'!E14+'Supporting Schedules'!E15-'Supporting Schedules'!E16</f>
        <v>2271.3717959237656</v>
      </c>
      <c r="G25" s="165">
        <f>'Supporting Schedules'!F14+'Supporting Schedules'!F15-'Supporting Schedules'!F16</f>
        <v>2480.5657027365974</v>
      </c>
      <c r="H25" s="165">
        <f>'Supporting Schedules'!G14+'Supporting Schedules'!G15-'Supporting Schedules'!G16</f>
        <v>2400.7432281431247</v>
      </c>
      <c r="I25" s="165">
        <f>'Supporting Schedules'!H14+'Supporting Schedules'!H15-'Supporting Schedules'!H16</f>
        <v>2573.0455232054596</v>
      </c>
      <c r="J25" s="165">
        <f>'Supporting Schedules'!I14+'Supporting Schedules'!I15-'Supporting Schedules'!I16</f>
        <v>2456.9777280234039</v>
      </c>
      <c r="K25" s="185">
        <f>'Supporting Schedules'!J14+'Supporting Schedules'!J15-'Supporting Schedules'!J16</f>
        <v>2436.5407956064705</v>
      </c>
      <c r="L25" s="186">
        <f>'Supporting Schedules'!K14+'Supporting Schedules'!K15-'Supporting Schedules'!K16</f>
        <v>2436.5407956064705</v>
      </c>
      <c r="M25" s="186">
        <f>'Supporting Schedules'!L14+'Supporting Schedules'!L15-'Supporting Schedules'!L16</f>
        <v>2436.5407956064705</v>
      </c>
      <c r="N25" s="186">
        <f>'Supporting Schedules'!M14+'Supporting Schedules'!M15-'Supporting Schedules'!M16</f>
        <v>2436.5407956064705</v>
      </c>
      <c r="O25" s="186">
        <f>'Supporting Schedules'!N14+'Supporting Schedules'!N15-'Supporting Schedules'!N16</f>
        <v>2436.5407956064705</v>
      </c>
      <c r="P25" s="186">
        <f>'Supporting Schedules'!O14+'Supporting Schedules'!O15-'Supporting Schedules'!O16</f>
        <v>2436.5407956064705</v>
      </c>
      <c r="Q25" s="186">
        <f>'Supporting Schedules'!P14+'Supporting Schedules'!P15-'Supporting Schedules'!P16</f>
        <v>2436.5407956064705</v>
      </c>
      <c r="R25" s="186">
        <f>'Supporting Schedules'!Q14+'Supporting Schedules'!Q15-'Supporting Schedules'!Q16</f>
        <v>2436.5407956064705</v>
      </c>
      <c r="S25" s="186">
        <f>'Supporting Schedules'!R14+'Supporting Schedules'!R15-'Supporting Schedules'!R16</f>
        <v>2436.5407956064705</v>
      </c>
      <c r="T25" s="186">
        <f>'Supporting Schedules'!S14+'Supporting Schedules'!S15-'Supporting Schedules'!S16</f>
        <v>2436.5407956064705</v>
      </c>
      <c r="U25" s="190"/>
      <c r="W25" s="460" t="s">
        <v>461</v>
      </c>
    </row>
    <row r="26" spans="2:23" ht="16.05" customHeight="1">
      <c r="B26" s="133"/>
      <c r="D26" s="160"/>
      <c r="E26" s="153"/>
      <c r="F26" s="162"/>
      <c r="G26" s="162"/>
      <c r="H26" s="162"/>
      <c r="I26" s="162"/>
      <c r="J26" s="162"/>
      <c r="K26" s="181"/>
      <c r="L26" s="182"/>
      <c r="M26" s="182"/>
      <c r="N26" s="182"/>
      <c r="O26" s="182"/>
      <c r="P26" s="182"/>
      <c r="Q26" s="182"/>
      <c r="R26" s="182"/>
      <c r="S26" s="182"/>
      <c r="T26" s="154"/>
      <c r="U26" s="190"/>
      <c r="W26" s="462"/>
    </row>
    <row r="27" spans="2:23" ht="16.05" customHeight="1">
      <c r="D27" s="163" t="s">
        <v>331</v>
      </c>
      <c r="E27" s="153"/>
      <c r="F27" s="162"/>
      <c r="G27" s="162"/>
      <c r="H27" s="162"/>
      <c r="I27" s="162"/>
      <c r="J27" s="162"/>
      <c r="K27" s="181"/>
      <c r="L27" s="182"/>
      <c r="M27" s="182"/>
      <c r="N27" s="182"/>
      <c r="O27" s="182"/>
      <c r="P27" s="182"/>
      <c r="Q27" s="182"/>
      <c r="R27" s="182"/>
      <c r="S27" s="182"/>
      <c r="T27" s="154"/>
      <c r="U27" s="190"/>
      <c r="W27" s="461"/>
    </row>
    <row r="28" spans="2:23" ht="45.6" customHeight="1">
      <c r="D28" s="160" t="s">
        <v>332</v>
      </c>
      <c r="E28" s="153"/>
      <c r="F28" s="164">
        <f>Model!H41/Model!H58</f>
        <v>1.660511705516615</v>
      </c>
      <c r="G28" s="164">
        <f>Model!I41/Model!I58</f>
        <v>1.549862662991158</v>
      </c>
      <c r="H28" s="164">
        <f>Model!J41/Model!J58</f>
        <v>1.4431244878029592</v>
      </c>
      <c r="I28" s="164">
        <f>Model!K41/Model!K58</f>
        <v>1.4307581645264986</v>
      </c>
      <c r="J28" s="164">
        <f>Model!L41/Model!L58</f>
        <v>1.5282760979378058</v>
      </c>
      <c r="K28" s="183">
        <f>Model!M41/Model!M58</f>
        <v>1.5088057469697831</v>
      </c>
      <c r="L28" s="184">
        <f>Model!N41/Model!N58</f>
        <v>1.4913684042414104</v>
      </c>
      <c r="M28" s="184">
        <f>Model!O41/Model!O58</f>
        <v>1.4742406174384419</v>
      </c>
      <c r="N28" s="184">
        <f>Model!P41/Model!P58</f>
        <v>1.4577371652922397</v>
      </c>
      <c r="O28" s="184">
        <f>Model!Q41/Model!Q58</f>
        <v>1.4415637247154376</v>
      </c>
      <c r="P28" s="184">
        <f>Model!R41/Model!R58</f>
        <v>1.4257526882120937</v>
      </c>
      <c r="Q28" s="184">
        <f>Model!S41/Model!S58</f>
        <v>1.4105672195867989</v>
      </c>
      <c r="R28" s="184">
        <f>Model!T41/Model!T58</f>
        <v>1.395753871747349</v>
      </c>
      <c r="S28" s="184">
        <f>Model!U41/Model!U58</f>
        <v>1.3813378406640593</v>
      </c>
      <c r="T28" s="184">
        <f>Model!V41/Model!V58</f>
        <v>1.3675337026523073</v>
      </c>
      <c r="U28" s="190"/>
      <c r="W28" s="460" t="s">
        <v>501</v>
      </c>
    </row>
    <row r="29" spans="2:23" ht="35.4" customHeight="1">
      <c r="B29" s="133"/>
      <c r="D29" s="160" t="s">
        <v>333</v>
      </c>
      <c r="E29" s="153"/>
      <c r="F29" s="164">
        <f>Model!H50/Model!H58</f>
        <v>0.18364866189822493</v>
      </c>
      <c r="G29" s="167">
        <f>Model!I50/Model!I58</f>
        <v>0.15947468337856019</v>
      </c>
      <c r="H29" s="167">
        <f>Model!J50/Model!J58</f>
        <v>0.11494340516973367</v>
      </c>
      <c r="I29" s="167">
        <f>Model!K50/Model!K58</f>
        <v>8.8453897970327752E-2</v>
      </c>
      <c r="J29" s="167">
        <f>Model!L50/Model!L58</f>
        <v>0.12258843103731241</v>
      </c>
      <c r="K29" s="187">
        <f>Model!M50/Model!M58</f>
        <v>0.1176084731672814</v>
      </c>
      <c r="L29" s="188">
        <f>Model!N50/Model!N58</f>
        <v>0.11271337209788307</v>
      </c>
      <c r="M29" s="188">
        <f>Model!O50/Model!O58</f>
        <v>0.10791361210817019</v>
      </c>
      <c r="N29" s="188">
        <f>Model!P50/Model!P58</f>
        <v>0.10328163786275492</v>
      </c>
      <c r="O29" s="188">
        <f>Model!Q50/Model!Q58</f>
        <v>9.8751192560491891E-2</v>
      </c>
      <c r="P29" s="188">
        <f>Model!R50/Model!R58</f>
        <v>9.4330721528879224E-2</v>
      </c>
      <c r="Q29" s="188">
        <f>Model!S50/Model!S58</f>
        <v>9.0079024819913672E-2</v>
      </c>
      <c r="R29" s="188">
        <f>Model!T50/Model!T58</f>
        <v>8.5940331301331274E-2</v>
      </c>
      <c r="S29" s="188">
        <f>Model!U50/Model!U58</f>
        <v>8.1920924623131913E-2</v>
      </c>
      <c r="T29" s="188">
        <f>Model!V50/Model!V58</f>
        <v>7.8067020996543918E-2</v>
      </c>
      <c r="U29" s="190"/>
      <c r="W29" s="460" t="s">
        <v>500</v>
      </c>
    </row>
    <row r="30" spans="2:23" ht="16.05" customHeight="1">
      <c r="B30" s="133"/>
      <c r="D30" s="160"/>
      <c r="E30" s="153"/>
      <c r="F30" s="166"/>
      <c r="G30" s="155"/>
      <c r="H30" s="155"/>
      <c r="I30" s="155"/>
      <c r="J30" s="155"/>
      <c r="K30" s="172"/>
      <c r="L30" s="173"/>
      <c r="M30" s="173"/>
      <c r="N30" s="173"/>
      <c r="O30" s="173"/>
      <c r="P30" s="173"/>
      <c r="Q30" s="173"/>
      <c r="R30" s="173"/>
      <c r="S30" s="173"/>
      <c r="T30" s="153"/>
      <c r="U30" s="190"/>
      <c r="W30" s="462"/>
    </row>
    <row r="31" spans="2:23" ht="16.05" customHeight="1">
      <c r="D31" s="163" t="s">
        <v>334</v>
      </c>
      <c r="E31" s="153"/>
      <c r="F31" s="157"/>
      <c r="G31" s="155"/>
      <c r="H31" s="155"/>
      <c r="I31" s="155"/>
      <c r="J31" s="155"/>
      <c r="K31" s="172"/>
      <c r="L31" s="173"/>
      <c r="M31" s="173"/>
      <c r="N31" s="173"/>
      <c r="O31" s="173"/>
      <c r="P31" s="173"/>
      <c r="Q31" s="173"/>
      <c r="R31" s="173"/>
      <c r="S31" s="173"/>
      <c r="T31" s="153"/>
      <c r="U31" s="190"/>
      <c r="W31" s="461"/>
    </row>
    <row r="32" spans="2:23" ht="28.8">
      <c r="D32" s="134" t="s">
        <v>335</v>
      </c>
      <c r="E32" s="153"/>
      <c r="F32" s="330"/>
      <c r="G32" s="424">
        <f>Model!I7/AVERAGE(Model!H29:I29)</f>
        <v>8.3185463388821432</v>
      </c>
      <c r="H32" s="424">
        <f>Model!J7/AVERAGE(Model!I29:J29)</f>
        <v>9.9880980757548432</v>
      </c>
      <c r="I32" s="424">
        <f>Model!K7/AVERAGE(Model!J29:K29)</f>
        <v>10.234793392759403</v>
      </c>
      <c r="J32" s="424">
        <f>Model!L7/AVERAGE(Model!K29:L29)</f>
        <v>11.821854854997367</v>
      </c>
      <c r="K32" s="425">
        <f>Model!M7/AVERAGE(Model!L29:M29)</f>
        <v>11.118962177182732</v>
      </c>
      <c r="L32" s="424">
        <f>Model!N7/AVERAGE(Model!M29:N29)</f>
        <v>10.199745218976474</v>
      </c>
      <c r="M32" s="424">
        <f>Model!O7/AVERAGE(Model!N29:O29)</f>
        <v>10.199745218976474</v>
      </c>
      <c r="N32" s="424">
        <f>Model!P7/AVERAGE(Model!O29:P29)</f>
        <v>10.199745218976474</v>
      </c>
      <c r="O32" s="424">
        <f>Model!Q7/AVERAGE(Model!P29:Q29)</f>
        <v>10.199745218976474</v>
      </c>
      <c r="P32" s="424">
        <f>Model!R7/AVERAGE(Model!Q29:R29)</f>
        <v>10.199745218976474</v>
      </c>
      <c r="Q32" s="424">
        <f>Model!S7/AVERAGE(Model!R29:S29)</f>
        <v>10.199745218976474</v>
      </c>
      <c r="R32" s="424">
        <f>Model!T7/AVERAGE(Model!S29:T29)</f>
        <v>10.199745218976473</v>
      </c>
      <c r="S32" s="424">
        <f>Model!U7/AVERAGE(Model!T29:U29)</f>
        <v>10.199745218976474</v>
      </c>
      <c r="T32" s="424">
        <f>Model!V7/AVERAGE(Model!U29:V29)</f>
        <v>10.199745218976474</v>
      </c>
      <c r="U32" s="190"/>
      <c r="W32" s="460" t="s">
        <v>502</v>
      </c>
    </row>
    <row r="33" spans="4:23" ht="28.8">
      <c r="D33" s="134" t="s">
        <v>336</v>
      </c>
      <c r="E33" s="153"/>
      <c r="F33" s="330"/>
      <c r="G33" s="424">
        <f>-Model!I8/AVERAGE(Model!H30:I30)</f>
        <v>0.13077994895737699</v>
      </c>
      <c r="H33" s="424">
        <f>-Model!J8/AVERAGE(Model!I30:J30)</f>
        <v>0.13327120722079627</v>
      </c>
      <c r="I33" s="424">
        <f>-Model!K8/AVERAGE(Model!J30:K30)</f>
        <v>0.12333789964887976</v>
      </c>
      <c r="J33" s="424">
        <f>-Model!L8/AVERAGE(Model!K30:L30)</f>
        <v>0.1379109908270634</v>
      </c>
      <c r="K33" s="454">
        <f>-Model!M8/AVERAGE(Model!L30:M30)</f>
        <v>0.14509475756161236</v>
      </c>
      <c r="L33" s="424">
        <f>-Model!N8/AVERAGE(Model!M30:N30)</f>
        <v>0.13944545190683721</v>
      </c>
      <c r="M33" s="424">
        <f>-Model!O8/AVERAGE(Model!N30:O30)</f>
        <v>0.13944545190683719</v>
      </c>
      <c r="N33" s="424">
        <f>-Model!P8/AVERAGE(Model!O30:P30)</f>
        <v>0.13944545190683719</v>
      </c>
      <c r="O33" s="424">
        <f>-Model!Q8/AVERAGE(Model!P30:Q30)</f>
        <v>0.13944545190683719</v>
      </c>
      <c r="P33" s="424">
        <f>-Model!R8/AVERAGE(Model!Q30:R30)</f>
        <v>0.13944545190683719</v>
      </c>
      <c r="Q33" s="424">
        <f>-Model!S8/AVERAGE(Model!R30:S30)</f>
        <v>0.13944545190683719</v>
      </c>
      <c r="R33" s="424">
        <f>-Model!T8/AVERAGE(Model!S30:T30)</f>
        <v>0.13944545190683719</v>
      </c>
      <c r="S33" s="424">
        <f>-Model!U8/AVERAGE(Model!T30:U30)</f>
        <v>0.13944545190683721</v>
      </c>
      <c r="T33" s="424">
        <f>-Model!V8/AVERAGE(Model!U30:V30)</f>
        <v>0.13944545190683721</v>
      </c>
      <c r="U33" s="190"/>
      <c r="W33" s="460" t="s">
        <v>480</v>
      </c>
    </row>
    <row r="34" spans="4:23" ht="28.8">
      <c r="D34" s="134" t="s">
        <v>337</v>
      </c>
      <c r="E34" s="153"/>
      <c r="F34" s="330"/>
      <c r="G34" s="424">
        <f>-Model!I8/AVERAGE(Model!H45:I45)</f>
        <v>1.4688911934664195</v>
      </c>
      <c r="H34" s="424">
        <f>-Model!J8/AVERAGE(Model!I45:J45)</f>
        <v>1.261501269629999</v>
      </c>
      <c r="I34" s="424">
        <f>-Model!K8/AVERAGE(Model!J45:K45)</f>
        <v>1.0225017186184306</v>
      </c>
      <c r="J34" s="424">
        <f>-Model!L8/AVERAGE(Model!K45:L45)</f>
        <v>1.1130737241744588</v>
      </c>
      <c r="K34" s="454">
        <f>-Model!M8/AVERAGE(Model!L45:M45)</f>
        <v>1.2595453195076856</v>
      </c>
      <c r="L34" s="424">
        <f>-Model!N8/AVERAGE(Model!M45:N45)</f>
        <v>1.2764566431219724</v>
      </c>
      <c r="M34" s="424">
        <f>-Model!O8/AVERAGE(Model!N45:O45)</f>
        <v>1.2764566431219726</v>
      </c>
      <c r="N34" s="424">
        <f>-Model!P8/AVERAGE(Model!O45:P45)</f>
        <v>1.2764566431219726</v>
      </c>
      <c r="O34" s="424">
        <f>-Model!Q8/AVERAGE(Model!P45:Q45)</f>
        <v>1.2764566431219726</v>
      </c>
      <c r="P34" s="424">
        <f>-Model!R8/AVERAGE(Model!Q45:R45)</f>
        <v>1.2764566431219726</v>
      </c>
      <c r="Q34" s="424">
        <f>-Model!S8/AVERAGE(Model!R45:S45)</f>
        <v>1.2764566431219726</v>
      </c>
      <c r="R34" s="424">
        <f>-Model!T8/AVERAGE(Model!S45:T45)</f>
        <v>1.2764566431219724</v>
      </c>
      <c r="S34" s="424">
        <f>-Model!U8/AVERAGE(Model!T45:U45)</f>
        <v>1.2764566431219724</v>
      </c>
      <c r="T34" s="424">
        <f>-Model!V8/AVERAGE(Model!U45:V45)</f>
        <v>1.2764566431219724</v>
      </c>
      <c r="U34" s="190"/>
      <c r="W34" s="460" t="s">
        <v>503</v>
      </c>
    </row>
    <row r="35" spans="4:23" ht="28.8">
      <c r="D35" s="330" t="s">
        <v>431</v>
      </c>
      <c r="F35" s="426">
        <f>-'Cash Flow'!E28/Model!H20</f>
        <v>-1.3697271447709807</v>
      </c>
      <c r="G35" s="426">
        <f>-'Cash Flow'!F28/Model!I20</f>
        <v>0.1835865255704423</v>
      </c>
      <c r="H35" s="426">
        <f>-'Cash Flow'!G28/Model!J20</f>
        <v>0.33111151007077688</v>
      </c>
      <c r="I35" s="426">
        <f>-'Cash Flow'!H28/Model!K20</f>
        <v>0.36522637928014157</v>
      </c>
      <c r="J35" s="426">
        <f>-'Cash Flow'!I28/Model!L20</f>
        <v>0.36234472828788267</v>
      </c>
      <c r="K35" s="427">
        <f>AVERAGE(G35:J35)</f>
        <v>0.31056728580231086</v>
      </c>
      <c r="L35" s="426">
        <f t="shared" ref="L35:T35" si="1">K35</f>
        <v>0.31056728580231086</v>
      </c>
      <c r="M35" s="426">
        <f t="shared" si="1"/>
        <v>0.31056728580231086</v>
      </c>
      <c r="N35" s="426">
        <f t="shared" si="1"/>
        <v>0.31056728580231086</v>
      </c>
      <c r="O35" s="426">
        <f t="shared" si="1"/>
        <v>0.31056728580231086</v>
      </c>
      <c r="P35" s="426">
        <f t="shared" si="1"/>
        <v>0.31056728580231086</v>
      </c>
      <c r="Q35" s="426">
        <f t="shared" si="1"/>
        <v>0.31056728580231086</v>
      </c>
      <c r="R35" s="426">
        <f t="shared" si="1"/>
        <v>0.31056728580231086</v>
      </c>
      <c r="S35" s="426">
        <f t="shared" si="1"/>
        <v>0.31056728580231086</v>
      </c>
      <c r="T35" s="426">
        <f t="shared" si="1"/>
        <v>0.31056728580231086</v>
      </c>
      <c r="U35" s="190"/>
      <c r="W35" s="460" t="s">
        <v>481</v>
      </c>
    </row>
    <row r="36" spans="4:23" ht="15" thickBot="1">
      <c r="D36" s="330"/>
      <c r="F36" s="426"/>
      <c r="G36" s="426"/>
      <c r="H36" s="426"/>
      <c r="I36" s="426"/>
      <c r="J36" s="426"/>
      <c r="K36" s="426"/>
      <c r="L36" s="426"/>
      <c r="M36" s="426"/>
      <c r="N36" s="426"/>
      <c r="O36" s="426"/>
      <c r="P36" s="426"/>
      <c r="Q36" s="426"/>
      <c r="R36" s="426"/>
      <c r="S36" s="426"/>
      <c r="T36" s="426"/>
      <c r="W36" s="345"/>
    </row>
    <row r="37" spans="4:23" ht="16.05" customHeight="1" thickTop="1" thickBot="1">
      <c r="D37" s="168"/>
      <c r="E37" s="168"/>
      <c r="F37" s="168"/>
      <c r="G37" s="168"/>
      <c r="H37" s="168"/>
      <c r="I37" s="168"/>
      <c r="J37" s="168"/>
      <c r="K37" s="168"/>
      <c r="L37" s="168"/>
      <c r="M37" s="168"/>
      <c r="N37" s="168"/>
      <c r="O37" s="168"/>
      <c r="P37" s="168"/>
      <c r="Q37" s="168"/>
      <c r="R37" s="168"/>
      <c r="S37" s="168"/>
      <c r="T37" s="168"/>
      <c r="U37" s="477"/>
      <c r="V37" s="475"/>
      <c r="W37" s="478"/>
    </row>
    <row r="38" spans="4:23" ht="16.05" customHeight="1" thickTop="1">
      <c r="V38" s="475"/>
      <c r="W38" s="476"/>
    </row>
  </sheetData>
  <mergeCells count="1">
    <mergeCell ref="C3:U3"/>
  </mergeCells>
  <pageMargins left="0.7" right="0.7" top="0.75" bottom="0.75" header="0.3" footer="0.3"/>
  <ignoredErrors>
    <ignoredError sqref="K33:T33 K34:T34" formula="1"/>
  </ignoredErrors>
  <extLst>
    <ext xmlns:x14="http://schemas.microsoft.com/office/spreadsheetml/2009/9/main" uri="{05C60535-1F16-4fd2-B633-F4F36F0B64E0}">
      <x14:sparklineGroups xmlns:xm="http://schemas.microsoft.com/office/excel/2006/main">
        <x14:sparklineGroup displayEmptyCellsAs="gap" markers="1" high="1" low="1" first="1" last="1" negative="1" xr2:uid="{00000000-0003-0000-0600-000000000000}">
          <x14:colorSeries rgb="FF0070C0"/>
          <x14:colorNegative rgb="FF000000"/>
          <x14:colorAxis rgb="FF000000"/>
          <x14:colorMarkers rgb="FF000000"/>
          <x14:colorFirst rgb="FF000000"/>
          <x14:colorLast rgb="FF000000"/>
          <x14:colorHigh rgb="FF000000"/>
          <x14:colorLow rgb="FF000000"/>
          <x14:sparklines>
            <x14:sparkline>
              <xm:f>'Ratios Analysis'!F8:T8</xm:f>
              <xm:sqref>U8</xm:sqref>
            </x14:sparkline>
            <x14:sparkline>
              <xm:f>'Ratios Analysis'!F9:T9</xm:f>
              <xm:sqref>U9</xm:sqref>
            </x14:sparkline>
            <x14:sparkline>
              <xm:f>'Ratios Analysis'!F10:T10</xm:f>
              <xm:sqref>U10</xm:sqref>
            </x14:sparkline>
            <x14:sparkline>
              <xm:f>'Ratios Analysis'!F11:T11</xm:f>
              <xm:sqref>U11</xm:sqref>
            </x14:sparkline>
            <x14:sparkline>
              <xm:f>'Ratios Analysis'!F12:T12</xm:f>
              <xm:sqref>U12</xm:sqref>
            </x14:sparkline>
            <x14:sparkline>
              <xm:f>'Ratios Analysis'!F13:T13</xm:f>
              <xm:sqref>U13</xm:sqref>
            </x14:sparkline>
            <x14:sparkline>
              <xm:f>'Ratios Analysis'!F14:T14</xm:f>
              <xm:sqref>U14</xm:sqref>
            </x14:sparkline>
            <x14:sparkline>
              <xm:f>'Ratios Analysis'!F15:T15</xm:f>
              <xm:sqref>U15</xm:sqref>
            </x14:sparkline>
            <x14:sparkline>
              <xm:f>'Ratios Analysis'!F16:T16</xm:f>
              <xm:sqref>U16</xm:sqref>
            </x14:sparkline>
            <x14:sparkline>
              <xm:f>'Ratios Analysis'!F17:T17</xm:f>
              <xm:sqref>U17</xm:sqref>
            </x14:sparkline>
            <x14:sparkline>
              <xm:f>'Ratios Analysis'!F18:T18</xm:f>
              <xm:sqref>U18</xm:sqref>
            </x14:sparkline>
            <x14:sparkline>
              <xm:f>'Ratios Analysis'!F19:T19</xm:f>
              <xm:sqref>U19</xm:sqref>
            </x14:sparkline>
            <x14:sparkline>
              <xm:f>'Ratios Analysis'!F20:T20</xm:f>
              <xm:sqref>U20</xm:sqref>
            </x14:sparkline>
            <x14:sparkline>
              <xm:f>'Ratios Analysis'!F21:T21</xm:f>
              <xm:sqref>U21</xm:sqref>
            </x14:sparkline>
            <x14:sparkline>
              <xm:f>'Ratios Analysis'!F22:T22</xm:f>
              <xm:sqref>U22</xm:sqref>
            </x14:sparkline>
            <x14:sparkline>
              <xm:f>'Ratios Analysis'!F23:T23</xm:f>
              <xm:sqref>U23</xm:sqref>
            </x14:sparkline>
            <x14:sparkline>
              <xm:f>'Ratios Analysis'!F24:T24</xm:f>
              <xm:sqref>U24</xm:sqref>
            </x14:sparkline>
            <x14:sparkline>
              <xm:f>'Ratios Analysis'!F25:T25</xm:f>
              <xm:sqref>U25</xm:sqref>
            </x14:sparkline>
            <x14:sparkline>
              <xm:f>'Ratios Analysis'!F26:T26</xm:f>
              <xm:sqref>U26</xm:sqref>
            </x14:sparkline>
            <x14:sparkline>
              <xm:f>'Ratios Analysis'!F27:T27</xm:f>
              <xm:sqref>U27</xm:sqref>
            </x14:sparkline>
            <x14:sparkline>
              <xm:f>'Ratios Analysis'!F28:T28</xm:f>
              <xm:sqref>U28</xm:sqref>
            </x14:sparkline>
            <x14:sparkline>
              <xm:f>'Ratios Analysis'!F29:T29</xm:f>
              <xm:sqref>U29</xm:sqref>
            </x14:sparkline>
            <x14:sparkline>
              <xm:f>'Ratios Analysis'!F30:T30</xm:f>
              <xm:sqref>U30</xm:sqref>
            </x14:sparkline>
            <x14:sparkline>
              <xm:f>'Ratios Analysis'!F31:T31</xm:f>
              <xm:sqref>U31</xm:sqref>
            </x14:sparkline>
            <x14:sparkline>
              <xm:f>'Ratios Analysis'!F32:T32</xm:f>
              <xm:sqref>U32</xm:sqref>
            </x14:sparkline>
            <x14:sparkline>
              <xm:f>'Ratios Analysis'!F33:T33</xm:f>
              <xm:sqref>U33</xm:sqref>
            </x14:sparkline>
            <x14:sparkline>
              <xm:f>'Ratios Analysis'!F34:T34</xm:f>
              <xm:sqref>U34</xm:sqref>
            </x14:sparkline>
            <x14:sparkline>
              <xm:f>'Ratios Analysis'!F35:T35</xm:f>
              <xm:sqref>U35</xm:sqref>
            </x14:sparkline>
            <x14:sparkline>
              <xm:f>'Ratios Analysis'!F36:T36</xm:f>
              <xm:sqref>U36</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39997558519241921"/>
  </sheetPr>
  <dimension ref="C1:W54"/>
  <sheetViews>
    <sheetView showGridLines="0" workbookViewId="0">
      <selection activeCell="G44" sqref="G44"/>
    </sheetView>
  </sheetViews>
  <sheetFormatPr defaultColWidth="8.88671875" defaultRowHeight="14.4"/>
  <cols>
    <col min="1" max="1" width="1.88671875" style="134" customWidth="1"/>
    <col min="2" max="2" width="1.6640625" style="134" customWidth="1"/>
    <col min="3" max="4" width="1.33203125" style="134" customWidth="1"/>
    <col min="5" max="5" width="33.6640625" style="134" customWidth="1"/>
    <col min="6" max="6" width="8.88671875" style="134"/>
    <col min="7" max="7" width="9.44140625" style="134" customWidth="1"/>
    <col min="8" max="16384" width="8.88671875" style="134"/>
  </cols>
  <sheetData>
    <row r="1" spans="4:23" customFormat="1" ht="13.2"/>
    <row r="2" spans="4:23" customFormat="1" ht="13.2"/>
    <row r="3" spans="4:23" customFormat="1" ht="13.2" customHeight="1">
      <c r="E3" s="557"/>
      <c r="F3" s="557"/>
      <c r="G3" s="557"/>
      <c r="H3" s="557"/>
      <c r="I3" s="557"/>
      <c r="J3" s="557"/>
      <c r="K3" s="557"/>
      <c r="L3" s="147"/>
      <c r="M3" s="147"/>
      <c r="N3" s="147"/>
    </row>
    <row r="4" spans="4:23" customFormat="1" ht="18" customHeight="1">
      <c r="E4" s="605" t="s">
        <v>338</v>
      </c>
      <c r="F4" s="605"/>
      <c r="G4" s="605"/>
      <c r="H4" s="605"/>
      <c r="I4" s="605"/>
      <c r="J4" s="605"/>
      <c r="K4" s="605"/>
      <c r="L4" s="147"/>
      <c r="M4" s="147"/>
      <c r="N4" s="147"/>
      <c r="O4" s="147"/>
      <c r="P4" s="147"/>
      <c r="Q4" s="147"/>
      <c r="R4" s="147"/>
      <c r="S4" s="147"/>
      <c r="T4" s="147"/>
      <c r="U4" s="147"/>
      <c r="V4" s="147"/>
      <c r="W4" s="147"/>
    </row>
    <row r="5" spans="4:23" customFormat="1" ht="13.2" customHeight="1">
      <c r="E5" s="557"/>
      <c r="F5" s="557"/>
      <c r="G5" s="557"/>
      <c r="H5" s="557"/>
      <c r="I5" s="557"/>
      <c r="J5" s="557"/>
      <c r="K5" s="557"/>
      <c r="L5" s="147"/>
      <c r="M5" s="147"/>
      <c r="N5" s="147"/>
      <c r="O5" s="147"/>
      <c r="P5" s="147"/>
      <c r="Q5" s="147"/>
      <c r="R5" s="147"/>
      <c r="S5" s="147"/>
      <c r="T5" s="147"/>
      <c r="U5" s="147"/>
      <c r="V5" s="147"/>
      <c r="W5" s="147"/>
    </row>
    <row r="6" spans="4:23" customFormat="1" ht="14.4" customHeight="1">
      <c r="M6" s="147"/>
      <c r="N6" s="147"/>
      <c r="O6" s="147"/>
      <c r="P6" s="147"/>
      <c r="Q6" s="147"/>
      <c r="R6" s="147"/>
      <c r="S6" s="147"/>
      <c r="T6" s="147"/>
      <c r="U6" s="147"/>
      <c r="V6" s="147"/>
      <c r="W6" s="147"/>
    </row>
    <row r="7" spans="4:23" ht="15" customHeight="1">
      <c r="E7" s="331" t="s">
        <v>44</v>
      </c>
      <c r="F7" s="135"/>
      <c r="G7" s="135">
        <v>2020</v>
      </c>
      <c r="H7" s="135">
        <f>G7+1</f>
        <v>2021</v>
      </c>
      <c r="I7" s="135">
        <f>H7+1</f>
        <v>2022</v>
      </c>
      <c r="J7" s="135">
        <f>I7+1</f>
        <v>2023</v>
      </c>
      <c r="K7" s="135">
        <f>J7+1</f>
        <v>2024</v>
      </c>
      <c r="M7" s="147"/>
      <c r="N7" s="147"/>
      <c r="O7" s="147"/>
      <c r="P7" s="147"/>
      <c r="Q7" s="147"/>
      <c r="R7" s="147"/>
      <c r="S7" s="147"/>
      <c r="T7" s="147"/>
      <c r="U7" s="147"/>
      <c r="V7" s="147"/>
      <c r="W7" s="147"/>
    </row>
    <row r="8" spans="4:23" ht="19.2" customHeight="1">
      <c r="D8" s="330"/>
      <c r="G8" s="136" t="s">
        <v>339</v>
      </c>
      <c r="H8" s="136" t="s">
        <v>339</v>
      </c>
      <c r="I8" s="136" t="s">
        <v>339</v>
      </c>
      <c r="J8" s="136" t="s">
        <v>339</v>
      </c>
      <c r="K8" s="136" t="s">
        <v>339</v>
      </c>
      <c r="M8" s="147"/>
      <c r="N8" s="147"/>
      <c r="O8" s="147"/>
      <c r="P8" s="147"/>
      <c r="Q8" s="147"/>
      <c r="R8" s="147"/>
      <c r="S8" s="147"/>
      <c r="T8" s="147"/>
      <c r="U8" s="147"/>
      <c r="V8" s="147"/>
      <c r="W8" s="147"/>
    </row>
    <row r="9" spans="4:23" ht="14.4" customHeight="1">
      <c r="E9" s="134" t="s">
        <v>180</v>
      </c>
      <c r="G9" s="641">
        <f>Model!H7/Model!H$7</f>
        <v>1</v>
      </c>
      <c r="H9" s="641">
        <f>Model!I7/Model!I$7</f>
        <v>1</v>
      </c>
      <c r="I9" s="641">
        <f>Model!J7/Model!J$7</f>
        <v>1</v>
      </c>
      <c r="J9" s="641">
        <f>Model!K7/Model!K$7</f>
        <v>1</v>
      </c>
      <c r="K9" s="641">
        <f>Model!L7/Model!L$7</f>
        <v>1</v>
      </c>
      <c r="M9" s="147"/>
      <c r="N9" s="147"/>
      <c r="O9" s="147"/>
      <c r="P9" s="147"/>
      <c r="Q9" s="147"/>
      <c r="R9" s="147"/>
      <c r="S9" s="147"/>
      <c r="T9" s="147"/>
      <c r="U9" s="147"/>
      <c r="V9" s="147"/>
      <c r="W9" s="147"/>
    </row>
    <row r="10" spans="4:23" ht="14.4" customHeight="1">
      <c r="E10" s="134" t="s">
        <v>181</v>
      </c>
      <c r="G10" s="640">
        <f>Model!H8/Model!H$7</f>
        <v>-0.55573698781618031</v>
      </c>
      <c r="H10" s="640">
        <f>Model!I8/Model!I$7</f>
        <v>-0.52626473916714278</v>
      </c>
      <c r="I10" s="640">
        <f>Model!J8/Model!J$7</f>
        <v>-0.48008665044680232</v>
      </c>
      <c r="J10" s="640">
        <f>Model!K8/Model!K$7</f>
        <v>-0.42740018699477583</v>
      </c>
      <c r="K10" s="640">
        <f>Model!L8/Model!L$7</f>
        <v>-0.43469213070517415</v>
      </c>
      <c r="M10" s="147"/>
      <c r="N10" s="147"/>
      <c r="O10" s="147"/>
      <c r="P10" s="147"/>
      <c r="Q10" s="147"/>
      <c r="R10" s="147"/>
      <c r="S10" s="147"/>
      <c r="T10" s="147"/>
      <c r="U10" s="147"/>
      <c r="V10" s="147"/>
      <c r="W10" s="147"/>
    </row>
    <row r="11" spans="4:23" s="133" customFormat="1" ht="14.4" customHeight="1">
      <c r="E11" s="355" t="s">
        <v>194</v>
      </c>
      <c r="F11" s="355"/>
      <c r="G11" s="356">
        <f>Model!H9/Model!H$7</f>
        <v>0.44426301218381969</v>
      </c>
      <c r="H11" s="356">
        <f>Model!I9/Model!I$7</f>
        <v>0.47373526083285722</v>
      </c>
      <c r="I11" s="356">
        <f>Model!J9/Model!J$7</f>
        <v>0.51991334955319768</v>
      </c>
      <c r="J11" s="356">
        <f>Model!K9/Model!K$7</f>
        <v>0.57259981300522422</v>
      </c>
      <c r="K11" s="356">
        <f>Model!L9/Model!L$7</f>
        <v>0.5653078692948259</v>
      </c>
      <c r="M11" s="147"/>
      <c r="N11" s="147"/>
      <c r="O11" s="147"/>
      <c r="P11" s="147"/>
      <c r="Q11" s="147"/>
      <c r="R11" s="147"/>
      <c r="S11" s="147"/>
      <c r="T11" s="147"/>
      <c r="U11" s="147"/>
      <c r="V11" s="147"/>
      <c r="W11" s="147"/>
    </row>
    <row r="12" spans="4:23" ht="14.4" customHeight="1">
      <c r="E12" s="134" t="s">
        <v>182</v>
      </c>
      <c r="G12" s="137">
        <f>Model!H10/Model!H$7</f>
        <v>-5.8645003999985401E-2</v>
      </c>
      <c r="H12" s="137">
        <f>Model!I10/Model!I$7</f>
        <v>-5.7956827601314431E-2</v>
      </c>
      <c r="I12" s="137">
        <f>Model!J10/Model!J$7</f>
        <v>-6.1911128251829387E-2</v>
      </c>
      <c r="J12" s="137">
        <f>Model!K10/Model!K$7</f>
        <v>-9.6207135214220876E-2</v>
      </c>
      <c r="K12" s="137">
        <f>Model!L10/Model!L$7</f>
        <v>-8.4946961226283452E-2</v>
      </c>
      <c r="M12" s="147"/>
      <c r="N12" s="147"/>
      <c r="O12" s="147"/>
      <c r="P12" s="147"/>
      <c r="Q12" s="147"/>
      <c r="R12" s="147"/>
      <c r="S12" s="147"/>
      <c r="T12" s="147"/>
      <c r="U12" s="147"/>
      <c r="V12" s="147"/>
      <c r="W12" s="147"/>
    </row>
    <row r="13" spans="4:23" ht="14.4" customHeight="1">
      <c r="E13" s="134" t="s">
        <v>183</v>
      </c>
      <c r="G13" s="137">
        <f>Model!H11/Model!H$7</f>
        <v>-0.19902489526074971</v>
      </c>
      <c r="H13" s="137">
        <f>Model!I11/Model!I$7</f>
        <v>-0.15390508160140789</v>
      </c>
      <c r="I13" s="137">
        <f>Model!J11/Model!J$7</f>
        <v>-0.15318876446088509</v>
      </c>
      <c r="J13" s="137">
        <f>Model!K11/Model!K$7</f>
        <v>-0.17333462222586296</v>
      </c>
      <c r="K13" s="137">
        <f>Model!L11/Model!L$7</f>
        <v>-0.14994507371381141</v>
      </c>
      <c r="M13" s="147"/>
      <c r="N13" s="147"/>
      <c r="O13" s="147"/>
      <c r="P13" s="147"/>
      <c r="Q13" s="147"/>
      <c r="R13" s="147"/>
      <c r="S13" s="147"/>
      <c r="T13" s="147"/>
      <c r="U13" s="147"/>
      <c r="V13" s="147"/>
      <c r="W13" s="147"/>
    </row>
    <row r="14" spans="4:23" s="133" customFormat="1" ht="14.4" customHeight="1">
      <c r="E14" s="355" t="s">
        <v>195</v>
      </c>
      <c r="F14" s="355"/>
      <c r="G14" s="356">
        <f>Model!H12/Model!H$7</f>
        <v>0.18659311292308459</v>
      </c>
      <c r="H14" s="356">
        <f>Model!I12/Model!I$7</f>
        <v>0.26187335163013492</v>
      </c>
      <c r="I14" s="356">
        <f>Model!J12/Model!J$7</f>
        <v>0.30481345684048322</v>
      </c>
      <c r="J14" s="356">
        <f>Model!K12/Model!K$7</f>
        <v>0.30305805556514037</v>
      </c>
      <c r="K14" s="356">
        <f>Model!L12/Model!L$7</f>
        <v>0.33041583435473104</v>
      </c>
      <c r="M14" s="147"/>
      <c r="N14" s="147"/>
      <c r="O14" s="147"/>
      <c r="P14" s="147"/>
      <c r="Q14" s="147"/>
      <c r="R14" s="147"/>
      <c r="S14" s="147"/>
      <c r="T14" s="147"/>
      <c r="U14" s="147"/>
      <c r="V14" s="147"/>
      <c r="W14" s="147"/>
    </row>
    <row r="15" spans="4:23" ht="14.4" customHeight="1">
      <c r="E15" s="134" t="s">
        <v>196</v>
      </c>
      <c r="G15" s="137">
        <f>Model!H13/Model!H$7</f>
        <v>-3.2929558006462911E-2</v>
      </c>
      <c r="H15" s="137">
        <f>Model!I13/Model!I$7</f>
        <v>-2.9457185650475677E-2</v>
      </c>
      <c r="I15" s="137">
        <f>Model!J13/Model!J$7</f>
        <v>-2.6136433615181004E-2</v>
      </c>
      <c r="J15" s="137">
        <f>Model!K13/Model!K$7</f>
        <v>-2.6099669848598149E-2</v>
      </c>
      <c r="K15" s="137">
        <f>Model!L13/Model!L$7</f>
        <v>-2.3019639060812631E-2</v>
      </c>
      <c r="M15" s="147"/>
      <c r="N15" s="147"/>
      <c r="O15" s="147"/>
      <c r="P15" s="147"/>
      <c r="Q15" s="147"/>
      <c r="R15" s="147"/>
      <c r="S15" s="147"/>
      <c r="T15" s="147"/>
      <c r="U15" s="147"/>
      <c r="V15" s="147"/>
      <c r="W15" s="147"/>
    </row>
    <row r="16" spans="4:23" s="133" customFormat="1" ht="14.4" customHeight="1">
      <c r="E16" s="355" t="s">
        <v>197</v>
      </c>
      <c r="F16" s="355"/>
      <c r="G16" s="356">
        <f>Model!H14/Model!H$7</f>
        <v>0.15366355491662168</v>
      </c>
      <c r="H16" s="356">
        <f>Model!I14/Model!I$7</f>
        <v>0.23241616597965925</v>
      </c>
      <c r="I16" s="356">
        <f>Model!J14/Model!J$7</f>
        <v>0.27867702322530225</v>
      </c>
      <c r="J16" s="356">
        <f>Model!K14/Model!K$7</f>
        <v>0.27695838571654224</v>
      </c>
      <c r="K16" s="356">
        <f>Model!L14/Model!L$7</f>
        <v>0.30739619529391843</v>
      </c>
      <c r="M16" s="147"/>
      <c r="N16" s="147"/>
      <c r="O16" s="147"/>
      <c r="P16" s="147"/>
      <c r="Q16" s="147"/>
      <c r="R16" s="147"/>
      <c r="S16" s="147"/>
      <c r="T16" s="147"/>
      <c r="U16" s="147"/>
      <c r="V16" s="147"/>
      <c r="W16" s="147"/>
    </row>
    <row r="17" spans="3:23" ht="14.4" customHeight="1">
      <c r="E17" s="134" t="s">
        <v>198</v>
      </c>
      <c r="G17" s="137">
        <f>Model!H15/Model!H$7</f>
        <v>-0.23458731530337434</v>
      </c>
      <c r="H17" s="137">
        <f>Model!I15/Model!I$7</f>
        <v>-0.15762005636803872</v>
      </c>
      <c r="I17" s="137">
        <f>Model!J15/Model!J$7</f>
        <v>-0.10923251139679271</v>
      </c>
      <c r="J17" s="137">
        <f>Model!K15/Model!K$7</f>
        <v>-6.8858293202505472E-2</v>
      </c>
      <c r="K17" s="137">
        <f>Model!L15/Model!L$7</f>
        <v>-5.5461109914592209E-2</v>
      </c>
      <c r="M17" s="147"/>
      <c r="N17" s="147"/>
      <c r="O17" s="147"/>
      <c r="P17" s="147"/>
      <c r="Q17" s="147"/>
      <c r="R17" s="147"/>
      <c r="S17" s="147"/>
      <c r="T17" s="147"/>
      <c r="U17" s="147"/>
      <c r="V17" s="147"/>
      <c r="W17" s="147"/>
    </row>
    <row r="18" spans="3:23" ht="14.4" customHeight="1">
      <c r="E18" s="134" t="s">
        <v>177</v>
      </c>
      <c r="G18" s="137">
        <f>Model!H16/Model!H$7</f>
        <v>0.18835236012948176</v>
      </c>
      <c r="H18" s="137">
        <f>Model!I16/Model!I$7</f>
        <v>8.0275656295708528E-2</v>
      </c>
      <c r="I18" s="137">
        <f>Model!J16/Model!J$7</f>
        <v>3.4283659691509392E-2</v>
      </c>
      <c r="J18" s="137">
        <f>Model!K16/Model!K$7</f>
        <v>5.5718630897616188E-2</v>
      </c>
      <c r="K18" s="137">
        <f>Model!L16/Model!L$7</f>
        <v>8.267410431535048E-2</v>
      </c>
      <c r="M18" s="147"/>
      <c r="N18" s="147"/>
      <c r="O18" s="147"/>
      <c r="P18" s="147"/>
      <c r="Q18" s="147"/>
      <c r="R18" s="147"/>
      <c r="S18" s="147"/>
      <c r="T18" s="147"/>
      <c r="U18" s="147"/>
      <c r="V18" s="147"/>
      <c r="W18" s="147"/>
    </row>
    <row r="19" spans="3:23" s="133" customFormat="1" ht="14.4" customHeight="1">
      <c r="E19" s="355" t="s">
        <v>199</v>
      </c>
      <c r="F19" s="355"/>
      <c r="G19" s="356">
        <f>Model!H17/Model!H$7</f>
        <v>0.1074285997427291</v>
      </c>
      <c r="H19" s="356">
        <f>Model!I17/Model!I$7</f>
        <v>0.15507176590732905</v>
      </c>
      <c r="I19" s="356">
        <f>Model!J17/Model!J$7</f>
        <v>0.20372817152001893</v>
      </c>
      <c r="J19" s="356">
        <f>Model!K17/Model!K$7</f>
        <v>0.26381872341165291</v>
      </c>
      <c r="K19" s="356">
        <f>Model!L17/Model!L$7</f>
        <v>0.33460918969467668</v>
      </c>
      <c r="M19" s="147"/>
      <c r="N19" s="147"/>
      <c r="O19" s="147"/>
      <c r="P19" s="147"/>
      <c r="Q19" s="147"/>
      <c r="R19" s="147"/>
      <c r="S19" s="147"/>
      <c r="T19" s="147"/>
      <c r="U19" s="147"/>
      <c r="V19" s="147"/>
      <c r="W19" s="147"/>
    </row>
    <row r="20" spans="3:23" ht="14.4" customHeight="1">
      <c r="E20" s="134" t="s">
        <v>200</v>
      </c>
      <c r="G20" s="640">
        <f>Model!H18/Model!H$7</f>
        <v>-0.35060893781292679</v>
      </c>
      <c r="H20" s="640">
        <f>Model!I18/Model!I$7</f>
        <v>-6.6915075393498516E-2</v>
      </c>
      <c r="I20" s="640">
        <f>Model!J18/Model!J$7</f>
        <v>-5.6137066918509525E-2</v>
      </c>
      <c r="J20" s="640">
        <f>Model!K18/Model!K$7</f>
        <v>-7.0503071084969185E-2</v>
      </c>
      <c r="K20" s="640">
        <f>Model!L18/Model!L$7</f>
        <v>-8.0929131631923903E-2</v>
      </c>
      <c r="M20" s="147"/>
      <c r="N20" s="147"/>
      <c r="O20" s="147"/>
      <c r="P20" s="147"/>
      <c r="Q20" s="147"/>
      <c r="R20" s="147"/>
      <c r="S20" s="147"/>
      <c r="T20" s="147"/>
      <c r="U20" s="147"/>
      <c r="V20" s="147"/>
      <c r="W20" s="147"/>
    </row>
    <row r="21" spans="3:23" ht="14.4" customHeight="1">
      <c r="E21" s="134" t="s">
        <v>201</v>
      </c>
      <c r="G21" s="640">
        <f>Model!H19/Model!H$7</f>
        <v>0.14623605335738202</v>
      </c>
      <c r="H21" s="640">
        <f>Model!I19/Model!I$7</f>
        <v>0.11180223126411026</v>
      </c>
      <c r="I21" s="640">
        <f>Model!J19/Model!J$7</f>
        <v>0.11485451696821797</v>
      </c>
      <c r="J21" s="640">
        <f>Model!K19/Model!K$7</f>
        <v>0.16383841677639374</v>
      </c>
      <c r="K21" s="640">
        <f>Model!L19/Model!L$7</f>
        <v>0.17008432299761939</v>
      </c>
      <c r="M21" s="147"/>
      <c r="N21" s="147"/>
      <c r="O21" s="147"/>
      <c r="P21" s="147"/>
      <c r="Q21" s="147"/>
      <c r="R21" s="147"/>
      <c r="S21" s="147"/>
      <c r="T21" s="147"/>
      <c r="U21" s="147"/>
      <c r="V21" s="147"/>
      <c r="W21" s="147"/>
    </row>
    <row r="22" spans="3:23" s="133" customFormat="1" ht="14.4" customHeight="1">
      <c r="E22" s="138" t="s">
        <v>202</v>
      </c>
      <c r="F22" s="138"/>
      <c r="G22" s="139">
        <f>Model!H20/Model!H$7</f>
        <v>-9.6944284712815701E-2</v>
      </c>
      <c r="H22" s="139">
        <f>Model!I20/Model!I$7</f>
        <v>0.19995892177794078</v>
      </c>
      <c r="I22" s="139">
        <f>Model!J20/Model!J$7</f>
        <v>0.26244562156972739</v>
      </c>
      <c r="J22" s="139">
        <f>Model!K20/Model!K$7</f>
        <v>0.35715406910307745</v>
      </c>
      <c r="K22" s="139">
        <f>Model!L20/Model!L$7</f>
        <v>0.42376438106037212</v>
      </c>
      <c r="M22" s="147"/>
      <c r="N22" s="147"/>
      <c r="O22" s="147"/>
      <c r="P22" s="147"/>
      <c r="Q22" s="147"/>
      <c r="R22" s="147"/>
      <c r="S22" s="147"/>
      <c r="T22" s="147"/>
      <c r="U22" s="147"/>
      <c r="V22" s="147"/>
      <c r="W22" s="147"/>
    </row>
    <row r="23" spans="3:23" ht="14.4" customHeight="1">
      <c r="M23" s="147"/>
    </row>
    <row r="24" spans="3:23" ht="14.4" customHeight="1">
      <c r="M24" s="147"/>
    </row>
    <row r="25" spans="3:23" ht="18.600000000000001" customHeight="1">
      <c r="E25" s="135" t="s">
        <v>66</v>
      </c>
      <c r="F25" s="140"/>
      <c r="G25" s="140"/>
      <c r="H25" s="140"/>
      <c r="I25" s="140"/>
      <c r="J25" s="140"/>
      <c r="K25" s="140"/>
      <c r="M25" s="147"/>
    </row>
    <row r="26" spans="3:23">
      <c r="C26" s="133" t="s">
        <v>204</v>
      </c>
    </row>
    <row r="27" spans="3:23">
      <c r="E27" s="133" t="s">
        <v>205</v>
      </c>
    </row>
    <row r="28" spans="3:23">
      <c r="E28" s="134" t="s">
        <v>206</v>
      </c>
      <c r="G28" s="639">
        <f>Model!H27/Model!H$41</f>
        <v>2.8227578411221411E-2</v>
      </c>
      <c r="H28" s="639">
        <f>Model!I27/Model!I$41</f>
        <v>1.9061019463486761E-2</v>
      </c>
      <c r="I28" s="639">
        <f>Model!J27/Model!J$41</f>
        <v>5.8292896837269679E-3</v>
      </c>
      <c r="J28" s="639">
        <f>Model!K27/Model!K$41</f>
        <v>3.9140972409452343E-3</v>
      </c>
      <c r="K28" s="639">
        <f>Model!L27/Model!L$41</f>
        <v>2.312935212318222E-2</v>
      </c>
    </row>
    <row r="29" spans="3:23">
      <c r="E29" s="134" t="s">
        <v>43</v>
      </c>
      <c r="G29" s="639">
        <f>Model!H28/Model!H$41</f>
        <v>1.4065523256272123E-2</v>
      </c>
      <c r="H29" s="639">
        <f>Model!I28/Model!I$41</f>
        <v>6.607332161913536E-3</v>
      </c>
      <c r="I29" s="639">
        <f>Model!J28/Model!J$41</f>
        <v>1.1914739944284596E-2</v>
      </c>
      <c r="J29" s="639">
        <f>Model!K28/Model!K$41</f>
        <v>3.8266565644051398E-2</v>
      </c>
      <c r="K29" s="639">
        <f>Model!L28/Model!L$41</f>
        <v>4.9624892949412545E-2</v>
      </c>
    </row>
    <row r="30" spans="3:23">
      <c r="E30" s="134" t="s">
        <v>207</v>
      </c>
      <c r="G30" s="639">
        <f>Model!H29/Model!H$41</f>
        <v>1.2587745608768384E-2</v>
      </c>
      <c r="H30" s="639">
        <f>Model!I29/Model!I$41</f>
        <v>1.0605617449914728E-2</v>
      </c>
      <c r="I30" s="639">
        <f>Model!J29/Model!J$41</f>
        <v>1.0734545791811956E-2</v>
      </c>
      <c r="J30" s="639">
        <f>Model!K29/Model!K$41</f>
        <v>1.0184573759421424E-2</v>
      </c>
      <c r="K30" s="639">
        <f>Model!L29/Model!L$41</f>
        <v>8.9287985009955714E-3</v>
      </c>
    </row>
    <row r="31" spans="3:23">
      <c r="E31" s="134" t="s">
        <v>208</v>
      </c>
      <c r="G31" s="639">
        <f>Model!H30/Model!H$41</f>
        <v>0.39291150777828332</v>
      </c>
      <c r="H31" s="639">
        <f>Model!I30/Model!I$41</f>
        <v>0.38472474165038179</v>
      </c>
      <c r="I31" s="639">
        <f>Model!J30/Model!J$41</f>
        <v>0.38296555914921099</v>
      </c>
      <c r="J31" s="639">
        <f>Model!K30/Model!K$41</f>
        <v>0.35901995814759707</v>
      </c>
      <c r="K31" s="639">
        <f>Model!L30/Model!L$41</f>
        <v>0.35103369353197156</v>
      </c>
    </row>
    <row r="32" spans="3:23">
      <c r="E32" s="134" t="s">
        <v>209</v>
      </c>
      <c r="G32" s="639">
        <f>Model!H31/Model!H$41</f>
        <v>1.26822820430906E-2</v>
      </c>
      <c r="H32" s="639">
        <f>Model!I31/Model!I$41</f>
        <v>7.9703197341048793E-3</v>
      </c>
      <c r="I32" s="639">
        <f>Model!J31/Model!J$41</f>
        <v>6.4897803028174461E-3</v>
      </c>
      <c r="J32" s="639">
        <f>Model!K31/Model!K$41</f>
        <v>1.3198782106304617E-2</v>
      </c>
      <c r="K32" s="639">
        <f>Model!L31/Model!L$41</f>
        <v>2.2045681322633084E-2</v>
      </c>
    </row>
    <row r="33" spans="3:11">
      <c r="E33" s="133" t="s">
        <v>211</v>
      </c>
      <c r="G33" s="639"/>
      <c r="H33" s="639"/>
      <c r="I33" s="639"/>
      <c r="J33" s="639"/>
      <c r="K33" s="639"/>
    </row>
    <row r="34" spans="3:11">
      <c r="E34" s="134" t="s">
        <v>212</v>
      </c>
      <c r="G34" s="639">
        <f>Model!H34/Model!H$41</f>
        <v>7.3041902112967849E-2</v>
      </c>
      <c r="H34" s="639">
        <f>Model!I34/Model!I$41</f>
        <v>7.0434135996368968E-2</v>
      </c>
      <c r="I34" s="639">
        <f>Model!J34/Model!J$41</f>
        <v>8.6083330092907973E-2</v>
      </c>
      <c r="J34" s="639">
        <f>Model!K34/Model!K$41</f>
        <v>8.5704251751949179E-2</v>
      </c>
      <c r="K34" s="639">
        <f>Model!L34/Model!L$41</f>
        <v>6.1875603786553657E-2</v>
      </c>
    </row>
    <row r="35" spans="3:11">
      <c r="E35" s="134" t="s">
        <v>72</v>
      </c>
      <c r="G35" s="639">
        <f>Model!H35/Model!H$41</f>
        <v>1.9140387504849529E-2</v>
      </c>
      <c r="H35" s="639">
        <f>Model!I35/Model!I$41</f>
        <v>1.9900305659015752E-2</v>
      </c>
      <c r="I35" s="639">
        <f>Model!J35/Model!J$41</f>
        <v>8.0713846863754834E-3</v>
      </c>
      <c r="J35" s="639">
        <f>Model!K35/Model!K$41</f>
        <v>4.1657309435678067E-3</v>
      </c>
      <c r="K35" s="639">
        <f>Model!L35/Model!L$41</f>
        <v>3.6829517418631719E-3</v>
      </c>
    </row>
    <row r="36" spans="3:11">
      <c r="E36" s="134" t="s">
        <v>213</v>
      </c>
      <c r="G36" s="639">
        <f>Model!H36/Model!H$41</f>
        <v>6.1971562116769713E-2</v>
      </c>
      <c r="H36" s="639">
        <f>Model!I36/Model!I$41</f>
        <v>7.465310679197347E-2</v>
      </c>
      <c r="I36" s="639">
        <f>Model!J36/Model!J$41</f>
        <v>6.2648060901021499E-2</v>
      </c>
      <c r="J36" s="639">
        <f>Model!K36/Model!K$41</f>
        <v>7.3866454894885483E-2</v>
      </c>
      <c r="K36" s="639">
        <f>Model!L36/Model!L$41</f>
        <v>9.8579741194164586E-2</v>
      </c>
    </row>
    <row r="37" spans="3:11">
      <c r="E37" s="134" t="s">
        <v>214</v>
      </c>
      <c r="G37" s="639">
        <f>Model!H37/Model!H$41</f>
        <v>0.31492192868025176</v>
      </c>
      <c r="H37" s="639">
        <f>Model!I37/Model!I$41</f>
        <v>0.33909131659862352</v>
      </c>
      <c r="I37" s="639">
        <f>Model!J37/Model!J$41</f>
        <v>0.3588784463980722</v>
      </c>
      <c r="J37" s="639">
        <f>Model!K37/Model!K$41</f>
        <v>0.34542333996986219</v>
      </c>
      <c r="K37" s="639">
        <f>Model!L37/Model!L$41</f>
        <v>0.32048293233340852</v>
      </c>
    </row>
    <row r="38" spans="3:11">
      <c r="E38" s="134" t="s">
        <v>215</v>
      </c>
      <c r="G38" s="639">
        <f>Model!H38/Model!H$41</f>
        <v>7.0449582487525253E-2</v>
      </c>
      <c r="H38" s="639">
        <f>Model!I38/Model!I$41</f>
        <v>6.6952104494216569E-2</v>
      </c>
      <c r="I38" s="639">
        <f>Model!J38/Model!J$41</f>
        <v>6.6384863049770926E-2</v>
      </c>
      <c r="J38" s="639">
        <f>Model!K38/Model!K$41</f>
        <v>6.625624554141557E-2</v>
      </c>
      <c r="K38" s="639">
        <f>Model!L38/Model!L$41</f>
        <v>6.0616352515815132E-2</v>
      </c>
    </row>
    <row r="39" spans="3:11">
      <c r="E39" s="138" t="s">
        <v>91</v>
      </c>
      <c r="F39" s="142"/>
      <c r="G39" s="143">
        <f t="shared" ref="G39:K39" si="0">SUM(G28:G38)</f>
        <v>0.99999999999999978</v>
      </c>
      <c r="H39" s="143">
        <f t="shared" si="0"/>
        <v>1</v>
      </c>
      <c r="I39" s="143">
        <f t="shared" si="0"/>
        <v>1</v>
      </c>
      <c r="J39" s="143">
        <f t="shared" si="0"/>
        <v>1</v>
      </c>
      <c r="K39" s="143">
        <f t="shared" si="0"/>
        <v>1</v>
      </c>
    </row>
    <row r="42" spans="3:11">
      <c r="C42" s="144" t="s">
        <v>217</v>
      </c>
    </row>
    <row r="43" spans="3:11">
      <c r="E43" s="134" t="s">
        <v>218</v>
      </c>
    </row>
    <row r="44" spans="3:11">
      <c r="E44" s="134" t="s">
        <v>219</v>
      </c>
      <c r="G44" s="141">
        <f>Model!H45/Model!H$60</f>
        <v>3.2333571327113279E-2</v>
      </c>
      <c r="H44" s="141">
        <f>Model!I45/Model!I$60</f>
        <v>3.7018748226122805E-2</v>
      </c>
      <c r="I44" s="141">
        <f>Model!J45/Model!J$60</f>
        <v>4.4243089254540256E-2</v>
      </c>
      <c r="J44" s="141">
        <f>Model!K45/Model!K$60</f>
        <v>4.5206364335754187E-2</v>
      </c>
      <c r="K44" s="141">
        <f>Model!L45/Model!L$60</f>
        <v>4.2846062031020773E-2</v>
      </c>
    </row>
    <row r="45" spans="3:11">
      <c r="E45" s="134" t="s">
        <v>220</v>
      </c>
      <c r="G45" s="141">
        <f>Model!H46/Model!H$60</f>
        <v>0.21386112095786766</v>
      </c>
      <c r="H45" s="141">
        <f>Model!I46/Model!I$60</f>
        <v>0.16794027919602153</v>
      </c>
      <c r="I45" s="141">
        <f>Model!J46/Model!J$60</f>
        <v>0.13507627979075915</v>
      </c>
      <c r="J45" s="141">
        <f>Model!K46/Model!K$60</f>
        <v>0.13866665879938547</v>
      </c>
      <c r="K45" s="141">
        <f>Model!L46/Model!L$60</f>
        <v>0.16903339739373463</v>
      </c>
    </row>
    <row r="46" spans="3:11">
      <c r="E46" s="133" t="s">
        <v>222</v>
      </c>
      <c r="G46" s="141"/>
      <c r="H46" s="141"/>
      <c r="I46" s="141"/>
      <c r="J46" s="141"/>
      <c r="K46" s="141"/>
    </row>
    <row r="47" spans="3:11">
      <c r="E47" s="134" t="s">
        <v>223</v>
      </c>
      <c r="G47" s="141">
        <f>Model!H50/Model!H$60</f>
        <v>0.1105976316144598</v>
      </c>
      <c r="H47" s="141">
        <f>Model!I50/Model!I$60</f>
        <v>0.10289600955402201</v>
      </c>
      <c r="I47" s="141">
        <f>Model!J50/Model!J$60</f>
        <v>7.964898810962992E-2</v>
      </c>
      <c r="J47" s="141">
        <f>Model!K50/Model!K$60</f>
        <v>6.1823095029900507E-2</v>
      </c>
      <c r="K47" s="141">
        <f>Model!L50/Model!L$60</f>
        <v>8.0213536809695785E-2</v>
      </c>
    </row>
    <row r="48" spans="3:11">
      <c r="E48" s="134" t="s">
        <v>224</v>
      </c>
      <c r="G48" s="141">
        <f>Model!H51/Model!H$60</f>
        <v>4.0983676909368903E-2</v>
      </c>
      <c r="H48" s="141">
        <f>Model!I51/Model!I$60</f>
        <v>4.6926503428162354E-2</v>
      </c>
      <c r="I48" s="141">
        <f>Model!J51/Model!J$60</f>
        <v>4.8090729949593819E-2</v>
      </c>
      <c r="J48" s="141">
        <f>Model!K51/Model!K$60</f>
        <v>5.5373744797479078E-2</v>
      </c>
      <c r="K48" s="141">
        <f>Model!L51/Model!L$60</f>
        <v>5.3574974789004824E-2</v>
      </c>
    </row>
    <row r="49" spans="5:11" ht="6" customHeight="1">
      <c r="G49" s="141"/>
      <c r="H49" s="141"/>
      <c r="I49" s="141"/>
      <c r="J49" s="141"/>
      <c r="K49" s="141"/>
    </row>
    <row r="50" spans="5:11">
      <c r="E50" s="134" t="s">
        <v>226</v>
      </c>
      <c r="G50" s="141"/>
      <c r="H50" s="141"/>
      <c r="I50" s="141"/>
      <c r="J50" s="141"/>
      <c r="K50" s="141"/>
    </row>
    <row r="51" spans="5:11">
      <c r="E51" s="134" t="s">
        <v>227</v>
      </c>
      <c r="G51" s="141">
        <f>Model!H55/Model!H$60</f>
        <v>8.6504305878335724E-3</v>
      </c>
      <c r="H51" s="141">
        <f>Model!I55/Model!I$60</f>
        <v>9.0323896071136216E-3</v>
      </c>
      <c r="I51" s="141">
        <f>Model!J55/Model!J$60</f>
        <v>9.4291483077269655E-3</v>
      </c>
      <c r="J51" s="141">
        <f>Model!K55/Model!K$60</f>
        <v>9.1800620170703635E-3</v>
      </c>
      <c r="K51" s="141">
        <f>Model!L55/Model!L$60</f>
        <v>8.2151113238990488E-3</v>
      </c>
    </row>
    <row r="52" spans="5:11">
      <c r="E52" s="134" t="s">
        <v>228</v>
      </c>
      <c r="G52" s="141">
        <f>Model!H56/Model!H$60</f>
        <v>0.59325191442700986</v>
      </c>
      <c r="H52" s="141">
        <f>Model!I56/Model!I$60</f>
        <v>0.63581599843474335</v>
      </c>
      <c r="I52" s="141">
        <f>Model!J56/Model!J$60</f>
        <v>0.68314092952221117</v>
      </c>
      <c r="J52" s="141">
        <f>Model!K56/Model!K$60</f>
        <v>0.68966915971213971</v>
      </c>
      <c r="K52" s="141">
        <f>Model!L56/Model!L$60</f>
        <v>0.64610360752825691</v>
      </c>
    </row>
    <row r="53" spans="5:11">
      <c r="E53" s="134" t="s">
        <v>229</v>
      </c>
      <c r="G53" s="141">
        <f>Model!H57/Model!H$60</f>
        <v>3.2165417634701316E-4</v>
      </c>
      <c r="H53" s="141">
        <f>Model!I57/Model!I$60</f>
        <v>3.7007155381431616E-4</v>
      </c>
      <c r="I53" s="141">
        <f>Model!J57/Model!J$60</f>
        <v>3.7083506553877116E-4</v>
      </c>
      <c r="J53" s="141">
        <f>Model!K57/Model!K$60</f>
        <v>8.0915308270672681E-5</v>
      </c>
      <c r="K53" s="141">
        <f>Model!L57/Model!L$60</f>
        <v>1.3310124388181905E-5</v>
      </c>
    </row>
    <row r="54" spans="5:11" s="133" customFormat="1">
      <c r="E54" s="145" t="s">
        <v>231</v>
      </c>
      <c r="F54" s="145"/>
      <c r="G54" s="146">
        <f t="shared" ref="G54:K54" si="1">SUM(G44:G53)</f>
        <v>1.0000000000000002</v>
      </c>
      <c r="H54" s="146">
        <f t="shared" si="1"/>
        <v>0.99999999999999989</v>
      </c>
      <c r="I54" s="146">
        <f t="shared" si="1"/>
        <v>1</v>
      </c>
      <c r="J54" s="146">
        <f t="shared" si="1"/>
        <v>1</v>
      </c>
      <c r="K54" s="146">
        <f t="shared" si="1"/>
        <v>1.0000000000000002</v>
      </c>
    </row>
  </sheetData>
  <mergeCells count="1">
    <mergeCell ref="E4:K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39997558519241921"/>
  </sheetPr>
  <dimension ref="B1:AI287"/>
  <sheetViews>
    <sheetView showGridLines="0" workbookViewId="0">
      <selection activeCell="V4" sqref="V4"/>
    </sheetView>
  </sheetViews>
  <sheetFormatPr defaultColWidth="8.88671875" defaultRowHeight="21" customHeight="1"/>
  <cols>
    <col min="1" max="2" width="1.88671875" style="10" customWidth="1"/>
    <col min="3" max="3" width="13" style="10" customWidth="1"/>
    <col min="4" max="4" width="1.77734375" style="10" customWidth="1"/>
    <col min="5" max="5" width="13.77734375" style="10" customWidth="1"/>
    <col min="6" max="6" width="1.77734375" style="10" customWidth="1"/>
    <col min="7" max="7" width="13.44140625" style="10" customWidth="1"/>
    <col min="8" max="8" width="1.77734375" style="10" customWidth="1"/>
    <col min="9" max="9" width="13.44140625" style="10" customWidth="1"/>
    <col min="10" max="10" width="1.77734375" style="10" customWidth="1"/>
    <col min="11" max="11" width="14.44140625" style="10" customWidth="1"/>
    <col min="12" max="12" width="2.77734375" style="10" customWidth="1"/>
    <col min="13" max="13" width="16.109375" style="10" customWidth="1"/>
    <col min="14" max="14" width="1.77734375" style="10" customWidth="1"/>
    <col min="15" max="15" width="13.44140625" style="10" customWidth="1"/>
    <col min="16" max="16" width="2.77734375" style="10" customWidth="1"/>
    <col min="17" max="17" width="13.21875" style="10" customWidth="1"/>
    <col min="18" max="18" width="1.77734375" style="10" customWidth="1"/>
    <col min="19" max="19" width="13.44140625" style="10" customWidth="1"/>
    <col min="20" max="20" width="2.77734375" style="10" customWidth="1"/>
    <col min="21" max="21" width="14.44140625" style="10" customWidth="1"/>
    <col min="22" max="22" width="1.77734375" style="10" customWidth="1"/>
    <col min="23" max="23" width="13.44140625" style="10" customWidth="1"/>
    <col min="24" max="24" width="2.77734375" style="10" customWidth="1"/>
    <col min="25" max="25" width="14.5546875" style="10" customWidth="1"/>
    <col min="26" max="26" width="1.77734375" style="10" customWidth="1"/>
    <col min="27" max="27" width="12.88671875" style="10" customWidth="1"/>
    <col min="28" max="28" width="2.77734375" style="10" customWidth="1"/>
    <col min="29" max="29" width="13.21875" style="10" customWidth="1"/>
    <col min="30" max="30" width="1.77734375" style="10" customWidth="1"/>
    <col min="31" max="31" width="13.21875" style="10" customWidth="1"/>
    <col min="32" max="32" width="2.77734375" style="10" customWidth="1"/>
    <col min="33" max="33" width="14.21875" style="10" customWidth="1"/>
    <col min="34" max="34" width="1.77734375" style="10" customWidth="1"/>
    <col min="35" max="35" width="13.44140625" style="80" customWidth="1"/>
    <col min="36" max="16384" width="8.88671875" style="10"/>
  </cols>
  <sheetData>
    <row r="1" spans="2:35" ht="13.05" customHeight="1">
      <c r="L1" s="110"/>
      <c r="M1" s="111"/>
      <c r="N1" s="111"/>
      <c r="O1" s="111"/>
      <c r="P1" s="111"/>
      <c r="Q1" s="111"/>
      <c r="R1" s="111"/>
      <c r="S1" s="111"/>
      <c r="T1" s="125"/>
    </row>
    <row r="2" spans="2:35" s="97" customFormat="1" ht="16.95" customHeight="1">
      <c r="C2" s="99" t="s">
        <v>340</v>
      </c>
      <c r="L2" s="112"/>
      <c r="O2" s="113" t="s">
        <v>5</v>
      </c>
      <c r="P2" s="114"/>
      <c r="Q2" s="113"/>
      <c r="R2" s="113"/>
      <c r="S2" s="113" t="s">
        <v>5</v>
      </c>
      <c r="T2" s="126"/>
      <c r="AI2" s="109"/>
    </row>
    <row r="3" spans="2:35" s="97" customFormat="1" ht="21" customHeight="1">
      <c r="B3" s="607" t="str">
        <f>"Beta"&amp;" - "&amp;C2</f>
        <v>Beta - DLF</v>
      </c>
      <c r="C3" s="607"/>
      <c r="D3" s="607"/>
      <c r="E3" s="607"/>
      <c r="F3" s="607"/>
      <c r="G3" s="607"/>
      <c r="H3" s="607"/>
      <c r="I3" s="607"/>
      <c r="J3" s="580"/>
      <c r="K3" s="100"/>
      <c r="L3" s="112"/>
      <c r="M3" s="115" t="str">
        <f>Comps!C9</f>
        <v>Macrotech Devel.</v>
      </c>
      <c r="O3" s="116">
        <f>SLOPE(O12:O219,K12:K219)</f>
        <v>1.7771979882921101</v>
      </c>
      <c r="Q3" s="115" t="str">
        <f>Comps!C12</f>
        <v>Phoenix Mills</v>
      </c>
      <c r="R3" s="115"/>
      <c r="S3" s="116">
        <f>SLOPE(AA12:AA219,K12:K219)</f>
        <v>1.2554915766104198</v>
      </c>
      <c r="T3" s="126"/>
      <c r="AI3" s="109"/>
    </row>
    <row r="4" spans="2:35" s="98" customFormat="1" ht="21" customHeight="1">
      <c r="B4" s="100"/>
      <c r="C4" s="100"/>
      <c r="D4" s="100"/>
      <c r="E4" s="100"/>
      <c r="F4" s="100"/>
      <c r="G4" s="100"/>
      <c r="H4" s="100"/>
      <c r="I4" s="100"/>
      <c r="J4" s="100"/>
      <c r="K4" s="100"/>
      <c r="L4" s="117"/>
      <c r="M4" s="118" t="str">
        <f>Comps!C10</f>
        <v>Godrej Propert.</v>
      </c>
      <c r="O4" s="116">
        <f>SLOPE(S12:S219,K12:K219)</f>
        <v>1.629406407498075</v>
      </c>
      <c r="Q4" s="118" t="str">
        <f>Comps!C13</f>
        <v>Prestige Estates</v>
      </c>
      <c r="R4" s="118"/>
      <c r="S4" s="116">
        <f>SLOPE(AE12:AE219,K12:K219)</f>
        <v>1.2389504003292249</v>
      </c>
      <c r="T4" s="127"/>
      <c r="V4" s="97"/>
      <c r="W4" s="97"/>
      <c r="AI4" s="129"/>
    </row>
    <row r="5" spans="2:35" s="97" customFormat="1" ht="21" customHeight="1">
      <c r="B5" s="606" t="s">
        <v>341</v>
      </c>
      <c r="C5" s="606"/>
      <c r="D5" s="606"/>
      <c r="E5" s="606"/>
      <c r="F5" s="606"/>
      <c r="G5" s="606"/>
      <c r="H5" s="606"/>
      <c r="I5" s="606"/>
      <c r="L5" s="112"/>
      <c r="M5" s="119" t="str">
        <f>Comps!C11</f>
        <v>Oberoi Realty</v>
      </c>
      <c r="O5" s="120">
        <f>SLOPE(W12:W219,K12:K219)</f>
        <v>1.3766515025382786</v>
      </c>
      <c r="Q5" s="115" t="str">
        <f>Comps!C14</f>
        <v>Brigade Enterpr.</v>
      </c>
      <c r="R5" s="115"/>
      <c r="S5" s="116">
        <f>SLOPE(AI12:AI219,K12:K219)</f>
        <v>1.2948364371323913</v>
      </c>
      <c r="T5" s="126"/>
      <c r="AI5" s="109"/>
    </row>
    <row r="6" spans="2:35" s="97" customFormat="1" ht="21" customHeight="1">
      <c r="C6" s="102"/>
      <c r="D6" s="102"/>
      <c r="E6" s="102"/>
      <c r="F6" s="102"/>
      <c r="G6" s="102"/>
      <c r="L6" s="112"/>
      <c r="M6" s="384" t="str">
        <f>Comps!C19</f>
        <v>DLF</v>
      </c>
      <c r="N6" s="385"/>
      <c r="O6" s="386">
        <f>SLOPE(G12:G219,K12:K219)</f>
        <v>1.7084120034282266</v>
      </c>
      <c r="T6" s="126"/>
      <c r="AI6" s="109"/>
    </row>
    <row r="7" spans="2:35" s="97" customFormat="1" ht="16.05" customHeight="1">
      <c r="C7" s="102"/>
      <c r="D7" s="102"/>
      <c r="E7" s="102"/>
      <c r="F7" s="102"/>
      <c r="G7" s="102"/>
      <c r="K7" s="121"/>
      <c r="L7" s="122"/>
      <c r="M7" s="123"/>
      <c r="N7" s="123"/>
      <c r="O7" s="123"/>
      <c r="P7" s="123"/>
      <c r="Q7" s="123"/>
      <c r="R7" s="123"/>
      <c r="S7" s="123"/>
      <c r="T7" s="128"/>
      <c r="AI7" s="109"/>
    </row>
    <row r="8" spans="2:35" s="97" customFormat="1" ht="21" customHeight="1">
      <c r="E8" s="101" t="s">
        <v>340</v>
      </c>
      <c r="I8" s="101" t="s">
        <v>342</v>
      </c>
      <c r="M8" s="101" t="s">
        <v>343</v>
      </c>
      <c r="N8" s="102"/>
      <c r="Q8" s="101" t="s">
        <v>344</v>
      </c>
      <c r="R8" s="102"/>
      <c r="U8" s="101" t="s">
        <v>345</v>
      </c>
      <c r="V8" s="102"/>
      <c r="Y8" s="101" t="s">
        <v>346</v>
      </c>
      <c r="Z8" s="102"/>
      <c r="AC8" s="101" t="s">
        <v>347</v>
      </c>
      <c r="AD8" s="102"/>
      <c r="AG8" s="101" t="s">
        <v>348</v>
      </c>
      <c r="AH8" s="102"/>
      <c r="AI8" s="109"/>
    </row>
    <row r="9" spans="2:35" s="97" customFormat="1" ht="21" customHeight="1">
      <c r="C9" s="103" t="s">
        <v>281</v>
      </c>
      <c r="D9" s="102"/>
      <c r="E9" s="101" t="s">
        <v>349</v>
      </c>
      <c r="F9" s="102"/>
      <c r="G9" s="101" t="s">
        <v>350</v>
      </c>
      <c r="I9" s="101" t="s">
        <v>349</v>
      </c>
      <c r="J9" s="102"/>
      <c r="K9" s="101" t="s">
        <v>350</v>
      </c>
      <c r="M9" s="101" t="s">
        <v>349</v>
      </c>
      <c r="N9" s="102"/>
      <c r="O9" s="101" t="s">
        <v>350</v>
      </c>
      <c r="P9" s="102"/>
      <c r="Q9" s="101" t="s">
        <v>349</v>
      </c>
      <c r="R9" s="102"/>
      <c r="S9" s="101" t="s">
        <v>350</v>
      </c>
      <c r="T9" s="102"/>
      <c r="U9" s="101" t="s">
        <v>349</v>
      </c>
      <c r="V9" s="102"/>
      <c r="W9" s="101" t="s">
        <v>350</v>
      </c>
      <c r="X9" s="102"/>
      <c r="Y9" s="101" t="s">
        <v>349</v>
      </c>
      <c r="Z9" s="102"/>
      <c r="AA9" s="101" t="s">
        <v>350</v>
      </c>
      <c r="AB9" s="102"/>
      <c r="AC9" s="101" t="s">
        <v>349</v>
      </c>
      <c r="AD9" s="102"/>
      <c r="AE9" s="101" t="s">
        <v>350</v>
      </c>
      <c r="AF9" s="102"/>
      <c r="AG9" s="101" t="s">
        <v>349</v>
      </c>
      <c r="AH9" s="102"/>
      <c r="AI9" s="130" t="s">
        <v>350</v>
      </c>
    </row>
    <row r="11" spans="2:35" ht="21" customHeight="1">
      <c r="C11" s="104">
        <v>45758</v>
      </c>
      <c r="E11" s="105">
        <v>623.6</v>
      </c>
      <c r="F11" s="105"/>
      <c r="G11" s="105"/>
      <c r="H11" s="105"/>
      <c r="I11" s="105">
        <v>22828.5</v>
      </c>
      <c r="J11" s="105"/>
      <c r="K11" s="105"/>
      <c r="L11" s="105"/>
      <c r="M11" s="105">
        <v>1122.5999999999999</v>
      </c>
      <c r="N11" s="105"/>
      <c r="O11" s="105"/>
      <c r="P11" s="105"/>
      <c r="Q11" s="105">
        <v>1948.4</v>
      </c>
      <c r="R11" s="105"/>
      <c r="S11" s="105"/>
      <c r="T11" s="105"/>
      <c r="U11" s="105">
        <v>1547.25</v>
      </c>
      <c r="V11" s="105"/>
      <c r="W11" s="105"/>
      <c r="X11" s="105"/>
      <c r="Y11" s="105">
        <v>1477.7</v>
      </c>
      <c r="Z11" s="105"/>
      <c r="AA11" s="105"/>
      <c r="AB11" s="105"/>
      <c r="AC11" s="105">
        <v>1122.8499999999999</v>
      </c>
      <c r="AD11" s="105"/>
      <c r="AE11" s="105"/>
      <c r="AF11" s="105"/>
      <c r="AG11" s="105">
        <v>932.9</v>
      </c>
    </row>
    <row r="12" spans="2:35" ht="21" customHeight="1">
      <c r="C12" s="104">
        <v>45751</v>
      </c>
      <c r="E12" s="105">
        <v>653.95000000000005</v>
      </c>
      <c r="F12" s="105"/>
      <c r="G12" s="107">
        <f>E12/E11-1</f>
        <v>4.8669018601667835E-2</v>
      </c>
      <c r="H12" s="105"/>
      <c r="I12" s="105">
        <v>22904.45</v>
      </c>
      <c r="J12" s="105"/>
      <c r="K12" s="107">
        <f>I12/I11-1</f>
        <v>3.3269816238474803E-3</v>
      </c>
      <c r="L12" s="105"/>
      <c r="M12" s="105">
        <v>1179.9000000000001</v>
      </c>
      <c r="N12" s="105"/>
      <c r="O12" s="107">
        <f>M12/M11-1</f>
        <v>5.1042223409941467E-2</v>
      </c>
      <c r="P12" s="105"/>
      <c r="Q12" s="105">
        <v>2069.4499999999998</v>
      </c>
      <c r="R12" s="105"/>
      <c r="S12" s="107">
        <f>Q12/Q11-1</f>
        <v>6.2127899815232812E-2</v>
      </c>
      <c r="T12" s="105"/>
      <c r="U12" s="105">
        <v>1553</v>
      </c>
      <c r="V12" s="105"/>
      <c r="W12" s="107">
        <f>U12/U11-1</f>
        <v>3.7162708030376024E-3</v>
      </c>
      <c r="X12" s="105"/>
      <c r="Y12" s="105">
        <v>1577.1</v>
      </c>
      <c r="Z12" s="105"/>
      <c r="AA12" s="107">
        <f>Y12/Y11-1</f>
        <v>6.7266698247276047E-2</v>
      </c>
      <c r="AB12" s="105"/>
      <c r="AC12" s="105">
        <v>1127.05</v>
      </c>
      <c r="AD12" s="105"/>
      <c r="AE12" s="107">
        <f>AC12/AC11-1</f>
        <v>3.7404818096806736E-3</v>
      </c>
      <c r="AF12" s="105"/>
      <c r="AG12" s="105">
        <v>949.1</v>
      </c>
      <c r="AI12" s="107">
        <f>AG12/AG11-1</f>
        <v>1.7365205273877304E-2</v>
      </c>
    </row>
    <row r="13" spans="2:35" ht="21" customHeight="1">
      <c r="C13" s="104">
        <v>45744</v>
      </c>
      <c r="E13" s="106">
        <v>680.5</v>
      </c>
      <c r="G13" s="107">
        <f>E13/E12-1</f>
        <v>4.0599434207508223E-2</v>
      </c>
      <c r="H13" s="105"/>
      <c r="I13" s="105">
        <v>23519.35</v>
      </c>
      <c r="J13" s="105"/>
      <c r="K13" s="107">
        <f>I13/I12-1</f>
        <v>2.6846311524616251E-2</v>
      </c>
      <c r="L13" s="105"/>
      <c r="M13" s="105">
        <v>1196.75</v>
      </c>
      <c r="N13" s="105"/>
      <c r="O13" s="107">
        <f>M13/M12-1</f>
        <v>1.4280871260276218E-2</v>
      </c>
      <c r="P13" s="105"/>
      <c r="Q13" s="105">
        <v>2129.1999999999998</v>
      </c>
      <c r="R13" s="105"/>
      <c r="S13" s="107">
        <f>Q13/Q12-1</f>
        <v>2.8872405711662497E-2</v>
      </c>
      <c r="T13" s="105"/>
      <c r="U13" s="105">
        <v>1637.4</v>
      </c>
      <c r="V13" s="105"/>
      <c r="W13" s="107">
        <f>U13/U12-1</f>
        <v>5.434642627173214E-2</v>
      </c>
      <c r="X13" s="105"/>
      <c r="Y13" s="105">
        <v>1643.3</v>
      </c>
      <c r="Z13" s="105"/>
      <c r="AA13" s="107">
        <f>Y13/Y12-1</f>
        <v>4.1975778327309587E-2</v>
      </c>
      <c r="AB13" s="105"/>
      <c r="AC13" s="105">
        <v>1169.2</v>
      </c>
      <c r="AD13" s="105"/>
      <c r="AE13" s="107">
        <f>AC13/AC12-1</f>
        <v>3.7398518255623125E-2</v>
      </c>
      <c r="AF13" s="105"/>
      <c r="AG13" s="105">
        <v>976.65</v>
      </c>
      <c r="AI13" s="107">
        <f>AG13/AG12-1</f>
        <v>2.9027499736592466E-2</v>
      </c>
    </row>
    <row r="14" spans="2:35" ht="21" customHeight="1">
      <c r="C14" s="104">
        <v>45740</v>
      </c>
      <c r="E14" s="106">
        <v>680.5</v>
      </c>
      <c r="G14" s="107">
        <f t="shared" ref="G14:G16" si="0">E14/E13-1</f>
        <v>0</v>
      </c>
      <c r="H14" s="105"/>
      <c r="I14" s="105">
        <v>22591.95</v>
      </c>
      <c r="J14" s="105"/>
      <c r="K14" s="107">
        <f t="shared" ref="K14:K16" si="1">I14/I13-1</f>
        <v>-3.9431361836105072E-2</v>
      </c>
      <c r="L14" s="105"/>
      <c r="M14" s="105">
        <v>1196.75</v>
      </c>
      <c r="N14" s="105"/>
      <c r="O14" s="107">
        <f t="shared" ref="O14:O16" si="2">M14/M13-1</f>
        <v>0</v>
      </c>
      <c r="P14" s="105"/>
      <c r="Q14" s="105">
        <v>2126.1999999999998</v>
      </c>
      <c r="R14" s="105"/>
      <c r="S14" s="107">
        <f t="shared" ref="S14:S16" si="3">Q14/Q13-1</f>
        <v>-1.4089798985534863E-3</v>
      </c>
      <c r="T14" s="105"/>
      <c r="U14" s="105">
        <v>1643.05</v>
      </c>
      <c r="V14" s="105"/>
      <c r="W14" s="107">
        <f t="shared" ref="W14:W18" si="4">U14/U13-1</f>
        <v>3.4505924025893808E-3</v>
      </c>
      <c r="X14" s="105"/>
      <c r="Y14" s="105">
        <v>1660.7</v>
      </c>
      <c r="Z14" s="105"/>
      <c r="AA14" s="107">
        <f t="shared" ref="AA14:AA18" si="5">Y14/Y13-1</f>
        <v>1.0588450069981103E-2</v>
      </c>
      <c r="AB14" s="105"/>
      <c r="AC14" s="105">
        <v>1186.9000000000001</v>
      </c>
      <c r="AD14" s="105"/>
      <c r="AE14" s="107">
        <f t="shared" ref="AE14:AE18" si="6">AC14/AC13-1</f>
        <v>1.5138556277796811E-2</v>
      </c>
      <c r="AF14" s="105"/>
      <c r="AG14" s="105">
        <v>993.4</v>
      </c>
      <c r="AI14" s="107">
        <f t="shared" ref="AI14:AI16" si="7">AG14/AG13-1</f>
        <v>1.7150463318486686E-2</v>
      </c>
    </row>
    <row r="15" spans="2:35" s="97" customFormat="1" ht="21" customHeight="1">
      <c r="C15" s="104">
        <v>45733</v>
      </c>
      <c r="E15" s="106">
        <v>697.6</v>
      </c>
      <c r="F15" s="108"/>
      <c r="G15" s="107">
        <f t="shared" si="0"/>
        <v>2.5128581925055071E-2</v>
      </c>
      <c r="H15" s="109"/>
      <c r="I15" s="106">
        <v>22350.400000000001</v>
      </c>
      <c r="J15" s="109"/>
      <c r="K15" s="107">
        <f t="shared" si="1"/>
        <v>-1.0691861481633924E-2</v>
      </c>
      <c r="M15" s="105">
        <v>1179.74</v>
      </c>
      <c r="N15" s="124"/>
      <c r="O15" s="107">
        <f t="shared" si="2"/>
        <v>-1.4213494881971989E-2</v>
      </c>
      <c r="P15" s="124"/>
      <c r="Q15" s="105">
        <v>2143.9499999999998</v>
      </c>
      <c r="R15" s="124"/>
      <c r="S15" s="107">
        <f t="shared" si="3"/>
        <v>8.3482268836421181E-3</v>
      </c>
      <c r="T15" s="124"/>
      <c r="U15" s="105">
        <v>1652.5</v>
      </c>
      <c r="V15" s="124"/>
      <c r="W15" s="107">
        <f t="shared" si="4"/>
        <v>5.7514987371047877E-3</v>
      </c>
      <c r="X15" s="124"/>
      <c r="Y15" s="105">
        <v>1666.15</v>
      </c>
      <c r="Z15" s="124"/>
      <c r="AA15" s="107">
        <f t="shared" si="5"/>
        <v>3.2817486602034762E-3</v>
      </c>
      <c r="AB15" s="124"/>
      <c r="AC15" s="105">
        <v>1092.5</v>
      </c>
      <c r="AD15" s="124"/>
      <c r="AE15" s="107">
        <f t="shared" si="6"/>
        <v>-7.9534922908416905E-2</v>
      </c>
      <c r="AF15" s="124"/>
      <c r="AG15" s="105">
        <v>963.85</v>
      </c>
      <c r="AH15" s="124"/>
      <c r="AI15" s="107">
        <f t="shared" si="7"/>
        <v>-2.974632574994962E-2</v>
      </c>
    </row>
    <row r="16" spans="2:35" s="97" customFormat="1" ht="21" customHeight="1">
      <c r="C16" s="104">
        <v>45726</v>
      </c>
      <c r="E16" s="106">
        <v>658</v>
      </c>
      <c r="F16" s="108"/>
      <c r="G16" s="107">
        <f t="shared" si="0"/>
        <v>-5.6766055045871622E-2</v>
      </c>
      <c r="H16" s="109"/>
      <c r="I16" s="106">
        <v>22397.200000000001</v>
      </c>
      <c r="J16" s="109"/>
      <c r="K16" s="107">
        <f t="shared" si="1"/>
        <v>2.0939222564249071E-3</v>
      </c>
      <c r="M16" s="105">
        <v>1053.5</v>
      </c>
      <c r="N16" s="124"/>
      <c r="O16" s="107">
        <f t="shared" si="2"/>
        <v>-0.10700662857917842</v>
      </c>
      <c r="P16" s="124"/>
      <c r="Q16" s="105">
        <v>1969.1</v>
      </c>
      <c r="R16" s="124"/>
      <c r="S16" s="107">
        <f t="shared" si="3"/>
        <v>-8.1555073579141268E-2</v>
      </c>
      <c r="T16" s="124"/>
      <c r="U16" s="105">
        <v>1533.5</v>
      </c>
      <c r="V16" s="124"/>
      <c r="W16" s="107">
        <f t="shared" si="4"/>
        <v>-7.2012102874432715E-2</v>
      </c>
      <c r="X16" s="124"/>
      <c r="Y16" s="105">
        <v>1564.5</v>
      </c>
      <c r="Z16" s="124"/>
      <c r="AA16" s="107">
        <f t="shared" si="5"/>
        <v>-6.1008912762956613E-2</v>
      </c>
      <c r="AB16" s="124"/>
      <c r="AC16" s="105">
        <v>1099.5</v>
      </c>
      <c r="AD16" s="124"/>
      <c r="AE16" s="107">
        <f t="shared" si="6"/>
        <v>6.4073226544623108E-3</v>
      </c>
      <c r="AF16" s="124"/>
      <c r="AG16" s="105">
        <v>904.35</v>
      </c>
      <c r="AH16" s="124"/>
      <c r="AI16" s="107">
        <f t="shared" si="7"/>
        <v>-6.173159724023447E-2</v>
      </c>
    </row>
    <row r="17" spans="3:35" s="97" customFormat="1" ht="21" customHeight="1">
      <c r="C17" s="104">
        <v>45719</v>
      </c>
      <c r="E17" s="106">
        <v>661.75</v>
      </c>
      <c r="F17" s="108"/>
      <c r="G17" s="107">
        <f t="shared" ref="G17:G26" si="8">E17/E16-1</f>
        <v>5.6990881458967024E-3</v>
      </c>
      <c r="H17" s="109"/>
      <c r="I17" s="106">
        <v>22552.5</v>
      </c>
      <c r="J17" s="109"/>
      <c r="K17" s="107">
        <f t="shared" ref="K17:K18" si="9">I17/I16-1</f>
        <v>6.9339024520922443E-3</v>
      </c>
      <c r="M17" s="105">
        <v>1112.5</v>
      </c>
      <c r="N17" s="124"/>
      <c r="O17" s="107">
        <f t="shared" ref="O17:O26" si="10">M17/M16-1</f>
        <v>5.6003796867584166E-2</v>
      </c>
      <c r="P17" s="124"/>
      <c r="Q17" s="105">
        <v>2009.95</v>
      </c>
      <c r="R17" s="124"/>
      <c r="S17" s="107">
        <f t="shared" ref="S17:S29" si="11">Q17/Q16-1</f>
        <v>2.0745518257071938E-2</v>
      </c>
      <c r="T17" s="124"/>
      <c r="U17" s="105">
        <v>1543.15</v>
      </c>
      <c r="V17" s="124"/>
      <c r="W17" s="107">
        <f t="shared" si="4"/>
        <v>6.2927942614934285E-3</v>
      </c>
      <c r="X17" s="124"/>
      <c r="Y17" s="105">
        <v>1558.85</v>
      </c>
      <c r="Z17" s="124"/>
      <c r="AA17" s="107">
        <f t="shared" si="5"/>
        <v>-3.6113774368808915E-3</v>
      </c>
      <c r="AB17" s="124"/>
      <c r="AC17" s="105">
        <v>1108.1500000000001</v>
      </c>
      <c r="AD17" s="124"/>
      <c r="AE17" s="107">
        <f t="shared" si="6"/>
        <v>7.8672123692589135E-3</v>
      </c>
      <c r="AF17" s="124"/>
      <c r="AG17" s="105">
        <v>954.35</v>
      </c>
      <c r="AH17" s="124"/>
      <c r="AI17" s="107">
        <f t="shared" ref="AI17:AI18" si="12">AG17/AG16-1</f>
        <v>5.528832863382549E-2</v>
      </c>
    </row>
    <row r="18" spans="3:35" s="97" customFormat="1" ht="21" customHeight="1">
      <c r="C18" s="104">
        <v>45712</v>
      </c>
      <c r="E18" s="106">
        <v>634.75</v>
      </c>
      <c r="F18" s="108"/>
      <c r="G18" s="107">
        <f t="shared" si="8"/>
        <v>-4.0800906686815241E-2</v>
      </c>
      <c r="H18" s="109"/>
      <c r="I18" s="106">
        <v>22124.7</v>
      </c>
      <c r="J18" s="109"/>
      <c r="K18" s="107">
        <f t="shared" si="9"/>
        <v>-1.8969072164948475E-2</v>
      </c>
      <c r="M18" s="105">
        <v>1131.95</v>
      </c>
      <c r="N18" s="124"/>
      <c r="O18" s="107">
        <f t="shared" si="10"/>
        <v>1.7483146067415856E-2</v>
      </c>
      <c r="P18" s="107"/>
      <c r="Q18" s="105">
        <v>1936.2</v>
      </c>
      <c r="R18" s="124"/>
      <c r="S18" s="107">
        <f t="shared" si="11"/>
        <v>-3.6692455036194893E-2</v>
      </c>
      <c r="T18" s="107"/>
      <c r="U18" s="105">
        <v>1484.5</v>
      </c>
      <c r="V18" s="124"/>
      <c r="W18" s="107">
        <f t="shared" si="4"/>
        <v>-3.800667465897678E-2</v>
      </c>
      <c r="X18" s="107"/>
      <c r="Y18" s="105">
        <v>1547.55</v>
      </c>
      <c r="Z18" s="124"/>
      <c r="AA18" s="107">
        <f t="shared" si="5"/>
        <v>-7.2489335086762807E-3</v>
      </c>
      <c r="AB18" s="107"/>
      <c r="AC18" s="105">
        <v>1083.6500000000001</v>
      </c>
      <c r="AD18" s="124"/>
      <c r="AE18" s="107">
        <f t="shared" si="6"/>
        <v>-2.2108920272526311E-2</v>
      </c>
      <c r="AF18" s="107"/>
      <c r="AG18" s="105">
        <v>947.05</v>
      </c>
      <c r="AH18" s="124"/>
      <c r="AI18" s="107">
        <f t="shared" si="12"/>
        <v>-7.6491853093729745E-3</v>
      </c>
    </row>
    <row r="19" spans="3:35" s="97" customFormat="1" ht="21" customHeight="1">
      <c r="C19" s="104">
        <v>45705</v>
      </c>
      <c r="E19" s="106">
        <v>685.8</v>
      </c>
      <c r="F19" s="108"/>
      <c r="G19" s="107">
        <f t="shared" si="8"/>
        <v>8.0425364316660142E-2</v>
      </c>
      <c r="H19" s="109"/>
      <c r="I19" s="106">
        <v>22795.9</v>
      </c>
      <c r="J19" s="109"/>
      <c r="K19" s="107">
        <f t="shared" ref="K19:K80" si="13">I19/I18-1</f>
        <v>3.0337134514818231E-2</v>
      </c>
      <c r="M19" s="105">
        <v>1215.5999999999999</v>
      </c>
      <c r="N19" s="124"/>
      <c r="O19" s="107">
        <f t="shared" si="10"/>
        <v>7.389902380847202E-2</v>
      </c>
      <c r="P19" s="107"/>
      <c r="Q19" s="105">
        <v>1989.35</v>
      </c>
      <c r="R19" s="124"/>
      <c r="S19" s="107">
        <f t="shared" si="11"/>
        <v>2.7450676582997602E-2</v>
      </c>
      <c r="T19" s="107"/>
      <c r="U19" s="105">
        <v>1581.8</v>
      </c>
      <c r="V19" s="124"/>
      <c r="W19" s="107">
        <f t="shared" ref="W19:W82" si="14">U19/U18-1</f>
        <v>6.5543954193331144E-2</v>
      </c>
      <c r="X19" s="107"/>
      <c r="Y19" s="105">
        <v>1588.8</v>
      </c>
      <c r="Z19" s="124"/>
      <c r="AA19" s="107">
        <f t="shared" ref="AA19:AA82" si="15">Y19/Y18-1</f>
        <v>2.6655035378501557E-2</v>
      </c>
      <c r="AB19" s="107"/>
      <c r="AC19" s="105">
        <v>1216.3</v>
      </c>
      <c r="AD19" s="124"/>
      <c r="AE19" s="107">
        <f t="shared" ref="AE19:AE82" si="16">AC19/AC18-1</f>
        <v>0.12241037235269681</v>
      </c>
      <c r="AF19" s="107"/>
      <c r="AG19" s="105">
        <v>1006.05</v>
      </c>
      <c r="AH19" s="124"/>
      <c r="AI19" s="107">
        <f t="shared" ref="AI19:AI82" si="17">AG19/AG18-1</f>
        <v>6.2298717068792531E-2</v>
      </c>
    </row>
    <row r="20" spans="3:35" s="97" customFormat="1" ht="21" customHeight="1">
      <c r="C20" s="104">
        <v>45698</v>
      </c>
      <c r="E20" s="106">
        <v>672.3</v>
      </c>
      <c r="F20" s="108"/>
      <c r="G20" s="107">
        <f t="shared" si="8"/>
        <v>-1.9685039370078705E-2</v>
      </c>
      <c r="H20" s="109"/>
      <c r="I20" s="106">
        <v>22929.25</v>
      </c>
      <c r="J20" s="109"/>
      <c r="K20" s="107">
        <f t="shared" si="13"/>
        <v>5.8497361367613188E-3</v>
      </c>
      <c r="M20" s="105">
        <v>1152.25</v>
      </c>
      <c r="N20" s="124"/>
      <c r="O20" s="107">
        <f t="shared" si="10"/>
        <v>-5.2114182296808087E-2</v>
      </c>
      <c r="P20" s="107"/>
      <c r="Q20" s="105">
        <v>1967.1</v>
      </c>
      <c r="R20" s="124"/>
      <c r="S20" s="107">
        <f t="shared" si="11"/>
        <v>-1.1184557770125947E-2</v>
      </c>
      <c r="T20" s="107"/>
      <c r="U20" s="105">
        <v>1570.65</v>
      </c>
      <c r="V20" s="124"/>
      <c r="W20" s="107">
        <f t="shared" si="14"/>
        <v>-7.0489315969147759E-3</v>
      </c>
      <c r="X20" s="107"/>
      <c r="Y20" s="105">
        <v>1572</v>
      </c>
      <c r="Z20" s="124"/>
      <c r="AA20" s="107">
        <f t="shared" si="15"/>
        <v>-1.0574018126888185E-2</v>
      </c>
      <c r="AB20" s="107"/>
      <c r="AC20" s="105">
        <v>1227.1500000000001</v>
      </c>
      <c r="AD20" s="124"/>
      <c r="AE20" s="107">
        <f t="shared" si="16"/>
        <v>8.9204965880129716E-3</v>
      </c>
      <c r="AF20" s="107"/>
      <c r="AG20" s="105">
        <v>1016.8</v>
      </c>
      <c r="AH20" s="124"/>
      <c r="AI20" s="107">
        <f t="shared" si="17"/>
        <v>1.0685353610655479E-2</v>
      </c>
    </row>
    <row r="21" spans="3:35" s="97" customFormat="1" ht="21" customHeight="1">
      <c r="C21" s="104">
        <v>45691</v>
      </c>
      <c r="E21" s="106">
        <v>757.75</v>
      </c>
      <c r="F21" s="108"/>
      <c r="G21" s="107">
        <f t="shared" si="8"/>
        <v>0.12710099657890828</v>
      </c>
      <c r="H21" s="109"/>
      <c r="I21" s="106">
        <v>23559.95</v>
      </c>
      <c r="J21" s="109"/>
      <c r="K21" s="107">
        <f t="shared" si="13"/>
        <v>2.7506351058146361E-2</v>
      </c>
      <c r="M21" s="105">
        <v>1238.25</v>
      </c>
      <c r="N21" s="124"/>
      <c r="O21" s="107">
        <f t="shared" si="10"/>
        <v>7.463658060316769E-2</v>
      </c>
      <c r="P21" s="107"/>
      <c r="Q21" s="105">
        <v>2197.25</v>
      </c>
      <c r="R21" s="124"/>
      <c r="S21" s="107">
        <f t="shared" si="11"/>
        <v>0.11699964414620512</v>
      </c>
      <c r="T21" s="107"/>
      <c r="U21" s="105">
        <v>1824.85</v>
      </c>
      <c r="V21" s="124"/>
      <c r="W21" s="107">
        <f t="shared" si="14"/>
        <v>0.16184382262120756</v>
      </c>
      <c r="X21" s="107"/>
      <c r="Y21" s="105">
        <v>1643</v>
      </c>
      <c r="Z21" s="124"/>
      <c r="AA21" s="107">
        <f t="shared" si="15"/>
        <v>4.5165394402035597E-2</v>
      </c>
      <c r="AB21" s="107"/>
      <c r="AC21" s="105">
        <v>1347.7</v>
      </c>
      <c r="AD21" s="124"/>
      <c r="AE21" s="107">
        <f t="shared" si="16"/>
        <v>9.823574950087588E-2</v>
      </c>
      <c r="AF21" s="107"/>
      <c r="AG21" s="105">
        <v>1146.7</v>
      </c>
      <c r="AH21" s="124"/>
      <c r="AI21" s="107">
        <f t="shared" si="17"/>
        <v>0.12775373721479166</v>
      </c>
    </row>
    <row r="22" spans="3:35" s="97" customFormat="1" ht="21" customHeight="1">
      <c r="C22" s="104">
        <v>45684</v>
      </c>
      <c r="E22" s="106">
        <v>760.75</v>
      </c>
      <c r="F22" s="108"/>
      <c r="G22" s="107">
        <f t="shared" si="8"/>
        <v>3.9590894094359008E-3</v>
      </c>
      <c r="H22" s="109"/>
      <c r="I22" s="106">
        <v>23508.400000000001</v>
      </c>
      <c r="J22" s="109"/>
      <c r="K22" s="107">
        <f t="shared" si="13"/>
        <v>-2.188035203809835E-3</v>
      </c>
      <c r="M22" s="105">
        <v>1280</v>
      </c>
      <c r="N22" s="124"/>
      <c r="O22" s="107">
        <f t="shared" si="10"/>
        <v>3.3716939228750187E-2</v>
      </c>
      <c r="P22" s="107"/>
      <c r="Q22" s="105">
        <v>2362.35</v>
      </c>
      <c r="R22" s="124"/>
      <c r="S22" s="107">
        <f t="shared" si="11"/>
        <v>7.5139378768915632E-2</v>
      </c>
      <c r="T22" s="107"/>
      <c r="U22" s="105">
        <v>1844.25</v>
      </c>
      <c r="V22" s="124"/>
      <c r="W22" s="107">
        <f t="shared" si="14"/>
        <v>1.063101076800832E-2</v>
      </c>
      <c r="X22" s="107"/>
      <c r="Y22" s="105">
        <v>1761.55</v>
      </c>
      <c r="Z22" s="124"/>
      <c r="AA22" s="107">
        <f t="shared" si="15"/>
        <v>7.2154595252586606E-2</v>
      </c>
      <c r="AB22" s="107"/>
      <c r="AC22" s="105">
        <v>1431.7</v>
      </c>
      <c r="AD22" s="124"/>
      <c r="AE22" s="107">
        <f t="shared" si="16"/>
        <v>6.2328411367515102E-2</v>
      </c>
      <c r="AF22" s="107"/>
      <c r="AG22" s="105">
        <v>1163.8</v>
      </c>
      <c r="AH22" s="124"/>
      <c r="AI22" s="107">
        <f t="shared" si="17"/>
        <v>1.491235719891848E-2</v>
      </c>
    </row>
    <row r="23" spans="3:35" s="97" customFormat="1" ht="21" customHeight="1">
      <c r="C23" s="104">
        <v>45677</v>
      </c>
      <c r="E23" s="106">
        <v>695.05</v>
      </c>
      <c r="F23" s="108"/>
      <c r="G23" s="107">
        <f t="shared" si="8"/>
        <v>-8.6362142622412152E-2</v>
      </c>
      <c r="H23" s="109"/>
      <c r="I23" s="106">
        <v>23092.2</v>
      </c>
      <c r="J23" s="109"/>
      <c r="K23" s="107">
        <f t="shared" si="13"/>
        <v>-1.7704309948784247E-2</v>
      </c>
      <c r="M23" s="105">
        <v>1098.5999999999999</v>
      </c>
      <c r="N23" s="124"/>
      <c r="O23" s="107">
        <f t="shared" si="10"/>
        <v>-0.14171875000000012</v>
      </c>
      <c r="P23" s="107"/>
      <c r="Q23" s="105">
        <v>2153.5500000000002</v>
      </c>
      <c r="R23" s="124"/>
      <c r="S23" s="107">
        <f t="shared" si="11"/>
        <v>-8.838656422629998E-2</v>
      </c>
      <c r="T23" s="107"/>
      <c r="U23" s="105">
        <v>1754.82</v>
      </c>
      <c r="V23" s="124"/>
      <c r="W23" s="107">
        <f t="shared" si="14"/>
        <v>-4.8491256608377387E-2</v>
      </c>
      <c r="X23" s="107"/>
      <c r="Y23" s="105">
        <v>1517.7</v>
      </c>
      <c r="Z23" s="124"/>
      <c r="AA23" s="107">
        <f t="shared" si="15"/>
        <v>-0.13842922426272308</v>
      </c>
      <c r="AB23" s="107"/>
      <c r="AC23" s="105">
        <v>1255.6500000000001</v>
      </c>
      <c r="AD23" s="124"/>
      <c r="AE23" s="107">
        <f t="shared" si="16"/>
        <v>-0.12296570510581817</v>
      </c>
      <c r="AF23" s="107"/>
      <c r="AG23" s="105">
        <v>1030.8</v>
      </c>
      <c r="AH23" s="124"/>
      <c r="AI23" s="107">
        <f t="shared" si="17"/>
        <v>-0.11428080426190068</v>
      </c>
    </row>
    <row r="24" spans="3:35" s="97" customFormat="1" ht="21" customHeight="1">
      <c r="C24" s="104">
        <v>45670</v>
      </c>
      <c r="E24" s="106">
        <v>749.9</v>
      </c>
      <c r="F24" s="108"/>
      <c r="G24" s="107">
        <f t="shared" si="8"/>
        <v>7.8915185957844747E-2</v>
      </c>
      <c r="H24" s="109"/>
      <c r="I24" s="106">
        <v>23203.200000000001</v>
      </c>
      <c r="J24" s="109"/>
      <c r="K24" s="107">
        <f t="shared" si="13"/>
        <v>4.8068178865590117E-3</v>
      </c>
      <c r="M24" s="105">
        <v>1178.3</v>
      </c>
      <c r="N24" s="124"/>
      <c r="O24" s="107">
        <f t="shared" si="10"/>
        <v>7.2546877844529511E-2</v>
      </c>
      <c r="P24" s="107"/>
      <c r="Q24" s="105">
        <v>2405.6</v>
      </c>
      <c r="R24" s="124"/>
      <c r="S24" s="107">
        <f t="shared" si="11"/>
        <v>0.11703930719045275</v>
      </c>
      <c r="T24" s="107"/>
      <c r="U24" s="105">
        <v>1986.72</v>
      </c>
      <c r="V24" s="124"/>
      <c r="W24" s="107">
        <f t="shared" si="14"/>
        <v>0.13215030601429212</v>
      </c>
      <c r="X24" s="107"/>
      <c r="Y24" s="105">
        <v>1644.35</v>
      </c>
      <c r="Z24" s="124"/>
      <c r="AA24" s="107">
        <f t="shared" si="15"/>
        <v>8.3448639388548296E-2</v>
      </c>
      <c r="AB24" s="107"/>
      <c r="AC24" s="105">
        <v>1472.2</v>
      </c>
      <c r="AD24" s="124"/>
      <c r="AE24" s="107">
        <f t="shared" si="16"/>
        <v>0.17246047863656266</v>
      </c>
      <c r="AF24" s="107"/>
      <c r="AG24" s="105">
        <v>1133.0999999999999</v>
      </c>
      <c r="AH24" s="124"/>
      <c r="AI24" s="107">
        <f t="shared" si="17"/>
        <v>9.9243306169965129E-2</v>
      </c>
    </row>
    <row r="25" spans="3:35" s="97" customFormat="1" ht="21" customHeight="1">
      <c r="C25" s="104">
        <v>45663</v>
      </c>
      <c r="E25" s="106">
        <v>752.1</v>
      </c>
      <c r="F25" s="108"/>
      <c r="G25" s="107">
        <f t="shared" si="8"/>
        <v>2.9337244965996767E-3</v>
      </c>
      <c r="H25" s="109"/>
      <c r="I25" s="106">
        <v>23431.5</v>
      </c>
      <c r="J25" s="109"/>
      <c r="K25" s="107">
        <f t="shared" si="13"/>
        <v>9.8391601158460684E-3</v>
      </c>
      <c r="M25" s="105">
        <v>1284.1500000000001</v>
      </c>
      <c r="N25" s="124"/>
      <c r="O25" s="107">
        <f t="shared" si="10"/>
        <v>8.9832809980480377E-2</v>
      </c>
      <c r="P25" s="107"/>
      <c r="Q25" s="105">
        <v>2385.9</v>
      </c>
      <c r="R25" s="124"/>
      <c r="S25" s="107">
        <f t="shared" si="11"/>
        <v>-8.1892251413367978E-3</v>
      </c>
      <c r="T25" s="107"/>
      <c r="U25" s="105">
        <v>2125.96</v>
      </c>
      <c r="V25" s="124"/>
      <c r="W25" s="107">
        <f t="shared" si="14"/>
        <v>7.0085366835789698E-2</v>
      </c>
      <c r="X25" s="107"/>
      <c r="Y25" s="105">
        <v>1659.95</v>
      </c>
      <c r="Z25" s="124"/>
      <c r="AA25" s="107">
        <f t="shared" si="15"/>
        <v>9.4870313497734671E-3</v>
      </c>
      <c r="AB25" s="107"/>
      <c r="AC25" s="105">
        <v>1492.4</v>
      </c>
      <c r="AD25" s="124"/>
      <c r="AE25" s="107">
        <f t="shared" si="16"/>
        <v>1.3720961825838929E-2</v>
      </c>
      <c r="AF25" s="107"/>
      <c r="AG25" s="105">
        <v>1148.25</v>
      </c>
      <c r="AH25" s="124"/>
      <c r="AI25" s="107">
        <f t="shared" si="17"/>
        <v>1.3370399788191767E-2</v>
      </c>
    </row>
    <row r="26" spans="3:35" s="97" customFormat="1" ht="21" customHeight="1">
      <c r="C26" s="104">
        <v>45656</v>
      </c>
      <c r="E26" s="106">
        <v>827.75</v>
      </c>
      <c r="F26" s="108"/>
      <c r="G26" s="107">
        <f t="shared" si="8"/>
        <v>0.1005850285866241</v>
      </c>
      <c r="H26" s="109"/>
      <c r="I26" s="106">
        <v>24004.75</v>
      </c>
      <c r="J26" s="109"/>
      <c r="K26" s="107">
        <f t="shared" si="13"/>
        <v>2.4464929688666981E-2</v>
      </c>
      <c r="M26" s="105">
        <v>1398.7</v>
      </c>
      <c r="N26" s="124"/>
      <c r="O26" s="107">
        <f t="shared" si="10"/>
        <v>8.9202974730366424E-2</v>
      </c>
      <c r="P26" s="107"/>
      <c r="Q26" s="105">
        <v>2729.9</v>
      </c>
      <c r="R26" s="124"/>
      <c r="S26" s="107">
        <f t="shared" si="11"/>
        <v>0.14418039314304876</v>
      </c>
      <c r="T26" s="107"/>
      <c r="U26" s="105">
        <v>2252.7199999999998</v>
      </c>
      <c r="V26" s="124"/>
      <c r="W26" s="107">
        <f t="shared" si="14"/>
        <v>5.9624828312856204E-2</v>
      </c>
      <c r="X26" s="107"/>
      <c r="Y26" s="105">
        <v>1572.6</v>
      </c>
      <c r="Z26" s="124"/>
      <c r="AA26" s="107">
        <f t="shared" si="15"/>
        <v>-5.2622066929726929E-2</v>
      </c>
      <c r="AB26" s="107"/>
      <c r="AC26" s="105">
        <v>1656.25</v>
      </c>
      <c r="AD26" s="124"/>
      <c r="AE26" s="107">
        <f t="shared" si="16"/>
        <v>0.10978960064325904</v>
      </c>
      <c r="AF26" s="107"/>
      <c r="AG26" s="105">
        <v>1295.0999999999999</v>
      </c>
      <c r="AH26" s="124"/>
      <c r="AI26" s="107">
        <f t="shared" si="17"/>
        <v>0.12789026779882429</v>
      </c>
    </row>
    <row r="27" spans="3:35" s="97" customFormat="1" ht="21" customHeight="1">
      <c r="C27" s="104">
        <v>45649</v>
      </c>
      <c r="E27" s="106">
        <v>835.05</v>
      </c>
      <c r="F27" s="108"/>
      <c r="G27" s="107">
        <f t="shared" ref="G27:G80" si="18">E27/E26-1</f>
        <v>8.8190878888552149E-3</v>
      </c>
      <c r="H27" s="109"/>
      <c r="I27" s="106">
        <v>23813.4</v>
      </c>
      <c r="J27" s="109"/>
      <c r="K27" s="107">
        <f t="shared" si="13"/>
        <v>-7.9713390058216982E-3</v>
      </c>
      <c r="M27" s="105">
        <v>1409.1</v>
      </c>
      <c r="N27" s="124"/>
      <c r="O27" s="107">
        <f t="shared" ref="O27:O82" si="19">M27/M26-1</f>
        <v>7.4354757989560927E-3</v>
      </c>
      <c r="P27" s="107"/>
      <c r="Q27" s="105">
        <v>2829.4</v>
      </c>
      <c r="R27" s="124"/>
      <c r="S27" s="107">
        <f t="shared" si="11"/>
        <v>3.6448221546576898E-2</v>
      </c>
      <c r="T27" s="107"/>
      <c r="U27" s="105">
        <v>2313.2600000000002</v>
      </c>
      <c r="V27" s="124"/>
      <c r="W27" s="107">
        <f t="shared" si="14"/>
        <v>2.6874178770553092E-2</v>
      </c>
      <c r="X27" s="107"/>
      <c r="Y27" s="105">
        <v>1696.45</v>
      </c>
      <c r="Z27" s="124"/>
      <c r="AA27" s="107">
        <f t="shared" si="15"/>
        <v>7.8754928144474157E-2</v>
      </c>
      <c r="AB27" s="107"/>
      <c r="AC27" s="105">
        <v>1752.5</v>
      </c>
      <c r="AD27" s="124"/>
      <c r="AE27" s="107">
        <f t="shared" si="16"/>
        <v>5.8113207547169754E-2</v>
      </c>
      <c r="AF27" s="107"/>
      <c r="AG27" s="105">
        <v>1246.7</v>
      </c>
      <c r="AH27" s="124"/>
      <c r="AI27" s="107">
        <f t="shared" si="17"/>
        <v>-3.7371631534244387E-2</v>
      </c>
    </row>
    <row r="28" spans="3:35" s="97" customFormat="1" ht="21" customHeight="1">
      <c r="C28" s="104">
        <v>45642</v>
      </c>
      <c r="E28" s="106">
        <v>830.75</v>
      </c>
      <c r="F28" s="108"/>
      <c r="G28" s="107">
        <f t="shared" si="18"/>
        <v>-5.1493922519608715E-3</v>
      </c>
      <c r="H28" s="109"/>
      <c r="I28" s="106">
        <v>23587.5</v>
      </c>
      <c r="J28" s="109"/>
      <c r="K28" s="107">
        <f t="shared" si="13"/>
        <v>-9.4862556375822082E-3</v>
      </c>
      <c r="M28" s="105">
        <v>1400.75</v>
      </c>
      <c r="N28" s="124"/>
      <c r="O28" s="107">
        <f t="shared" si="19"/>
        <v>-5.9257682208501139E-3</v>
      </c>
      <c r="P28" s="107"/>
      <c r="Q28" s="105">
        <v>2854.5</v>
      </c>
      <c r="R28" s="124"/>
      <c r="S28" s="107">
        <f t="shared" si="11"/>
        <v>8.8711387573336964E-3</v>
      </c>
      <c r="T28" s="107"/>
      <c r="U28" s="105">
        <v>2245.33</v>
      </c>
      <c r="V28" s="124"/>
      <c r="W28" s="107">
        <f t="shared" si="14"/>
        <v>-2.9365484208433212E-2</v>
      </c>
      <c r="X28" s="107"/>
      <c r="Y28" s="105">
        <v>1591.75</v>
      </c>
      <c r="Z28" s="124"/>
      <c r="AA28" s="107">
        <f t="shared" si="15"/>
        <v>-6.1717115152229662E-2</v>
      </c>
      <c r="AB28" s="107"/>
      <c r="AC28" s="105">
        <v>1794.5</v>
      </c>
      <c r="AD28" s="124"/>
      <c r="AE28" s="107">
        <f t="shared" si="16"/>
        <v>2.3965763195435086E-2</v>
      </c>
      <c r="AF28" s="107"/>
      <c r="AG28" s="105">
        <v>1236.7</v>
      </c>
      <c r="AH28" s="124"/>
      <c r="AI28" s="107">
        <f t="shared" si="17"/>
        <v>-8.0211759043875563E-3</v>
      </c>
    </row>
    <row r="29" spans="3:35" s="97" customFormat="1" ht="21" customHeight="1">
      <c r="C29" s="104">
        <v>45635</v>
      </c>
      <c r="E29" s="106">
        <v>869.95</v>
      </c>
      <c r="F29" s="108"/>
      <c r="G29" s="107">
        <f t="shared" si="18"/>
        <v>4.718627746012638E-2</v>
      </c>
      <c r="H29" s="109"/>
      <c r="I29" s="106">
        <v>24768.3</v>
      </c>
      <c r="J29" s="109"/>
      <c r="K29" s="107">
        <f t="shared" si="13"/>
        <v>5.0060413354531041E-2</v>
      </c>
      <c r="M29" s="105">
        <v>1419.6</v>
      </c>
      <c r="N29" s="124"/>
      <c r="O29" s="107">
        <f t="shared" si="19"/>
        <v>1.345707656612527E-2</v>
      </c>
      <c r="P29" s="107"/>
      <c r="Q29" s="105">
        <v>2924.5</v>
      </c>
      <c r="R29" s="124"/>
      <c r="S29" s="107">
        <f t="shared" si="11"/>
        <v>2.4522683482220975E-2</v>
      </c>
      <c r="T29" s="107"/>
      <c r="U29" s="105">
        <v>2115.38</v>
      </c>
      <c r="V29" s="124"/>
      <c r="W29" s="107">
        <f t="shared" si="14"/>
        <v>-5.7875679744180064E-2</v>
      </c>
      <c r="X29" s="107"/>
      <c r="Y29" s="105">
        <v>1776.4</v>
      </c>
      <c r="Z29" s="124"/>
      <c r="AA29" s="107">
        <f t="shared" si="15"/>
        <v>0.11600439767551451</v>
      </c>
      <c r="AB29" s="107"/>
      <c r="AC29" s="105">
        <v>1754.65</v>
      </c>
      <c r="AD29" s="124"/>
      <c r="AE29" s="107">
        <f t="shared" si="16"/>
        <v>-2.2206742825299441E-2</v>
      </c>
      <c r="AF29" s="107"/>
      <c r="AG29" s="105">
        <v>1248.1500000000001</v>
      </c>
      <c r="AH29" s="124"/>
      <c r="AI29" s="107">
        <f t="shared" si="17"/>
        <v>9.2585105522762223E-3</v>
      </c>
    </row>
    <row r="30" spans="3:35" s="97" customFormat="1" ht="21" customHeight="1">
      <c r="C30" s="104">
        <v>45628</v>
      </c>
      <c r="E30" s="106">
        <v>856.6</v>
      </c>
      <c r="F30" s="108"/>
      <c r="G30" s="107">
        <f t="shared" si="18"/>
        <v>-1.5345709523535866E-2</v>
      </c>
      <c r="H30" s="109"/>
      <c r="I30" s="106">
        <v>24677.8</v>
      </c>
      <c r="J30" s="109"/>
      <c r="K30" s="107">
        <f t="shared" si="13"/>
        <v>-3.653864011660013E-3</v>
      </c>
      <c r="M30" s="105">
        <v>1372.3</v>
      </c>
      <c r="N30" s="124"/>
      <c r="O30" s="107">
        <f t="shared" si="19"/>
        <v>-3.331924485770632E-2</v>
      </c>
      <c r="P30" s="107"/>
      <c r="Q30" s="105">
        <v>2838.85</v>
      </c>
      <c r="R30" s="124"/>
      <c r="S30" s="107">
        <f t="shared" ref="S30:S82" si="20">Q30/Q29-1</f>
        <v>-2.9287057616686596E-2</v>
      </c>
      <c r="T30" s="107"/>
      <c r="U30" s="105">
        <v>2140.9499999999998</v>
      </c>
      <c r="V30" s="124"/>
      <c r="W30" s="107">
        <f t="shared" si="14"/>
        <v>1.2087662736718574E-2</v>
      </c>
      <c r="X30" s="107"/>
      <c r="Y30" s="105">
        <v>1770.6</v>
      </c>
      <c r="Z30" s="124"/>
      <c r="AA30" s="107">
        <f t="shared" si="15"/>
        <v>-3.2650303985589657E-3</v>
      </c>
      <c r="AB30" s="107"/>
      <c r="AC30" s="105">
        <v>1738.15</v>
      </c>
      <c r="AD30" s="124"/>
      <c r="AE30" s="107">
        <f t="shared" si="16"/>
        <v>-9.4035847604935219E-3</v>
      </c>
      <c r="AF30" s="107"/>
      <c r="AG30" s="105">
        <v>1309.1500000000001</v>
      </c>
      <c r="AH30" s="124"/>
      <c r="AI30" s="107">
        <f t="shared" si="17"/>
        <v>4.8872331049953921E-2</v>
      </c>
    </row>
    <row r="31" spans="3:35" s="97" customFormat="1" ht="21" customHeight="1">
      <c r="C31" s="104">
        <v>45621</v>
      </c>
      <c r="E31" s="106">
        <v>822.8</v>
      </c>
      <c r="F31" s="108"/>
      <c r="G31" s="107">
        <f t="shared" si="18"/>
        <v>-3.945832360494983E-2</v>
      </c>
      <c r="H31" s="109"/>
      <c r="I31" s="106">
        <v>24131.1</v>
      </c>
      <c r="J31" s="109"/>
      <c r="K31" s="107">
        <f t="shared" si="13"/>
        <v>-2.2153514494809179E-2</v>
      </c>
      <c r="M31" s="105">
        <v>1253.45</v>
      </c>
      <c r="N31" s="124"/>
      <c r="O31" s="107">
        <f t="shared" si="19"/>
        <v>-8.6606427166071476E-2</v>
      </c>
      <c r="P31" s="107"/>
      <c r="Q31" s="105">
        <v>2777.4</v>
      </c>
      <c r="R31" s="124"/>
      <c r="S31" s="107">
        <f t="shared" si="20"/>
        <v>-2.1646089085369025E-2</v>
      </c>
      <c r="T31" s="107"/>
      <c r="U31" s="105">
        <v>2005.15</v>
      </c>
      <c r="V31" s="124"/>
      <c r="W31" s="107">
        <f t="shared" si="14"/>
        <v>-6.3429785842733288E-2</v>
      </c>
      <c r="X31" s="107"/>
      <c r="Y31" s="105">
        <v>1654.75</v>
      </c>
      <c r="Z31" s="124"/>
      <c r="AA31" s="107">
        <f t="shared" si="15"/>
        <v>-6.5429797808652435E-2</v>
      </c>
      <c r="AB31" s="107"/>
      <c r="AC31" s="105">
        <v>1650.55</v>
      </c>
      <c r="AD31" s="124"/>
      <c r="AE31" s="107">
        <f t="shared" si="16"/>
        <v>-5.0398412104824208E-2</v>
      </c>
      <c r="AF31" s="107"/>
      <c r="AG31" s="105">
        <v>1240.9000000000001</v>
      </c>
      <c r="AH31" s="124"/>
      <c r="AI31" s="107">
        <f t="shared" si="17"/>
        <v>-5.213306343810864E-2</v>
      </c>
    </row>
    <row r="32" spans="3:35" s="97" customFormat="1" ht="21" customHeight="1">
      <c r="C32" s="104">
        <v>45614</v>
      </c>
      <c r="E32" s="106">
        <v>803.65</v>
      </c>
      <c r="F32" s="108"/>
      <c r="G32" s="107">
        <f t="shared" si="18"/>
        <v>-2.3274185707340744E-2</v>
      </c>
      <c r="H32" s="109"/>
      <c r="I32" s="106">
        <v>23907.25</v>
      </c>
      <c r="J32" s="109"/>
      <c r="K32" s="107">
        <f t="shared" si="13"/>
        <v>-9.2764109385812255E-3</v>
      </c>
      <c r="M32" s="105">
        <v>1246.0999999999999</v>
      </c>
      <c r="N32" s="124"/>
      <c r="O32" s="107">
        <f t="shared" si="19"/>
        <v>-5.8638158682038366E-3</v>
      </c>
      <c r="P32" s="107"/>
      <c r="Q32" s="105">
        <v>2856.95</v>
      </c>
      <c r="R32" s="124"/>
      <c r="S32" s="107">
        <f t="shared" si="20"/>
        <v>2.8641895297760289E-2</v>
      </c>
      <c r="T32" s="107"/>
      <c r="U32" s="105">
        <v>1939.72</v>
      </c>
      <c r="V32" s="124"/>
      <c r="W32" s="107">
        <f t="shared" si="14"/>
        <v>-3.263097523876024E-2</v>
      </c>
      <c r="X32" s="107"/>
      <c r="Y32" s="105">
        <v>1625.65</v>
      </c>
      <c r="Z32" s="124"/>
      <c r="AA32" s="107">
        <f t="shared" si="15"/>
        <v>-1.7585738026892228E-2</v>
      </c>
      <c r="AB32" s="107"/>
      <c r="AC32" s="105">
        <v>1631.05</v>
      </c>
      <c r="AD32" s="124"/>
      <c r="AE32" s="107">
        <f t="shared" si="16"/>
        <v>-1.1814243736936181E-2</v>
      </c>
      <c r="AF32" s="107"/>
      <c r="AG32" s="105">
        <v>1194.4000000000001</v>
      </c>
      <c r="AH32" s="124"/>
      <c r="AI32" s="107">
        <f t="shared" si="17"/>
        <v>-3.747280199854941E-2</v>
      </c>
    </row>
    <row r="33" spans="3:35" s="97" customFormat="1" ht="21" customHeight="1">
      <c r="C33" s="104">
        <v>45607</v>
      </c>
      <c r="E33" s="106">
        <v>762.9</v>
      </c>
      <c r="F33" s="108"/>
      <c r="G33" s="107">
        <f t="shared" si="18"/>
        <v>-5.0706153176133917E-2</v>
      </c>
      <c r="H33" s="109"/>
      <c r="I33" s="106">
        <v>23532.7</v>
      </c>
      <c r="J33" s="109"/>
      <c r="K33" s="107">
        <f t="shared" si="13"/>
        <v>-1.5666795637306663E-2</v>
      </c>
      <c r="M33" s="105">
        <v>1221.25</v>
      </c>
      <c r="N33" s="124"/>
      <c r="O33" s="107">
        <f t="shared" si="19"/>
        <v>-1.9942219725543664E-2</v>
      </c>
      <c r="P33" s="107"/>
      <c r="Q33" s="105">
        <v>2594.6999999999998</v>
      </c>
      <c r="R33" s="124"/>
      <c r="S33" s="107">
        <f t="shared" si="20"/>
        <v>-9.1793696074485065E-2</v>
      </c>
      <c r="T33" s="107"/>
      <c r="U33" s="105">
        <v>1978.13</v>
      </c>
      <c r="V33" s="124"/>
      <c r="W33" s="107">
        <f t="shared" si="14"/>
        <v>1.9801827067824185E-2</v>
      </c>
      <c r="X33" s="107"/>
      <c r="Y33" s="105">
        <v>1398.8</v>
      </c>
      <c r="Z33" s="124"/>
      <c r="AA33" s="107">
        <f t="shared" si="15"/>
        <v>-0.13954418232706922</v>
      </c>
      <c r="AB33" s="107"/>
      <c r="AC33" s="105">
        <v>1547.2</v>
      </c>
      <c r="AD33" s="124"/>
      <c r="AE33" s="107">
        <f t="shared" si="16"/>
        <v>-5.1408601820912891E-2</v>
      </c>
      <c r="AF33" s="107"/>
      <c r="AG33" s="105">
        <v>1095.55</v>
      </c>
      <c r="AH33" s="124"/>
      <c r="AI33" s="107">
        <f t="shared" si="17"/>
        <v>-8.2761219022103205E-2</v>
      </c>
    </row>
    <row r="34" spans="3:35" s="97" customFormat="1" ht="21" customHeight="1">
      <c r="C34" s="104">
        <v>45600</v>
      </c>
      <c r="E34" s="106">
        <v>785.8</v>
      </c>
      <c r="F34" s="108"/>
      <c r="G34" s="107">
        <f t="shared" si="18"/>
        <v>3.0017040241185011E-2</v>
      </c>
      <c r="H34" s="109"/>
      <c r="I34" s="106">
        <v>24148.2</v>
      </c>
      <c r="J34" s="109"/>
      <c r="K34" s="107">
        <f t="shared" si="13"/>
        <v>2.6155094825498049E-2</v>
      </c>
      <c r="M34" s="105">
        <v>1166.9000000000001</v>
      </c>
      <c r="N34" s="124"/>
      <c r="O34" s="107">
        <f t="shared" si="19"/>
        <v>-4.4503582395086894E-2</v>
      </c>
      <c r="P34" s="107"/>
      <c r="Q34" s="105">
        <v>2684.7</v>
      </c>
      <c r="R34" s="124"/>
      <c r="S34" s="107">
        <f t="shared" si="20"/>
        <v>3.468609087755814E-2</v>
      </c>
      <c r="T34" s="107"/>
      <c r="U34" s="105">
        <v>2012.54</v>
      </c>
      <c r="V34" s="124"/>
      <c r="W34" s="107">
        <f t="shared" si="14"/>
        <v>1.7395216694554794E-2</v>
      </c>
      <c r="X34" s="107"/>
      <c r="Y34" s="105">
        <v>1478.05</v>
      </c>
      <c r="Z34" s="124"/>
      <c r="AA34" s="107">
        <f t="shared" si="15"/>
        <v>5.6655704889905678E-2</v>
      </c>
      <c r="AB34" s="107"/>
      <c r="AC34" s="105">
        <v>1579.85</v>
      </c>
      <c r="AD34" s="124"/>
      <c r="AE34" s="107">
        <f t="shared" si="16"/>
        <v>2.1102637021716664E-2</v>
      </c>
      <c r="AF34" s="107"/>
      <c r="AG34" s="105">
        <v>1124.2</v>
      </c>
      <c r="AH34" s="124"/>
      <c r="AI34" s="107">
        <f t="shared" si="17"/>
        <v>2.6151248231482072E-2</v>
      </c>
    </row>
    <row r="35" spans="3:35" s="97" customFormat="1" ht="21" customHeight="1">
      <c r="C35" s="104">
        <v>45593</v>
      </c>
      <c r="E35" s="106">
        <v>823.5</v>
      </c>
      <c r="F35" s="108"/>
      <c r="G35" s="107">
        <f t="shared" si="18"/>
        <v>4.7976584372613873E-2</v>
      </c>
      <c r="H35" s="109"/>
      <c r="I35" s="106">
        <v>24304.35</v>
      </c>
      <c r="J35" s="109"/>
      <c r="K35" s="107">
        <f t="shared" si="13"/>
        <v>6.4663204710908584E-3</v>
      </c>
      <c r="M35" s="105">
        <v>1207.1500000000001</v>
      </c>
      <c r="N35" s="124"/>
      <c r="O35" s="107">
        <f t="shared" si="19"/>
        <v>3.4493101379724056E-2</v>
      </c>
      <c r="P35" s="107"/>
      <c r="Q35" s="105">
        <v>2884.35</v>
      </c>
      <c r="R35" s="124"/>
      <c r="S35" s="107">
        <f t="shared" si="20"/>
        <v>7.4365850933065136E-2</v>
      </c>
      <c r="T35" s="107"/>
      <c r="U35" s="105">
        <v>1969.14</v>
      </c>
      <c r="V35" s="124"/>
      <c r="W35" s="107">
        <f t="shared" si="14"/>
        <v>-2.1564788774384502E-2</v>
      </c>
      <c r="X35" s="107"/>
      <c r="Y35" s="105">
        <v>1551.95</v>
      </c>
      <c r="Z35" s="124"/>
      <c r="AA35" s="107">
        <f t="shared" si="15"/>
        <v>4.9998308582253737E-2</v>
      </c>
      <c r="AB35" s="107"/>
      <c r="AC35" s="105">
        <v>1639.75</v>
      </c>
      <c r="AD35" s="124"/>
      <c r="AE35" s="107">
        <f t="shared" si="16"/>
        <v>3.7914991929613562E-2</v>
      </c>
      <c r="AF35" s="107"/>
      <c r="AG35" s="105">
        <v>1251.5999999999999</v>
      </c>
      <c r="AH35" s="124"/>
      <c r="AI35" s="107">
        <f t="shared" si="17"/>
        <v>0.1133250311332501</v>
      </c>
    </row>
    <row r="36" spans="3:35" s="97" customFormat="1" ht="21" customHeight="1">
      <c r="C36" s="104">
        <v>45586</v>
      </c>
      <c r="E36" s="106">
        <v>776.85</v>
      </c>
      <c r="F36" s="108"/>
      <c r="G36" s="107">
        <f t="shared" si="18"/>
        <v>-5.6648451730418881E-2</v>
      </c>
      <c r="H36" s="109"/>
      <c r="I36" s="106">
        <v>24180.799999999999</v>
      </c>
      <c r="J36" s="109"/>
      <c r="K36" s="107">
        <f t="shared" si="13"/>
        <v>-5.0834521392261189E-3</v>
      </c>
      <c r="M36" s="105">
        <v>1081.5</v>
      </c>
      <c r="N36" s="124"/>
      <c r="O36" s="107">
        <f t="shared" si="19"/>
        <v>-0.10408814149028711</v>
      </c>
      <c r="P36" s="107"/>
      <c r="Q36" s="105">
        <v>2928.75</v>
      </c>
      <c r="R36" s="124"/>
      <c r="S36" s="107">
        <f t="shared" si="20"/>
        <v>1.5393416194289911E-2</v>
      </c>
      <c r="T36" s="107"/>
      <c r="U36" s="105">
        <v>1937.65</v>
      </c>
      <c r="V36" s="124"/>
      <c r="W36" s="107">
        <f t="shared" si="14"/>
        <v>-1.5991752744853094E-2</v>
      </c>
      <c r="X36" s="107"/>
      <c r="Y36" s="105">
        <v>1484.05</v>
      </c>
      <c r="Z36" s="124"/>
      <c r="AA36" s="107">
        <f t="shared" si="15"/>
        <v>-4.3751409517059248E-2</v>
      </c>
      <c r="AB36" s="107"/>
      <c r="AC36" s="105">
        <v>1706.95</v>
      </c>
      <c r="AD36" s="124"/>
      <c r="AE36" s="107">
        <f t="shared" si="16"/>
        <v>4.0981856990394805E-2</v>
      </c>
      <c r="AF36" s="107"/>
      <c r="AG36" s="105">
        <v>1180.55</v>
      </c>
      <c r="AH36" s="124"/>
      <c r="AI36" s="107">
        <f t="shared" si="17"/>
        <v>-5.6767337807606233E-2</v>
      </c>
    </row>
    <row r="37" spans="3:35" s="97" customFormat="1" ht="21" customHeight="1">
      <c r="C37" s="104">
        <v>45579</v>
      </c>
      <c r="E37" s="106">
        <v>875.95</v>
      </c>
      <c r="F37" s="108"/>
      <c r="G37" s="107">
        <f t="shared" si="18"/>
        <v>0.1275664542704511</v>
      </c>
      <c r="H37" s="109"/>
      <c r="I37" s="106">
        <v>24854.05</v>
      </c>
      <c r="J37" s="109"/>
      <c r="K37" s="107">
        <f t="shared" si="13"/>
        <v>2.7842337722490562E-2</v>
      </c>
      <c r="M37" s="105">
        <v>1161.9000000000001</v>
      </c>
      <c r="N37" s="124"/>
      <c r="O37" s="107">
        <f t="shared" si="19"/>
        <v>7.434119278779483E-2</v>
      </c>
      <c r="P37" s="107"/>
      <c r="Q37" s="105">
        <v>3131.7</v>
      </c>
      <c r="R37" s="124"/>
      <c r="S37" s="107">
        <f t="shared" si="20"/>
        <v>6.9295774647887276E-2</v>
      </c>
      <c r="T37" s="107"/>
      <c r="U37" s="105">
        <v>1927.42</v>
      </c>
      <c r="V37" s="124"/>
      <c r="W37" s="107">
        <f t="shared" si="14"/>
        <v>-5.2795912574510329E-3</v>
      </c>
      <c r="X37" s="107"/>
      <c r="Y37" s="105">
        <v>1609.3</v>
      </c>
      <c r="Z37" s="124"/>
      <c r="AA37" s="107">
        <f t="shared" si="15"/>
        <v>8.4397425962737138E-2</v>
      </c>
      <c r="AB37" s="107"/>
      <c r="AC37" s="105">
        <v>1766.8</v>
      </c>
      <c r="AD37" s="124"/>
      <c r="AE37" s="107">
        <f t="shared" si="16"/>
        <v>3.5062538445765679E-2</v>
      </c>
      <c r="AF37" s="107"/>
      <c r="AG37" s="105">
        <v>1277.25</v>
      </c>
      <c r="AH37" s="124"/>
      <c r="AI37" s="107">
        <f t="shared" si="17"/>
        <v>8.1910973698699818E-2</v>
      </c>
    </row>
    <row r="38" spans="3:35" s="97" customFormat="1" ht="21" customHeight="1">
      <c r="C38" s="104">
        <v>45572</v>
      </c>
      <c r="E38" s="106">
        <v>847.4</v>
      </c>
      <c r="F38" s="108"/>
      <c r="G38" s="107">
        <f t="shared" si="18"/>
        <v>-3.2593184542496823E-2</v>
      </c>
      <c r="H38" s="109"/>
      <c r="I38" s="106">
        <v>24964.25</v>
      </c>
      <c r="J38" s="109"/>
      <c r="K38" s="107">
        <f t="shared" si="13"/>
        <v>4.4338850207512603E-3</v>
      </c>
      <c r="M38" s="105">
        <v>1168.8499999999999</v>
      </c>
      <c r="N38" s="124"/>
      <c r="O38" s="107">
        <f t="shared" si="19"/>
        <v>5.9815818917288155E-3</v>
      </c>
      <c r="P38" s="107"/>
      <c r="Q38" s="105">
        <v>3012</v>
      </c>
      <c r="R38" s="124"/>
      <c r="S38" s="107">
        <f t="shared" si="20"/>
        <v>-3.8222051920681954E-2</v>
      </c>
      <c r="T38" s="107"/>
      <c r="U38" s="105">
        <v>1915.1</v>
      </c>
      <c r="V38" s="124"/>
      <c r="W38" s="107">
        <f t="shared" si="14"/>
        <v>-6.3919643876270138E-3</v>
      </c>
      <c r="X38" s="107"/>
      <c r="Y38" s="105">
        <v>1628.7</v>
      </c>
      <c r="Z38" s="124"/>
      <c r="AA38" s="107">
        <f t="shared" si="15"/>
        <v>1.2054930715217793E-2</v>
      </c>
      <c r="AB38" s="107"/>
      <c r="AC38" s="105">
        <v>1854.5</v>
      </c>
      <c r="AD38" s="124"/>
      <c r="AE38" s="107">
        <f t="shared" si="16"/>
        <v>4.963776318768387E-2</v>
      </c>
      <c r="AF38" s="107"/>
      <c r="AG38" s="105">
        <v>1294.75</v>
      </c>
      <c r="AH38" s="124"/>
      <c r="AI38" s="107">
        <f t="shared" si="17"/>
        <v>1.3701311411234984E-2</v>
      </c>
    </row>
    <row r="39" spans="3:35" s="97" customFormat="1" ht="21" customHeight="1">
      <c r="C39" s="104">
        <v>45565</v>
      </c>
      <c r="E39" s="106">
        <v>844.95</v>
      </c>
      <c r="F39" s="108"/>
      <c r="G39" s="107">
        <f t="shared" si="18"/>
        <v>-2.8911966013688284E-3</v>
      </c>
      <c r="H39" s="109"/>
      <c r="I39" s="106">
        <v>25014.6</v>
      </c>
      <c r="J39" s="109"/>
      <c r="K39" s="107">
        <f t="shared" si="13"/>
        <v>2.0168841443264363E-3</v>
      </c>
      <c r="M39" s="105">
        <v>1171.8499999999999</v>
      </c>
      <c r="N39" s="124"/>
      <c r="O39" s="107">
        <f t="shared" si="19"/>
        <v>2.5666253154810192E-3</v>
      </c>
      <c r="P39" s="107"/>
      <c r="Q39" s="105">
        <v>2897.7</v>
      </c>
      <c r="R39" s="124"/>
      <c r="S39" s="107">
        <f t="shared" si="20"/>
        <v>-3.7948207171314752E-2</v>
      </c>
      <c r="T39" s="107"/>
      <c r="U39" s="105">
        <v>1804.58</v>
      </c>
      <c r="V39" s="124"/>
      <c r="W39" s="107">
        <f t="shared" si="14"/>
        <v>-5.7709780168137437E-2</v>
      </c>
      <c r="X39" s="107"/>
      <c r="Y39" s="105">
        <v>1671.65</v>
      </c>
      <c r="Z39" s="124"/>
      <c r="AA39" s="107">
        <f t="shared" si="15"/>
        <v>2.6370725118192384E-2</v>
      </c>
      <c r="AB39" s="107"/>
      <c r="AC39" s="105">
        <v>1750.8</v>
      </c>
      <c r="AD39" s="124"/>
      <c r="AE39" s="107">
        <f t="shared" si="16"/>
        <v>-5.5918037206794335E-2</v>
      </c>
      <c r="AF39" s="107"/>
      <c r="AG39" s="105">
        <v>1370</v>
      </c>
      <c r="AH39" s="124"/>
      <c r="AI39" s="107">
        <f t="shared" si="17"/>
        <v>5.8119328055609154E-2</v>
      </c>
    </row>
    <row r="40" spans="3:35" s="97" customFormat="1" ht="21" customHeight="1">
      <c r="C40" s="104">
        <v>45558</v>
      </c>
      <c r="E40" s="106">
        <v>913.7</v>
      </c>
      <c r="F40" s="108"/>
      <c r="G40" s="107">
        <f t="shared" si="18"/>
        <v>8.1365761287650162E-2</v>
      </c>
      <c r="H40" s="109"/>
      <c r="I40" s="106">
        <v>26178.95</v>
      </c>
      <c r="J40" s="109"/>
      <c r="K40" s="107">
        <f t="shared" si="13"/>
        <v>4.6546816659071233E-2</v>
      </c>
      <c r="M40" s="105">
        <v>1299.9000000000001</v>
      </c>
      <c r="N40" s="124"/>
      <c r="O40" s="107">
        <f t="shared" si="19"/>
        <v>0.1092716644621754</v>
      </c>
      <c r="P40" s="107"/>
      <c r="Q40" s="105">
        <v>3191.3</v>
      </c>
      <c r="R40" s="124"/>
      <c r="S40" s="107">
        <f t="shared" si="20"/>
        <v>0.10132173793008259</v>
      </c>
      <c r="T40" s="107"/>
      <c r="U40" s="105">
        <v>1892.85</v>
      </c>
      <c r="V40" s="124"/>
      <c r="W40" s="107">
        <f t="shared" si="14"/>
        <v>4.8914428842168345E-2</v>
      </c>
      <c r="X40" s="107"/>
      <c r="Y40" s="105">
        <v>1884.75</v>
      </c>
      <c r="Z40" s="124"/>
      <c r="AA40" s="107">
        <f t="shared" si="15"/>
        <v>0.12747883827356188</v>
      </c>
      <c r="AB40" s="107"/>
      <c r="AC40" s="105">
        <v>1866.71</v>
      </c>
      <c r="AD40" s="124"/>
      <c r="AE40" s="107">
        <f t="shared" si="16"/>
        <v>6.6204021018962722E-2</v>
      </c>
      <c r="AF40" s="107"/>
      <c r="AG40" s="105">
        <v>1414.5</v>
      </c>
      <c r="AH40" s="124"/>
      <c r="AI40" s="107">
        <f t="shared" si="17"/>
        <v>3.2481751824817495E-2</v>
      </c>
    </row>
    <row r="41" spans="3:35" s="97" customFormat="1" ht="21" customHeight="1">
      <c r="C41" s="104">
        <v>45551</v>
      </c>
      <c r="E41" s="106">
        <v>878.15</v>
      </c>
      <c r="F41" s="108"/>
      <c r="G41" s="107">
        <f t="shared" si="18"/>
        <v>-3.8907737769508621E-2</v>
      </c>
      <c r="H41" s="109"/>
      <c r="I41" s="106">
        <v>25790.95</v>
      </c>
      <c r="J41" s="109"/>
      <c r="K41" s="107">
        <f t="shared" si="13"/>
        <v>-1.4821068071866894E-2</v>
      </c>
      <c r="M41" s="105">
        <v>1394</v>
      </c>
      <c r="N41" s="124"/>
      <c r="O41" s="107">
        <f t="shared" si="19"/>
        <v>7.2390183860296942E-2</v>
      </c>
      <c r="P41" s="107"/>
      <c r="Q41" s="105">
        <v>2988.7</v>
      </c>
      <c r="R41" s="124"/>
      <c r="S41" s="107">
        <f t="shared" si="20"/>
        <v>-6.3485100115940329E-2</v>
      </c>
      <c r="T41" s="107"/>
      <c r="U41" s="105">
        <v>1852.93</v>
      </c>
      <c r="V41" s="124"/>
      <c r="W41" s="107">
        <f t="shared" si="14"/>
        <v>-2.1089890905248598E-2</v>
      </c>
      <c r="X41" s="107"/>
      <c r="Y41" s="105">
        <v>1858.9</v>
      </c>
      <c r="Z41" s="124"/>
      <c r="AA41" s="107">
        <f t="shared" si="15"/>
        <v>-1.371534686297915E-2</v>
      </c>
      <c r="AB41" s="107"/>
      <c r="AC41" s="105">
        <v>1877.1</v>
      </c>
      <c r="AD41" s="124"/>
      <c r="AE41" s="107">
        <f t="shared" si="16"/>
        <v>5.5659422191984831E-3</v>
      </c>
      <c r="AF41" s="107"/>
      <c r="AG41" s="105">
        <v>1332.45</v>
      </c>
      <c r="AH41" s="124"/>
      <c r="AI41" s="107">
        <f t="shared" si="17"/>
        <v>-5.8006362672322398E-2</v>
      </c>
    </row>
    <row r="42" spans="3:35" s="97" customFormat="1" ht="21" customHeight="1">
      <c r="C42" s="104">
        <v>45544</v>
      </c>
      <c r="E42" s="106">
        <v>863.6</v>
      </c>
      <c r="F42" s="108"/>
      <c r="G42" s="107">
        <f t="shared" si="18"/>
        <v>-1.6568923304674521E-2</v>
      </c>
      <c r="H42" s="109"/>
      <c r="I42" s="106">
        <v>25356.5</v>
      </c>
      <c r="J42" s="109"/>
      <c r="K42" s="107">
        <f t="shared" si="13"/>
        <v>-1.684505611464493E-2</v>
      </c>
      <c r="M42" s="105">
        <v>1232.2</v>
      </c>
      <c r="N42" s="124"/>
      <c r="O42" s="107">
        <f t="shared" si="19"/>
        <v>-0.11606886657101867</v>
      </c>
      <c r="P42" s="107"/>
      <c r="Q42" s="105">
        <v>2952.6</v>
      </c>
      <c r="R42" s="124"/>
      <c r="S42" s="107">
        <f t="shared" si="20"/>
        <v>-1.2078830260648377E-2</v>
      </c>
      <c r="T42" s="107"/>
      <c r="U42" s="105">
        <v>1810.62</v>
      </c>
      <c r="V42" s="124"/>
      <c r="W42" s="107">
        <f t="shared" si="14"/>
        <v>-2.2834105983496555E-2</v>
      </c>
      <c r="X42" s="107"/>
      <c r="Y42" s="105">
        <v>1669.72</v>
      </c>
      <c r="Z42" s="124"/>
      <c r="AA42" s="107">
        <f t="shared" si="15"/>
        <v>-0.10176986389800424</v>
      </c>
      <c r="AB42" s="107"/>
      <c r="AC42" s="105">
        <v>1856.82</v>
      </c>
      <c r="AD42" s="124"/>
      <c r="AE42" s="107">
        <f t="shared" si="16"/>
        <v>-1.0803899632411684E-2</v>
      </c>
      <c r="AF42" s="107"/>
      <c r="AG42" s="105">
        <v>1335.55</v>
      </c>
      <c r="AH42" s="124"/>
      <c r="AI42" s="107">
        <f t="shared" si="17"/>
        <v>2.326541333633525E-3</v>
      </c>
    </row>
    <row r="43" spans="3:35" s="97" customFormat="1" ht="21" customHeight="1">
      <c r="C43" s="104">
        <v>45537</v>
      </c>
      <c r="E43" s="106">
        <v>814.45</v>
      </c>
      <c r="F43" s="108"/>
      <c r="G43" s="107">
        <f t="shared" si="18"/>
        <v>-5.6912922649374642E-2</v>
      </c>
      <c r="H43" s="109"/>
      <c r="I43" s="106">
        <v>24852.15</v>
      </c>
      <c r="J43" s="109"/>
      <c r="K43" s="107">
        <f t="shared" si="13"/>
        <v>-1.9890363417664036E-2</v>
      </c>
      <c r="M43" s="105">
        <v>1187.0999999999999</v>
      </c>
      <c r="N43" s="124"/>
      <c r="O43" s="107">
        <f t="shared" si="19"/>
        <v>-3.6601201103717007E-2</v>
      </c>
      <c r="P43" s="107"/>
      <c r="Q43" s="105">
        <v>2858.65</v>
      </c>
      <c r="R43" s="124"/>
      <c r="S43" s="107">
        <f t="shared" si="20"/>
        <v>-3.1819413398360696E-2</v>
      </c>
      <c r="T43" s="107"/>
      <c r="U43" s="105">
        <v>1743.56</v>
      </c>
      <c r="V43" s="124"/>
      <c r="W43" s="107">
        <f t="shared" si="14"/>
        <v>-3.7037037037036979E-2</v>
      </c>
      <c r="X43" s="107"/>
      <c r="Y43" s="105">
        <v>1807.43</v>
      </c>
      <c r="Z43" s="124"/>
      <c r="AA43" s="107">
        <f t="shared" si="15"/>
        <v>8.2474905972258927E-2</v>
      </c>
      <c r="AB43" s="107"/>
      <c r="AC43" s="105">
        <v>1817.26</v>
      </c>
      <c r="AD43" s="124"/>
      <c r="AE43" s="107">
        <f t="shared" si="16"/>
        <v>-2.1305242295968307E-2</v>
      </c>
      <c r="AF43" s="107"/>
      <c r="AG43" s="105">
        <v>1318.75</v>
      </c>
      <c r="AH43" s="124"/>
      <c r="AI43" s="107">
        <f t="shared" si="17"/>
        <v>-1.2579087267417854E-2</v>
      </c>
    </row>
    <row r="44" spans="3:35" s="97" customFormat="1" ht="21" customHeight="1">
      <c r="C44" s="104">
        <v>45530</v>
      </c>
      <c r="E44" s="106">
        <v>845.5</v>
      </c>
      <c r="F44" s="108"/>
      <c r="G44" s="107">
        <f t="shared" si="18"/>
        <v>3.8123887285898439E-2</v>
      </c>
      <c r="H44" s="109"/>
      <c r="I44" s="106">
        <v>25235.9</v>
      </c>
      <c r="J44" s="109"/>
      <c r="K44" s="107">
        <f t="shared" si="13"/>
        <v>1.544131996628062E-2</v>
      </c>
      <c r="M44" s="105">
        <v>1254.55</v>
      </c>
      <c r="N44" s="124"/>
      <c r="O44" s="107">
        <f t="shared" si="19"/>
        <v>5.6819139078426506E-2</v>
      </c>
      <c r="P44" s="107"/>
      <c r="Q44" s="105">
        <v>2908.7</v>
      </c>
      <c r="R44" s="124"/>
      <c r="S44" s="107">
        <f t="shared" si="20"/>
        <v>1.750826439053399E-2</v>
      </c>
      <c r="T44" s="107"/>
      <c r="U44" s="105">
        <v>1768.61</v>
      </c>
      <c r="V44" s="124"/>
      <c r="W44" s="107">
        <f t="shared" si="14"/>
        <v>1.4367156851499141E-2</v>
      </c>
      <c r="X44" s="107"/>
      <c r="Y44" s="105">
        <v>1887.18</v>
      </c>
      <c r="Z44" s="124"/>
      <c r="AA44" s="107">
        <f t="shared" si="15"/>
        <v>4.4123423867037825E-2</v>
      </c>
      <c r="AB44" s="107"/>
      <c r="AC44" s="105">
        <v>1811.41</v>
      </c>
      <c r="AD44" s="124"/>
      <c r="AE44" s="107">
        <f t="shared" si="16"/>
        <v>-3.2191320999745976E-3</v>
      </c>
      <c r="AF44" s="107"/>
      <c r="AG44" s="105">
        <v>1204.55</v>
      </c>
      <c r="AH44" s="124"/>
      <c r="AI44" s="107">
        <f t="shared" si="17"/>
        <v>-8.659715639810428E-2</v>
      </c>
    </row>
    <row r="45" spans="3:35" s="97" customFormat="1" ht="21" customHeight="1">
      <c r="C45" s="104">
        <v>45523</v>
      </c>
      <c r="E45" s="106">
        <v>849.5</v>
      </c>
      <c r="F45" s="108"/>
      <c r="G45" s="107">
        <f t="shared" si="18"/>
        <v>4.7309284447072386E-3</v>
      </c>
      <c r="H45" s="109"/>
      <c r="I45" s="106">
        <v>24823.15</v>
      </c>
      <c r="J45" s="109"/>
      <c r="K45" s="107">
        <f t="shared" si="13"/>
        <v>-1.6355667917530181E-2</v>
      </c>
      <c r="M45" s="105">
        <v>1161.5</v>
      </c>
      <c r="N45" s="124"/>
      <c r="O45" s="107">
        <f t="shared" si="19"/>
        <v>-7.4170021123111884E-2</v>
      </c>
      <c r="P45" s="107"/>
      <c r="Q45" s="105">
        <v>2882.4</v>
      </c>
      <c r="R45" s="124"/>
      <c r="S45" s="107">
        <f t="shared" si="20"/>
        <v>-9.0418399972495012E-3</v>
      </c>
      <c r="T45" s="107"/>
      <c r="U45" s="105">
        <v>1699.51</v>
      </c>
      <c r="V45" s="124"/>
      <c r="W45" s="107">
        <f t="shared" si="14"/>
        <v>-3.9070230293846486E-2</v>
      </c>
      <c r="X45" s="107"/>
      <c r="Y45" s="105">
        <v>1777.72</v>
      </c>
      <c r="Z45" s="124"/>
      <c r="AA45" s="107">
        <f t="shared" si="15"/>
        <v>-5.8001886412530901E-2</v>
      </c>
      <c r="AB45" s="107"/>
      <c r="AC45" s="105">
        <v>1676.04</v>
      </c>
      <c r="AD45" s="124"/>
      <c r="AE45" s="107">
        <f t="shared" si="16"/>
        <v>-7.4731838733362421E-2</v>
      </c>
      <c r="AF45" s="107"/>
      <c r="AG45" s="105">
        <v>1130.8499999999999</v>
      </c>
      <c r="AH45" s="124"/>
      <c r="AI45" s="107">
        <f t="shared" si="17"/>
        <v>-6.1184674774812264E-2</v>
      </c>
    </row>
    <row r="46" spans="3:35" s="97" customFormat="1" ht="21" customHeight="1">
      <c r="C46" s="104">
        <v>45516</v>
      </c>
      <c r="E46" s="106">
        <v>867.5</v>
      </c>
      <c r="F46" s="108"/>
      <c r="G46" s="107">
        <f t="shared" si="18"/>
        <v>2.118893466745142E-2</v>
      </c>
      <c r="H46" s="109"/>
      <c r="I46" s="106">
        <v>24541.15</v>
      </c>
      <c r="J46" s="109"/>
      <c r="K46" s="107">
        <f t="shared" si="13"/>
        <v>-1.1360363209342861E-2</v>
      </c>
      <c r="M46" s="105">
        <v>1292.83</v>
      </c>
      <c r="N46" s="124"/>
      <c r="O46" s="107">
        <f t="shared" si="19"/>
        <v>0.11306930693069295</v>
      </c>
      <c r="P46" s="107"/>
      <c r="Q46" s="105">
        <v>2938.15</v>
      </c>
      <c r="R46" s="124"/>
      <c r="S46" s="107">
        <f t="shared" si="20"/>
        <v>1.9341520954759828E-2</v>
      </c>
      <c r="T46" s="107"/>
      <c r="U46" s="105">
        <v>1762.42</v>
      </c>
      <c r="V46" s="124"/>
      <c r="W46" s="107">
        <f t="shared" si="14"/>
        <v>3.7016551829645028E-2</v>
      </c>
      <c r="X46" s="107"/>
      <c r="Y46" s="105">
        <v>1680.97</v>
      </c>
      <c r="Z46" s="124"/>
      <c r="AA46" s="107">
        <f t="shared" si="15"/>
        <v>-5.4423643768422458E-2</v>
      </c>
      <c r="AB46" s="107"/>
      <c r="AC46" s="105">
        <v>1815.51</v>
      </c>
      <c r="AD46" s="124"/>
      <c r="AE46" s="107">
        <f t="shared" si="16"/>
        <v>8.3214004439034817E-2</v>
      </c>
      <c r="AF46" s="107"/>
      <c r="AG46" s="105">
        <v>1152.3499999999999</v>
      </c>
      <c r="AH46" s="124"/>
      <c r="AI46" s="107">
        <f t="shared" si="17"/>
        <v>1.9012247424503803E-2</v>
      </c>
    </row>
    <row r="47" spans="3:35" s="97" customFormat="1" ht="21" customHeight="1">
      <c r="C47" s="104">
        <v>45509</v>
      </c>
      <c r="E47" s="106">
        <v>830.85</v>
      </c>
      <c r="F47" s="108"/>
      <c r="G47" s="107">
        <f t="shared" si="18"/>
        <v>-4.2247838616714661E-2</v>
      </c>
      <c r="H47" s="109"/>
      <c r="I47" s="106">
        <v>24367.5</v>
      </c>
      <c r="J47" s="109"/>
      <c r="K47" s="107">
        <f t="shared" si="13"/>
        <v>-7.0758705276647849E-3</v>
      </c>
      <c r="M47" s="105">
        <v>1242.3699999999999</v>
      </c>
      <c r="N47" s="124"/>
      <c r="O47" s="107">
        <f t="shared" si="19"/>
        <v>-3.9030653682232019E-2</v>
      </c>
      <c r="P47" s="107"/>
      <c r="Q47" s="105">
        <v>2925.35</v>
      </c>
      <c r="R47" s="124"/>
      <c r="S47" s="107">
        <f t="shared" si="20"/>
        <v>-4.3564828208226825E-3</v>
      </c>
      <c r="T47" s="107"/>
      <c r="U47" s="105">
        <v>1784.48</v>
      </c>
      <c r="V47" s="124"/>
      <c r="W47" s="107">
        <f t="shared" si="14"/>
        <v>1.2516880198817582E-2</v>
      </c>
      <c r="X47" s="107"/>
      <c r="Y47" s="105">
        <v>1675.98</v>
      </c>
      <c r="Z47" s="124"/>
      <c r="AA47" s="107">
        <f t="shared" si="15"/>
        <v>-2.9685241259510553E-3</v>
      </c>
      <c r="AB47" s="107"/>
      <c r="AC47" s="105">
        <v>1716.5</v>
      </c>
      <c r="AD47" s="124"/>
      <c r="AE47" s="107">
        <f t="shared" si="16"/>
        <v>-5.4535640123161033E-2</v>
      </c>
      <c r="AF47" s="107"/>
      <c r="AG47" s="105">
        <v>1125.4000000000001</v>
      </c>
      <c r="AH47" s="124"/>
      <c r="AI47" s="107">
        <f t="shared" si="17"/>
        <v>-2.3386991799366319E-2</v>
      </c>
    </row>
    <row r="48" spans="3:35" s="97" customFormat="1" ht="21" customHeight="1">
      <c r="C48" s="104">
        <v>45502</v>
      </c>
      <c r="E48" s="106">
        <v>839.7</v>
      </c>
      <c r="F48" s="108"/>
      <c r="G48" s="107">
        <f t="shared" si="18"/>
        <v>1.0651742191731373E-2</v>
      </c>
      <c r="H48" s="109"/>
      <c r="I48" s="106">
        <v>24717.7</v>
      </c>
      <c r="J48" s="109"/>
      <c r="K48" s="107">
        <f t="shared" si="13"/>
        <v>1.4371601518415877E-2</v>
      </c>
      <c r="M48" s="105">
        <v>1229.05</v>
      </c>
      <c r="N48" s="124"/>
      <c r="O48" s="107">
        <f t="shared" si="19"/>
        <v>-1.0721443692297772E-2</v>
      </c>
      <c r="P48" s="107"/>
      <c r="Q48" s="105">
        <v>3001.75</v>
      </c>
      <c r="R48" s="124"/>
      <c r="S48" s="107">
        <f t="shared" si="20"/>
        <v>2.6116533064419745E-2</v>
      </c>
      <c r="T48" s="107"/>
      <c r="U48" s="105">
        <v>1773.69</v>
      </c>
      <c r="V48" s="124"/>
      <c r="W48" s="107">
        <f t="shared" si="14"/>
        <v>-6.0465793956783198E-3</v>
      </c>
      <c r="X48" s="107"/>
      <c r="Y48" s="105">
        <v>1727.61</v>
      </c>
      <c r="Z48" s="124"/>
      <c r="AA48" s="107">
        <f t="shared" si="15"/>
        <v>3.0805856871800374E-2</v>
      </c>
      <c r="AB48" s="107"/>
      <c r="AC48" s="105">
        <v>1694.13</v>
      </c>
      <c r="AD48" s="124"/>
      <c r="AE48" s="107">
        <f t="shared" si="16"/>
        <v>-1.3032333236236426E-2</v>
      </c>
      <c r="AF48" s="107"/>
      <c r="AG48" s="105">
        <v>1196.67</v>
      </c>
      <c r="AH48" s="124"/>
      <c r="AI48" s="107">
        <f t="shared" si="17"/>
        <v>6.3328594277590078E-2</v>
      </c>
    </row>
    <row r="49" spans="3:35" s="97" customFormat="1" ht="21" customHeight="1">
      <c r="C49" s="104">
        <v>45495</v>
      </c>
      <c r="E49" s="106">
        <v>824.89</v>
      </c>
      <c r="F49" s="108"/>
      <c r="G49" s="107">
        <f t="shared" si="18"/>
        <v>-1.7637251399309384E-2</v>
      </c>
      <c r="H49" s="109"/>
      <c r="I49" s="106">
        <v>24834.85</v>
      </c>
      <c r="J49" s="109"/>
      <c r="K49" s="107">
        <f t="shared" si="13"/>
        <v>4.7395186445340354E-3</v>
      </c>
      <c r="M49" s="105">
        <v>1399.15</v>
      </c>
      <c r="N49" s="124"/>
      <c r="O49" s="107">
        <f t="shared" si="19"/>
        <v>0.13839957690899496</v>
      </c>
      <c r="P49" s="107"/>
      <c r="Q49" s="105">
        <v>3126.95</v>
      </c>
      <c r="R49" s="124"/>
      <c r="S49" s="107">
        <f t="shared" si="20"/>
        <v>4.1709003081535689E-2</v>
      </c>
      <c r="T49" s="107"/>
      <c r="U49" s="105">
        <v>1779.32</v>
      </c>
      <c r="V49" s="124"/>
      <c r="W49" s="107">
        <f t="shared" si="14"/>
        <v>3.17417361545691E-3</v>
      </c>
      <c r="X49" s="107"/>
      <c r="Y49" s="105">
        <v>1761.84</v>
      </c>
      <c r="Z49" s="124"/>
      <c r="AA49" s="107">
        <f t="shared" si="15"/>
        <v>1.9813499574556692E-2</v>
      </c>
      <c r="AB49" s="107"/>
      <c r="AC49" s="105">
        <v>1831.69</v>
      </c>
      <c r="AD49" s="124"/>
      <c r="AE49" s="107">
        <f t="shared" si="16"/>
        <v>8.1198019042222125E-2</v>
      </c>
      <c r="AF49" s="107"/>
      <c r="AG49" s="105">
        <v>1249.3399999999999</v>
      </c>
      <c r="AH49" s="124"/>
      <c r="AI49" s="107">
        <f t="shared" si="17"/>
        <v>4.4013804975473469E-2</v>
      </c>
    </row>
    <row r="50" spans="3:35" s="97" customFormat="1" ht="21" customHeight="1">
      <c r="C50" s="104">
        <v>45488</v>
      </c>
      <c r="E50" s="106">
        <v>811.31</v>
      </c>
      <c r="F50" s="108"/>
      <c r="G50" s="107">
        <f t="shared" si="18"/>
        <v>-1.6462801100752933E-2</v>
      </c>
      <c r="H50" s="109"/>
      <c r="I50" s="106">
        <v>24530.9</v>
      </c>
      <c r="J50" s="109"/>
      <c r="K50" s="107">
        <f t="shared" si="13"/>
        <v>-1.2238849842056476E-2</v>
      </c>
      <c r="M50" s="105">
        <v>1445.82</v>
      </c>
      <c r="N50" s="124"/>
      <c r="O50" s="107">
        <f t="shared" si="19"/>
        <v>3.3355966122288416E-2</v>
      </c>
      <c r="P50" s="107"/>
      <c r="Q50" s="105">
        <v>3246.75</v>
      </c>
      <c r="R50" s="124"/>
      <c r="S50" s="107">
        <f t="shared" si="20"/>
        <v>3.8312093253809687E-2</v>
      </c>
      <c r="T50" s="107"/>
      <c r="U50" s="105">
        <v>1665.98</v>
      </c>
      <c r="V50" s="124"/>
      <c r="W50" s="107">
        <f t="shared" si="14"/>
        <v>-6.3698491558572878E-2</v>
      </c>
      <c r="X50" s="107"/>
      <c r="Y50" s="105">
        <v>1973.28</v>
      </c>
      <c r="Z50" s="124"/>
      <c r="AA50" s="107">
        <f t="shared" si="15"/>
        <v>0.12001089769786133</v>
      </c>
      <c r="AB50" s="107"/>
      <c r="AC50" s="105">
        <v>1785.79</v>
      </c>
      <c r="AD50" s="124"/>
      <c r="AE50" s="107">
        <f t="shared" si="16"/>
        <v>-2.5058825456272693E-2</v>
      </c>
      <c r="AF50" s="107"/>
      <c r="AG50" s="105">
        <v>1267.96</v>
      </c>
      <c r="AH50" s="124"/>
      <c r="AI50" s="107">
        <f t="shared" si="17"/>
        <v>1.4903869242960388E-2</v>
      </c>
    </row>
    <row r="51" spans="3:35" s="97" customFormat="1" ht="21" customHeight="1">
      <c r="C51" s="104">
        <v>45481</v>
      </c>
      <c r="E51" s="106">
        <v>816.78</v>
      </c>
      <c r="F51" s="108"/>
      <c r="G51" s="107">
        <f t="shared" si="18"/>
        <v>6.7421823963713656E-3</v>
      </c>
      <c r="H51" s="109"/>
      <c r="I51" s="106">
        <v>24502.15</v>
      </c>
      <c r="J51" s="109"/>
      <c r="K51" s="107">
        <f t="shared" si="13"/>
        <v>-1.1719912436967128E-3</v>
      </c>
      <c r="M51" s="105">
        <v>1393.01</v>
      </c>
      <c r="N51" s="124"/>
      <c r="O51" s="107">
        <f t="shared" si="19"/>
        <v>-3.6525985254042603E-2</v>
      </c>
      <c r="P51" s="107"/>
      <c r="Q51" s="105">
        <v>3262.85</v>
      </c>
      <c r="R51" s="124"/>
      <c r="S51" s="107">
        <f t="shared" si="20"/>
        <v>4.9588049588049632E-3</v>
      </c>
      <c r="T51" s="107"/>
      <c r="U51" s="105">
        <v>1692.3</v>
      </c>
      <c r="V51" s="124"/>
      <c r="W51" s="107">
        <f t="shared" si="14"/>
        <v>1.5798508985702009E-2</v>
      </c>
      <c r="X51" s="107"/>
      <c r="Y51" s="105">
        <v>1944.36</v>
      </c>
      <c r="Z51" s="124"/>
      <c r="AA51" s="107">
        <f t="shared" si="15"/>
        <v>-1.4655801508148936E-2</v>
      </c>
      <c r="AB51" s="107"/>
      <c r="AC51" s="105">
        <v>1763.46</v>
      </c>
      <c r="AD51" s="124"/>
      <c r="AE51" s="107">
        <f t="shared" si="16"/>
        <v>-1.250426981895969E-2</v>
      </c>
      <c r="AF51" s="107"/>
      <c r="AG51" s="105">
        <v>1309.8399999999999</v>
      </c>
      <c r="AH51" s="124"/>
      <c r="AI51" s="107">
        <f t="shared" si="17"/>
        <v>3.3029433105145278E-2</v>
      </c>
    </row>
    <row r="52" spans="3:35" s="97" customFormat="1" ht="21" customHeight="1">
      <c r="C52" s="104">
        <v>45474</v>
      </c>
      <c r="E52" s="106">
        <v>828.02</v>
      </c>
      <c r="F52" s="108"/>
      <c r="G52" s="107">
        <f t="shared" si="18"/>
        <v>1.3761355566982658E-2</v>
      </c>
      <c r="H52" s="109"/>
      <c r="I52" s="106">
        <v>24323.85</v>
      </c>
      <c r="J52" s="109"/>
      <c r="K52" s="107">
        <f t="shared" si="13"/>
        <v>-7.2769124342150215E-3</v>
      </c>
      <c r="M52" s="105">
        <v>1529.82</v>
      </c>
      <c r="N52" s="124"/>
      <c r="O52" s="107">
        <f t="shared" si="19"/>
        <v>9.8211785988614464E-2</v>
      </c>
      <c r="P52" s="107"/>
      <c r="Q52" s="105">
        <v>3280.9</v>
      </c>
      <c r="R52" s="124"/>
      <c r="S52" s="107">
        <f t="shared" si="20"/>
        <v>5.5319735813783577E-3</v>
      </c>
      <c r="T52" s="107"/>
      <c r="U52" s="105">
        <v>1779.37</v>
      </c>
      <c r="V52" s="124"/>
      <c r="W52" s="107">
        <f t="shared" si="14"/>
        <v>5.1450688412220114E-2</v>
      </c>
      <c r="X52" s="107"/>
      <c r="Y52" s="105">
        <v>1869.53</v>
      </c>
      <c r="Z52" s="124"/>
      <c r="AA52" s="107">
        <f t="shared" si="15"/>
        <v>-3.8485671377728403E-2</v>
      </c>
      <c r="AB52" s="107"/>
      <c r="AC52" s="105">
        <v>1813.46</v>
      </c>
      <c r="AD52" s="124"/>
      <c r="AE52" s="107">
        <f t="shared" si="16"/>
        <v>2.8353350798997479E-2</v>
      </c>
      <c r="AF52" s="107"/>
      <c r="AG52" s="105">
        <v>1342.34</v>
      </c>
      <c r="AH52" s="124"/>
      <c r="AI52" s="107">
        <f t="shared" si="17"/>
        <v>2.481219080193009E-2</v>
      </c>
    </row>
    <row r="53" spans="3:35" s="97" customFormat="1" ht="21" customHeight="1">
      <c r="C53" s="104">
        <v>45467</v>
      </c>
      <c r="E53" s="106">
        <v>819.91</v>
      </c>
      <c r="F53" s="108"/>
      <c r="G53" s="107">
        <f t="shared" si="18"/>
        <v>-9.7944494094345247E-3</v>
      </c>
      <c r="H53" s="109"/>
      <c r="I53" s="106">
        <v>24010.6</v>
      </c>
      <c r="J53" s="109"/>
      <c r="K53" s="107">
        <f t="shared" si="13"/>
        <v>-1.2878306682535867E-2</v>
      </c>
      <c r="M53" s="105">
        <v>1501.12</v>
      </c>
      <c r="N53" s="124"/>
      <c r="O53" s="107">
        <f t="shared" si="19"/>
        <v>-1.8760377037821518E-2</v>
      </c>
      <c r="P53" s="107"/>
      <c r="Q53" s="105">
        <v>3207.8</v>
      </c>
      <c r="R53" s="124"/>
      <c r="S53" s="107">
        <f t="shared" si="20"/>
        <v>-2.2280471821756187E-2</v>
      </c>
      <c r="T53" s="107"/>
      <c r="U53" s="105">
        <v>1758.27</v>
      </c>
      <c r="V53" s="124"/>
      <c r="W53" s="107">
        <f t="shared" si="14"/>
        <v>-1.1858129562710373E-2</v>
      </c>
      <c r="X53" s="107"/>
      <c r="Y53" s="105">
        <v>1794.07</v>
      </c>
      <c r="Z53" s="124"/>
      <c r="AA53" s="107">
        <f t="shared" si="15"/>
        <v>-4.0363085909292717E-2</v>
      </c>
      <c r="AB53" s="107"/>
      <c r="AC53" s="105">
        <v>1890.79</v>
      </c>
      <c r="AD53" s="124"/>
      <c r="AE53" s="107">
        <f t="shared" si="16"/>
        <v>4.2642241902220102E-2</v>
      </c>
      <c r="AF53" s="107"/>
      <c r="AG53" s="105">
        <v>1346.28</v>
      </c>
      <c r="AH53" s="124"/>
      <c r="AI53" s="107">
        <f t="shared" si="17"/>
        <v>2.9351729070130617E-3</v>
      </c>
    </row>
    <row r="54" spans="3:35" s="97" customFormat="1" ht="21" customHeight="1">
      <c r="C54" s="104">
        <v>45460</v>
      </c>
      <c r="E54" s="106">
        <v>850.94</v>
      </c>
      <c r="F54" s="108"/>
      <c r="G54" s="107">
        <f t="shared" si="18"/>
        <v>3.7845617201888171E-2</v>
      </c>
      <c r="H54" s="109"/>
      <c r="I54" s="106">
        <v>23501.1</v>
      </c>
      <c r="J54" s="109"/>
      <c r="K54" s="107">
        <f t="shared" si="13"/>
        <v>-2.1219794590722429E-2</v>
      </c>
      <c r="M54" s="105">
        <v>1593.26</v>
      </c>
      <c r="N54" s="124"/>
      <c r="O54" s="107">
        <f t="shared" si="19"/>
        <v>6.1380835642720122E-2</v>
      </c>
      <c r="P54" s="107"/>
      <c r="Q54" s="105">
        <v>3006.45</v>
      </c>
      <c r="R54" s="124"/>
      <c r="S54" s="107">
        <f t="shared" si="20"/>
        <v>-6.2768875865078955E-2</v>
      </c>
      <c r="T54" s="107"/>
      <c r="U54" s="105">
        <v>1877.81</v>
      </c>
      <c r="V54" s="124"/>
      <c r="W54" s="107">
        <f t="shared" si="14"/>
        <v>6.7987282954267592E-2</v>
      </c>
      <c r="X54" s="107"/>
      <c r="Y54" s="105">
        <v>1791.9</v>
      </c>
      <c r="Z54" s="124"/>
      <c r="AA54" s="107">
        <f t="shared" si="15"/>
        <v>-1.2095403189394949E-3</v>
      </c>
      <c r="AB54" s="107"/>
      <c r="AC54" s="105">
        <v>1981.3</v>
      </c>
      <c r="AD54" s="124"/>
      <c r="AE54" s="107">
        <f t="shared" si="16"/>
        <v>4.7868880203512765E-2</v>
      </c>
      <c r="AF54" s="107"/>
      <c r="AG54" s="105">
        <v>1357.02</v>
      </c>
      <c r="AH54" s="124"/>
      <c r="AI54" s="107">
        <f t="shared" si="17"/>
        <v>7.977538105000459E-3</v>
      </c>
    </row>
    <row r="55" spans="3:35" s="97" customFormat="1" ht="21" customHeight="1">
      <c r="C55" s="104">
        <v>45453</v>
      </c>
      <c r="E55" s="106">
        <v>872.96</v>
      </c>
      <c r="F55" s="108"/>
      <c r="G55" s="107">
        <f t="shared" si="18"/>
        <v>2.5877265142078221E-2</v>
      </c>
      <c r="H55" s="109"/>
      <c r="I55" s="106">
        <v>23465.599999999999</v>
      </c>
      <c r="J55" s="109"/>
      <c r="K55" s="107">
        <f t="shared" si="13"/>
        <v>-1.5105675904532045E-3</v>
      </c>
      <c r="M55" s="105">
        <v>1554.28</v>
      </c>
      <c r="N55" s="124"/>
      <c r="O55" s="107">
        <f t="shared" si="19"/>
        <v>-2.4465561176455819E-2</v>
      </c>
      <c r="P55" s="107"/>
      <c r="Q55" s="105">
        <v>2998.1</v>
      </c>
      <c r="R55" s="124"/>
      <c r="S55" s="107">
        <f t="shared" si="20"/>
        <v>-2.7773620050225434E-3</v>
      </c>
      <c r="T55" s="107"/>
      <c r="U55" s="105">
        <v>1899.71</v>
      </c>
      <c r="V55" s="124"/>
      <c r="W55" s="107">
        <f t="shared" si="14"/>
        <v>1.1662521767378031E-2</v>
      </c>
      <c r="X55" s="107"/>
      <c r="Y55" s="105">
        <v>1774.15</v>
      </c>
      <c r="Z55" s="124"/>
      <c r="AA55" s="107">
        <f t="shared" si="15"/>
        <v>-9.9056867012667915E-3</v>
      </c>
      <c r="AB55" s="107"/>
      <c r="AC55" s="105">
        <v>1925</v>
      </c>
      <c r="AD55" s="124"/>
      <c r="AE55" s="107">
        <f t="shared" si="16"/>
        <v>-2.8415686670367868E-2</v>
      </c>
      <c r="AF55" s="107"/>
      <c r="AG55" s="105">
        <v>1354.22</v>
      </c>
      <c r="AH55" s="124"/>
      <c r="AI55" s="107">
        <f t="shared" si="17"/>
        <v>-2.0633446817290846E-3</v>
      </c>
    </row>
    <row r="56" spans="3:35" s="97" customFormat="1" ht="21" customHeight="1">
      <c r="C56" s="104">
        <v>45446</v>
      </c>
      <c r="E56" s="106">
        <v>839.85</v>
      </c>
      <c r="F56" s="108"/>
      <c r="G56" s="107">
        <f t="shared" si="18"/>
        <v>-3.7928427419354871E-2</v>
      </c>
      <c r="H56" s="109"/>
      <c r="I56" s="106">
        <v>23290.15</v>
      </c>
      <c r="J56" s="109"/>
      <c r="K56" s="107">
        <f t="shared" si="13"/>
        <v>-7.4769023591980677E-3</v>
      </c>
      <c r="M56" s="105">
        <v>1432.79</v>
      </c>
      <c r="N56" s="124"/>
      <c r="O56" s="107">
        <f t="shared" si="19"/>
        <v>-7.816480942944648E-2</v>
      </c>
      <c r="P56" s="107"/>
      <c r="Q56" s="105">
        <v>2873.05</v>
      </c>
      <c r="R56" s="124"/>
      <c r="S56" s="107">
        <f t="shared" si="20"/>
        <v>-4.1709749508021643E-2</v>
      </c>
      <c r="T56" s="107"/>
      <c r="U56" s="105">
        <v>1881.49</v>
      </c>
      <c r="V56" s="124"/>
      <c r="W56" s="107">
        <f t="shared" si="14"/>
        <v>-9.5909375641545225E-3</v>
      </c>
      <c r="X56" s="107"/>
      <c r="Y56" s="105">
        <v>1608.15</v>
      </c>
      <c r="Z56" s="124"/>
      <c r="AA56" s="107">
        <f t="shared" si="15"/>
        <v>-9.356593298199134E-2</v>
      </c>
      <c r="AB56" s="107"/>
      <c r="AC56" s="105">
        <v>1759.31</v>
      </c>
      <c r="AD56" s="124"/>
      <c r="AE56" s="107">
        <f t="shared" si="16"/>
        <v>-8.6072727272727301E-2</v>
      </c>
      <c r="AF56" s="107"/>
      <c r="AG56" s="105">
        <v>1387.17</v>
      </c>
      <c r="AH56" s="124"/>
      <c r="AI56" s="107">
        <f t="shared" si="17"/>
        <v>2.4331349411469416E-2</v>
      </c>
    </row>
    <row r="57" spans="3:35" s="97" customFormat="1" ht="21" customHeight="1">
      <c r="C57" s="104">
        <v>45439</v>
      </c>
      <c r="E57" s="106">
        <v>811.96</v>
      </c>
      <c r="F57" s="108"/>
      <c r="G57" s="107">
        <f t="shared" si="18"/>
        <v>-3.3208311007918101E-2</v>
      </c>
      <c r="H57" s="109"/>
      <c r="I57" s="106">
        <v>22530.7</v>
      </c>
      <c r="J57" s="109"/>
      <c r="K57" s="107">
        <f t="shared" si="13"/>
        <v>-3.2608205614820029E-2</v>
      </c>
      <c r="M57" s="105">
        <v>1372.49</v>
      </c>
      <c r="N57" s="124"/>
      <c r="O57" s="107">
        <f t="shared" si="19"/>
        <v>-4.2085720866281817E-2</v>
      </c>
      <c r="P57" s="107"/>
      <c r="Q57" s="105">
        <v>2779.2</v>
      </c>
      <c r="R57" s="124"/>
      <c r="S57" s="107">
        <f t="shared" si="20"/>
        <v>-3.2665634082247208E-2</v>
      </c>
      <c r="T57" s="107"/>
      <c r="U57" s="105">
        <v>1811.94</v>
      </c>
      <c r="V57" s="124"/>
      <c r="W57" s="107">
        <f t="shared" si="14"/>
        <v>-3.6965383818144071E-2</v>
      </c>
      <c r="X57" s="107"/>
      <c r="Y57" s="105">
        <v>1555.13</v>
      </c>
      <c r="Z57" s="124"/>
      <c r="AA57" s="107">
        <f t="shared" si="15"/>
        <v>-3.296956129714268E-2</v>
      </c>
      <c r="AB57" s="107"/>
      <c r="AC57" s="105">
        <v>1596.02</v>
      </c>
      <c r="AD57" s="124"/>
      <c r="AE57" s="107">
        <f t="shared" si="16"/>
        <v>-9.2814796710073866E-2</v>
      </c>
      <c r="AF57" s="107"/>
      <c r="AG57" s="105">
        <v>1281.5899999999999</v>
      </c>
      <c r="AH57" s="124"/>
      <c r="AI57" s="107">
        <f t="shared" si="17"/>
        <v>-7.6111795958678563E-2</v>
      </c>
    </row>
    <row r="58" spans="3:35" s="97" customFormat="1" ht="21" customHeight="1">
      <c r="C58" s="104">
        <v>45432</v>
      </c>
      <c r="E58" s="106">
        <v>836.12</v>
      </c>
      <c r="F58" s="108"/>
      <c r="G58" s="107">
        <f t="shared" si="18"/>
        <v>2.9755160352726628E-2</v>
      </c>
      <c r="H58" s="109"/>
      <c r="I58" s="106">
        <v>22957.1</v>
      </c>
      <c r="J58" s="109"/>
      <c r="K58" s="107">
        <f t="shared" si="13"/>
        <v>1.8925288606212787E-2</v>
      </c>
      <c r="M58" s="105">
        <v>1334.51</v>
      </c>
      <c r="N58" s="124"/>
      <c r="O58" s="107">
        <f t="shared" si="19"/>
        <v>-2.7672332767451846E-2</v>
      </c>
      <c r="P58" s="107"/>
      <c r="Q58" s="105">
        <v>2737.15</v>
      </c>
      <c r="R58" s="124"/>
      <c r="S58" s="107">
        <f t="shared" si="20"/>
        <v>-1.5130253310305042E-2</v>
      </c>
      <c r="T58" s="107"/>
      <c r="U58" s="105">
        <v>1791.04</v>
      </c>
      <c r="V58" s="124"/>
      <c r="W58" s="107">
        <f t="shared" si="14"/>
        <v>-1.1534598275881103E-2</v>
      </c>
      <c r="X58" s="107"/>
      <c r="Y58" s="105">
        <v>1600.08</v>
      </c>
      <c r="Z58" s="124"/>
      <c r="AA58" s="107">
        <f t="shared" si="15"/>
        <v>2.890433597191211E-2</v>
      </c>
      <c r="AB58" s="107"/>
      <c r="AC58" s="105">
        <v>1616.9</v>
      </c>
      <c r="AD58" s="124"/>
      <c r="AE58" s="107">
        <f t="shared" si="16"/>
        <v>1.3082542825277876E-2</v>
      </c>
      <c r="AF58" s="107"/>
      <c r="AG58" s="105">
        <v>1262.72</v>
      </c>
      <c r="AH58" s="124"/>
      <c r="AI58" s="107">
        <f t="shared" si="17"/>
        <v>-1.4723897658377449E-2</v>
      </c>
    </row>
    <row r="59" spans="3:35" s="97" customFormat="1" ht="21" customHeight="1">
      <c r="C59" s="104">
        <v>45425</v>
      </c>
      <c r="E59" s="106">
        <v>846.41</v>
      </c>
      <c r="F59" s="108"/>
      <c r="G59" s="107">
        <f t="shared" si="18"/>
        <v>1.2306845907285924E-2</v>
      </c>
      <c r="H59" s="109"/>
      <c r="I59" s="106">
        <v>22466.1</v>
      </c>
      <c r="J59" s="109"/>
      <c r="K59" s="107">
        <f t="shared" si="13"/>
        <v>-2.1387718832082458E-2</v>
      </c>
      <c r="M59" s="105">
        <v>1203.69</v>
      </c>
      <c r="N59" s="124"/>
      <c r="O59" s="107">
        <f t="shared" si="19"/>
        <v>-9.8028489857700518E-2</v>
      </c>
      <c r="P59" s="107"/>
      <c r="Q59" s="105">
        <v>2854</v>
      </c>
      <c r="R59" s="124"/>
      <c r="S59" s="107">
        <f t="shared" si="20"/>
        <v>4.2690389638857962E-2</v>
      </c>
      <c r="T59" s="107"/>
      <c r="U59" s="105">
        <v>1729.07</v>
      </c>
      <c r="V59" s="124"/>
      <c r="W59" s="107">
        <f t="shared" si="14"/>
        <v>-3.4600008933357129E-2</v>
      </c>
      <c r="X59" s="107"/>
      <c r="Y59" s="105">
        <v>1554.61</v>
      </c>
      <c r="Z59" s="124"/>
      <c r="AA59" s="107">
        <f t="shared" si="15"/>
        <v>-2.8417329133543334E-2</v>
      </c>
      <c r="AB59" s="107"/>
      <c r="AC59" s="105">
        <v>1598.67</v>
      </c>
      <c r="AD59" s="124"/>
      <c r="AE59" s="107">
        <f t="shared" si="16"/>
        <v>-1.1274661389077845E-2</v>
      </c>
      <c r="AF59" s="107"/>
      <c r="AG59" s="105">
        <v>1193.42</v>
      </c>
      <c r="AH59" s="124"/>
      <c r="AI59" s="107">
        <f t="shared" si="17"/>
        <v>-5.4881525595539715E-2</v>
      </c>
    </row>
    <row r="60" spans="3:35" s="97" customFormat="1" ht="21" customHeight="1">
      <c r="C60" s="104">
        <v>45418</v>
      </c>
      <c r="E60" s="106">
        <v>821.06</v>
      </c>
      <c r="F60" s="108"/>
      <c r="G60" s="107">
        <f t="shared" si="18"/>
        <v>-2.9950024219940752E-2</v>
      </c>
      <c r="H60" s="109"/>
      <c r="I60" s="106">
        <v>22055.200000000001</v>
      </c>
      <c r="J60" s="109"/>
      <c r="K60" s="107">
        <f t="shared" si="13"/>
        <v>-1.8289778822314418E-2</v>
      </c>
      <c r="M60" s="105">
        <v>1120.79</v>
      </c>
      <c r="N60" s="124"/>
      <c r="O60" s="107">
        <f t="shared" si="19"/>
        <v>-6.8871553306914635E-2</v>
      </c>
      <c r="P60" s="107"/>
      <c r="Q60" s="105">
        <v>2690.6</v>
      </c>
      <c r="R60" s="124"/>
      <c r="S60" s="107">
        <f t="shared" si="20"/>
        <v>-5.7252978276103761E-2</v>
      </c>
      <c r="T60" s="107"/>
      <c r="U60" s="105">
        <v>1461.72</v>
      </c>
      <c r="V60" s="124"/>
      <c r="W60" s="107">
        <f t="shared" si="14"/>
        <v>-0.15462069204832651</v>
      </c>
      <c r="X60" s="107"/>
      <c r="Y60" s="105">
        <v>1424.38</v>
      </c>
      <c r="Z60" s="124"/>
      <c r="AA60" s="107">
        <f t="shared" si="15"/>
        <v>-8.3770206032380945E-2</v>
      </c>
      <c r="AB60" s="107"/>
      <c r="AC60" s="105">
        <v>1518.14</v>
      </c>
      <c r="AD60" s="124"/>
      <c r="AE60" s="107">
        <f t="shared" si="16"/>
        <v>-5.037312265820959E-2</v>
      </c>
      <c r="AF60" s="107"/>
      <c r="AG60" s="105">
        <v>1036.32</v>
      </c>
      <c r="AH60" s="124"/>
      <c r="AI60" s="107">
        <f t="shared" si="17"/>
        <v>-0.13163848435588488</v>
      </c>
    </row>
    <row r="61" spans="3:35" s="97" customFormat="1" ht="21" customHeight="1">
      <c r="C61" s="104">
        <v>45411</v>
      </c>
      <c r="E61" s="106">
        <v>873.06</v>
      </c>
      <c r="F61" s="108"/>
      <c r="G61" s="107">
        <f t="shared" si="18"/>
        <v>6.3332764962365617E-2</v>
      </c>
      <c r="H61" s="109"/>
      <c r="I61" s="106">
        <v>22475.85</v>
      </c>
      <c r="J61" s="109"/>
      <c r="K61" s="107">
        <f t="shared" si="13"/>
        <v>1.9072599659037293E-2</v>
      </c>
      <c r="M61" s="105">
        <v>1208.93</v>
      </c>
      <c r="N61" s="124"/>
      <c r="O61" s="107">
        <f t="shared" si="19"/>
        <v>7.8640958609552225E-2</v>
      </c>
      <c r="P61" s="107"/>
      <c r="Q61" s="105">
        <v>2569</v>
      </c>
      <c r="R61" s="124"/>
      <c r="S61" s="107">
        <f t="shared" si="20"/>
        <v>-4.5194380435590542E-2</v>
      </c>
      <c r="T61" s="107"/>
      <c r="U61" s="105">
        <v>1464.51</v>
      </c>
      <c r="V61" s="124"/>
      <c r="W61" s="107">
        <f t="shared" si="14"/>
        <v>1.9087102865118499E-3</v>
      </c>
      <c r="X61" s="107"/>
      <c r="Y61" s="105">
        <v>1527.09</v>
      </c>
      <c r="Z61" s="124"/>
      <c r="AA61" s="107">
        <f t="shared" si="15"/>
        <v>7.210856653421116E-2</v>
      </c>
      <c r="AB61" s="107"/>
      <c r="AC61" s="105">
        <v>1459.2</v>
      </c>
      <c r="AD61" s="124"/>
      <c r="AE61" s="107">
        <f t="shared" si="16"/>
        <v>-3.8823823889759912E-2</v>
      </c>
      <c r="AF61" s="107"/>
      <c r="AG61" s="105">
        <v>1019</v>
      </c>
      <c r="AH61" s="124"/>
      <c r="AI61" s="107">
        <f t="shared" si="17"/>
        <v>-1.6712984406360931E-2</v>
      </c>
    </row>
    <row r="62" spans="3:35" s="97" customFormat="1" ht="21" customHeight="1">
      <c r="C62" s="104">
        <v>45404</v>
      </c>
      <c r="E62" s="106">
        <v>902.54</v>
      </c>
      <c r="F62" s="108"/>
      <c r="G62" s="107">
        <f t="shared" si="18"/>
        <v>3.3766293267358582E-2</v>
      </c>
      <c r="H62" s="109"/>
      <c r="I62" s="106">
        <v>22419.95</v>
      </c>
      <c r="J62" s="109"/>
      <c r="K62" s="107">
        <f t="shared" si="13"/>
        <v>-2.4871139467471659E-3</v>
      </c>
      <c r="M62" s="105">
        <v>1194.8599999999999</v>
      </c>
      <c r="N62" s="124"/>
      <c r="O62" s="107">
        <f t="shared" si="19"/>
        <v>-1.1638390973836454E-2</v>
      </c>
      <c r="P62" s="107"/>
      <c r="Q62" s="105">
        <v>2632.05</v>
      </c>
      <c r="R62" s="124"/>
      <c r="S62" s="107">
        <f t="shared" si="20"/>
        <v>2.4542623588945212E-2</v>
      </c>
      <c r="T62" s="107"/>
      <c r="U62" s="105">
        <v>1493.75</v>
      </c>
      <c r="V62" s="124"/>
      <c r="W62" s="107">
        <f t="shared" si="14"/>
        <v>1.9965722323507462E-2</v>
      </c>
      <c r="X62" s="107"/>
      <c r="Y62" s="105">
        <v>1540.95</v>
      </c>
      <c r="Z62" s="124"/>
      <c r="AA62" s="107">
        <f t="shared" si="15"/>
        <v>9.0760858888474516E-3</v>
      </c>
      <c r="AB62" s="107"/>
      <c r="AC62" s="105">
        <v>1353.6</v>
      </c>
      <c r="AD62" s="124"/>
      <c r="AE62" s="107">
        <f t="shared" si="16"/>
        <v>-7.2368421052631637E-2</v>
      </c>
      <c r="AF62" s="107"/>
      <c r="AG62" s="105">
        <v>1018.8</v>
      </c>
      <c r="AH62" s="124"/>
      <c r="AI62" s="107">
        <f t="shared" si="17"/>
        <v>-1.9627085377826869E-4</v>
      </c>
    </row>
    <row r="63" spans="3:35" s="97" customFormat="1" ht="21" customHeight="1">
      <c r="C63" s="104">
        <v>45397</v>
      </c>
      <c r="E63" s="106">
        <v>850.99</v>
      </c>
      <c r="F63" s="108"/>
      <c r="G63" s="107">
        <f t="shared" si="18"/>
        <v>-5.7116582090544377E-2</v>
      </c>
      <c r="H63" s="109"/>
      <c r="I63" s="106">
        <v>22147</v>
      </c>
      <c r="J63" s="109"/>
      <c r="K63" s="107">
        <f t="shared" si="13"/>
        <v>-1.2174425009868428E-2</v>
      </c>
      <c r="M63" s="105">
        <v>1170.9000000000001</v>
      </c>
      <c r="N63" s="124"/>
      <c r="O63" s="107">
        <f t="shared" si="19"/>
        <v>-2.005255845873144E-2</v>
      </c>
      <c r="P63" s="107"/>
      <c r="Q63" s="105">
        <v>2500.1999999999998</v>
      </c>
      <c r="R63" s="124"/>
      <c r="S63" s="107">
        <f t="shared" si="20"/>
        <v>-5.0094033168063046E-2</v>
      </c>
      <c r="T63" s="107"/>
      <c r="U63" s="105">
        <v>1387.13</v>
      </c>
      <c r="V63" s="124"/>
      <c r="W63" s="107">
        <f t="shared" si="14"/>
        <v>-7.137740585774055E-2</v>
      </c>
      <c r="X63" s="107"/>
      <c r="Y63" s="105">
        <v>1555.93</v>
      </c>
      <c r="Z63" s="124"/>
      <c r="AA63" s="107">
        <f t="shared" si="15"/>
        <v>9.7212758363347529E-3</v>
      </c>
      <c r="AB63" s="107"/>
      <c r="AC63" s="105">
        <v>1229.8699999999999</v>
      </c>
      <c r="AD63" s="124"/>
      <c r="AE63" s="107">
        <f t="shared" si="16"/>
        <v>-9.1408096926713922E-2</v>
      </c>
      <c r="AF63" s="107"/>
      <c r="AG63" s="105">
        <v>1014.06</v>
      </c>
      <c r="AH63" s="124"/>
      <c r="AI63" s="107">
        <f t="shared" si="17"/>
        <v>-4.6525323910483474E-3</v>
      </c>
    </row>
    <row r="64" spans="3:35" s="97" customFormat="1" ht="21" customHeight="1">
      <c r="C64" s="104">
        <v>45390</v>
      </c>
      <c r="E64" s="106">
        <v>902.99</v>
      </c>
      <c r="F64" s="108"/>
      <c r="G64" s="107">
        <f t="shared" si="18"/>
        <v>6.1105300884851665E-2</v>
      </c>
      <c r="H64" s="109"/>
      <c r="I64" s="106">
        <v>22519.4</v>
      </c>
      <c r="J64" s="109"/>
      <c r="K64" s="107">
        <f t="shared" si="13"/>
        <v>1.6814918499119536E-2</v>
      </c>
      <c r="M64" s="105">
        <v>1197.05</v>
      </c>
      <c r="N64" s="124"/>
      <c r="O64" s="107">
        <f t="shared" si="19"/>
        <v>2.2333247928943534E-2</v>
      </c>
      <c r="P64" s="107"/>
      <c r="Q64" s="105">
        <v>2672.1</v>
      </c>
      <c r="R64" s="124"/>
      <c r="S64" s="107">
        <f t="shared" si="20"/>
        <v>6.8754499640028888E-2</v>
      </c>
      <c r="T64" s="107"/>
      <c r="U64" s="105">
        <v>1491.96</v>
      </c>
      <c r="V64" s="124"/>
      <c r="W64" s="107">
        <f t="shared" si="14"/>
        <v>7.5573306034762311E-2</v>
      </c>
      <c r="X64" s="107"/>
      <c r="Y64" s="105">
        <v>1493.38</v>
      </c>
      <c r="Z64" s="124"/>
      <c r="AA64" s="107">
        <f t="shared" si="15"/>
        <v>-4.0201037321730415E-2</v>
      </c>
      <c r="AB64" s="107"/>
      <c r="AC64" s="105">
        <v>1189.51</v>
      </c>
      <c r="AD64" s="124"/>
      <c r="AE64" s="107">
        <f t="shared" si="16"/>
        <v>-3.2816476538170658E-2</v>
      </c>
      <c r="AF64" s="107"/>
      <c r="AG64" s="105">
        <v>1001.33</v>
      </c>
      <c r="AH64" s="124"/>
      <c r="AI64" s="107">
        <f t="shared" si="17"/>
        <v>-1.2553497820641635E-2</v>
      </c>
    </row>
    <row r="65" spans="3:35" s="97" customFormat="1" ht="21" customHeight="1">
      <c r="C65" s="104">
        <v>45383</v>
      </c>
      <c r="E65" s="106">
        <v>900.8</v>
      </c>
      <c r="F65" s="108"/>
      <c r="G65" s="107">
        <f t="shared" si="18"/>
        <v>-2.4252760274200424E-3</v>
      </c>
      <c r="H65" s="109"/>
      <c r="I65" s="106">
        <v>22513.7</v>
      </c>
      <c r="J65" s="109"/>
      <c r="K65" s="107">
        <f t="shared" si="13"/>
        <v>-2.5311509187642134E-4</v>
      </c>
      <c r="M65" s="105">
        <v>1158.07</v>
      </c>
      <c r="N65" s="124"/>
      <c r="O65" s="107">
        <f t="shared" si="19"/>
        <v>-3.2563384988095745E-2</v>
      </c>
      <c r="P65" s="107"/>
      <c r="Q65" s="105">
        <v>2502.3000000000002</v>
      </c>
      <c r="R65" s="124"/>
      <c r="S65" s="107">
        <f t="shared" si="20"/>
        <v>-6.3545525990793661E-2</v>
      </c>
      <c r="T65" s="107"/>
      <c r="U65" s="105">
        <v>1542.44</v>
      </c>
      <c r="V65" s="124"/>
      <c r="W65" s="107">
        <f t="shared" si="14"/>
        <v>3.3834687257030982E-2</v>
      </c>
      <c r="X65" s="107"/>
      <c r="Y65" s="105">
        <v>1418.27</v>
      </c>
      <c r="Z65" s="124"/>
      <c r="AA65" s="107">
        <f t="shared" si="15"/>
        <v>-5.0295303271772784E-2</v>
      </c>
      <c r="AB65" s="107"/>
      <c r="AC65" s="105">
        <v>1290.56</v>
      </c>
      <c r="AD65" s="124"/>
      <c r="AE65" s="107">
        <f t="shared" si="16"/>
        <v>8.4950946187926091E-2</v>
      </c>
      <c r="AF65" s="107"/>
      <c r="AG65" s="105">
        <v>963.19</v>
      </c>
      <c r="AH65" s="124"/>
      <c r="AI65" s="107">
        <f t="shared" si="17"/>
        <v>-3.8089341176235636E-2</v>
      </c>
    </row>
    <row r="66" spans="3:35" s="97" customFormat="1" ht="21" customHeight="1">
      <c r="C66" s="104">
        <v>45376</v>
      </c>
      <c r="E66" s="106">
        <v>893.19</v>
      </c>
      <c r="F66" s="108"/>
      <c r="G66" s="107">
        <f t="shared" si="18"/>
        <v>-8.4480461811722307E-3</v>
      </c>
      <c r="H66" s="109"/>
      <c r="I66" s="106">
        <v>22326.9</v>
      </c>
      <c r="J66" s="109"/>
      <c r="K66" s="107">
        <f t="shared" si="13"/>
        <v>-8.2971701674979803E-3</v>
      </c>
      <c r="M66" s="105">
        <v>1131.77</v>
      </c>
      <c r="N66" s="124"/>
      <c r="O66" s="107">
        <f t="shared" si="19"/>
        <v>-2.2710198865353526E-2</v>
      </c>
      <c r="P66" s="107"/>
      <c r="Q66" s="105">
        <v>2299.0500000000002</v>
      </c>
      <c r="R66" s="124"/>
      <c r="S66" s="107">
        <f t="shared" si="20"/>
        <v>-8.1225272749070876E-2</v>
      </c>
      <c r="T66" s="107"/>
      <c r="U66" s="105">
        <v>1467.89</v>
      </c>
      <c r="V66" s="124"/>
      <c r="W66" s="107">
        <f t="shared" si="14"/>
        <v>-4.8332512123648197E-2</v>
      </c>
      <c r="X66" s="107"/>
      <c r="Y66" s="105">
        <v>1381.43</v>
      </c>
      <c r="Z66" s="124"/>
      <c r="AA66" s="107">
        <f t="shared" si="15"/>
        <v>-2.597530794559566E-2</v>
      </c>
      <c r="AB66" s="107"/>
      <c r="AC66" s="105">
        <v>1168.8800000000001</v>
      </c>
      <c r="AD66" s="124"/>
      <c r="AE66" s="107">
        <f t="shared" si="16"/>
        <v>-9.4284651624101046E-2</v>
      </c>
      <c r="AF66" s="107"/>
      <c r="AG66" s="105">
        <v>933.83</v>
      </c>
      <c r="AH66" s="124"/>
      <c r="AI66" s="107">
        <f t="shared" si="17"/>
        <v>-3.0482044041154954E-2</v>
      </c>
    </row>
    <row r="67" spans="3:35" s="97" customFormat="1" ht="21" customHeight="1">
      <c r="C67" s="104">
        <v>45369</v>
      </c>
      <c r="E67" s="106">
        <v>860.88</v>
      </c>
      <c r="F67" s="108"/>
      <c r="G67" s="107">
        <f t="shared" si="18"/>
        <v>-3.6173714439257099E-2</v>
      </c>
      <c r="H67" s="109"/>
      <c r="I67" s="106">
        <v>22096.75</v>
      </c>
      <c r="J67" s="109"/>
      <c r="K67" s="107">
        <f t="shared" si="13"/>
        <v>-1.0308193255669229E-2</v>
      </c>
      <c r="M67" s="105">
        <v>1156.3699999999999</v>
      </c>
      <c r="N67" s="124"/>
      <c r="O67" s="107">
        <f t="shared" si="19"/>
        <v>2.1735865060922288E-2</v>
      </c>
      <c r="P67" s="107"/>
      <c r="Q67" s="105">
        <v>2248.25</v>
      </c>
      <c r="R67" s="124"/>
      <c r="S67" s="107">
        <f t="shared" si="20"/>
        <v>-2.2096083164785507E-2</v>
      </c>
      <c r="T67" s="107"/>
      <c r="U67" s="105">
        <v>1439.05</v>
      </c>
      <c r="V67" s="124"/>
      <c r="W67" s="107">
        <f t="shared" si="14"/>
        <v>-1.9647248772047043E-2</v>
      </c>
      <c r="X67" s="107"/>
      <c r="Y67" s="105">
        <v>1270.5</v>
      </c>
      <c r="Z67" s="124"/>
      <c r="AA67" s="107">
        <f t="shared" si="15"/>
        <v>-8.0300847672339581E-2</v>
      </c>
      <c r="AB67" s="107"/>
      <c r="AC67" s="105">
        <v>1099.45</v>
      </c>
      <c r="AD67" s="124"/>
      <c r="AE67" s="107">
        <f t="shared" si="16"/>
        <v>-5.9398740674834083E-2</v>
      </c>
      <c r="AF67" s="107"/>
      <c r="AG67" s="105">
        <v>930.54</v>
      </c>
      <c r="AH67" s="124"/>
      <c r="AI67" s="107">
        <f t="shared" si="17"/>
        <v>-3.5231251940932573E-3</v>
      </c>
    </row>
    <row r="68" spans="3:35" s="97" customFormat="1" ht="21" customHeight="1">
      <c r="C68" s="104">
        <v>45362</v>
      </c>
      <c r="E68" s="106">
        <v>819.91</v>
      </c>
      <c r="F68" s="108"/>
      <c r="G68" s="107">
        <f t="shared" si="18"/>
        <v>-4.7590837282780463E-2</v>
      </c>
      <c r="H68" s="109"/>
      <c r="I68" s="106">
        <v>22023.35</v>
      </c>
      <c r="J68" s="109"/>
      <c r="K68" s="107">
        <f t="shared" si="13"/>
        <v>-3.3217554617761547E-3</v>
      </c>
      <c r="M68" s="105">
        <v>1000.25</v>
      </c>
      <c r="N68" s="124"/>
      <c r="O68" s="107">
        <f t="shared" si="19"/>
        <v>-0.13500869098990798</v>
      </c>
      <c r="P68" s="107"/>
      <c r="Q68" s="105">
        <v>2220.4499999999998</v>
      </c>
      <c r="R68" s="124"/>
      <c r="S68" s="107">
        <f t="shared" si="20"/>
        <v>-1.2365172912265132E-2</v>
      </c>
      <c r="T68" s="107"/>
      <c r="U68" s="105">
        <v>1318.55</v>
      </c>
      <c r="V68" s="124"/>
      <c r="W68" s="107">
        <f t="shared" si="14"/>
        <v>-8.3735797922240396E-2</v>
      </c>
      <c r="X68" s="107"/>
      <c r="Y68" s="105">
        <v>1363.18</v>
      </c>
      <c r="Z68" s="124"/>
      <c r="AA68" s="107">
        <f t="shared" si="15"/>
        <v>7.2947658402203963E-2</v>
      </c>
      <c r="AB68" s="107"/>
      <c r="AC68" s="105">
        <v>1042.5</v>
      </c>
      <c r="AD68" s="124"/>
      <c r="AE68" s="107">
        <f t="shared" si="16"/>
        <v>-5.1798626586020302E-2</v>
      </c>
      <c r="AF68" s="107"/>
      <c r="AG68" s="105">
        <v>867.94</v>
      </c>
      <c r="AH68" s="124"/>
      <c r="AI68" s="107">
        <f t="shared" si="17"/>
        <v>-6.7272766350720992E-2</v>
      </c>
    </row>
    <row r="69" spans="3:35" s="97" customFormat="1" ht="21" customHeight="1">
      <c r="C69" s="104">
        <v>45355</v>
      </c>
      <c r="E69" s="106">
        <v>914.97</v>
      </c>
      <c r="F69" s="108"/>
      <c r="G69" s="107">
        <f t="shared" si="18"/>
        <v>0.11593955434133019</v>
      </c>
      <c r="H69" s="109"/>
      <c r="I69" s="106">
        <v>22493.55</v>
      </c>
      <c r="J69" s="109"/>
      <c r="K69" s="107">
        <f t="shared" si="13"/>
        <v>2.1350067087886337E-2</v>
      </c>
      <c r="M69" s="105">
        <v>1169.8</v>
      </c>
      <c r="N69" s="124"/>
      <c r="O69" s="107">
        <f t="shared" si="19"/>
        <v>0.16950762309422629</v>
      </c>
      <c r="P69" s="107"/>
      <c r="Q69" s="105">
        <v>2464.85</v>
      </c>
      <c r="R69" s="124"/>
      <c r="S69" s="107">
        <f t="shared" si="20"/>
        <v>0.11006777905379539</v>
      </c>
      <c r="T69" s="107"/>
      <c r="U69" s="105">
        <v>1369.97</v>
      </c>
      <c r="V69" s="124"/>
      <c r="W69" s="107">
        <f t="shared" si="14"/>
        <v>3.8997383489439263E-2</v>
      </c>
      <c r="X69" s="107"/>
      <c r="Y69" s="105">
        <v>1388.04</v>
      </c>
      <c r="Z69" s="124"/>
      <c r="AA69" s="107">
        <f t="shared" si="15"/>
        <v>1.8236769905661587E-2</v>
      </c>
      <c r="AB69" s="107"/>
      <c r="AC69" s="105">
        <v>1180.02</v>
      </c>
      <c r="AD69" s="124"/>
      <c r="AE69" s="107">
        <f t="shared" si="16"/>
        <v>0.13191366906474822</v>
      </c>
      <c r="AF69" s="107"/>
      <c r="AG69" s="105">
        <v>913.36</v>
      </c>
      <c r="AH69" s="124"/>
      <c r="AI69" s="107">
        <f t="shared" si="17"/>
        <v>5.233080627693143E-2</v>
      </c>
    </row>
    <row r="70" spans="3:35" s="97" customFormat="1" ht="21" customHeight="1">
      <c r="C70" s="104">
        <v>45348</v>
      </c>
      <c r="E70" s="106">
        <v>917.65</v>
      </c>
      <c r="F70" s="108"/>
      <c r="G70" s="107">
        <f t="shared" si="18"/>
        <v>2.9290577833152032E-3</v>
      </c>
      <c r="H70" s="109"/>
      <c r="I70" s="106">
        <v>22338.75</v>
      </c>
      <c r="J70" s="109"/>
      <c r="K70" s="107">
        <f t="shared" si="13"/>
        <v>-6.8819728322118134E-3</v>
      </c>
      <c r="M70" s="105">
        <v>1165.76</v>
      </c>
      <c r="N70" s="124"/>
      <c r="O70" s="107">
        <f t="shared" si="19"/>
        <v>-3.4535818088561321E-3</v>
      </c>
      <c r="P70" s="107"/>
      <c r="Q70" s="105">
        <v>2439.5</v>
      </c>
      <c r="R70" s="124"/>
      <c r="S70" s="107">
        <f t="shared" si="20"/>
        <v>-1.0284601497048462E-2</v>
      </c>
      <c r="T70" s="107"/>
      <c r="U70" s="105">
        <v>1360.87</v>
      </c>
      <c r="V70" s="124"/>
      <c r="W70" s="107">
        <f t="shared" si="14"/>
        <v>-6.6424812222166674E-3</v>
      </c>
      <c r="X70" s="107"/>
      <c r="Y70" s="105">
        <v>1383.47</v>
      </c>
      <c r="Z70" s="124"/>
      <c r="AA70" s="107">
        <f t="shared" si="15"/>
        <v>-3.2924123224113977E-3</v>
      </c>
      <c r="AB70" s="107"/>
      <c r="AC70" s="105">
        <v>1166.33</v>
      </c>
      <c r="AD70" s="124"/>
      <c r="AE70" s="107">
        <f t="shared" si="16"/>
        <v>-1.1601498279690259E-2</v>
      </c>
      <c r="AF70" s="107"/>
      <c r="AG70" s="105">
        <v>993.69</v>
      </c>
      <c r="AH70" s="124"/>
      <c r="AI70" s="107">
        <f t="shared" si="17"/>
        <v>8.7949986861697527E-2</v>
      </c>
    </row>
    <row r="71" spans="3:35" s="97" customFormat="1" ht="21" customHeight="1">
      <c r="C71" s="104">
        <v>45341</v>
      </c>
      <c r="E71" s="106">
        <v>894.88</v>
      </c>
      <c r="F71" s="108"/>
      <c r="G71" s="107">
        <f t="shared" si="18"/>
        <v>-2.4813382008391005E-2</v>
      </c>
      <c r="H71" s="109"/>
      <c r="I71" s="106">
        <v>22212.7</v>
      </c>
      <c r="J71" s="109"/>
      <c r="K71" s="107">
        <f t="shared" si="13"/>
        <v>-5.6426612948351496E-3</v>
      </c>
      <c r="M71" s="105">
        <v>1107.31</v>
      </c>
      <c r="N71" s="124"/>
      <c r="O71" s="107">
        <f t="shared" si="19"/>
        <v>-5.0138965138622038E-2</v>
      </c>
      <c r="P71" s="107"/>
      <c r="Q71" s="105">
        <v>2470.4</v>
      </c>
      <c r="R71" s="124"/>
      <c r="S71" s="107">
        <f t="shared" si="20"/>
        <v>1.2666530026644862E-2</v>
      </c>
      <c r="T71" s="107"/>
      <c r="U71" s="105">
        <v>1358.73</v>
      </c>
      <c r="V71" s="124"/>
      <c r="W71" s="107">
        <f t="shared" si="14"/>
        <v>-1.5725234592576243E-3</v>
      </c>
      <c r="X71" s="107"/>
      <c r="Y71" s="105">
        <v>1448.19</v>
      </c>
      <c r="Z71" s="124"/>
      <c r="AA71" s="107">
        <f t="shared" si="15"/>
        <v>4.678092043918558E-2</v>
      </c>
      <c r="AB71" s="107"/>
      <c r="AC71" s="105">
        <v>1229.22</v>
      </c>
      <c r="AD71" s="124"/>
      <c r="AE71" s="107">
        <f t="shared" si="16"/>
        <v>5.3921274424905574E-2</v>
      </c>
      <c r="AF71" s="107"/>
      <c r="AG71" s="105">
        <v>1001.93</v>
      </c>
      <c r="AH71" s="124"/>
      <c r="AI71" s="107">
        <f t="shared" si="17"/>
        <v>8.2923245680242008E-3</v>
      </c>
    </row>
    <row r="72" spans="3:35" s="97" customFormat="1" ht="21" customHeight="1">
      <c r="C72" s="104">
        <v>45334</v>
      </c>
      <c r="E72" s="106">
        <v>858.64</v>
      </c>
      <c r="F72" s="108"/>
      <c r="G72" s="107">
        <f t="shared" si="18"/>
        <v>-4.0497049883783331E-2</v>
      </c>
      <c r="H72" s="109"/>
      <c r="I72" s="106">
        <v>22040.7</v>
      </c>
      <c r="J72" s="109"/>
      <c r="K72" s="107">
        <f t="shared" si="13"/>
        <v>-7.7433180117680855E-3</v>
      </c>
      <c r="M72" s="105">
        <v>1070.8699999999999</v>
      </c>
      <c r="N72" s="124"/>
      <c r="O72" s="107">
        <f t="shared" si="19"/>
        <v>-3.2908580253045772E-2</v>
      </c>
      <c r="P72" s="107"/>
      <c r="Q72" s="105">
        <v>2303.3000000000002</v>
      </c>
      <c r="R72" s="124"/>
      <c r="S72" s="107">
        <f t="shared" si="20"/>
        <v>-6.7640867875647603E-2</v>
      </c>
      <c r="T72" s="107"/>
      <c r="U72" s="105">
        <v>1314.92</v>
      </c>
      <c r="V72" s="124"/>
      <c r="W72" s="107">
        <f t="shared" si="14"/>
        <v>-3.224334488824121E-2</v>
      </c>
      <c r="X72" s="107"/>
      <c r="Y72" s="105">
        <v>1361.54</v>
      </c>
      <c r="Z72" s="124"/>
      <c r="AA72" s="107">
        <f t="shared" si="15"/>
        <v>-5.9833309165233883E-2</v>
      </c>
      <c r="AB72" s="107"/>
      <c r="AC72" s="105">
        <v>1196.7</v>
      </c>
      <c r="AD72" s="124"/>
      <c r="AE72" s="107">
        <f t="shared" si="16"/>
        <v>-2.6455801239810617E-2</v>
      </c>
      <c r="AF72" s="107"/>
      <c r="AG72" s="105">
        <v>1014.01</v>
      </c>
      <c r="AH72" s="124"/>
      <c r="AI72" s="107">
        <f t="shared" si="17"/>
        <v>1.2056730510115576E-2</v>
      </c>
    </row>
    <row r="73" spans="3:35" s="97" customFormat="1" ht="21" customHeight="1">
      <c r="C73" s="104">
        <v>45327</v>
      </c>
      <c r="E73" s="106">
        <v>829.36</v>
      </c>
      <c r="F73" s="108"/>
      <c r="G73" s="107">
        <f t="shared" si="18"/>
        <v>-3.4100437901798175E-2</v>
      </c>
      <c r="H73" s="109"/>
      <c r="I73" s="106">
        <v>21782.5</v>
      </c>
      <c r="J73" s="109"/>
      <c r="K73" s="107">
        <f t="shared" si="13"/>
        <v>-1.1714691457167858E-2</v>
      </c>
      <c r="M73" s="105">
        <v>1087</v>
      </c>
      <c r="N73" s="124"/>
      <c r="O73" s="107">
        <f t="shared" si="19"/>
        <v>1.5062519260041096E-2</v>
      </c>
      <c r="P73" s="107"/>
      <c r="Q73" s="105">
        <v>2257.65</v>
      </c>
      <c r="R73" s="124"/>
      <c r="S73" s="107">
        <f t="shared" si="20"/>
        <v>-1.9819389571484436E-2</v>
      </c>
      <c r="T73" s="107"/>
      <c r="U73" s="105">
        <v>1334.71</v>
      </c>
      <c r="V73" s="124"/>
      <c r="W73" s="107">
        <f t="shared" si="14"/>
        <v>1.5050345268153187E-2</v>
      </c>
      <c r="X73" s="107"/>
      <c r="Y73" s="105">
        <v>1403.14</v>
      </c>
      <c r="Z73" s="124"/>
      <c r="AA73" s="107">
        <f t="shared" si="15"/>
        <v>3.0553637792499755E-2</v>
      </c>
      <c r="AB73" s="107"/>
      <c r="AC73" s="105">
        <v>1201.3499999999999</v>
      </c>
      <c r="AD73" s="124"/>
      <c r="AE73" s="107">
        <f t="shared" si="16"/>
        <v>3.8856856354974045E-3</v>
      </c>
      <c r="AF73" s="107"/>
      <c r="AG73" s="105">
        <v>997.28</v>
      </c>
      <c r="AH73" s="124"/>
      <c r="AI73" s="107">
        <f t="shared" si="17"/>
        <v>-1.6498851096143019E-2</v>
      </c>
    </row>
    <row r="74" spans="3:35" s="97" customFormat="1" ht="21" customHeight="1">
      <c r="C74" s="104">
        <v>45320</v>
      </c>
      <c r="E74" s="106">
        <v>785.56</v>
      </c>
      <c r="F74" s="108"/>
      <c r="G74" s="107">
        <f t="shared" si="18"/>
        <v>-5.2811806694318619E-2</v>
      </c>
      <c r="H74" s="109"/>
      <c r="I74" s="106">
        <v>21853.8</v>
      </c>
      <c r="J74" s="109"/>
      <c r="K74" s="107">
        <f t="shared" si="13"/>
        <v>3.273269826695735E-3</v>
      </c>
      <c r="M74" s="105">
        <v>1111.1500000000001</v>
      </c>
      <c r="N74" s="124"/>
      <c r="O74" s="107">
        <f t="shared" si="19"/>
        <v>2.2217111315547378E-2</v>
      </c>
      <c r="P74" s="107"/>
      <c r="Q74" s="105">
        <v>2379.65</v>
      </c>
      <c r="R74" s="124"/>
      <c r="S74" s="107">
        <f t="shared" si="20"/>
        <v>5.403849135162675E-2</v>
      </c>
      <c r="T74" s="107"/>
      <c r="U74" s="105">
        <v>1276.26</v>
      </c>
      <c r="V74" s="124"/>
      <c r="W74" s="107">
        <f t="shared" si="14"/>
        <v>-4.3792284466288578E-2</v>
      </c>
      <c r="X74" s="107"/>
      <c r="Y74" s="105">
        <v>1232.26</v>
      </c>
      <c r="Z74" s="124"/>
      <c r="AA74" s="107">
        <f t="shared" si="15"/>
        <v>-0.12178399874567047</v>
      </c>
      <c r="AB74" s="107"/>
      <c r="AC74" s="105">
        <v>1210.6400000000001</v>
      </c>
      <c r="AD74" s="124"/>
      <c r="AE74" s="107">
        <f t="shared" si="16"/>
        <v>7.7329670787031901E-3</v>
      </c>
      <c r="AF74" s="107"/>
      <c r="AG74" s="105">
        <v>1030.48</v>
      </c>
      <c r="AH74" s="124"/>
      <c r="AI74" s="107">
        <f t="shared" si="17"/>
        <v>3.3290550296807275E-2</v>
      </c>
    </row>
    <row r="75" spans="3:35" s="97" customFormat="1" ht="21" customHeight="1">
      <c r="C75" s="104">
        <v>45313</v>
      </c>
      <c r="E75" s="106">
        <v>754.24</v>
      </c>
      <c r="F75" s="108"/>
      <c r="G75" s="107">
        <f t="shared" si="18"/>
        <v>-3.9869647130709174E-2</v>
      </c>
      <c r="H75" s="109"/>
      <c r="I75" s="106">
        <v>21352.6</v>
      </c>
      <c r="J75" s="109"/>
      <c r="K75" s="107">
        <f t="shared" si="13"/>
        <v>-2.2934226541837188E-2</v>
      </c>
      <c r="M75" s="105">
        <v>1055.9000000000001</v>
      </c>
      <c r="N75" s="124"/>
      <c r="O75" s="107">
        <f t="shared" si="19"/>
        <v>-4.9723259685910959E-2</v>
      </c>
      <c r="P75" s="107"/>
      <c r="Q75" s="105">
        <v>2326.5500000000002</v>
      </c>
      <c r="R75" s="124"/>
      <c r="S75" s="107">
        <f t="shared" si="20"/>
        <v>-2.231420587061117E-2</v>
      </c>
      <c r="T75" s="107"/>
      <c r="U75" s="105">
        <v>1294.93</v>
      </c>
      <c r="V75" s="124"/>
      <c r="W75" s="107">
        <f t="shared" si="14"/>
        <v>1.4628680676351369E-2</v>
      </c>
      <c r="X75" s="107"/>
      <c r="Y75" s="105">
        <v>1144.49</v>
      </c>
      <c r="Z75" s="124"/>
      <c r="AA75" s="107">
        <f t="shared" si="15"/>
        <v>-7.1226851476149489E-2</v>
      </c>
      <c r="AB75" s="107"/>
      <c r="AC75" s="105">
        <v>1203.55</v>
      </c>
      <c r="AD75" s="124"/>
      <c r="AE75" s="107">
        <f t="shared" si="16"/>
        <v>-5.8564065287782796E-3</v>
      </c>
      <c r="AF75" s="107"/>
      <c r="AG75" s="105">
        <v>973.42</v>
      </c>
      <c r="AH75" s="124"/>
      <c r="AI75" s="107">
        <f t="shared" si="17"/>
        <v>-5.5372253707010377E-2</v>
      </c>
    </row>
    <row r="76" spans="3:35" s="97" customFormat="1" ht="21" customHeight="1">
      <c r="C76" s="104">
        <v>45306</v>
      </c>
      <c r="E76" s="106">
        <v>771.49</v>
      </c>
      <c r="F76" s="108"/>
      <c r="G76" s="107">
        <f t="shared" si="18"/>
        <v>2.2870704285108179E-2</v>
      </c>
      <c r="H76" s="109"/>
      <c r="I76" s="106">
        <v>21622.400000000001</v>
      </c>
      <c r="J76" s="109"/>
      <c r="K76" s="107">
        <f t="shared" si="13"/>
        <v>1.2635463596939234E-2</v>
      </c>
      <c r="M76" s="105">
        <v>1126.48</v>
      </c>
      <c r="N76" s="124"/>
      <c r="O76" s="107">
        <f t="shared" si="19"/>
        <v>6.6843451084382943E-2</v>
      </c>
      <c r="P76" s="107"/>
      <c r="Q76" s="105">
        <v>2307.6999999999998</v>
      </c>
      <c r="R76" s="124"/>
      <c r="S76" s="107">
        <f t="shared" si="20"/>
        <v>-8.1021254647440921E-3</v>
      </c>
      <c r="T76" s="107"/>
      <c r="U76" s="105">
        <v>1508.5</v>
      </c>
      <c r="V76" s="124"/>
      <c r="W76" s="107">
        <f t="shared" si="14"/>
        <v>0.16492783393696953</v>
      </c>
      <c r="X76" s="107"/>
      <c r="Y76" s="105">
        <v>1243.3</v>
      </c>
      <c r="Z76" s="124"/>
      <c r="AA76" s="107">
        <f t="shared" si="15"/>
        <v>8.6335398299679289E-2</v>
      </c>
      <c r="AB76" s="107"/>
      <c r="AC76" s="105">
        <v>1274.98</v>
      </c>
      <c r="AD76" s="124"/>
      <c r="AE76" s="107">
        <f t="shared" si="16"/>
        <v>5.9349424618835966E-2</v>
      </c>
      <c r="AF76" s="107"/>
      <c r="AG76" s="105">
        <v>966.68</v>
      </c>
      <c r="AH76" s="124"/>
      <c r="AI76" s="107">
        <f t="shared" si="17"/>
        <v>-6.9240410100470662E-3</v>
      </c>
    </row>
    <row r="77" spans="3:35" s="97" customFormat="1" ht="21" customHeight="1">
      <c r="C77" s="104">
        <v>45299</v>
      </c>
      <c r="E77" s="106">
        <v>796.65</v>
      </c>
      <c r="F77" s="108"/>
      <c r="G77" s="107">
        <f t="shared" si="18"/>
        <v>3.2612217915980679E-2</v>
      </c>
      <c r="H77" s="109"/>
      <c r="I77" s="106">
        <v>21894.55</v>
      </c>
      <c r="J77" s="109"/>
      <c r="K77" s="107">
        <f t="shared" si="13"/>
        <v>1.2586484386561958E-2</v>
      </c>
      <c r="M77" s="105">
        <v>1206.29</v>
      </c>
      <c r="N77" s="124"/>
      <c r="O77" s="107">
        <f t="shared" si="19"/>
        <v>7.0849016405084786E-2</v>
      </c>
      <c r="P77" s="107"/>
      <c r="Q77" s="105">
        <v>2274.1</v>
      </c>
      <c r="R77" s="124"/>
      <c r="S77" s="107">
        <f t="shared" si="20"/>
        <v>-1.4559951466828425E-2</v>
      </c>
      <c r="T77" s="107"/>
      <c r="U77" s="105">
        <v>1530.15</v>
      </c>
      <c r="V77" s="124"/>
      <c r="W77" s="107">
        <f t="shared" si="14"/>
        <v>1.4352005303281512E-2</v>
      </c>
      <c r="X77" s="107"/>
      <c r="Y77" s="105">
        <v>1247.8599999999999</v>
      </c>
      <c r="Z77" s="124"/>
      <c r="AA77" s="107">
        <f t="shared" si="15"/>
        <v>3.6676586503658903E-3</v>
      </c>
      <c r="AB77" s="107"/>
      <c r="AC77" s="105">
        <v>1379.23</v>
      </c>
      <c r="AD77" s="124"/>
      <c r="AE77" s="107">
        <f t="shared" si="16"/>
        <v>8.1765988486093955E-2</v>
      </c>
      <c r="AF77" s="107"/>
      <c r="AG77" s="105">
        <v>970.23</v>
      </c>
      <c r="AH77" s="124"/>
      <c r="AI77" s="107">
        <f t="shared" si="17"/>
        <v>3.6723631398187795E-3</v>
      </c>
    </row>
    <row r="78" spans="3:35" s="97" customFormat="1" ht="21" customHeight="1">
      <c r="C78" s="104">
        <v>45292</v>
      </c>
      <c r="E78" s="106">
        <v>748.67</v>
      </c>
      <c r="F78" s="108"/>
      <c r="G78" s="107">
        <f t="shared" si="18"/>
        <v>-6.0227201405887221E-2</v>
      </c>
      <c r="H78" s="109"/>
      <c r="I78" s="106">
        <v>21710.799999999999</v>
      </c>
      <c r="J78" s="109"/>
      <c r="K78" s="107">
        <f t="shared" si="13"/>
        <v>-8.3924995033010097E-3</v>
      </c>
      <c r="M78" s="105">
        <v>1090.79</v>
      </c>
      <c r="N78" s="124"/>
      <c r="O78" s="107">
        <f t="shared" si="19"/>
        <v>-9.57481202695869E-2</v>
      </c>
      <c r="P78" s="107"/>
      <c r="Q78" s="105">
        <v>2244.1</v>
      </c>
      <c r="R78" s="124"/>
      <c r="S78" s="107">
        <f t="shared" si="20"/>
        <v>-1.319203201266439E-2</v>
      </c>
      <c r="T78" s="107"/>
      <c r="U78" s="105">
        <v>1508.15</v>
      </c>
      <c r="V78" s="124"/>
      <c r="W78" s="107">
        <f t="shared" si="14"/>
        <v>-1.4377675391301525E-2</v>
      </c>
      <c r="X78" s="107"/>
      <c r="Y78" s="105">
        <v>1238.8399999999999</v>
      </c>
      <c r="Z78" s="124"/>
      <c r="AA78" s="107">
        <f t="shared" si="15"/>
        <v>-7.2283749779622486E-3</v>
      </c>
      <c r="AB78" s="107"/>
      <c r="AC78" s="105">
        <v>1328.38</v>
      </c>
      <c r="AD78" s="124"/>
      <c r="AE78" s="107">
        <f t="shared" si="16"/>
        <v>-3.6868397584159163E-2</v>
      </c>
      <c r="AF78" s="107"/>
      <c r="AG78" s="105">
        <v>940.32</v>
      </c>
      <c r="AH78" s="124"/>
      <c r="AI78" s="107">
        <f t="shared" si="17"/>
        <v>-3.0827741875637749E-2</v>
      </c>
    </row>
    <row r="79" spans="3:35" s="97" customFormat="1" ht="21" customHeight="1">
      <c r="C79" s="104">
        <v>45285</v>
      </c>
      <c r="E79" s="106">
        <v>722.42</v>
      </c>
      <c r="F79" s="108"/>
      <c r="G79" s="107">
        <f t="shared" si="18"/>
        <v>-3.5062176927084021E-2</v>
      </c>
      <c r="H79" s="109"/>
      <c r="I79" s="106">
        <v>21731.4</v>
      </c>
      <c r="J79" s="109"/>
      <c r="K79" s="107">
        <f t="shared" si="13"/>
        <v>9.4883652375776784E-4</v>
      </c>
      <c r="M79" s="105">
        <v>1024.1600000000001</v>
      </c>
      <c r="N79" s="124"/>
      <c r="O79" s="107">
        <f t="shared" si="19"/>
        <v>-6.1084168355045265E-2</v>
      </c>
      <c r="P79" s="107"/>
      <c r="Q79" s="105">
        <v>2012.85</v>
      </c>
      <c r="R79" s="124"/>
      <c r="S79" s="107">
        <f t="shared" si="20"/>
        <v>-0.10304799251370256</v>
      </c>
      <c r="T79" s="107"/>
      <c r="U79" s="105">
        <v>1433.37</v>
      </c>
      <c r="V79" s="124"/>
      <c r="W79" s="107">
        <f t="shared" si="14"/>
        <v>-4.9583927328183619E-2</v>
      </c>
      <c r="X79" s="107"/>
      <c r="Y79" s="105">
        <v>1118.54</v>
      </c>
      <c r="Z79" s="124"/>
      <c r="AA79" s="107">
        <f t="shared" si="15"/>
        <v>-9.7106971037422052E-2</v>
      </c>
      <c r="AB79" s="107"/>
      <c r="AC79" s="105">
        <v>1177.77</v>
      </c>
      <c r="AD79" s="124"/>
      <c r="AE79" s="107">
        <f t="shared" si="16"/>
        <v>-0.1133787018774749</v>
      </c>
      <c r="AF79" s="107"/>
      <c r="AG79" s="105">
        <v>895.34</v>
      </c>
      <c r="AH79" s="124"/>
      <c r="AI79" s="107">
        <f t="shared" si="17"/>
        <v>-4.7834779649481018E-2</v>
      </c>
    </row>
    <row r="80" spans="3:35" s="97" customFormat="1" ht="21" customHeight="1">
      <c r="C80" s="104">
        <v>45278</v>
      </c>
      <c r="E80" s="106">
        <v>711.78</v>
      </c>
      <c r="F80" s="108"/>
      <c r="G80" s="107">
        <f t="shared" si="18"/>
        <v>-1.4728274411007436E-2</v>
      </c>
      <c r="H80" s="109"/>
      <c r="I80" s="106">
        <v>21349.4</v>
      </c>
      <c r="J80" s="109"/>
      <c r="K80" s="107">
        <f t="shared" si="13"/>
        <v>-1.7578250825993735E-2</v>
      </c>
      <c r="M80" s="105">
        <v>936.11</v>
      </c>
      <c r="N80" s="124"/>
      <c r="O80" s="107">
        <f t="shared" si="19"/>
        <v>-8.5972894860178117E-2</v>
      </c>
      <c r="P80" s="107"/>
      <c r="Q80" s="105">
        <v>1971.75</v>
      </c>
      <c r="R80" s="124"/>
      <c r="S80" s="107">
        <f t="shared" si="20"/>
        <v>-2.0418809151203421E-2</v>
      </c>
      <c r="T80" s="107"/>
      <c r="U80" s="105">
        <v>1397.32</v>
      </c>
      <c r="V80" s="124"/>
      <c r="W80" s="107">
        <f t="shared" si="14"/>
        <v>-2.515051940531754E-2</v>
      </c>
      <c r="X80" s="107"/>
      <c r="Y80" s="105">
        <v>1146.46</v>
      </c>
      <c r="Z80" s="124"/>
      <c r="AA80" s="107">
        <f t="shared" si="15"/>
        <v>2.4961110018416832E-2</v>
      </c>
      <c r="AB80" s="107"/>
      <c r="AC80" s="105">
        <v>1113.83</v>
      </c>
      <c r="AD80" s="124"/>
      <c r="AE80" s="107">
        <f t="shared" si="16"/>
        <v>-5.4289037757796588E-2</v>
      </c>
      <c r="AF80" s="107"/>
      <c r="AG80" s="105">
        <v>867.44</v>
      </c>
      <c r="AH80" s="124"/>
      <c r="AI80" s="107">
        <f t="shared" si="17"/>
        <v>-3.1161346527576073E-2</v>
      </c>
    </row>
    <row r="81" spans="3:35" s="97" customFormat="1" ht="21" customHeight="1">
      <c r="C81" s="104">
        <v>45271</v>
      </c>
      <c r="E81" s="106">
        <v>701.39</v>
      </c>
      <c r="F81" s="108"/>
      <c r="G81" s="107">
        <f t="shared" ref="G81:G144" si="21">E81/E80-1</f>
        <v>-1.4597207002163604E-2</v>
      </c>
      <c r="H81" s="109"/>
      <c r="I81" s="106">
        <v>21456.65</v>
      </c>
      <c r="J81" s="109"/>
      <c r="K81" s="107">
        <f t="shared" ref="K81:K144" si="22">I81/I80-1</f>
        <v>5.023560381087977E-3</v>
      </c>
      <c r="M81" s="105">
        <v>933.86</v>
      </c>
      <c r="N81" s="124"/>
      <c r="O81" s="107">
        <f t="shared" si="19"/>
        <v>-2.4035636837551611E-3</v>
      </c>
      <c r="P81" s="107"/>
      <c r="Q81" s="105">
        <v>2052.9</v>
      </c>
      <c r="R81" s="124"/>
      <c r="S81" s="107">
        <f t="shared" si="20"/>
        <v>4.115633320654255E-2</v>
      </c>
      <c r="T81" s="107"/>
      <c r="U81" s="105">
        <v>1466.49</v>
      </c>
      <c r="V81" s="124"/>
      <c r="W81" s="107">
        <f t="shared" si="14"/>
        <v>4.9501903644118883E-2</v>
      </c>
      <c r="X81" s="107"/>
      <c r="Y81" s="105">
        <v>1144.1099999999999</v>
      </c>
      <c r="Z81" s="124"/>
      <c r="AA81" s="107">
        <f t="shared" si="15"/>
        <v>-2.0497880431940008E-3</v>
      </c>
      <c r="AB81" s="107"/>
      <c r="AC81" s="105">
        <v>1112.83</v>
      </c>
      <c r="AD81" s="124"/>
      <c r="AE81" s="107">
        <f t="shared" si="16"/>
        <v>-8.9780307587339347E-4</v>
      </c>
      <c r="AF81" s="107"/>
      <c r="AG81" s="105">
        <v>851.71</v>
      </c>
      <c r="AH81" s="124"/>
      <c r="AI81" s="107">
        <f t="shared" si="17"/>
        <v>-1.813381905376743E-2</v>
      </c>
    </row>
    <row r="82" spans="3:35" s="97" customFormat="1" ht="21" customHeight="1">
      <c r="C82" s="104">
        <v>45264</v>
      </c>
      <c r="E82" s="106">
        <v>646.5</v>
      </c>
      <c r="F82" s="108"/>
      <c r="G82" s="107">
        <f t="shared" si="21"/>
        <v>-7.8258885926517308E-2</v>
      </c>
      <c r="H82" s="109"/>
      <c r="I82" s="106">
        <v>20969.400000000001</v>
      </c>
      <c r="J82" s="109"/>
      <c r="K82" s="107">
        <f t="shared" si="22"/>
        <v>-2.2708577527246754E-2</v>
      </c>
      <c r="M82" s="105">
        <v>916.04</v>
      </c>
      <c r="N82" s="124"/>
      <c r="O82" s="107">
        <f t="shared" si="19"/>
        <v>-1.9082089392414292E-2</v>
      </c>
      <c r="P82" s="107"/>
      <c r="Q82" s="105">
        <v>1929.3</v>
      </c>
      <c r="R82" s="124"/>
      <c r="S82" s="107">
        <f t="shared" si="20"/>
        <v>-6.0207511325442109E-2</v>
      </c>
      <c r="T82" s="107"/>
      <c r="U82" s="105">
        <v>1437.34</v>
      </c>
      <c r="V82" s="124"/>
      <c r="W82" s="107">
        <f t="shared" si="14"/>
        <v>-1.9877394322498021E-2</v>
      </c>
      <c r="X82" s="107"/>
      <c r="Y82" s="105">
        <v>1100.81</v>
      </c>
      <c r="Z82" s="124"/>
      <c r="AA82" s="107">
        <f t="shared" si="15"/>
        <v>-3.7846011310101235E-2</v>
      </c>
      <c r="AB82" s="107"/>
      <c r="AC82" s="105">
        <v>1185.31</v>
      </c>
      <c r="AD82" s="124"/>
      <c r="AE82" s="107">
        <f t="shared" si="16"/>
        <v>6.513124196867448E-2</v>
      </c>
      <c r="AF82" s="107"/>
      <c r="AG82" s="105">
        <v>821.26</v>
      </c>
      <c r="AH82" s="124"/>
      <c r="AI82" s="107">
        <f t="shared" si="17"/>
        <v>-3.5751605593453251E-2</v>
      </c>
    </row>
    <row r="83" spans="3:35" s="97" customFormat="1" ht="21" customHeight="1">
      <c r="C83" s="104">
        <v>45257</v>
      </c>
      <c r="E83" s="106">
        <v>624.83000000000004</v>
      </c>
      <c r="F83" s="108"/>
      <c r="G83" s="107">
        <f t="shared" si="21"/>
        <v>-3.3518948182521213E-2</v>
      </c>
      <c r="H83" s="109"/>
      <c r="I83" s="106">
        <v>20267.900000000001</v>
      </c>
      <c r="J83" s="109"/>
      <c r="K83" s="107">
        <f t="shared" si="22"/>
        <v>-3.3453508445639879E-2</v>
      </c>
      <c r="M83" s="105">
        <v>918.34</v>
      </c>
      <c r="N83" s="124"/>
      <c r="O83" s="107">
        <f t="shared" ref="O83:O146" si="23">M83/M82-1</f>
        <v>2.5108073883237658E-3</v>
      </c>
      <c r="P83" s="107"/>
      <c r="Q83" s="105">
        <v>1872.3</v>
      </c>
      <c r="R83" s="124"/>
      <c r="S83" s="107">
        <f t="shared" ref="S83:S146" si="24">Q83/Q82-1</f>
        <v>-2.9544394339916069E-2</v>
      </c>
      <c r="T83" s="107"/>
      <c r="U83" s="105">
        <v>1405.27</v>
      </c>
      <c r="V83" s="124"/>
      <c r="W83" s="107">
        <f t="shared" ref="W83:W146" si="25">U83/U82-1</f>
        <v>-2.2312048645414362E-2</v>
      </c>
      <c r="X83" s="107"/>
      <c r="Y83" s="105">
        <v>1176.47</v>
      </c>
      <c r="Z83" s="124"/>
      <c r="AA83" s="107">
        <f t="shared" ref="AA83:AA146" si="26">Y83/Y82-1</f>
        <v>6.8731207020285234E-2</v>
      </c>
      <c r="AB83" s="107"/>
      <c r="AC83" s="105">
        <v>1036.81</v>
      </c>
      <c r="AD83" s="124"/>
      <c r="AE83" s="107">
        <f t="shared" ref="AE83:AE146" si="27">AC83/AC82-1</f>
        <v>-0.12528368106233811</v>
      </c>
      <c r="AF83" s="107"/>
      <c r="AG83" s="105">
        <v>837.23</v>
      </c>
      <c r="AH83" s="124"/>
      <c r="AI83" s="107">
        <f t="shared" ref="AI83:AI146" si="28">AG83/AG82-1</f>
        <v>1.9445729732362471E-2</v>
      </c>
    </row>
    <row r="84" spans="3:35" s="97" customFormat="1" ht="21" customHeight="1">
      <c r="C84" s="104">
        <v>45250</v>
      </c>
      <c r="E84" s="106">
        <v>625.91999999999996</v>
      </c>
      <c r="F84" s="108"/>
      <c r="G84" s="107">
        <f t="shared" si="21"/>
        <v>1.7444744970631643E-3</v>
      </c>
      <c r="H84" s="109"/>
      <c r="I84" s="106">
        <v>19794.7</v>
      </c>
      <c r="J84" s="109"/>
      <c r="K84" s="107">
        <f t="shared" si="22"/>
        <v>-2.3347263406667706E-2</v>
      </c>
      <c r="M84" s="105">
        <v>890.34</v>
      </c>
      <c r="N84" s="124"/>
      <c r="O84" s="107">
        <f t="shared" si="23"/>
        <v>-3.0489796807282699E-2</v>
      </c>
      <c r="P84" s="107"/>
      <c r="Q84" s="105">
        <v>1839.35</v>
      </c>
      <c r="R84" s="124"/>
      <c r="S84" s="107">
        <f t="shared" si="24"/>
        <v>-1.759867542594673E-2</v>
      </c>
      <c r="T84" s="107"/>
      <c r="U84" s="105">
        <v>1380.34</v>
      </c>
      <c r="V84" s="124"/>
      <c r="W84" s="107">
        <f t="shared" si="25"/>
        <v>-1.7740363061902742E-2</v>
      </c>
      <c r="X84" s="107"/>
      <c r="Y84" s="105">
        <v>1179.6099999999999</v>
      </c>
      <c r="Z84" s="124"/>
      <c r="AA84" s="107">
        <f t="shared" si="26"/>
        <v>2.6690013345005426E-3</v>
      </c>
      <c r="AB84" s="107"/>
      <c r="AC84" s="105">
        <v>924.16</v>
      </c>
      <c r="AD84" s="124"/>
      <c r="AE84" s="107">
        <f t="shared" si="27"/>
        <v>-0.10865057242889242</v>
      </c>
      <c r="AF84" s="107"/>
      <c r="AG84" s="105">
        <v>736.49</v>
      </c>
      <c r="AH84" s="124"/>
      <c r="AI84" s="107">
        <f t="shared" si="28"/>
        <v>-0.12032535862307847</v>
      </c>
    </row>
    <row r="85" spans="3:35" s="97" customFormat="1" ht="21" customHeight="1">
      <c r="C85" s="104">
        <v>45243</v>
      </c>
      <c r="E85" s="106">
        <v>627.66</v>
      </c>
      <c r="F85" s="108"/>
      <c r="G85" s="107">
        <f t="shared" si="21"/>
        <v>2.7799079754602385E-3</v>
      </c>
      <c r="H85" s="109"/>
      <c r="I85" s="106">
        <v>19731.8</v>
      </c>
      <c r="J85" s="109"/>
      <c r="K85" s="107">
        <f t="shared" si="22"/>
        <v>-3.1776182513502116E-3</v>
      </c>
      <c r="M85" s="105">
        <v>868.08</v>
      </c>
      <c r="N85" s="124"/>
      <c r="O85" s="107">
        <f t="shared" si="23"/>
        <v>-2.5001684749646147E-2</v>
      </c>
      <c r="P85" s="107"/>
      <c r="Q85" s="105">
        <v>1862.05</v>
      </c>
      <c r="R85" s="124"/>
      <c r="S85" s="107">
        <f t="shared" si="24"/>
        <v>1.2341316225840782E-2</v>
      </c>
      <c r="T85" s="107"/>
      <c r="U85" s="105">
        <v>1331.63</v>
      </c>
      <c r="V85" s="124"/>
      <c r="W85" s="107">
        <f t="shared" si="25"/>
        <v>-3.5288407204022043E-2</v>
      </c>
      <c r="X85" s="107"/>
      <c r="Y85" s="105">
        <v>1139.6500000000001</v>
      </c>
      <c r="Z85" s="124"/>
      <c r="AA85" s="107">
        <f t="shared" si="26"/>
        <v>-3.3875602953518325E-2</v>
      </c>
      <c r="AB85" s="107"/>
      <c r="AC85" s="105">
        <v>877.21</v>
      </c>
      <c r="AD85" s="124"/>
      <c r="AE85" s="107">
        <f t="shared" si="27"/>
        <v>-5.0802891274238204E-2</v>
      </c>
      <c r="AF85" s="107"/>
      <c r="AG85" s="105">
        <v>738.64</v>
      </c>
      <c r="AH85" s="124"/>
      <c r="AI85" s="107">
        <f t="shared" si="28"/>
        <v>2.9192521283385453E-3</v>
      </c>
    </row>
    <row r="86" spans="3:35" s="97" customFormat="1" ht="21" customHeight="1">
      <c r="C86" s="104">
        <v>45236</v>
      </c>
      <c r="E86" s="106">
        <v>606.98</v>
      </c>
      <c r="F86" s="108"/>
      <c r="G86" s="107">
        <f t="shared" si="21"/>
        <v>-3.2947774272695352E-2</v>
      </c>
      <c r="H86" s="109"/>
      <c r="I86" s="106">
        <v>19425.349999999999</v>
      </c>
      <c r="J86" s="109"/>
      <c r="K86" s="107">
        <f t="shared" si="22"/>
        <v>-1.5530767593427863E-2</v>
      </c>
      <c r="M86" s="105">
        <v>856.7</v>
      </c>
      <c r="N86" s="124"/>
      <c r="O86" s="107">
        <f t="shared" si="23"/>
        <v>-1.310939083955398E-2</v>
      </c>
      <c r="P86" s="107"/>
      <c r="Q86" s="105">
        <v>1837.8</v>
      </c>
      <c r="R86" s="124"/>
      <c r="S86" s="107">
        <f t="shared" si="24"/>
        <v>-1.3023280792674785E-2</v>
      </c>
      <c r="T86" s="107"/>
      <c r="U86" s="105">
        <v>1245.9000000000001</v>
      </c>
      <c r="V86" s="124"/>
      <c r="W86" s="107">
        <f t="shared" si="25"/>
        <v>-6.437974512439637E-2</v>
      </c>
      <c r="X86" s="107"/>
      <c r="Y86" s="105">
        <v>1002</v>
      </c>
      <c r="Z86" s="124"/>
      <c r="AA86" s="107">
        <f t="shared" si="26"/>
        <v>-0.1207826964418901</v>
      </c>
      <c r="AB86" s="107"/>
      <c r="AC86" s="105">
        <v>872.31</v>
      </c>
      <c r="AD86" s="124"/>
      <c r="AE86" s="107">
        <f t="shared" si="27"/>
        <v>-5.5858916337023778E-3</v>
      </c>
      <c r="AF86" s="107"/>
      <c r="AG86" s="105">
        <v>699.8</v>
      </c>
      <c r="AH86" s="124"/>
      <c r="AI86" s="107">
        <f t="shared" si="28"/>
        <v>-5.2583125744611769E-2</v>
      </c>
    </row>
    <row r="87" spans="3:35" s="97" customFormat="1" ht="21" customHeight="1">
      <c r="C87" s="104">
        <v>45229</v>
      </c>
      <c r="E87" s="106">
        <v>591.91999999999996</v>
      </c>
      <c r="F87" s="108"/>
      <c r="G87" s="107">
        <f t="shared" si="21"/>
        <v>-2.4811361165112622E-2</v>
      </c>
      <c r="H87" s="109"/>
      <c r="I87" s="106">
        <v>19230.599999999999</v>
      </c>
      <c r="J87" s="109"/>
      <c r="K87" s="107">
        <f t="shared" si="22"/>
        <v>-1.0025559385030358E-2</v>
      </c>
      <c r="M87" s="105">
        <v>847.86</v>
      </c>
      <c r="N87" s="124"/>
      <c r="O87" s="107">
        <f t="shared" si="23"/>
        <v>-1.0318664643399145E-2</v>
      </c>
      <c r="P87" s="107"/>
      <c r="Q87" s="105">
        <v>1784.05</v>
      </c>
      <c r="R87" s="124"/>
      <c r="S87" s="107">
        <f t="shared" si="24"/>
        <v>-2.9246925671999158E-2</v>
      </c>
      <c r="T87" s="107"/>
      <c r="U87" s="105">
        <v>1221.01</v>
      </c>
      <c r="V87" s="124"/>
      <c r="W87" s="107">
        <f t="shared" si="25"/>
        <v>-1.997752628621885E-2</v>
      </c>
      <c r="X87" s="107"/>
      <c r="Y87" s="105">
        <v>998.48</v>
      </c>
      <c r="Z87" s="124"/>
      <c r="AA87" s="107">
        <f t="shared" si="26"/>
        <v>-3.5129740518962116E-3</v>
      </c>
      <c r="AB87" s="107"/>
      <c r="AC87" s="105">
        <v>779.4</v>
      </c>
      <c r="AD87" s="124"/>
      <c r="AE87" s="107">
        <f t="shared" si="27"/>
        <v>-0.1065103002373009</v>
      </c>
      <c r="AF87" s="107"/>
      <c r="AG87" s="105">
        <v>666.45</v>
      </c>
      <c r="AH87" s="124"/>
      <c r="AI87" s="107">
        <f t="shared" si="28"/>
        <v>-4.7656473278079314E-2</v>
      </c>
    </row>
    <row r="88" spans="3:35" s="97" customFormat="1" ht="21" customHeight="1">
      <c r="C88" s="104">
        <v>45222</v>
      </c>
      <c r="E88" s="106">
        <v>532.95000000000005</v>
      </c>
      <c r="F88" s="108"/>
      <c r="G88" s="107">
        <f t="shared" si="21"/>
        <v>-9.9624949317475231E-2</v>
      </c>
      <c r="H88" s="109"/>
      <c r="I88" s="106">
        <v>19047.25</v>
      </c>
      <c r="J88" s="109"/>
      <c r="K88" s="107">
        <f t="shared" si="22"/>
        <v>-9.5342839016983039E-3</v>
      </c>
      <c r="M88" s="105">
        <v>734.86</v>
      </c>
      <c r="N88" s="124"/>
      <c r="O88" s="107">
        <f t="shared" si="23"/>
        <v>-0.13327672021324277</v>
      </c>
      <c r="P88" s="107"/>
      <c r="Q88" s="105">
        <v>1601</v>
      </c>
      <c r="R88" s="124"/>
      <c r="S88" s="107">
        <f t="shared" si="24"/>
        <v>-0.10260362657997246</v>
      </c>
      <c r="T88" s="107"/>
      <c r="U88" s="105">
        <v>1089.5999999999999</v>
      </c>
      <c r="V88" s="124"/>
      <c r="W88" s="107">
        <f t="shared" si="25"/>
        <v>-0.10762401618332373</v>
      </c>
      <c r="X88" s="107"/>
      <c r="Y88" s="105">
        <v>898.67</v>
      </c>
      <c r="Z88" s="124"/>
      <c r="AA88" s="107">
        <f t="shared" si="26"/>
        <v>-9.9961942152071215E-2</v>
      </c>
      <c r="AB88" s="107"/>
      <c r="AC88" s="105">
        <v>747.38</v>
      </c>
      <c r="AD88" s="124"/>
      <c r="AE88" s="107">
        <f t="shared" si="27"/>
        <v>-4.1082884269951214E-2</v>
      </c>
      <c r="AF88" s="107"/>
      <c r="AG88" s="105">
        <v>619.17999999999995</v>
      </c>
      <c r="AH88" s="124"/>
      <c r="AI88" s="107">
        <f t="shared" si="28"/>
        <v>-7.0928051616775623E-2</v>
      </c>
    </row>
    <row r="89" spans="3:35" s="97" customFormat="1" ht="21" customHeight="1">
      <c r="C89" s="104">
        <v>45215</v>
      </c>
      <c r="E89" s="106">
        <v>549.30999999999995</v>
      </c>
      <c r="F89" s="108"/>
      <c r="G89" s="107">
        <f t="shared" si="21"/>
        <v>3.0697063514400824E-2</v>
      </c>
      <c r="H89" s="109"/>
      <c r="I89" s="106">
        <v>19542.650000000001</v>
      </c>
      <c r="J89" s="109"/>
      <c r="K89" s="107">
        <f t="shared" si="22"/>
        <v>2.6009003924451157E-2</v>
      </c>
      <c r="M89" s="105">
        <v>813.57</v>
      </c>
      <c r="N89" s="124"/>
      <c r="O89" s="107">
        <f t="shared" si="23"/>
        <v>0.10710883705739871</v>
      </c>
      <c r="P89" s="107"/>
      <c r="Q89" s="105">
        <v>1649.1</v>
      </c>
      <c r="R89" s="124"/>
      <c r="S89" s="107">
        <f t="shared" si="24"/>
        <v>3.0043722673329221E-2</v>
      </c>
      <c r="T89" s="107"/>
      <c r="U89" s="105">
        <v>1090.1400000000001</v>
      </c>
      <c r="V89" s="124"/>
      <c r="W89" s="107">
        <f t="shared" si="25"/>
        <v>4.9559471365645535E-4</v>
      </c>
      <c r="X89" s="107"/>
      <c r="Y89" s="105">
        <v>924.92</v>
      </c>
      <c r="Z89" s="124"/>
      <c r="AA89" s="107">
        <f t="shared" si="26"/>
        <v>2.9209832307743655E-2</v>
      </c>
      <c r="AB89" s="107"/>
      <c r="AC89" s="105">
        <v>743.09</v>
      </c>
      <c r="AD89" s="124"/>
      <c r="AE89" s="107">
        <f t="shared" si="27"/>
        <v>-5.7400519146886264E-3</v>
      </c>
      <c r="AF89" s="107"/>
      <c r="AG89" s="105">
        <v>610.74</v>
      </c>
      <c r="AH89" s="124"/>
      <c r="AI89" s="107">
        <f t="shared" si="28"/>
        <v>-1.363093123162884E-2</v>
      </c>
    </row>
    <row r="90" spans="3:35" s="97" customFormat="1" ht="21" customHeight="1">
      <c r="C90" s="104">
        <v>45208</v>
      </c>
      <c r="E90" s="106">
        <v>565.22</v>
      </c>
      <c r="F90" s="108"/>
      <c r="G90" s="107">
        <f t="shared" si="21"/>
        <v>2.8963608891154458E-2</v>
      </c>
      <c r="H90" s="109"/>
      <c r="I90" s="106">
        <v>19751.05</v>
      </c>
      <c r="J90" s="109"/>
      <c r="K90" s="107">
        <f t="shared" si="22"/>
        <v>1.0663855720692839E-2</v>
      </c>
      <c r="M90" s="105">
        <v>809.68</v>
      </c>
      <c r="N90" s="124"/>
      <c r="O90" s="107">
        <f t="shared" si="23"/>
        <v>-4.7813955775165562E-3</v>
      </c>
      <c r="P90" s="107"/>
      <c r="Q90" s="105">
        <v>1687.65</v>
      </c>
      <c r="R90" s="124"/>
      <c r="S90" s="107">
        <f t="shared" si="24"/>
        <v>2.3376387120247477E-2</v>
      </c>
      <c r="T90" s="107"/>
      <c r="U90" s="105">
        <v>1119.0899999999999</v>
      </c>
      <c r="V90" s="124"/>
      <c r="W90" s="107">
        <f t="shared" si="25"/>
        <v>2.6556222136606245E-2</v>
      </c>
      <c r="X90" s="107"/>
      <c r="Y90" s="105">
        <v>1005.16</v>
      </c>
      <c r="Z90" s="124"/>
      <c r="AA90" s="107">
        <f t="shared" si="26"/>
        <v>8.6753448946935929E-2</v>
      </c>
      <c r="AB90" s="107"/>
      <c r="AC90" s="105">
        <v>715.36</v>
      </c>
      <c r="AD90" s="124"/>
      <c r="AE90" s="107">
        <f t="shared" si="27"/>
        <v>-3.7317148663015276E-2</v>
      </c>
      <c r="AF90" s="107"/>
      <c r="AG90" s="105">
        <v>620.42999999999995</v>
      </c>
      <c r="AH90" s="124"/>
      <c r="AI90" s="107">
        <f t="shared" si="28"/>
        <v>1.5865998624619237E-2</v>
      </c>
    </row>
    <row r="91" spans="3:35" s="97" customFormat="1" ht="21" customHeight="1">
      <c r="C91" s="104">
        <v>45201</v>
      </c>
      <c r="E91" s="106">
        <v>545.92999999999995</v>
      </c>
      <c r="F91" s="108"/>
      <c r="G91" s="107">
        <f t="shared" si="21"/>
        <v>-3.4128304023212319E-2</v>
      </c>
      <c r="H91" s="109"/>
      <c r="I91" s="106">
        <v>19653.5</v>
      </c>
      <c r="J91" s="109"/>
      <c r="K91" s="107">
        <f t="shared" si="22"/>
        <v>-4.9389779277556611E-3</v>
      </c>
      <c r="M91" s="105">
        <v>777.89</v>
      </c>
      <c r="N91" s="124"/>
      <c r="O91" s="107">
        <f t="shared" si="23"/>
        <v>-3.9262424661594686E-2</v>
      </c>
      <c r="P91" s="107"/>
      <c r="Q91" s="105">
        <v>1674.35</v>
      </c>
      <c r="R91" s="124"/>
      <c r="S91" s="107">
        <f t="shared" si="24"/>
        <v>-7.8807809676177953E-3</v>
      </c>
      <c r="T91" s="107"/>
      <c r="U91" s="105">
        <v>1102.0899999999999</v>
      </c>
      <c r="V91" s="124"/>
      <c r="W91" s="107">
        <f t="shared" si="25"/>
        <v>-1.5190914046233961E-2</v>
      </c>
      <c r="X91" s="107"/>
      <c r="Y91" s="105">
        <v>897.92</v>
      </c>
      <c r="Z91" s="124"/>
      <c r="AA91" s="107">
        <f t="shared" si="26"/>
        <v>-0.10668948227147923</v>
      </c>
      <c r="AB91" s="107"/>
      <c r="AC91" s="105">
        <v>667.06</v>
      </c>
      <c r="AD91" s="124"/>
      <c r="AE91" s="107">
        <f t="shared" si="27"/>
        <v>-6.7518452247819383E-2</v>
      </c>
      <c r="AF91" s="107"/>
      <c r="AG91" s="105">
        <v>592.37</v>
      </c>
      <c r="AH91" s="124"/>
      <c r="AI91" s="107">
        <f t="shared" si="28"/>
        <v>-4.5226697612945732E-2</v>
      </c>
    </row>
    <row r="92" spans="3:35" s="97" customFormat="1" ht="21" customHeight="1">
      <c r="C92" s="104">
        <v>45194</v>
      </c>
      <c r="E92" s="106">
        <v>527.83000000000004</v>
      </c>
      <c r="F92" s="108"/>
      <c r="G92" s="107">
        <f t="shared" si="21"/>
        <v>-3.3154433718608489E-2</v>
      </c>
      <c r="H92" s="109"/>
      <c r="I92" s="106">
        <v>19638.3</v>
      </c>
      <c r="J92" s="109"/>
      <c r="K92" s="107">
        <f t="shared" si="22"/>
        <v>-7.7339914010232658E-4</v>
      </c>
      <c r="M92" s="105">
        <v>798.7</v>
      </c>
      <c r="N92" s="124"/>
      <c r="O92" s="107">
        <f t="shared" si="23"/>
        <v>2.6751854375297368E-2</v>
      </c>
      <c r="P92" s="107"/>
      <c r="Q92" s="105">
        <v>1554.7</v>
      </c>
      <c r="R92" s="124"/>
      <c r="S92" s="107">
        <f t="shared" si="24"/>
        <v>-7.1460566787111324E-2</v>
      </c>
      <c r="T92" s="107"/>
      <c r="U92" s="105">
        <v>1144.47</v>
      </c>
      <c r="V92" s="124"/>
      <c r="W92" s="107">
        <f t="shared" si="25"/>
        <v>3.8454209728788102E-2</v>
      </c>
      <c r="X92" s="107"/>
      <c r="Y92" s="105">
        <v>903.48</v>
      </c>
      <c r="Z92" s="124"/>
      <c r="AA92" s="107">
        <f t="shared" si="26"/>
        <v>6.1920883820385519E-3</v>
      </c>
      <c r="AB92" s="107"/>
      <c r="AC92" s="105">
        <v>602.02</v>
      </c>
      <c r="AD92" s="124"/>
      <c r="AE92" s="107">
        <f t="shared" si="27"/>
        <v>-9.7502473540611034E-2</v>
      </c>
      <c r="AF92" s="107"/>
      <c r="AG92" s="105">
        <v>566.96</v>
      </c>
      <c r="AH92" s="124"/>
      <c r="AI92" s="107">
        <f t="shared" si="28"/>
        <v>-4.2895487617536254E-2</v>
      </c>
    </row>
    <row r="93" spans="3:35" s="97" customFormat="1" ht="21" customHeight="1">
      <c r="C93" s="104">
        <v>45187</v>
      </c>
      <c r="E93" s="106">
        <v>512.97</v>
      </c>
      <c r="F93" s="108"/>
      <c r="G93" s="107">
        <f t="shared" si="21"/>
        <v>-2.8153003808044308E-2</v>
      </c>
      <c r="H93" s="109"/>
      <c r="I93" s="106">
        <v>19674.25</v>
      </c>
      <c r="J93" s="109"/>
      <c r="K93" s="107">
        <f t="shared" si="22"/>
        <v>1.8306065188942178E-3</v>
      </c>
      <c r="M93" s="105">
        <v>739.25</v>
      </c>
      <c r="N93" s="124"/>
      <c r="O93" s="107">
        <f t="shared" si="23"/>
        <v>-7.4433454363340479E-2</v>
      </c>
      <c r="P93" s="107"/>
      <c r="Q93" s="105">
        <v>1538.7</v>
      </c>
      <c r="R93" s="124"/>
      <c r="S93" s="107">
        <f t="shared" si="24"/>
        <v>-1.029137454171225E-2</v>
      </c>
      <c r="T93" s="107"/>
      <c r="U93" s="105">
        <v>1111.26</v>
      </c>
      <c r="V93" s="124"/>
      <c r="W93" s="107">
        <f t="shared" si="25"/>
        <v>-2.901779863168108E-2</v>
      </c>
      <c r="X93" s="107"/>
      <c r="Y93" s="105">
        <v>913.7</v>
      </c>
      <c r="Z93" s="124"/>
      <c r="AA93" s="107">
        <f t="shared" si="26"/>
        <v>1.1311816531633268E-2</v>
      </c>
      <c r="AB93" s="107"/>
      <c r="AC93" s="105">
        <v>597.83000000000004</v>
      </c>
      <c r="AD93" s="124"/>
      <c r="AE93" s="107">
        <f t="shared" si="27"/>
        <v>-6.9599016643964173E-3</v>
      </c>
      <c r="AF93" s="107"/>
      <c r="AG93" s="105">
        <v>576.54</v>
      </c>
      <c r="AH93" s="124"/>
      <c r="AI93" s="107">
        <f t="shared" si="28"/>
        <v>1.6897135600394853E-2</v>
      </c>
    </row>
    <row r="94" spans="3:35" s="97" customFormat="1" ht="21" customHeight="1">
      <c r="C94" s="104">
        <v>45180</v>
      </c>
      <c r="E94" s="106">
        <v>529.22</v>
      </c>
      <c r="F94" s="108"/>
      <c r="G94" s="107">
        <f t="shared" si="21"/>
        <v>3.1678265785523463E-2</v>
      </c>
      <c r="H94" s="109"/>
      <c r="I94" s="106">
        <v>20192.349999999999</v>
      </c>
      <c r="J94" s="109"/>
      <c r="K94" s="107">
        <f t="shared" si="22"/>
        <v>2.6333913618054039E-2</v>
      </c>
      <c r="M94" s="105">
        <v>792.91</v>
      </c>
      <c r="N94" s="124"/>
      <c r="O94" s="107">
        <f t="shared" si="23"/>
        <v>7.2587081501521711E-2</v>
      </c>
      <c r="P94" s="107"/>
      <c r="Q94" s="105">
        <v>1660.85</v>
      </c>
      <c r="R94" s="124"/>
      <c r="S94" s="107">
        <f t="shared" si="24"/>
        <v>7.9385195294729316E-2</v>
      </c>
      <c r="T94" s="107"/>
      <c r="U94" s="105">
        <v>1163.8599999999999</v>
      </c>
      <c r="V94" s="124"/>
      <c r="W94" s="107">
        <f t="shared" si="25"/>
        <v>4.7333657289923003E-2</v>
      </c>
      <c r="X94" s="107"/>
      <c r="Y94" s="105">
        <v>915.58</v>
      </c>
      <c r="Z94" s="124"/>
      <c r="AA94" s="107">
        <f t="shared" si="26"/>
        <v>2.0575681295829096E-3</v>
      </c>
      <c r="AB94" s="107"/>
      <c r="AC94" s="105">
        <v>617.80999999999995</v>
      </c>
      <c r="AD94" s="124"/>
      <c r="AE94" s="107">
        <f t="shared" si="27"/>
        <v>3.3420872154291237E-2</v>
      </c>
      <c r="AF94" s="107"/>
      <c r="AG94" s="105">
        <v>618.88</v>
      </c>
      <c r="AH94" s="124"/>
      <c r="AI94" s="107">
        <f t="shared" si="28"/>
        <v>7.3438096229229588E-2</v>
      </c>
    </row>
    <row r="95" spans="3:35" s="97" customFormat="1" ht="21" customHeight="1">
      <c r="C95" s="104">
        <v>45173</v>
      </c>
      <c r="E95" s="106">
        <v>536.98</v>
      </c>
      <c r="F95" s="108"/>
      <c r="G95" s="107">
        <f t="shared" si="21"/>
        <v>1.466308907448699E-2</v>
      </c>
      <c r="H95" s="109"/>
      <c r="I95" s="106">
        <v>19819.95</v>
      </c>
      <c r="J95" s="109"/>
      <c r="K95" s="107">
        <f t="shared" si="22"/>
        <v>-1.8442628024969765E-2</v>
      </c>
      <c r="M95" s="105">
        <v>767.27</v>
      </c>
      <c r="N95" s="124"/>
      <c r="O95" s="107">
        <f t="shared" si="23"/>
        <v>-3.2336582966540961E-2</v>
      </c>
      <c r="P95" s="107"/>
      <c r="Q95" s="105">
        <v>1693</v>
      </c>
      <c r="R95" s="124"/>
      <c r="S95" s="107">
        <f t="shared" si="24"/>
        <v>1.9357557876990672E-2</v>
      </c>
      <c r="T95" s="107"/>
      <c r="U95" s="105">
        <v>1169.51</v>
      </c>
      <c r="V95" s="124"/>
      <c r="W95" s="107">
        <f t="shared" si="25"/>
        <v>4.8545357689069313E-3</v>
      </c>
      <c r="X95" s="107"/>
      <c r="Y95" s="105">
        <v>913.8</v>
      </c>
      <c r="Z95" s="124"/>
      <c r="AA95" s="107">
        <f t="shared" si="26"/>
        <v>-1.9441228510890252E-3</v>
      </c>
      <c r="AB95" s="107"/>
      <c r="AC95" s="105">
        <v>645.61</v>
      </c>
      <c r="AD95" s="124"/>
      <c r="AE95" s="107">
        <f t="shared" si="27"/>
        <v>4.4997653000113491E-2</v>
      </c>
      <c r="AF95" s="107"/>
      <c r="AG95" s="105">
        <v>636.70000000000005</v>
      </c>
      <c r="AH95" s="124"/>
      <c r="AI95" s="107">
        <f t="shared" si="28"/>
        <v>2.879395036194432E-2</v>
      </c>
    </row>
    <row r="96" spans="3:35" s="97" customFormat="1" ht="21" customHeight="1">
      <c r="C96" s="104">
        <v>45166</v>
      </c>
      <c r="E96" s="106">
        <v>500.74</v>
      </c>
      <c r="F96" s="108"/>
      <c r="G96" s="107">
        <f t="shared" si="21"/>
        <v>-6.7488547059480819E-2</v>
      </c>
      <c r="H96" s="109"/>
      <c r="I96" s="106">
        <v>19435.3</v>
      </c>
      <c r="J96" s="109"/>
      <c r="K96" s="107">
        <f t="shared" si="22"/>
        <v>-1.940721343898455E-2</v>
      </c>
      <c r="M96" s="105">
        <v>679.19</v>
      </c>
      <c r="N96" s="124"/>
      <c r="O96" s="107">
        <f t="shared" si="23"/>
        <v>-0.11479661657565121</v>
      </c>
      <c r="P96" s="107"/>
      <c r="Q96" s="105">
        <v>1644.15</v>
      </c>
      <c r="R96" s="124"/>
      <c r="S96" s="107">
        <f t="shared" si="24"/>
        <v>-2.8854105138806818E-2</v>
      </c>
      <c r="T96" s="107"/>
      <c r="U96" s="105">
        <v>1118.25</v>
      </c>
      <c r="V96" s="124"/>
      <c r="W96" s="107">
        <f t="shared" si="25"/>
        <v>-4.3830322100708807E-2</v>
      </c>
      <c r="X96" s="107"/>
      <c r="Y96" s="105">
        <v>916.42</v>
      </c>
      <c r="Z96" s="124"/>
      <c r="AA96" s="107">
        <f t="shared" si="26"/>
        <v>2.8671481724666936E-3</v>
      </c>
      <c r="AB96" s="107"/>
      <c r="AC96" s="105">
        <v>666.19</v>
      </c>
      <c r="AD96" s="124"/>
      <c r="AE96" s="107">
        <f t="shared" si="27"/>
        <v>3.1876829664968076E-2</v>
      </c>
      <c r="AF96" s="107"/>
      <c r="AG96" s="105">
        <v>594.07000000000005</v>
      </c>
      <c r="AH96" s="124"/>
      <c r="AI96" s="107">
        <f t="shared" si="28"/>
        <v>-6.6954609706298074E-2</v>
      </c>
    </row>
    <row r="97" spans="3:35" s="97" customFormat="1" ht="21" customHeight="1">
      <c r="C97" s="104">
        <v>45159</v>
      </c>
      <c r="E97" s="106">
        <v>472.2</v>
      </c>
      <c r="F97" s="108"/>
      <c r="G97" s="107">
        <f t="shared" si="21"/>
        <v>-5.6995646443264047E-2</v>
      </c>
      <c r="H97" s="109"/>
      <c r="I97" s="106">
        <v>19265.8</v>
      </c>
      <c r="J97" s="109"/>
      <c r="K97" s="107">
        <f t="shared" si="22"/>
        <v>-8.7212443337638668E-3</v>
      </c>
      <c r="M97" s="105">
        <v>652.63</v>
      </c>
      <c r="N97" s="124"/>
      <c r="O97" s="107">
        <f t="shared" si="23"/>
        <v>-3.9105404967682222E-2</v>
      </c>
      <c r="P97" s="107"/>
      <c r="Q97" s="105">
        <v>1594.5</v>
      </c>
      <c r="R97" s="124"/>
      <c r="S97" s="107">
        <f t="shared" si="24"/>
        <v>-3.0197974637350633E-2</v>
      </c>
      <c r="T97" s="107"/>
      <c r="U97" s="105">
        <v>1071.8</v>
      </c>
      <c r="V97" s="124"/>
      <c r="W97" s="107">
        <f t="shared" si="25"/>
        <v>-4.1538117594455692E-2</v>
      </c>
      <c r="X97" s="107"/>
      <c r="Y97" s="105">
        <v>865.73</v>
      </c>
      <c r="Z97" s="124"/>
      <c r="AA97" s="107">
        <f t="shared" si="26"/>
        <v>-5.5313066061412841E-2</v>
      </c>
      <c r="AB97" s="107"/>
      <c r="AC97" s="105">
        <v>565.48</v>
      </c>
      <c r="AD97" s="124"/>
      <c r="AE97" s="107">
        <f t="shared" si="27"/>
        <v>-0.15117308875846236</v>
      </c>
      <c r="AF97" s="107"/>
      <c r="AG97" s="105">
        <v>586.48</v>
      </c>
      <c r="AH97" s="124"/>
      <c r="AI97" s="107">
        <f t="shared" si="28"/>
        <v>-1.2776272156479918E-2</v>
      </c>
    </row>
    <row r="98" spans="3:35" s="97" customFormat="1" ht="21" customHeight="1">
      <c r="C98" s="104">
        <v>45152</v>
      </c>
      <c r="E98" s="106">
        <v>471.01</v>
      </c>
      <c r="F98" s="108"/>
      <c r="G98" s="107">
        <f t="shared" si="21"/>
        <v>-2.5201185938161785E-3</v>
      </c>
      <c r="H98" s="109"/>
      <c r="I98" s="106">
        <v>19310.150000000001</v>
      </c>
      <c r="J98" s="109"/>
      <c r="K98" s="107">
        <f t="shared" si="22"/>
        <v>2.3020066646597392E-3</v>
      </c>
      <c r="M98" s="105">
        <v>693.3</v>
      </c>
      <c r="N98" s="124"/>
      <c r="O98" s="107">
        <f t="shared" si="23"/>
        <v>6.2317086251014953E-2</v>
      </c>
      <c r="P98" s="107"/>
      <c r="Q98" s="105">
        <v>1525.75</v>
      </c>
      <c r="R98" s="124"/>
      <c r="S98" s="107">
        <f t="shared" si="24"/>
        <v>-4.3116964565694582E-2</v>
      </c>
      <c r="T98" s="107"/>
      <c r="U98" s="105">
        <v>1064.46</v>
      </c>
      <c r="V98" s="124"/>
      <c r="W98" s="107">
        <f t="shared" si="25"/>
        <v>-6.8482925919014503E-3</v>
      </c>
      <c r="X98" s="107"/>
      <c r="Y98" s="105">
        <v>872.82</v>
      </c>
      <c r="Z98" s="124"/>
      <c r="AA98" s="107">
        <f t="shared" si="26"/>
        <v>8.1896203204232521E-3</v>
      </c>
      <c r="AB98" s="107"/>
      <c r="AC98" s="105">
        <v>557.01</v>
      </c>
      <c r="AD98" s="124"/>
      <c r="AE98" s="107">
        <f t="shared" si="27"/>
        <v>-1.4978425408502583E-2</v>
      </c>
      <c r="AF98" s="107"/>
      <c r="AG98" s="105">
        <v>582.73</v>
      </c>
      <c r="AH98" s="124"/>
      <c r="AI98" s="107">
        <f t="shared" si="28"/>
        <v>-6.3940799345245658E-3</v>
      </c>
    </row>
    <row r="99" spans="3:35" s="97" customFormat="1" ht="21" customHeight="1">
      <c r="C99" s="104">
        <v>45145</v>
      </c>
      <c r="E99" s="106">
        <v>479.06</v>
      </c>
      <c r="F99" s="108"/>
      <c r="G99" s="107">
        <f t="shared" si="21"/>
        <v>1.7090932251969226E-2</v>
      </c>
      <c r="H99" s="109"/>
      <c r="I99" s="106">
        <v>19428.3</v>
      </c>
      <c r="J99" s="109"/>
      <c r="K99" s="107">
        <f t="shared" si="22"/>
        <v>6.1185438745943177E-3</v>
      </c>
      <c r="M99" s="105">
        <v>694.65</v>
      </c>
      <c r="N99" s="124"/>
      <c r="O99" s="107">
        <f t="shared" si="23"/>
        <v>1.9472090004326592E-3</v>
      </c>
      <c r="P99" s="107"/>
      <c r="Q99" s="105">
        <v>1520.2</v>
      </c>
      <c r="R99" s="124"/>
      <c r="S99" s="107">
        <f t="shared" si="24"/>
        <v>-3.6375553006717798E-3</v>
      </c>
      <c r="T99" s="107"/>
      <c r="U99" s="105">
        <v>1070.07</v>
      </c>
      <c r="V99" s="124"/>
      <c r="W99" s="107">
        <f t="shared" si="25"/>
        <v>5.2702778873794376E-3</v>
      </c>
      <c r="X99" s="107"/>
      <c r="Y99" s="105">
        <v>849.41</v>
      </c>
      <c r="Z99" s="124"/>
      <c r="AA99" s="107">
        <f t="shared" si="26"/>
        <v>-2.682110859054565E-2</v>
      </c>
      <c r="AB99" s="107"/>
      <c r="AC99" s="105">
        <v>555.77</v>
      </c>
      <c r="AD99" s="124"/>
      <c r="AE99" s="107">
        <f t="shared" si="27"/>
        <v>-2.2261718820129062E-3</v>
      </c>
      <c r="AF99" s="107"/>
      <c r="AG99" s="105">
        <v>592.02</v>
      </c>
      <c r="AH99" s="124"/>
      <c r="AI99" s="107">
        <f t="shared" si="28"/>
        <v>1.5942203078612716E-2</v>
      </c>
    </row>
    <row r="100" spans="3:35" s="97" customFormat="1" ht="21" customHeight="1">
      <c r="C100" s="104">
        <v>45138</v>
      </c>
      <c r="E100" s="106">
        <v>486.72</v>
      </c>
      <c r="F100" s="108"/>
      <c r="G100" s="107">
        <f t="shared" si="21"/>
        <v>1.5989646390848877E-2</v>
      </c>
      <c r="H100" s="109"/>
      <c r="I100" s="106">
        <v>19517</v>
      </c>
      <c r="J100" s="109"/>
      <c r="K100" s="107">
        <f t="shared" si="22"/>
        <v>4.5655049592605579E-3</v>
      </c>
      <c r="M100" s="105">
        <v>700.78</v>
      </c>
      <c r="N100" s="124"/>
      <c r="O100" s="107">
        <f t="shared" si="23"/>
        <v>8.8245879219750467E-3</v>
      </c>
      <c r="P100" s="107"/>
      <c r="Q100" s="105">
        <v>1536.7</v>
      </c>
      <c r="R100" s="124"/>
      <c r="S100" s="107">
        <f t="shared" si="24"/>
        <v>1.0853835021707781E-2</v>
      </c>
      <c r="T100" s="107"/>
      <c r="U100" s="105">
        <v>1112.3</v>
      </c>
      <c r="V100" s="124"/>
      <c r="W100" s="107">
        <f t="shared" si="25"/>
        <v>3.9464707916304631E-2</v>
      </c>
      <c r="X100" s="107"/>
      <c r="Y100" s="105">
        <v>842.97</v>
      </c>
      <c r="Z100" s="124"/>
      <c r="AA100" s="107">
        <f t="shared" si="26"/>
        <v>-7.581733203046781E-3</v>
      </c>
      <c r="AB100" s="107"/>
      <c r="AC100" s="105">
        <v>572.01</v>
      </c>
      <c r="AD100" s="124"/>
      <c r="AE100" s="107">
        <f t="shared" si="27"/>
        <v>2.9220720801770517E-2</v>
      </c>
      <c r="AF100" s="107"/>
      <c r="AG100" s="105">
        <v>594.30999999999995</v>
      </c>
      <c r="AH100" s="124"/>
      <c r="AI100" s="107">
        <f t="shared" si="28"/>
        <v>3.8681125637647362E-3</v>
      </c>
    </row>
    <row r="101" spans="3:35" s="97" customFormat="1" ht="21" customHeight="1">
      <c r="C101" s="104">
        <v>45131</v>
      </c>
      <c r="E101" s="106">
        <v>512.91999999999996</v>
      </c>
      <c r="F101" s="108"/>
      <c r="G101" s="107">
        <f t="shared" si="21"/>
        <v>5.382971729125563E-2</v>
      </c>
      <c r="H101" s="109"/>
      <c r="I101" s="106">
        <v>19646.05</v>
      </c>
      <c r="J101" s="109"/>
      <c r="K101" s="107">
        <f t="shared" si="22"/>
        <v>6.6121842496285055E-3</v>
      </c>
      <c r="M101" s="105">
        <v>745.14</v>
      </c>
      <c r="N101" s="124"/>
      <c r="O101" s="107">
        <f t="shared" si="23"/>
        <v>6.3300893290333615E-2</v>
      </c>
      <c r="P101" s="107"/>
      <c r="Q101" s="105">
        <v>1752.15</v>
      </c>
      <c r="R101" s="124"/>
      <c r="S101" s="107">
        <f t="shared" si="24"/>
        <v>0.14020303247218058</v>
      </c>
      <c r="T101" s="107"/>
      <c r="U101" s="105">
        <v>1109.92</v>
      </c>
      <c r="V101" s="124"/>
      <c r="W101" s="107">
        <f t="shared" si="25"/>
        <v>-2.1397105097544777E-3</v>
      </c>
      <c r="X101" s="107"/>
      <c r="Y101" s="105">
        <v>842.37</v>
      </c>
      <c r="Z101" s="124"/>
      <c r="AA101" s="107">
        <f t="shared" si="26"/>
        <v>-7.1176910210335453E-4</v>
      </c>
      <c r="AB101" s="107"/>
      <c r="AC101" s="105">
        <v>588.30999999999995</v>
      </c>
      <c r="AD101" s="124"/>
      <c r="AE101" s="107">
        <f t="shared" si="27"/>
        <v>2.8496005314592399E-2</v>
      </c>
      <c r="AF101" s="107"/>
      <c r="AG101" s="105">
        <v>578.04</v>
      </c>
      <c r="AH101" s="124"/>
      <c r="AI101" s="107">
        <f t="shared" si="28"/>
        <v>-2.7376285103733689E-2</v>
      </c>
    </row>
    <row r="102" spans="3:35" s="97" customFormat="1" ht="21" customHeight="1">
      <c r="C102" s="104">
        <v>45124</v>
      </c>
      <c r="E102" s="106">
        <v>497.95</v>
      </c>
      <c r="F102" s="108"/>
      <c r="G102" s="107">
        <f t="shared" si="21"/>
        <v>-2.918583794743812E-2</v>
      </c>
      <c r="H102" s="109"/>
      <c r="I102" s="106">
        <v>19745</v>
      </c>
      <c r="J102" s="109"/>
      <c r="K102" s="107">
        <f t="shared" si="22"/>
        <v>5.0366358631888097E-3</v>
      </c>
      <c r="M102" s="105">
        <v>703.72</v>
      </c>
      <c r="N102" s="124"/>
      <c r="O102" s="107">
        <f t="shared" si="23"/>
        <v>-5.5586869581555121E-2</v>
      </c>
      <c r="P102" s="107"/>
      <c r="Q102" s="105">
        <v>1626.8</v>
      </c>
      <c r="R102" s="124"/>
      <c r="S102" s="107">
        <f t="shared" si="24"/>
        <v>-7.1540678594869234E-2</v>
      </c>
      <c r="T102" s="107"/>
      <c r="U102" s="105">
        <v>1047.21</v>
      </c>
      <c r="V102" s="124"/>
      <c r="W102" s="107">
        <f t="shared" si="25"/>
        <v>-5.6499567536399065E-2</v>
      </c>
      <c r="X102" s="107"/>
      <c r="Y102" s="105">
        <v>813.27</v>
      </c>
      <c r="Z102" s="124"/>
      <c r="AA102" s="107">
        <f t="shared" si="26"/>
        <v>-3.4545389793083858E-2</v>
      </c>
      <c r="AB102" s="107"/>
      <c r="AC102" s="105">
        <v>540.57000000000005</v>
      </c>
      <c r="AD102" s="124"/>
      <c r="AE102" s="107">
        <f t="shared" si="27"/>
        <v>-8.114769424283097E-2</v>
      </c>
      <c r="AF102" s="107"/>
      <c r="AG102" s="105">
        <v>571.77</v>
      </c>
      <c r="AH102" s="124"/>
      <c r="AI102" s="107">
        <f t="shared" si="28"/>
        <v>-1.0847000207598101E-2</v>
      </c>
    </row>
    <row r="103" spans="3:35" s="97" customFormat="1" ht="21" customHeight="1">
      <c r="C103" s="104">
        <v>45117</v>
      </c>
      <c r="E103" s="106">
        <v>490.25</v>
      </c>
      <c r="F103" s="108"/>
      <c r="G103" s="107">
        <f t="shared" si="21"/>
        <v>-1.5463399939752986E-2</v>
      </c>
      <c r="H103" s="109"/>
      <c r="I103" s="106">
        <v>19564.5</v>
      </c>
      <c r="J103" s="109"/>
      <c r="K103" s="107">
        <f t="shared" si="22"/>
        <v>-9.1415548240060263E-3</v>
      </c>
      <c r="M103" s="105">
        <v>707.61</v>
      </c>
      <c r="N103" s="124"/>
      <c r="O103" s="107">
        <f t="shared" si="23"/>
        <v>5.5277667254021168E-3</v>
      </c>
      <c r="P103" s="107"/>
      <c r="Q103" s="105">
        <v>1667.3</v>
      </c>
      <c r="R103" s="124"/>
      <c r="S103" s="107">
        <f t="shared" si="24"/>
        <v>2.4895500368822265E-2</v>
      </c>
      <c r="T103" s="107"/>
      <c r="U103" s="105">
        <v>1051.18</v>
      </c>
      <c r="V103" s="124"/>
      <c r="W103" s="107">
        <f t="shared" si="25"/>
        <v>3.7910256777533569E-3</v>
      </c>
      <c r="X103" s="107"/>
      <c r="Y103" s="105">
        <v>845.87</v>
      </c>
      <c r="Z103" s="124"/>
      <c r="AA103" s="107">
        <f t="shared" si="26"/>
        <v>4.0085088592964224E-2</v>
      </c>
      <c r="AB103" s="107"/>
      <c r="AC103" s="105">
        <v>562.04999999999995</v>
      </c>
      <c r="AD103" s="124"/>
      <c r="AE103" s="107">
        <f t="shared" si="27"/>
        <v>3.9735834397025105E-2</v>
      </c>
      <c r="AF103" s="107"/>
      <c r="AG103" s="105">
        <v>570.58000000000004</v>
      </c>
      <c r="AH103" s="124"/>
      <c r="AI103" s="107">
        <f t="shared" si="28"/>
        <v>-2.0812564492714847E-3</v>
      </c>
    </row>
    <row r="104" spans="3:35" s="97" customFormat="1" ht="21" customHeight="1">
      <c r="C104" s="104">
        <v>45110</v>
      </c>
      <c r="E104" s="106">
        <v>499.99</v>
      </c>
      <c r="F104" s="108"/>
      <c r="G104" s="107">
        <f t="shared" si="21"/>
        <v>1.9867414584395782E-2</v>
      </c>
      <c r="H104" s="109"/>
      <c r="I104" s="106">
        <v>19331.8</v>
      </c>
      <c r="J104" s="109"/>
      <c r="K104" s="107">
        <f t="shared" si="22"/>
        <v>-1.1893991668583404E-2</v>
      </c>
      <c r="M104" s="105">
        <v>698.48</v>
      </c>
      <c r="N104" s="124"/>
      <c r="O104" s="107">
        <f t="shared" si="23"/>
        <v>-1.2902587583555891E-2</v>
      </c>
      <c r="P104" s="107"/>
      <c r="Q104" s="105">
        <v>1579.7</v>
      </c>
      <c r="R104" s="124"/>
      <c r="S104" s="107">
        <f t="shared" si="24"/>
        <v>-5.2540034786780931E-2</v>
      </c>
      <c r="T104" s="107"/>
      <c r="U104" s="105">
        <v>1011.92</v>
      </c>
      <c r="V104" s="124"/>
      <c r="W104" s="107">
        <f t="shared" si="25"/>
        <v>-3.7348503586445814E-2</v>
      </c>
      <c r="X104" s="107"/>
      <c r="Y104" s="105">
        <v>798.91</v>
      </c>
      <c r="Z104" s="124"/>
      <c r="AA104" s="107">
        <f t="shared" si="26"/>
        <v>-5.5516805182829532E-2</v>
      </c>
      <c r="AB104" s="107"/>
      <c r="AC104" s="105">
        <v>579.98</v>
      </c>
      <c r="AD104" s="124"/>
      <c r="AE104" s="107">
        <f t="shared" si="27"/>
        <v>3.1901076416688934E-2</v>
      </c>
      <c r="AF104" s="107"/>
      <c r="AG104" s="105">
        <v>553.07000000000005</v>
      </c>
      <c r="AH104" s="124"/>
      <c r="AI104" s="107">
        <f t="shared" si="28"/>
        <v>-3.0688071786603044E-2</v>
      </c>
    </row>
    <row r="105" spans="3:35" s="97" customFormat="1" ht="21" customHeight="1">
      <c r="C105" s="104">
        <v>45103</v>
      </c>
      <c r="E105" s="106">
        <v>487.71</v>
      </c>
      <c r="F105" s="108"/>
      <c r="G105" s="107">
        <f t="shared" si="21"/>
        <v>-2.4560491209824287E-2</v>
      </c>
      <c r="H105" s="109"/>
      <c r="I105" s="106">
        <v>19189.05</v>
      </c>
      <c r="J105" s="109"/>
      <c r="K105" s="107">
        <f t="shared" si="22"/>
        <v>-7.3842063336058139E-3</v>
      </c>
      <c r="M105" s="105">
        <v>675.85</v>
      </c>
      <c r="N105" s="124"/>
      <c r="O105" s="107">
        <f t="shared" si="23"/>
        <v>-3.2398923376474653E-2</v>
      </c>
      <c r="P105" s="107"/>
      <c r="Q105" s="105">
        <v>1568.4</v>
      </c>
      <c r="R105" s="124"/>
      <c r="S105" s="107">
        <f t="shared" si="24"/>
        <v>-7.153256947521669E-3</v>
      </c>
      <c r="T105" s="107"/>
      <c r="U105" s="105">
        <v>976.37</v>
      </c>
      <c r="V105" s="124"/>
      <c r="W105" s="107">
        <f t="shared" si="25"/>
        <v>-3.5131235670804006E-2</v>
      </c>
      <c r="X105" s="107"/>
      <c r="Y105" s="105">
        <v>778.04</v>
      </c>
      <c r="Z105" s="124"/>
      <c r="AA105" s="107">
        <f t="shared" si="26"/>
        <v>-2.6123092713822627E-2</v>
      </c>
      <c r="AB105" s="107"/>
      <c r="AC105" s="105">
        <v>572.91</v>
      </c>
      <c r="AD105" s="124"/>
      <c r="AE105" s="107">
        <f t="shared" si="27"/>
        <v>-1.2190075519845633E-2</v>
      </c>
      <c r="AF105" s="107"/>
      <c r="AG105" s="105">
        <v>572.32000000000005</v>
      </c>
      <c r="AH105" s="124"/>
      <c r="AI105" s="107">
        <f t="shared" si="28"/>
        <v>3.4805720794836015E-2</v>
      </c>
    </row>
    <row r="106" spans="3:35" s="97" customFormat="1" ht="21" customHeight="1">
      <c r="C106" s="104">
        <v>45096</v>
      </c>
      <c r="E106" s="106">
        <v>474.44</v>
      </c>
      <c r="F106" s="108"/>
      <c r="G106" s="107">
        <f t="shared" si="21"/>
        <v>-2.7208792110065327E-2</v>
      </c>
      <c r="H106" s="109"/>
      <c r="I106" s="106">
        <v>18665.5</v>
      </c>
      <c r="J106" s="109"/>
      <c r="K106" s="107">
        <f t="shared" si="22"/>
        <v>-2.7283789452838936E-2</v>
      </c>
      <c r="M106" s="105">
        <v>649.98</v>
      </c>
      <c r="N106" s="124"/>
      <c r="O106" s="107">
        <f t="shared" si="23"/>
        <v>-3.8277724347118403E-2</v>
      </c>
      <c r="P106" s="107"/>
      <c r="Q106" s="105">
        <v>1499.65</v>
      </c>
      <c r="R106" s="124"/>
      <c r="S106" s="107">
        <f t="shared" si="24"/>
        <v>-4.3834480999744962E-2</v>
      </c>
      <c r="T106" s="107"/>
      <c r="U106" s="105">
        <v>971.71</v>
      </c>
      <c r="V106" s="124"/>
      <c r="W106" s="107">
        <f t="shared" si="25"/>
        <v>-4.7727808105533231E-3</v>
      </c>
      <c r="X106" s="107"/>
      <c r="Y106" s="105">
        <v>756.54</v>
      </c>
      <c r="Z106" s="124"/>
      <c r="AA106" s="107">
        <f t="shared" si="26"/>
        <v>-2.7633540691995306E-2</v>
      </c>
      <c r="AB106" s="107"/>
      <c r="AC106" s="105">
        <v>574.75</v>
      </c>
      <c r="AD106" s="124"/>
      <c r="AE106" s="107">
        <f t="shared" si="27"/>
        <v>3.2116737358398595E-3</v>
      </c>
      <c r="AF106" s="107"/>
      <c r="AG106" s="105">
        <v>562.62</v>
      </c>
      <c r="AH106" s="124"/>
      <c r="AI106" s="107">
        <f t="shared" si="28"/>
        <v>-1.694856024601632E-2</v>
      </c>
    </row>
    <row r="107" spans="3:35" s="97" customFormat="1" ht="21" customHeight="1">
      <c r="C107" s="104">
        <v>45089</v>
      </c>
      <c r="E107" s="106">
        <v>492.93</v>
      </c>
      <c r="F107" s="108"/>
      <c r="G107" s="107">
        <f t="shared" si="21"/>
        <v>3.8972262035241512E-2</v>
      </c>
      <c r="H107" s="109"/>
      <c r="I107" s="106">
        <v>18826</v>
      </c>
      <c r="J107" s="109"/>
      <c r="K107" s="107">
        <f t="shared" si="22"/>
        <v>8.598751707695973E-3</v>
      </c>
      <c r="M107" s="105">
        <v>621.77</v>
      </c>
      <c r="N107" s="124"/>
      <c r="O107" s="107">
        <f t="shared" si="23"/>
        <v>-4.3401335425705456E-2</v>
      </c>
      <c r="P107" s="107"/>
      <c r="Q107" s="105">
        <v>1538.8</v>
      </c>
      <c r="R107" s="124"/>
      <c r="S107" s="107">
        <f t="shared" si="24"/>
        <v>2.6106091421331579E-2</v>
      </c>
      <c r="T107" s="107"/>
      <c r="U107" s="105">
        <v>1001.73</v>
      </c>
      <c r="V107" s="124"/>
      <c r="W107" s="107">
        <f t="shared" si="25"/>
        <v>3.0893991005546795E-2</v>
      </c>
      <c r="X107" s="107"/>
      <c r="Y107" s="105">
        <v>785.5</v>
      </c>
      <c r="Z107" s="124"/>
      <c r="AA107" s="107">
        <f t="shared" si="26"/>
        <v>3.8279535781320373E-2</v>
      </c>
      <c r="AB107" s="107"/>
      <c r="AC107" s="105">
        <v>573.11</v>
      </c>
      <c r="AD107" s="124"/>
      <c r="AE107" s="107">
        <f t="shared" si="27"/>
        <v>-2.8534145280556533E-3</v>
      </c>
      <c r="AF107" s="107"/>
      <c r="AG107" s="105">
        <v>578.49</v>
      </c>
      <c r="AH107" s="124"/>
      <c r="AI107" s="107">
        <f t="shared" si="28"/>
        <v>2.8207315772635244E-2</v>
      </c>
    </row>
    <row r="108" spans="3:35" s="97" customFormat="1" ht="21" customHeight="1">
      <c r="C108" s="104">
        <v>45082</v>
      </c>
      <c r="E108" s="106">
        <v>482.29</v>
      </c>
      <c r="F108" s="108"/>
      <c r="G108" s="107">
        <f t="shared" si="21"/>
        <v>-2.1585214939240815E-2</v>
      </c>
      <c r="H108" s="109"/>
      <c r="I108" s="106">
        <v>18563.400000000001</v>
      </c>
      <c r="J108" s="109"/>
      <c r="K108" s="107">
        <f t="shared" si="22"/>
        <v>-1.3948794220758454E-2</v>
      </c>
      <c r="M108" s="105">
        <v>597.65</v>
      </c>
      <c r="N108" s="124"/>
      <c r="O108" s="107">
        <f t="shared" si="23"/>
        <v>-3.8792479534232926E-2</v>
      </c>
      <c r="P108" s="107"/>
      <c r="Q108" s="105">
        <v>1429.95</v>
      </c>
      <c r="R108" s="124"/>
      <c r="S108" s="107">
        <f t="shared" si="24"/>
        <v>-7.0736937873667749E-2</v>
      </c>
      <c r="T108" s="107"/>
      <c r="U108" s="105">
        <v>953.83</v>
      </c>
      <c r="V108" s="124"/>
      <c r="W108" s="107">
        <f t="shared" si="25"/>
        <v>-4.7817276112325668E-2</v>
      </c>
      <c r="X108" s="107"/>
      <c r="Y108" s="105">
        <v>774.44</v>
      </c>
      <c r="Z108" s="124"/>
      <c r="AA108" s="107">
        <f t="shared" si="26"/>
        <v>-1.4080203691915871E-2</v>
      </c>
      <c r="AB108" s="107"/>
      <c r="AC108" s="105">
        <v>534.94000000000005</v>
      </c>
      <c r="AD108" s="124"/>
      <c r="AE108" s="107">
        <f t="shared" si="27"/>
        <v>-6.6601525012650153E-2</v>
      </c>
      <c r="AF108" s="107"/>
      <c r="AG108" s="105">
        <v>545.65</v>
      </c>
      <c r="AH108" s="124"/>
      <c r="AI108" s="107">
        <f t="shared" si="28"/>
        <v>-5.6768483465574171E-2</v>
      </c>
    </row>
    <row r="109" spans="3:35" s="97" customFormat="1" ht="21" customHeight="1">
      <c r="C109" s="104">
        <v>45075</v>
      </c>
      <c r="E109" s="106">
        <v>486.82</v>
      </c>
      <c r="F109" s="108"/>
      <c r="G109" s="107">
        <f t="shared" si="21"/>
        <v>9.3926890460096502E-3</v>
      </c>
      <c r="H109" s="109"/>
      <c r="I109" s="106">
        <v>18534.099999999999</v>
      </c>
      <c r="J109" s="109"/>
      <c r="K109" s="107">
        <f t="shared" si="22"/>
        <v>-1.5783746511954799E-3</v>
      </c>
      <c r="M109" s="105">
        <v>555.28</v>
      </c>
      <c r="N109" s="124"/>
      <c r="O109" s="107">
        <f t="shared" si="23"/>
        <v>-7.0894336149920578E-2</v>
      </c>
      <c r="P109" s="107"/>
      <c r="Q109" s="105">
        <v>1428.95</v>
      </c>
      <c r="R109" s="124"/>
      <c r="S109" s="107">
        <f t="shared" si="24"/>
        <v>-6.993251512290577E-4</v>
      </c>
      <c r="T109" s="107"/>
      <c r="U109" s="105">
        <v>946.92</v>
      </c>
      <c r="V109" s="124"/>
      <c r="W109" s="107">
        <f t="shared" si="25"/>
        <v>-7.2444775274420614E-3</v>
      </c>
      <c r="X109" s="107"/>
      <c r="Y109" s="105">
        <v>740.11</v>
      </c>
      <c r="Z109" s="124"/>
      <c r="AA109" s="107">
        <f t="shared" si="26"/>
        <v>-4.4328805330303256E-2</v>
      </c>
      <c r="AB109" s="107"/>
      <c r="AC109" s="105">
        <v>488.49</v>
      </c>
      <c r="AD109" s="124"/>
      <c r="AE109" s="107">
        <f t="shared" si="27"/>
        <v>-8.6832168093618045E-2</v>
      </c>
      <c r="AF109" s="107"/>
      <c r="AG109" s="105">
        <v>563.96</v>
      </c>
      <c r="AH109" s="124"/>
      <c r="AI109" s="107">
        <f t="shared" si="28"/>
        <v>3.3556308989278971E-2</v>
      </c>
    </row>
    <row r="110" spans="3:35" s="97" customFormat="1" ht="21" customHeight="1">
      <c r="C110" s="104">
        <v>45068</v>
      </c>
      <c r="E110" s="106">
        <v>475.48</v>
      </c>
      <c r="F110" s="108"/>
      <c r="G110" s="107">
        <f t="shared" si="21"/>
        <v>-2.329403064787805E-2</v>
      </c>
      <c r="H110" s="109"/>
      <c r="I110" s="106">
        <v>18499.349999999999</v>
      </c>
      <c r="J110" s="109"/>
      <c r="K110" s="107">
        <f t="shared" si="22"/>
        <v>-1.874922440258775E-3</v>
      </c>
      <c r="M110" s="105">
        <v>509.07</v>
      </c>
      <c r="N110" s="124"/>
      <c r="O110" s="107">
        <f t="shared" si="23"/>
        <v>-8.3219276761273608E-2</v>
      </c>
      <c r="P110" s="107"/>
      <c r="Q110" s="105">
        <v>1370.95</v>
      </c>
      <c r="R110" s="124"/>
      <c r="S110" s="107">
        <f t="shared" si="24"/>
        <v>-4.0589243850379653E-2</v>
      </c>
      <c r="T110" s="107"/>
      <c r="U110" s="105">
        <v>921.29</v>
      </c>
      <c r="V110" s="124"/>
      <c r="W110" s="107">
        <f t="shared" si="25"/>
        <v>-2.706670046044013E-2</v>
      </c>
      <c r="X110" s="107"/>
      <c r="Y110" s="105">
        <v>733.61</v>
      </c>
      <c r="Z110" s="124"/>
      <c r="AA110" s="107">
        <f t="shared" si="26"/>
        <v>-8.78247828025569E-3</v>
      </c>
      <c r="AB110" s="107"/>
      <c r="AC110" s="105">
        <v>479.18</v>
      </c>
      <c r="AD110" s="124"/>
      <c r="AE110" s="107">
        <f t="shared" si="27"/>
        <v>-1.90587320108907E-2</v>
      </c>
      <c r="AF110" s="107"/>
      <c r="AG110" s="105">
        <v>539.34</v>
      </c>
      <c r="AH110" s="124"/>
      <c r="AI110" s="107">
        <f t="shared" si="28"/>
        <v>-4.3655578409816265E-2</v>
      </c>
    </row>
    <row r="111" spans="3:35" s="97" customFormat="1" ht="21" customHeight="1">
      <c r="C111" s="104">
        <v>45061</v>
      </c>
      <c r="E111" s="106">
        <v>469.47</v>
      </c>
      <c r="F111" s="108"/>
      <c r="G111" s="107">
        <f t="shared" si="21"/>
        <v>-1.2639858669134307E-2</v>
      </c>
      <c r="H111" s="109"/>
      <c r="I111" s="106">
        <v>18203.400000000001</v>
      </c>
      <c r="J111" s="109"/>
      <c r="K111" s="107">
        <f t="shared" si="22"/>
        <v>-1.599785938424847E-2</v>
      </c>
      <c r="M111" s="105">
        <v>480.41</v>
      </c>
      <c r="N111" s="124"/>
      <c r="O111" s="107">
        <f t="shared" si="23"/>
        <v>-5.6298740841141615E-2</v>
      </c>
      <c r="P111" s="107"/>
      <c r="Q111" s="105">
        <v>1321.9</v>
      </c>
      <c r="R111" s="124"/>
      <c r="S111" s="107">
        <f t="shared" si="24"/>
        <v>-3.5778110069659697E-2</v>
      </c>
      <c r="T111" s="107"/>
      <c r="U111" s="105">
        <v>907.02</v>
      </c>
      <c r="V111" s="124"/>
      <c r="W111" s="107">
        <f t="shared" si="25"/>
        <v>-1.548915108163551E-2</v>
      </c>
      <c r="X111" s="107"/>
      <c r="Y111" s="105">
        <v>701.51</v>
      </c>
      <c r="Z111" s="124"/>
      <c r="AA111" s="107">
        <f t="shared" si="26"/>
        <v>-4.3756219244557748E-2</v>
      </c>
      <c r="AB111" s="107"/>
      <c r="AC111" s="105">
        <v>475.24</v>
      </c>
      <c r="AD111" s="124"/>
      <c r="AE111" s="107">
        <f t="shared" si="27"/>
        <v>-8.2223798989941033E-3</v>
      </c>
      <c r="AF111" s="107"/>
      <c r="AG111" s="105">
        <v>540.03</v>
      </c>
      <c r="AH111" s="124"/>
      <c r="AI111" s="107">
        <f t="shared" si="28"/>
        <v>1.2793414172875828E-3</v>
      </c>
    </row>
    <row r="112" spans="3:35" s="97" customFormat="1" ht="21" customHeight="1">
      <c r="C112" s="104">
        <v>45054</v>
      </c>
      <c r="E112" s="106">
        <v>433.42</v>
      </c>
      <c r="F112" s="108"/>
      <c r="G112" s="107">
        <f t="shared" si="21"/>
        <v>-7.6788719193984778E-2</v>
      </c>
      <c r="H112" s="109"/>
      <c r="I112" s="106">
        <v>18314.8</v>
      </c>
      <c r="J112" s="109"/>
      <c r="K112" s="107">
        <f t="shared" si="22"/>
        <v>6.1197358735181062E-3</v>
      </c>
      <c r="M112" s="105">
        <v>485.72</v>
      </c>
      <c r="N112" s="124"/>
      <c r="O112" s="107">
        <f t="shared" si="23"/>
        <v>1.1053058845569508E-2</v>
      </c>
      <c r="P112" s="107"/>
      <c r="Q112" s="105">
        <v>1338.8</v>
      </c>
      <c r="R112" s="124"/>
      <c r="S112" s="107">
        <f t="shared" si="24"/>
        <v>1.2784628186700786E-2</v>
      </c>
      <c r="T112" s="107"/>
      <c r="U112" s="105">
        <v>929.39</v>
      </c>
      <c r="V112" s="124"/>
      <c r="W112" s="107">
        <f t="shared" si="25"/>
        <v>2.466318273025947E-2</v>
      </c>
      <c r="X112" s="107"/>
      <c r="Y112" s="105">
        <v>725.55</v>
      </c>
      <c r="Z112" s="124"/>
      <c r="AA112" s="107">
        <f t="shared" si="26"/>
        <v>3.4268934156319819E-2</v>
      </c>
      <c r="AB112" s="107"/>
      <c r="AC112" s="105">
        <v>483.76</v>
      </c>
      <c r="AD112" s="124"/>
      <c r="AE112" s="107">
        <f t="shared" si="27"/>
        <v>1.7927783856577673E-2</v>
      </c>
      <c r="AF112" s="107"/>
      <c r="AG112" s="105">
        <v>539.44000000000005</v>
      </c>
      <c r="AH112" s="124"/>
      <c r="AI112" s="107">
        <f t="shared" si="28"/>
        <v>-1.0925318963759256E-3</v>
      </c>
    </row>
    <row r="113" spans="3:35" s="97" customFormat="1" ht="21" customHeight="1">
      <c r="C113" s="104">
        <v>45047</v>
      </c>
      <c r="E113" s="106">
        <v>424.57</v>
      </c>
      <c r="F113" s="108"/>
      <c r="G113" s="107">
        <f t="shared" si="21"/>
        <v>-2.0418993124452056E-2</v>
      </c>
      <c r="H113" s="109"/>
      <c r="I113" s="106">
        <v>18069</v>
      </c>
      <c r="J113" s="109"/>
      <c r="K113" s="107">
        <f t="shared" si="22"/>
        <v>-1.3420839976412524E-2</v>
      </c>
      <c r="M113" s="105">
        <v>446.79</v>
      </c>
      <c r="N113" s="124"/>
      <c r="O113" s="107">
        <f t="shared" si="23"/>
        <v>-8.0149057069916818E-2</v>
      </c>
      <c r="P113" s="107"/>
      <c r="Q113" s="105">
        <v>1324.7</v>
      </c>
      <c r="R113" s="124"/>
      <c r="S113" s="107">
        <f t="shared" si="24"/>
        <v>-1.0531819539886356E-2</v>
      </c>
      <c r="T113" s="107"/>
      <c r="U113" s="105">
        <v>911.86</v>
      </c>
      <c r="V113" s="124"/>
      <c r="W113" s="107">
        <f t="shared" si="25"/>
        <v>-1.8861834106241648E-2</v>
      </c>
      <c r="X113" s="107"/>
      <c r="Y113" s="105">
        <v>718.98</v>
      </c>
      <c r="Z113" s="124"/>
      <c r="AA113" s="107">
        <f t="shared" si="26"/>
        <v>-9.0551995038246069E-3</v>
      </c>
      <c r="AB113" s="107"/>
      <c r="AC113" s="105">
        <v>488</v>
      </c>
      <c r="AD113" s="124"/>
      <c r="AE113" s="107">
        <f t="shared" si="27"/>
        <v>8.7646766991897884E-3</v>
      </c>
      <c r="AF113" s="107"/>
      <c r="AG113" s="105">
        <v>527.99</v>
      </c>
      <c r="AH113" s="124"/>
      <c r="AI113" s="107">
        <f t="shared" si="28"/>
        <v>-2.1225715556873914E-2</v>
      </c>
    </row>
    <row r="114" spans="3:35" s="97" customFormat="1" ht="21" customHeight="1">
      <c r="C114" s="104">
        <v>45040</v>
      </c>
      <c r="E114" s="106">
        <v>422.63</v>
      </c>
      <c r="F114" s="108"/>
      <c r="G114" s="107">
        <f t="shared" si="21"/>
        <v>-4.5693289681324467E-3</v>
      </c>
      <c r="H114" s="109"/>
      <c r="I114" s="106">
        <v>18065</v>
      </c>
      <c r="J114" s="109"/>
      <c r="K114" s="107">
        <f t="shared" si="22"/>
        <v>-2.2137362333274346E-4</v>
      </c>
      <c r="M114" s="105">
        <v>462.44</v>
      </c>
      <c r="N114" s="124"/>
      <c r="O114" s="107">
        <f t="shared" si="23"/>
        <v>3.5027641621343308E-2</v>
      </c>
      <c r="P114" s="107"/>
      <c r="Q114" s="105">
        <v>1315.65</v>
      </c>
      <c r="R114" s="124"/>
      <c r="S114" s="107">
        <f t="shared" si="24"/>
        <v>-6.8317354872801106E-3</v>
      </c>
      <c r="T114" s="107"/>
      <c r="U114" s="105">
        <v>903.71</v>
      </c>
      <c r="V114" s="124"/>
      <c r="W114" s="107">
        <f t="shared" si="25"/>
        <v>-8.9377755357181732E-3</v>
      </c>
      <c r="X114" s="107"/>
      <c r="Y114" s="105">
        <v>717.82</v>
      </c>
      <c r="Z114" s="124"/>
      <c r="AA114" s="107">
        <f t="shared" si="26"/>
        <v>-1.6133967565161722E-3</v>
      </c>
      <c r="AB114" s="107"/>
      <c r="AC114" s="105">
        <v>489.04</v>
      </c>
      <c r="AD114" s="124"/>
      <c r="AE114" s="107">
        <f t="shared" si="27"/>
        <v>2.1311475409837577E-3</v>
      </c>
      <c r="AF114" s="107"/>
      <c r="AG114" s="105">
        <v>499.39</v>
      </c>
      <c r="AH114" s="124"/>
      <c r="AI114" s="107">
        <f t="shared" si="28"/>
        <v>-5.4167692569935033E-2</v>
      </c>
    </row>
    <row r="115" spans="3:35" s="97" customFormat="1" ht="21" customHeight="1">
      <c r="C115" s="104">
        <v>45033</v>
      </c>
      <c r="E115" s="106">
        <v>403.54</v>
      </c>
      <c r="F115" s="108"/>
      <c r="G115" s="107">
        <f t="shared" si="21"/>
        <v>-4.5169533634621284E-2</v>
      </c>
      <c r="H115" s="109"/>
      <c r="I115" s="106">
        <v>17624.05</v>
      </c>
      <c r="J115" s="109"/>
      <c r="K115" s="107">
        <f t="shared" si="22"/>
        <v>-2.4409078328259115E-2</v>
      </c>
      <c r="M115" s="105">
        <v>452.57</v>
      </c>
      <c r="N115" s="124"/>
      <c r="O115" s="107">
        <f t="shared" si="23"/>
        <v>-2.1343309402300892E-2</v>
      </c>
      <c r="P115" s="107"/>
      <c r="Q115" s="105">
        <v>1272.5999999999999</v>
      </c>
      <c r="R115" s="124"/>
      <c r="S115" s="107">
        <f t="shared" si="24"/>
        <v>-3.2721468475658599E-2</v>
      </c>
      <c r="T115" s="107"/>
      <c r="U115" s="105">
        <v>862.48</v>
      </c>
      <c r="V115" s="124"/>
      <c r="W115" s="107">
        <f t="shared" si="25"/>
        <v>-4.5623042790275625E-2</v>
      </c>
      <c r="X115" s="107"/>
      <c r="Y115" s="105">
        <v>670.27</v>
      </c>
      <c r="Z115" s="124"/>
      <c r="AA115" s="107">
        <f t="shared" si="26"/>
        <v>-6.624223342899338E-2</v>
      </c>
      <c r="AB115" s="107"/>
      <c r="AC115" s="105">
        <v>458.94</v>
      </c>
      <c r="AD115" s="124"/>
      <c r="AE115" s="107">
        <f t="shared" si="27"/>
        <v>-6.1549157533126175E-2</v>
      </c>
      <c r="AF115" s="107"/>
      <c r="AG115" s="105">
        <v>486.4</v>
      </c>
      <c r="AH115" s="124"/>
      <c r="AI115" s="107">
        <f t="shared" si="28"/>
        <v>-2.6011734315865342E-2</v>
      </c>
    </row>
    <row r="116" spans="3:35" s="97" customFormat="1" ht="21" customHeight="1">
      <c r="C116" s="104">
        <v>45026</v>
      </c>
      <c r="E116" s="106">
        <v>411.15</v>
      </c>
      <c r="F116" s="108"/>
      <c r="G116" s="107">
        <f t="shared" si="21"/>
        <v>1.8858105763988497E-2</v>
      </c>
      <c r="H116" s="109"/>
      <c r="I116" s="106">
        <v>17828</v>
      </c>
      <c r="J116" s="109"/>
      <c r="K116" s="107">
        <f t="shared" si="22"/>
        <v>1.15722549584234E-2</v>
      </c>
      <c r="M116" s="105">
        <v>456.06</v>
      </c>
      <c r="N116" s="124"/>
      <c r="O116" s="107">
        <f t="shared" si="23"/>
        <v>7.7115142408910042E-3</v>
      </c>
      <c r="P116" s="107"/>
      <c r="Q116" s="105">
        <v>1282.05</v>
      </c>
      <c r="R116" s="124"/>
      <c r="S116" s="107">
        <f t="shared" si="24"/>
        <v>7.4257425742574323E-3</v>
      </c>
      <c r="T116" s="107"/>
      <c r="U116" s="105">
        <v>902.53</v>
      </c>
      <c r="V116" s="124"/>
      <c r="W116" s="107">
        <f t="shared" si="25"/>
        <v>4.643585938224648E-2</v>
      </c>
      <c r="X116" s="107"/>
      <c r="Y116" s="105">
        <v>644.92999999999995</v>
      </c>
      <c r="Z116" s="124"/>
      <c r="AA116" s="107">
        <f t="shared" si="26"/>
        <v>-3.7805660405508257E-2</v>
      </c>
      <c r="AB116" s="107"/>
      <c r="AC116" s="105">
        <v>447.13</v>
      </c>
      <c r="AD116" s="124"/>
      <c r="AE116" s="107">
        <f t="shared" si="27"/>
        <v>-2.5733211313025639E-2</v>
      </c>
      <c r="AF116" s="107"/>
      <c r="AG116" s="105">
        <v>479.14</v>
      </c>
      <c r="AH116" s="124"/>
      <c r="AI116" s="107">
        <f t="shared" si="28"/>
        <v>-1.4925986842105221E-2</v>
      </c>
    </row>
    <row r="117" spans="3:35" s="97" customFormat="1" ht="21" customHeight="1">
      <c r="C117" s="104">
        <v>45019</v>
      </c>
      <c r="E117" s="106">
        <v>380.72</v>
      </c>
      <c r="F117" s="108"/>
      <c r="G117" s="107">
        <f t="shared" si="21"/>
        <v>-7.4011917791560133E-2</v>
      </c>
      <c r="H117" s="109"/>
      <c r="I117" s="106">
        <v>17599.150000000001</v>
      </c>
      <c r="J117" s="109"/>
      <c r="K117" s="107">
        <f t="shared" si="22"/>
        <v>-1.2836549248373297E-2</v>
      </c>
      <c r="M117" s="105">
        <v>456.63</v>
      </c>
      <c r="N117" s="124"/>
      <c r="O117" s="107">
        <f t="shared" si="23"/>
        <v>1.2498355479542145E-3</v>
      </c>
      <c r="P117" s="107"/>
      <c r="Q117" s="105">
        <v>1125.25</v>
      </c>
      <c r="R117" s="124"/>
      <c r="S117" s="107">
        <f t="shared" si="24"/>
        <v>-0.12230412230412224</v>
      </c>
      <c r="T117" s="107"/>
      <c r="U117" s="105">
        <v>885.59</v>
      </c>
      <c r="V117" s="124"/>
      <c r="W117" s="107">
        <f t="shared" si="25"/>
        <v>-1.8769459186952164E-2</v>
      </c>
      <c r="X117" s="107"/>
      <c r="Y117" s="105">
        <v>635.71</v>
      </c>
      <c r="Z117" s="124"/>
      <c r="AA117" s="107">
        <f t="shared" si="26"/>
        <v>-1.4296125160870088E-2</v>
      </c>
      <c r="AB117" s="107"/>
      <c r="AC117" s="105">
        <v>418.03</v>
      </c>
      <c r="AD117" s="124"/>
      <c r="AE117" s="107">
        <f t="shared" si="27"/>
        <v>-6.5081743564511463E-2</v>
      </c>
      <c r="AF117" s="107"/>
      <c r="AG117" s="105">
        <v>471.53</v>
      </c>
      <c r="AH117" s="124"/>
      <c r="AI117" s="107">
        <f t="shared" si="28"/>
        <v>-1.5882623032934085E-2</v>
      </c>
    </row>
    <row r="118" spans="3:35" s="97" customFormat="1" ht="21" customHeight="1">
      <c r="C118" s="104">
        <v>45012</v>
      </c>
      <c r="E118" s="106">
        <v>354.97</v>
      </c>
      <c r="F118" s="108"/>
      <c r="G118" s="107">
        <f t="shared" si="21"/>
        <v>-6.7635007354486243E-2</v>
      </c>
      <c r="H118" s="109"/>
      <c r="I118" s="106">
        <v>17359.75</v>
      </c>
      <c r="J118" s="109"/>
      <c r="K118" s="107">
        <f t="shared" si="22"/>
        <v>-1.3602929686945209E-2</v>
      </c>
      <c r="M118" s="105">
        <v>463.86</v>
      </c>
      <c r="N118" s="124"/>
      <c r="O118" s="107">
        <f t="shared" si="23"/>
        <v>1.5833388082254762E-2</v>
      </c>
      <c r="P118" s="107"/>
      <c r="Q118" s="105">
        <v>1030.55</v>
      </c>
      <c r="R118" s="124"/>
      <c r="S118" s="107">
        <f t="shared" si="24"/>
        <v>-8.4159075760942059E-2</v>
      </c>
      <c r="T118" s="107"/>
      <c r="U118" s="105">
        <v>832.12</v>
      </c>
      <c r="V118" s="124"/>
      <c r="W118" s="107">
        <f t="shared" si="25"/>
        <v>-6.0377827211237745E-2</v>
      </c>
      <c r="X118" s="107"/>
      <c r="Y118" s="105">
        <v>645.13</v>
      </c>
      <c r="Z118" s="124"/>
      <c r="AA118" s="107">
        <f t="shared" si="26"/>
        <v>1.4818077425241105E-2</v>
      </c>
      <c r="AB118" s="107"/>
      <c r="AC118" s="105">
        <v>401.84</v>
      </c>
      <c r="AD118" s="124"/>
      <c r="AE118" s="107">
        <f t="shared" si="27"/>
        <v>-3.8729277803028483E-2</v>
      </c>
      <c r="AF118" s="107"/>
      <c r="AG118" s="105">
        <v>472.32</v>
      </c>
      <c r="AH118" s="124"/>
      <c r="AI118" s="107">
        <f t="shared" si="28"/>
        <v>1.675397111530641E-3</v>
      </c>
    </row>
    <row r="119" spans="3:35" s="97" customFormat="1" ht="21" customHeight="1">
      <c r="C119" s="104">
        <v>45005</v>
      </c>
      <c r="E119" s="106">
        <v>352.29</v>
      </c>
      <c r="F119" s="108"/>
      <c r="G119" s="107">
        <f t="shared" si="21"/>
        <v>-7.5499337972223524E-3</v>
      </c>
      <c r="H119" s="109"/>
      <c r="I119" s="106">
        <v>16945.05</v>
      </c>
      <c r="J119" s="109"/>
      <c r="K119" s="107">
        <f t="shared" si="22"/>
        <v>-2.388859286568068E-2</v>
      </c>
      <c r="M119" s="105">
        <v>410.03</v>
      </c>
      <c r="N119" s="124"/>
      <c r="O119" s="107">
        <f t="shared" si="23"/>
        <v>-0.11604794550079778</v>
      </c>
      <c r="P119" s="107"/>
      <c r="Q119" s="105">
        <v>1044.55</v>
      </c>
      <c r="R119" s="124"/>
      <c r="S119" s="107">
        <f t="shared" si="24"/>
        <v>1.3584978894764843E-2</v>
      </c>
      <c r="T119" s="107"/>
      <c r="U119" s="105">
        <v>833.6</v>
      </c>
      <c r="V119" s="124"/>
      <c r="W119" s="107">
        <f t="shared" si="25"/>
        <v>1.7785896264961298E-3</v>
      </c>
      <c r="X119" s="107"/>
      <c r="Y119" s="105">
        <v>637.54</v>
      </c>
      <c r="Z119" s="124"/>
      <c r="AA119" s="107">
        <f t="shared" si="26"/>
        <v>-1.1765070605924466E-2</v>
      </c>
      <c r="AB119" s="107"/>
      <c r="AC119" s="105">
        <v>412.25</v>
      </c>
      <c r="AD119" s="124"/>
      <c r="AE119" s="107">
        <f t="shared" si="27"/>
        <v>2.5905833167429781E-2</v>
      </c>
      <c r="AF119" s="107"/>
      <c r="AG119" s="105">
        <v>452.87</v>
      </c>
      <c r="AH119" s="124"/>
      <c r="AI119" s="107">
        <f t="shared" si="28"/>
        <v>-4.1179708672086646E-2</v>
      </c>
    </row>
    <row r="120" spans="3:35" s="97" customFormat="1" ht="21" customHeight="1">
      <c r="C120" s="104">
        <v>44998</v>
      </c>
      <c r="E120" s="106">
        <v>373.02</v>
      </c>
      <c r="F120" s="108"/>
      <c r="G120" s="107">
        <f t="shared" si="21"/>
        <v>5.8843566379970902E-2</v>
      </c>
      <c r="H120" s="109"/>
      <c r="I120" s="106">
        <v>17100.05</v>
      </c>
      <c r="J120" s="109"/>
      <c r="K120" s="107">
        <f t="shared" si="22"/>
        <v>9.1472140831687643E-3</v>
      </c>
      <c r="M120" s="105">
        <v>444.8</v>
      </c>
      <c r="N120" s="124"/>
      <c r="O120" s="107">
        <f t="shared" si="23"/>
        <v>8.4798673267809876E-2</v>
      </c>
      <c r="P120" s="107"/>
      <c r="Q120" s="105">
        <v>1123.75</v>
      </c>
      <c r="R120" s="124"/>
      <c r="S120" s="107">
        <f t="shared" si="24"/>
        <v>7.5822124359772092E-2</v>
      </c>
      <c r="T120" s="107"/>
      <c r="U120" s="105">
        <v>855.32</v>
      </c>
      <c r="V120" s="124"/>
      <c r="W120" s="107">
        <f t="shared" si="25"/>
        <v>2.6055662188099848E-2</v>
      </c>
      <c r="X120" s="107"/>
      <c r="Y120" s="105">
        <v>631.66999999999996</v>
      </c>
      <c r="Z120" s="124"/>
      <c r="AA120" s="107">
        <f t="shared" si="26"/>
        <v>-9.2072654264830911E-3</v>
      </c>
      <c r="AB120" s="107"/>
      <c r="AC120" s="105">
        <v>417.93</v>
      </c>
      <c r="AD120" s="124"/>
      <c r="AE120" s="107">
        <f t="shared" si="27"/>
        <v>1.3778047301394869E-2</v>
      </c>
      <c r="AF120" s="107"/>
      <c r="AG120" s="105">
        <v>464.21</v>
      </c>
      <c r="AH120" s="124"/>
      <c r="AI120" s="107">
        <f t="shared" si="28"/>
        <v>2.5040298540419892E-2</v>
      </c>
    </row>
    <row r="121" spans="3:35" s="97" customFormat="1" ht="21" customHeight="1">
      <c r="C121" s="104">
        <v>44991</v>
      </c>
      <c r="E121" s="106">
        <v>348.06</v>
      </c>
      <c r="F121" s="108"/>
      <c r="G121" s="107">
        <f t="shared" si="21"/>
        <v>-6.691330223580505E-2</v>
      </c>
      <c r="H121" s="109"/>
      <c r="I121" s="106">
        <v>17412.900000000001</v>
      </c>
      <c r="J121" s="109"/>
      <c r="K121" s="107">
        <f t="shared" si="22"/>
        <v>1.829526814249105E-2</v>
      </c>
      <c r="M121" s="105">
        <v>450</v>
      </c>
      <c r="N121" s="124"/>
      <c r="O121" s="107">
        <f t="shared" si="23"/>
        <v>1.1690647482014427E-2</v>
      </c>
      <c r="P121" s="107"/>
      <c r="Q121" s="105">
        <v>1162.8</v>
      </c>
      <c r="R121" s="124"/>
      <c r="S121" s="107">
        <f t="shared" si="24"/>
        <v>3.4749721913236886E-2</v>
      </c>
      <c r="T121" s="107"/>
      <c r="U121" s="105">
        <v>868.31</v>
      </c>
      <c r="V121" s="124"/>
      <c r="W121" s="107">
        <f t="shared" si="25"/>
        <v>1.518729832109611E-2</v>
      </c>
      <c r="X121" s="107"/>
      <c r="Y121" s="105">
        <v>652.79</v>
      </c>
      <c r="Z121" s="124"/>
      <c r="AA121" s="107">
        <f t="shared" si="26"/>
        <v>3.3435179761584388E-2</v>
      </c>
      <c r="AB121" s="107"/>
      <c r="AC121" s="105">
        <v>399</v>
      </c>
      <c r="AD121" s="124"/>
      <c r="AE121" s="107">
        <f t="shared" si="27"/>
        <v>-4.5294666570956821E-2</v>
      </c>
      <c r="AF121" s="107"/>
      <c r="AG121" s="105">
        <v>461.23</v>
      </c>
      <c r="AH121" s="124"/>
      <c r="AI121" s="107">
        <f t="shared" si="28"/>
        <v>-6.4195084121410062E-3</v>
      </c>
    </row>
    <row r="122" spans="3:35" s="97" customFormat="1" ht="21" customHeight="1">
      <c r="C122" s="104">
        <v>44984</v>
      </c>
      <c r="E122" s="106">
        <v>358.2</v>
      </c>
      <c r="F122" s="108"/>
      <c r="G122" s="107">
        <f t="shared" si="21"/>
        <v>2.9132908119289702E-2</v>
      </c>
      <c r="H122" s="109"/>
      <c r="I122" s="106">
        <v>17594.349999999999</v>
      </c>
      <c r="J122" s="109"/>
      <c r="K122" s="107">
        <f t="shared" si="22"/>
        <v>1.0420435424311592E-2</v>
      </c>
      <c r="M122" s="105">
        <v>513.96</v>
      </c>
      <c r="N122" s="124"/>
      <c r="O122" s="107">
        <f t="shared" si="23"/>
        <v>0.14213333333333344</v>
      </c>
      <c r="P122" s="107"/>
      <c r="Q122" s="105">
        <v>1167.3499999999999</v>
      </c>
      <c r="R122" s="124"/>
      <c r="S122" s="107">
        <f t="shared" si="24"/>
        <v>3.9129686962504628E-3</v>
      </c>
      <c r="T122" s="107"/>
      <c r="U122" s="105">
        <v>879.52</v>
      </c>
      <c r="V122" s="124"/>
      <c r="W122" s="107">
        <f t="shared" si="25"/>
        <v>1.2910135780999976E-2</v>
      </c>
      <c r="X122" s="107"/>
      <c r="Y122" s="105">
        <v>684.77</v>
      </c>
      <c r="Z122" s="124"/>
      <c r="AA122" s="107">
        <f t="shared" si="26"/>
        <v>4.898972104352084E-2</v>
      </c>
      <c r="AB122" s="107"/>
      <c r="AC122" s="105">
        <v>396.26</v>
      </c>
      <c r="AD122" s="124"/>
      <c r="AE122" s="107">
        <f t="shared" si="27"/>
        <v>-6.8671679197994662E-3</v>
      </c>
      <c r="AF122" s="107"/>
      <c r="AG122" s="105">
        <v>474.51</v>
      </c>
      <c r="AH122" s="124"/>
      <c r="AI122" s="107">
        <f t="shared" si="28"/>
        <v>2.8792576371875045E-2</v>
      </c>
    </row>
    <row r="123" spans="3:35" s="97" customFormat="1" ht="21" customHeight="1">
      <c r="C123" s="104">
        <v>44977</v>
      </c>
      <c r="E123" s="106">
        <v>344.13</v>
      </c>
      <c r="F123" s="108"/>
      <c r="G123" s="107">
        <f t="shared" si="21"/>
        <v>-3.9279731993299816E-2</v>
      </c>
      <c r="H123" s="109"/>
      <c r="I123" s="106">
        <v>17465.8</v>
      </c>
      <c r="J123" s="109"/>
      <c r="K123" s="107">
        <f t="shared" si="22"/>
        <v>-7.3063227683887177E-3</v>
      </c>
      <c r="M123" s="105">
        <v>358.66</v>
      </c>
      <c r="N123" s="124"/>
      <c r="O123" s="107">
        <f t="shared" si="23"/>
        <v>-0.3021635924974706</v>
      </c>
      <c r="P123" s="107"/>
      <c r="Q123" s="105">
        <v>1080.8499999999999</v>
      </c>
      <c r="R123" s="124"/>
      <c r="S123" s="107">
        <f t="shared" si="24"/>
        <v>-7.4099456032895028E-2</v>
      </c>
      <c r="T123" s="107"/>
      <c r="U123" s="105">
        <v>834.73</v>
      </c>
      <c r="V123" s="124"/>
      <c r="W123" s="107">
        <f t="shared" si="25"/>
        <v>-5.0925504820811263E-2</v>
      </c>
      <c r="X123" s="107"/>
      <c r="Y123" s="105">
        <v>651.79999999999995</v>
      </c>
      <c r="Z123" s="124"/>
      <c r="AA123" s="107">
        <f t="shared" si="26"/>
        <v>-4.814755319304298E-2</v>
      </c>
      <c r="AB123" s="107"/>
      <c r="AC123" s="105">
        <v>398.45</v>
      </c>
      <c r="AD123" s="124"/>
      <c r="AE123" s="107">
        <f t="shared" si="27"/>
        <v>5.5266744056932104E-3</v>
      </c>
      <c r="AF123" s="107"/>
      <c r="AG123" s="105">
        <v>464.76</v>
      </c>
      <c r="AH123" s="124"/>
      <c r="AI123" s="107">
        <f t="shared" si="28"/>
        <v>-2.0547512170449478E-2</v>
      </c>
    </row>
    <row r="124" spans="3:35" s="97" customFormat="1" ht="21" customHeight="1">
      <c r="C124" s="104">
        <v>44970</v>
      </c>
      <c r="E124" s="106">
        <v>362.53</v>
      </c>
      <c r="F124" s="108"/>
      <c r="G124" s="107">
        <f t="shared" si="21"/>
        <v>5.3468166100020253E-2</v>
      </c>
      <c r="H124" s="109"/>
      <c r="I124" s="106">
        <v>17944.2</v>
      </c>
      <c r="J124" s="109"/>
      <c r="K124" s="107">
        <f t="shared" si="22"/>
        <v>2.7390672056247123E-2</v>
      </c>
      <c r="M124" s="105">
        <v>447.84</v>
      </c>
      <c r="N124" s="124"/>
      <c r="O124" s="107">
        <f t="shared" si="23"/>
        <v>0.24864774438186577</v>
      </c>
      <c r="P124" s="107"/>
      <c r="Q124" s="105">
        <v>1163.95</v>
      </c>
      <c r="R124" s="124"/>
      <c r="S124" s="107">
        <f t="shared" si="24"/>
        <v>7.688393394088E-2</v>
      </c>
      <c r="T124" s="107"/>
      <c r="U124" s="105">
        <v>850.34</v>
      </c>
      <c r="V124" s="124"/>
      <c r="W124" s="107">
        <f t="shared" si="25"/>
        <v>1.8700657697698686E-2</v>
      </c>
      <c r="X124" s="107"/>
      <c r="Y124" s="105">
        <v>643.72</v>
      </c>
      <c r="Z124" s="124"/>
      <c r="AA124" s="107">
        <f t="shared" si="26"/>
        <v>-1.2396440625958793E-2</v>
      </c>
      <c r="AB124" s="107"/>
      <c r="AC124" s="105">
        <v>431.79</v>
      </c>
      <c r="AD124" s="124"/>
      <c r="AE124" s="107">
        <f t="shared" si="27"/>
        <v>8.3674237670975149E-2</v>
      </c>
      <c r="AF124" s="107"/>
      <c r="AG124" s="105">
        <v>489.14</v>
      </c>
      <c r="AH124" s="124"/>
      <c r="AI124" s="107">
        <f t="shared" si="28"/>
        <v>5.2457182201566477E-2</v>
      </c>
    </row>
    <row r="125" spans="3:35" s="97" customFormat="1" ht="21" customHeight="1">
      <c r="C125" s="104">
        <v>44963</v>
      </c>
      <c r="E125" s="106">
        <v>359.15</v>
      </c>
      <c r="F125" s="108"/>
      <c r="G125" s="107">
        <f t="shared" si="21"/>
        <v>-9.3233663420958512E-3</v>
      </c>
      <c r="H125" s="109"/>
      <c r="I125" s="106">
        <v>17856.5</v>
      </c>
      <c r="J125" s="109"/>
      <c r="K125" s="107">
        <f t="shared" si="22"/>
        <v>-4.8873730787664105E-3</v>
      </c>
      <c r="M125" s="105">
        <v>499.03</v>
      </c>
      <c r="N125" s="124"/>
      <c r="O125" s="107">
        <f t="shared" si="23"/>
        <v>0.11430421579135408</v>
      </c>
      <c r="P125" s="107"/>
      <c r="Q125" s="105">
        <v>1208.9000000000001</v>
      </c>
      <c r="R125" s="124"/>
      <c r="S125" s="107">
        <f t="shared" si="24"/>
        <v>3.8618497358134052E-2</v>
      </c>
      <c r="T125" s="107"/>
      <c r="U125" s="105">
        <v>848.31</v>
      </c>
      <c r="V125" s="124"/>
      <c r="W125" s="107">
        <f t="shared" si="25"/>
        <v>-2.3872803819650068E-3</v>
      </c>
      <c r="X125" s="107"/>
      <c r="Y125" s="105">
        <v>686.06</v>
      </c>
      <c r="Z125" s="124"/>
      <c r="AA125" s="107">
        <f t="shared" si="26"/>
        <v>6.5773938979680535E-2</v>
      </c>
      <c r="AB125" s="107"/>
      <c r="AC125" s="105">
        <v>410.96</v>
      </c>
      <c r="AD125" s="124"/>
      <c r="AE125" s="107">
        <f t="shared" si="27"/>
        <v>-4.8241043099655045E-2</v>
      </c>
      <c r="AF125" s="107"/>
      <c r="AG125" s="105">
        <v>492.17</v>
      </c>
      <c r="AH125" s="124"/>
      <c r="AI125" s="107">
        <f t="shared" si="28"/>
        <v>6.1945455288874296E-3</v>
      </c>
    </row>
    <row r="126" spans="3:35" s="97" customFormat="1" ht="21" customHeight="1">
      <c r="C126" s="104">
        <v>44956</v>
      </c>
      <c r="E126" s="106">
        <v>351.64</v>
      </c>
      <c r="F126" s="108"/>
      <c r="G126" s="107">
        <f t="shared" si="21"/>
        <v>-2.0910483085061937E-2</v>
      </c>
      <c r="H126" s="109"/>
      <c r="I126" s="106">
        <v>17854.05</v>
      </c>
      <c r="J126" s="109"/>
      <c r="K126" s="107">
        <f t="shared" si="22"/>
        <v>-1.3720493937785516E-4</v>
      </c>
      <c r="M126" s="105">
        <v>486.82</v>
      </c>
      <c r="N126" s="124"/>
      <c r="O126" s="107">
        <f t="shared" si="23"/>
        <v>-2.4467466885758293E-2</v>
      </c>
      <c r="P126" s="107"/>
      <c r="Q126" s="105">
        <v>1150.2</v>
      </c>
      <c r="R126" s="124"/>
      <c r="S126" s="107">
        <f t="shared" si="24"/>
        <v>-4.8556539002398869E-2</v>
      </c>
      <c r="T126" s="107"/>
      <c r="U126" s="105">
        <v>819.03</v>
      </c>
      <c r="V126" s="124"/>
      <c r="W126" s="107">
        <f t="shared" si="25"/>
        <v>-3.4515684124907131E-2</v>
      </c>
      <c r="X126" s="107"/>
      <c r="Y126" s="105">
        <v>688.34</v>
      </c>
      <c r="Z126" s="124"/>
      <c r="AA126" s="107">
        <f t="shared" si="26"/>
        <v>3.3233244905694903E-3</v>
      </c>
      <c r="AB126" s="107"/>
      <c r="AC126" s="105">
        <v>394.61</v>
      </c>
      <c r="AD126" s="124"/>
      <c r="AE126" s="107">
        <f t="shared" si="27"/>
        <v>-3.9784893906949503E-2</v>
      </c>
      <c r="AF126" s="107"/>
      <c r="AG126" s="105">
        <v>476.2</v>
      </c>
      <c r="AH126" s="124"/>
      <c r="AI126" s="107">
        <f t="shared" si="28"/>
        <v>-3.2448137838551827E-2</v>
      </c>
    </row>
    <row r="127" spans="3:35" s="97" customFormat="1" ht="21" customHeight="1">
      <c r="C127" s="104">
        <v>44949</v>
      </c>
      <c r="E127" s="106">
        <v>353.93</v>
      </c>
      <c r="F127" s="108"/>
      <c r="G127" s="107">
        <f t="shared" si="21"/>
        <v>6.5123421681265725E-3</v>
      </c>
      <c r="H127" s="109"/>
      <c r="I127" s="106">
        <v>17604.349999999999</v>
      </c>
      <c r="J127" s="109"/>
      <c r="K127" s="107">
        <f t="shared" si="22"/>
        <v>-1.3985622309784063E-2</v>
      </c>
      <c r="M127" s="105">
        <v>505.31</v>
      </c>
      <c r="N127" s="124"/>
      <c r="O127" s="107">
        <f t="shared" si="23"/>
        <v>3.798118401051731E-2</v>
      </c>
      <c r="P127" s="107"/>
      <c r="Q127" s="105">
        <v>1186.05</v>
      </c>
      <c r="R127" s="124"/>
      <c r="S127" s="107">
        <f t="shared" si="24"/>
        <v>3.1168492436097983E-2</v>
      </c>
      <c r="T127" s="107"/>
      <c r="U127" s="105">
        <v>792.27</v>
      </c>
      <c r="V127" s="124"/>
      <c r="W127" s="107">
        <f t="shared" si="25"/>
        <v>-3.26727958682832E-2</v>
      </c>
      <c r="X127" s="107"/>
      <c r="Y127" s="105">
        <v>671.58</v>
      </c>
      <c r="Z127" s="124"/>
      <c r="AA127" s="107">
        <f t="shared" si="26"/>
        <v>-2.4348432460702507E-2</v>
      </c>
      <c r="AB127" s="107"/>
      <c r="AC127" s="105">
        <v>421.77</v>
      </c>
      <c r="AD127" s="124"/>
      <c r="AE127" s="107">
        <f t="shared" si="27"/>
        <v>6.882744988723033E-2</v>
      </c>
      <c r="AF127" s="107"/>
      <c r="AG127" s="105">
        <v>448.74</v>
      </c>
      <c r="AH127" s="124"/>
      <c r="AI127" s="107">
        <f t="shared" si="28"/>
        <v>-5.7664846703065931E-2</v>
      </c>
    </row>
    <row r="128" spans="3:35" s="97" customFormat="1" ht="21" customHeight="1">
      <c r="C128" s="104">
        <v>44942</v>
      </c>
      <c r="E128" s="106">
        <v>367.3</v>
      </c>
      <c r="F128" s="108"/>
      <c r="G128" s="107">
        <f t="shared" si="21"/>
        <v>3.7775831379086355E-2</v>
      </c>
      <c r="H128" s="109"/>
      <c r="I128" s="106">
        <v>18027.650000000001</v>
      </c>
      <c r="J128" s="109"/>
      <c r="K128" s="107">
        <f t="shared" si="22"/>
        <v>2.4045193375501039E-2</v>
      </c>
      <c r="M128" s="105">
        <v>559.39</v>
      </c>
      <c r="N128" s="124"/>
      <c r="O128" s="107">
        <f t="shared" si="23"/>
        <v>0.10702341137123739</v>
      </c>
      <c r="P128" s="107"/>
      <c r="Q128" s="105">
        <v>1230.3499999999999</v>
      </c>
      <c r="R128" s="124"/>
      <c r="S128" s="107">
        <f t="shared" si="24"/>
        <v>3.7350870536655201E-2</v>
      </c>
      <c r="T128" s="107"/>
      <c r="U128" s="105">
        <v>821.2</v>
      </c>
      <c r="V128" s="124"/>
      <c r="W128" s="107">
        <f t="shared" si="25"/>
        <v>3.6515329370037986E-2</v>
      </c>
      <c r="X128" s="107"/>
      <c r="Y128" s="105">
        <v>690.08</v>
      </c>
      <c r="Z128" s="124"/>
      <c r="AA128" s="107">
        <f t="shared" si="26"/>
        <v>2.7546978766491037E-2</v>
      </c>
      <c r="AB128" s="107"/>
      <c r="AC128" s="105">
        <v>441.2</v>
      </c>
      <c r="AD128" s="124"/>
      <c r="AE128" s="107">
        <f t="shared" si="27"/>
        <v>4.6067762050406635E-2</v>
      </c>
      <c r="AF128" s="107"/>
      <c r="AG128" s="105">
        <v>452.77</v>
      </c>
      <c r="AH128" s="124"/>
      <c r="AI128" s="107">
        <f t="shared" si="28"/>
        <v>8.9807015198108964E-3</v>
      </c>
    </row>
    <row r="129" spans="3:35" s="97" customFormat="1" ht="21" customHeight="1">
      <c r="C129" s="104">
        <v>44935</v>
      </c>
      <c r="E129" s="106">
        <v>375.35</v>
      </c>
      <c r="F129" s="108"/>
      <c r="G129" s="107">
        <f t="shared" si="21"/>
        <v>2.1916689354750885E-2</v>
      </c>
      <c r="H129" s="109"/>
      <c r="I129" s="106">
        <v>17956.599999999999</v>
      </c>
      <c r="J129" s="109"/>
      <c r="K129" s="107">
        <f t="shared" si="22"/>
        <v>-3.9411681500363116E-3</v>
      </c>
      <c r="M129" s="105">
        <v>506.95</v>
      </c>
      <c r="N129" s="124"/>
      <c r="O129" s="107">
        <f t="shared" si="23"/>
        <v>-9.3744972201862731E-2</v>
      </c>
      <c r="P129" s="107"/>
      <c r="Q129" s="105">
        <v>1243.5999999999999</v>
      </c>
      <c r="R129" s="124"/>
      <c r="S129" s="107">
        <f t="shared" si="24"/>
        <v>1.0769293290527004E-2</v>
      </c>
      <c r="T129" s="107"/>
      <c r="U129" s="105">
        <v>840.02</v>
      </c>
      <c r="V129" s="124"/>
      <c r="W129" s="107">
        <f t="shared" si="25"/>
        <v>2.2917681441792404E-2</v>
      </c>
      <c r="X129" s="107"/>
      <c r="Y129" s="105">
        <v>712.34</v>
      </c>
      <c r="Z129" s="124"/>
      <c r="AA129" s="107">
        <f t="shared" si="26"/>
        <v>3.2257129608161295E-2</v>
      </c>
      <c r="AB129" s="107"/>
      <c r="AC129" s="105">
        <v>441.95</v>
      </c>
      <c r="AD129" s="124"/>
      <c r="AE129" s="107">
        <f t="shared" si="27"/>
        <v>1.6999093381686592E-3</v>
      </c>
      <c r="AF129" s="107"/>
      <c r="AG129" s="105">
        <v>435.06</v>
      </c>
      <c r="AH129" s="124"/>
      <c r="AI129" s="107">
        <f t="shared" si="28"/>
        <v>-3.9114782339819243E-2</v>
      </c>
    </row>
    <row r="130" spans="3:35" s="97" customFormat="1" ht="21" customHeight="1">
      <c r="C130" s="104">
        <v>44928</v>
      </c>
      <c r="E130" s="106">
        <v>367.75</v>
      </c>
      <c r="F130" s="108"/>
      <c r="G130" s="107">
        <f t="shared" si="21"/>
        <v>-2.024776874916745E-2</v>
      </c>
      <c r="H130" s="109"/>
      <c r="I130" s="106">
        <v>17859.45</v>
      </c>
      <c r="J130" s="109"/>
      <c r="K130" s="107">
        <f t="shared" si="22"/>
        <v>-5.4102669770444978E-3</v>
      </c>
      <c r="M130" s="105">
        <v>529.16</v>
      </c>
      <c r="N130" s="124"/>
      <c r="O130" s="107">
        <f t="shared" si="23"/>
        <v>4.3811026728474145E-2</v>
      </c>
      <c r="P130" s="107"/>
      <c r="Q130" s="105">
        <v>1199.3499999999999</v>
      </c>
      <c r="R130" s="124"/>
      <c r="S130" s="107">
        <f t="shared" si="24"/>
        <v>-3.5582180765519444E-2</v>
      </c>
      <c r="T130" s="107"/>
      <c r="U130" s="105">
        <v>843.03</v>
      </c>
      <c r="V130" s="124"/>
      <c r="W130" s="107">
        <f t="shared" si="25"/>
        <v>3.583248017904328E-3</v>
      </c>
      <c r="X130" s="107"/>
      <c r="Y130" s="105">
        <v>703.71</v>
      </c>
      <c r="Z130" s="124"/>
      <c r="AA130" s="107">
        <f t="shared" si="26"/>
        <v>-1.211500126344156E-2</v>
      </c>
      <c r="AB130" s="107"/>
      <c r="AC130" s="105">
        <v>464.97</v>
      </c>
      <c r="AD130" s="124"/>
      <c r="AE130" s="107">
        <f t="shared" si="27"/>
        <v>5.2087340196854903E-2</v>
      </c>
      <c r="AF130" s="107"/>
      <c r="AG130" s="105">
        <v>458.39</v>
      </c>
      <c r="AH130" s="124"/>
      <c r="AI130" s="107">
        <f t="shared" si="28"/>
        <v>5.362478738564791E-2</v>
      </c>
    </row>
    <row r="131" spans="3:35" s="97" customFormat="1" ht="21" customHeight="1">
      <c r="C131" s="104">
        <v>44921</v>
      </c>
      <c r="E131" s="106">
        <v>373.02</v>
      </c>
      <c r="F131" s="108"/>
      <c r="G131" s="107">
        <f t="shared" si="21"/>
        <v>1.4330387491502394E-2</v>
      </c>
      <c r="H131" s="109"/>
      <c r="I131" s="106">
        <v>18105.3</v>
      </c>
      <c r="J131" s="109"/>
      <c r="K131" s="107">
        <f t="shared" si="22"/>
        <v>1.3765821455867799E-2</v>
      </c>
      <c r="M131" s="105">
        <v>544.04</v>
      </c>
      <c r="N131" s="124"/>
      <c r="O131" s="107">
        <f t="shared" si="23"/>
        <v>2.8120039307581779E-2</v>
      </c>
      <c r="P131" s="107"/>
      <c r="Q131" s="105">
        <v>1223.1500000000001</v>
      </c>
      <c r="R131" s="124"/>
      <c r="S131" s="107">
        <f t="shared" si="24"/>
        <v>1.9844082211197822E-2</v>
      </c>
      <c r="T131" s="107"/>
      <c r="U131" s="105">
        <v>857.15</v>
      </c>
      <c r="V131" s="124"/>
      <c r="W131" s="107">
        <f t="shared" si="25"/>
        <v>1.674910738645119E-2</v>
      </c>
      <c r="X131" s="107"/>
      <c r="Y131" s="105">
        <v>701.53</v>
      </c>
      <c r="Z131" s="124"/>
      <c r="AA131" s="107">
        <f t="shared" si="26"/>
        <v>-3.0978670190846547E-3</v>
      </c>
      <c r="AB131" s="107"/>
      <c r="AC131" s="105">
        <v>461.98</v>
      </c>
      <c r="AD131" s="124"/>
      <c r="AE131" s="107">
        <f t="shared" si="27"/>
        <v>-6.430522399294647E-3</v>
      </c>
      <c r="AF131" s="107"/>
      <c r="AG131" s="105">
        <v>462.72</v>
      </c>
      <c r="AH131" s="124"/>
      <c r="AI131" s="107">
        <f t="shared" si="28"/>
        <v>9.4461048452192387E-3</v>
      </c>
    </row>
    <row r="132" spans="3:35" s="97" customFormat="1" ht="21" customHeight="1">
      <c r="C132" s="104">
        <v>44914</v>
      </c>
      <c r="E132" s="106">
        <v>354.97</v>
      </c>
      <c r="F132" s="108"/>
      <c r="G132" s="107">
        <f t="shared" si="21"/>
        <v>-4.8388826336389301E-2</v>
      </c>
      <c r="H132" s="109"/>
      <c r="I132" s="106">
        <v>17806.8</v>
      </c>
      <c r="J132" s="109"/>
      <c r="K132" s="107">
        <f t="shared" si="22"/>
        <v>-1.6486885055757128E-2</v>
      </c>
      <c r="M132" s="105">
        <v>512.39</v>
      </c>
      <c r="N132" s="124"/>
      <c r="O132" s="107">
        <f t="shared" si="23"/>
        <v>-5.8175869421365989E-2</v>
      </c>
      <c r="P132" s="107"/>
      <c r="Q132" s="105">
        <v>1172.9000000000001</v>
      </c>
      <c r="R132" s="124"/>
      <c r="S132" s="107">
        <f t="shared" si="24"/>
        <v>-4.1082451048522262E-2</v>
      </c>
      <c r="T132" s="107"/>
      <c r="U132" s="105">
        <v>806.74</v>
      </c>
      <c r="V132" s="124"/>
      <c r="W132" s="107">
        <f t="shared" si="25"/>
        <v>-5.8811176573528523E-2</v>
      </c>
      <c r="X132" s="107"/>
      <c r="Y132" s="105">
        <v>643.86</v>
      </c>
      <c r="Z132" s="124"/>
      <c r="AA132" s="107">
        <f t="shared" si="26"/>
        <v>-8.2206035379812636E-2</v>
      </c>
      <c r="AB132" s="107"/>
      <c r="AC132" s="105">
        <v>439.51</v>
      </c>
      <c r="AD132" s="124"/>
      <c r="AE132" s="107">
        <f t="shared" si="27"/>
        <v>-4.8638469197800793E-2</v>
      </c>
      <c r="AF132" s="107"/>
      <c r="AG132" s="105">
        <v>468.84</v>
      </c>
      <c r="AH132" s="124"/>
      <c r="AI132" s="107">
        <f t="shared" si="28"/>
        <v>1.3226141078838127E-2</v>
      </c>
    </row>
    <row r="133" spans="3:35" s="97" customFormat="1" ht="21" customHeight="1">
      <c r="C133" s="104">
        <v>44907</v>
      </c>
      <c r="E133" s="106">
        <v>391.61</v>
      </c>
      <c r="F133" s="108"/>
      <c r="G133" s="107">
        <f t="shared" si="21"/>
        <v>0.10321999042172569</v>
      </c>
      <c r="H133" s="109"/>
      <c r="I133" s="106">
        <v>18269</v>
      </c>
      <c r="J133" s="109"/>
      <c r="K133" s="107">
        <f t="shared" si="22"/>
        <v>2.5956376215827692E-2</v>
      </c>
      <c r="M133" s="105">
        <v>514.33000000000004</v>
      </c>
      <c r="N133" s="124"/>
      <c r="O133" s="107">
        <f t="shared" si="23"/>
        <v>3.7861784968482581E-3</v>
      </c>
      <c r="P133" s="107"/>
      <c r="Q133" s="105">
        <v>1292.55</v>
      </c>
      <c r="R133" s="124"/>
      <c r="S133" s="107">
        <f t="shared" si="24"/>
        <v>0.10201210674396788</v>
      </c>
      <c r="T133" s="107"/>
      <c r="U133" s="105">
        <v>869</v>
      </c>
      <c r="V133" s="124"/>
      <c r="W133" s="107">
        <f t="shared" si="25"/>
        <v>7.7174802290700839E-2</v>
      </c>
      <c r="X133" s="107"/>
      <c r="Y133" s="105">
        <v>693.27</v>
      </c>
      <c r="Z133" s="124"/>
      <c r="AA133" s="107">
        <f t="shared" si="26"/>
        <v>7.6740285155157961E-2</v>
      </c>
      <c r="AB133" s="107"/>
      <c r="AC133" s="105">
        <v>462.23</v>
      </c>
      <c r="AD133" s="124"/>
      <c r="AE133" s="107">
        <f t="shared" si="27"/>
        <v>5.1693931878683097E-2</v>
      </c>
      <c r="AF133" s="107"/>
      <c r="AG133" s="105">
        <v>452.77</v>
      </c>
      <c r="AH133" s="124"/>
      <c r="AI133" s="107">
        <f t="shared" si="28"/>
        <v>-3.4276085658220268E-2</v>
      </c>
    </row>
    <row r="134" spans="3:35" s="97" customFormat="1" ht="21" customHeight="1">
      <c r="C134" s="104">
        <v>44900</v>
      </c>
      <c r="E134" s="106">
        <v>399.86</v>
      </c>
      <c r="F134" s="108"/>
      <c r="G134" s="107">
        <f t="shared" si="21"/>
        <v>2.1066877761037661E-2</v>
      </c>
      <c r="H134" s="109"/>
      <c r="I134" s="106">
        <v>18496.599999999999</v>
      </c>
      <c r="J134" s="109"/>
      <c r="K134" s="107">
        <f t="shared" si="22"/>
        <v>1.2458262630685724E-2</v>
      </c>
      <c r="M134" s="105">
        <v>526.62</v>
      </c>
      <c r="N134" s="124"/>
      <c r="O134" s="107">
        <f t="shared" si="23"/>
        <v>2.3895164583049633E-2</v>
      </c>
      <c r="P134" s="107"/>
      <c r="Q134" s="105">
        <v>1277.6500000000001</v>
      </c>
      <c r="R134" s="124"/>
      <c r="S134" s="107">
        <f t="shared" si="24"/>
        <v>-1.1527600479671829E-2</v>
      </c>
      <c r="T134" s="107"/>
      <c r="U134" s="105">
        <v>891.71</v>
      </c>
      <c r="V134" s="124"/>
      <c r="W134" s="107">
        <f t="shared" si="25"/>
        <v>2.6133486766398262E-2</v>
      </c>
      <c r="X134" s="107"/>
      <c r="Y134" s="105">
        <v>708.1</v>
      </c>
      <c r="Z134" s="124"/>
      <c r="AA134" s="107">
        <f t="shared" si="26"/>
        <v>2.1391377096946496E-2</v>
      </c>
      <c r="AB134" s="107"/>
      <c r="AC134" s="105">
        <v>475.04</v>
      </c>
      <c r="AD134" s="124"/>
      <c r="AE134" s="107">
        <f t="shared" si="27"/>
        <v>2.7713475975163826E-2</v>
      </c>
      <c r="AF134" s="107"/>
      <c r="AG134" s="105">
        <v>466.3</v>
      </c>
      <c r="AH134" s="124"/>
      <c r="AI134" s="107">
        <f t="shared" si="28"/>
        <v>2.9882721911787424E-2</v>
      </c>
    </row>
    <row r="135" spans="3:35" s="97" customFormat="1" ht="21" customHeight="1">
      <c r="C135" s="104">
        <v>44893</v>
      </c>
      <c r="E135" s="106">
        <v>408.32</v>
      </c>
      <c r="F135" s="108"/>
      <c r="G135" s="107">
        <f t="shared" si="21"/>
        <v>2.1157405091781989E-2</v>
      </c>
      <c r="H135" s="109"/>
      <c r="I135" s="106">
        <v>18696.099999999999</v>
      </c>
      <c r="J135" s="109"/>
      <c r="K135" s="107">
        <f t="shared" si="22"/>
        <v>1.0785766032676225E-2</v>
      </c>
      <c r="M135" s="105">
        <v>523.03</v>
      </c>
      <c r="N135" s="124"/>
      <c r="O135" s="107">
        <f t="shared" si="23"/>
        <v>-6.8170597394706656E-3</v>
      </c>
      <c r="P135" s="107"/>
      <c r="Q135" s="105">
        <v>1332.7</v>
      </c>
      <c r="R135" s="124"/>
      <c r="S135" s="107">
        <f t="shared" si="24"/>
        <v>4.3086917387390899E-2</v>
      </c>
      <c r="T135" s="107"/>
      <c r="U135" s="105">
        <v>942.38</v>
      </c>
      <c r="V135" s="124"/>
      <c r="W135" s="107">
        <f t="shared" si="25"/>
        <v>5.6823406712944724E-2</v>
      </c>
      <c r="X135" s="107"/>
      <c r="Y135" s="105">
        <v>739.81</v>
      </c>
      <c r="Z135" s="124"/>
      <c r="AA135" s="107">
        <f t="shared" si="26"/>
        <v>4.4781810478745854E-2</v>
      </c>
      <c r="AB135" s="107"/>
      <c r="AC135" s="105">
        <v>506.09</v>
      </c>
      <c r="AD135" s="124"/>
      <c r="AE135" s="107">
        <f t="shared" si="27"/>
        <v>6.5362916807005567E-2</v>
      </c>
      <c r="AF135" s="107"/>
      <c r="AG135" s="105">
        <v>491.83</v>
      </c>
      <c r="AH135" s="124"/>
      <c r="AI135" s="107">
        <f t="shared" si="28"/>
        <v>5.4750160840660422E-2</v>
      </c>
    </row>
    <row r="136" spans="3:35" s="97" customFormat="1" ht="21" customHeight="1">
      <c r="C136" s="104">
        <v>44886</v>
      </c>
      <c r="E136" s="106">
        <v>394.2</v>
      </c>
      <c r="F136" s="108"/>
      <c r="G136" s="107">
        <f t="shared" si="21"/>
        <v>-3.4580721003134807E-2</v>
      </c>
      <c r="H136" s="109"/>
      <c r="I136" s="106">
        <v>18512.75</v>
      </c>
      <c r="J136" s="109"/>
      <c r="K136" s="107">
        <f t="shared" si="22"/>
        <v>-9.8068581147938705E-3</v>
      </c>
      <c r="M136" s="105">
        <v>513.96</v>
      </c>
      <c r="N136" s="124"/>
      <c r="O136" s="107">
        <f t="shared" si="23"/>
        <v>-1.7341261495516402E-2</v>
      </c>
      <c r="P136" s="107"/>
      <c r="Q136" s="105">
        <v>1287.5</v>
      </c>
      <c r="R136" s="124"/>
      <c r="S136" s="107">
        <f t="shared" si="24"/>
        <v>-3.3916110152322432E-2</v>
      </c>
      <c r="T136" s="107"/>
      <c r="U136" s="105">
        <v>883.37</v>
      </c>
      <c r="V136" s="124"/>
      <c r="W136" s="107">
        <f t="shared" si="25"/>
        <v>-6.261805216579297E-2</v>
      </c>
      <c r="X136" s="107"/>
      <c r="Y136" s="105">
        <v>714.82</v>
      </c>
      <c r="Z136" s="124"/>
      <c r="AA136" s="107">
        <f t="shared" si="26"/>
        <v>-3.3778943242183668E-2</v>
      </c>
      <c r="AB136" s="107"/>
      <c r="AC136" s="105">
        <v>458.45</v>
      </c>
      <c r="AD136" s="124"/>
      <c r="AE136" s="107">
        <f t="shared" si="27"/>
        <v>-9.4133454523898874E-2</v>
      </c>
      <c r="AF136" s="107"/>
      <c r="AG136" s="105">
        <v>477.35</v>
      </c>
      <c r="AH136" s="124"/>
      <c r="AI136" s="107">
        <f t="shared" si="28"/>
        <v>-2.9441067035357649E-2</v>
      </c>
    </row>
    <row r="137" spans="3:35" s="97" customFormat="1" ht="21" customHeight="1">
      <c r="C137" s="104">
        <v>44879</v>
      </c>
      <c r="E137" s="106">
        <v>398.47</v>
      </c>
      <c r="F137" s="108"/>
      <c r="G137" s="107">
        <f t="shared" si="21"/>
        <v>1.0832064941654007E-2</v>
      </c>
      <c r="H137" s="109"/>
      <c r="I137" s="106">
        <v>18307.650000000001</v>
      </c>
      <c r="J137" s="109"/>
      <c r="K137" s="107">
        <f t="shared" si="22"/>
        <v>-1.1078851062105821E-2</v>
      </c>
      <c r="M137" s="105">
        <v>514.79999999999995</v>
      </c>
      <c r="N137" s="124"/>
      <c r="O137" s="107">
        <f t="shared" si="23"/>
        <v>1.6343684333408603E-3</v>
      </c>
      <c r="P137" s="107"/>
      <c r="Q137" s="105">
        <v>1273.55</v>
      </c>
      <c r="R137" s="124"/>
      <c r="S137" s="107">
        <f t="shared" si="24"/>
        <v>-1.0834951456310749E-2</v>
      </c>
      <c r="T137" s="107"/>
      <c r="U137" s="105">
        <v>885</v>
      </c>
      <c r="V137" s="124"/>
      <c r="W137" s="107">
        <f t="shared" si="25"/>
        <v>1.8452064253937639E-3</v>
      </c>
      <c r="X137" s="107"/>
      <c r="Y137" s="105">
        <v>735.57</v>
      </c>
      <c r="Z137" s="124"/>
      <c r="AA137" s="107">
        <f t="shared" si="26"/>
        <v>2.9028286841442652E-2</v>
      </c>
      <c r="AB137" s="107"/>
      <c r="AC137" s="105">
        <v>462.58</v>
      </c>
      <c r="AD137" s="124"/>
      <c r="AE137" s="107">
        <f t="shared" si="27"/>
        <v>9.0086159886573203E-3</v>
      </c>
      <c r="AF137" s="107"/>
      <c r="AG137" s="105">
        <v>474.66</v>
      </c>
      <c r="AH137" s="124"/>
      <c r="AI137" s="107">
        <f t="shared" si="28"/>
        <v>-5.6352780978318195E-3</v>
      </c>
    </row>
    <row r="138" spans="3:35" s="97" customFormat="1" ht="21" customHeight="1">
      <c r="C138" s="104">
        <v>44872</v>
      </c>
      <c r="E138" s="106">
        <v>398.02</v>
      </c>
      <c r="F138" s="108"/>
      <c r="G138" s="107">
        <f t="shared" si="21"/>
        <v>-1.1293196476523937E-3</v>
      </c>
      <c r="H138" s="109"/>
      <c r="I138" s="106">
        <v>18349.7</v>
      </c>
      <c r="J138" s="109"/>
      <c r="K138" s="107">
        <f t="shared" si="22"/>
        <v>2.296854047351804E-3</v>
      </c>
      <c r="M138" s="105">
        <v>475.57</v>
      </c>
      <c r="N138" s="124"/>
      <c r="O138" s="107">
        <f t="shared" si="23"/>
        <v>-7.6204351204351095E-2</v>
      </c>
      <c r="P138" s="107"/>
      <c r="Q138" s="105">
        <v>1293</v>
      </c>
      <c r="R138" s="124"/>
      <c r="S138" s="107">
        <f t="shared" si="24"/>
        <v>1.5272270425189527E-2</v>
      </c>
      <c r="T138" s="107"/>
      <c r="U138" s="105">
        <v>875.37</v>
      </c>
      <c r="V138" s="124"/>
      <c r="W138" s="107">
        <f t="shared" si="25"/>
        <v>-1.0881355932203407E-2</v>
      </c>
      <c r="X138" s="107"/>
      <c r="Y138" s="105">
        <v>753.54</v>
      </c>
      <c r="Z138" s="124"/>
      <c r="AA138" s="107">
        <f t="shared" si="26"/>
        <v>2.4430033851298827E-2</v>
      </c>
      <c r="AB138" s="107"/>
      <c r="AC138" s="105">
        <v>470.01</v>
      </c>
      <c r="AD138" s="124"/>
      <c r="AE138" s="107">
        <f t="shared" si="27"/>
        <v>1.6062086558000788E-2</v>
      </c>
      <c r="AF138" s="107"/>
      <c r="AG138" s="105">
        <v>516.54999999999995</v>
      </c>
      <c r="AH138" s="124"/>
      <c r="AI138" s="107">
        <f t="shared" si="28"/>
        <v>8.8252643997808855E-2</v>
      </c>
    </row>
    <row r="139" spans="3:35" s="97" customFormat="1" ht="21" customHeight="1">
      <c r="C139" s="104">
        <v>44865</v>
      </c>
      <c r="E139" s="106">
        <v>385.5</v>
      </c>
      <c r="F139" s="108"/>
      <c r="G139" s="107">
        <f t="shared" si="21"/>
        <v>-3.1455705743429929E-2</v>
      </c>
      <c r="H139" s="109"/>
      <c r="I139" s="106">
        <v>18117.150000000001</v>
      </c>
      <c r="J139" s="109"/>
      <c r="K139" s="107">
        <f t="shared" si="22"/>
        <v>-1.2673231714959932E-2</v>
      </c>
      <c r="M139" s="105">
        <v>472.41</v>
      </c>
      <c r="N139" s="124"/>
      <c r="O139" s="107">
        <f t="shared" si="23"/>
        <v>-6.6446579893600921E-3</v>
      </c>
      <c r="P139" s="107"/>
      <c r="Q139" s="105">
        <v>1259.25</v>
      </c>
      <c r="R139" s="124"/>
      <c r="S139" s="107">
        <f t="shared" si="24"/>
        <v>-2.6102088167053394E-2</v>
      </c>
      <c r="T139" s="107"/>
      <c r="U139" s="105">
        <v>915.22</v>
      </c>
      <c r="V139" s="124"/>
      <c r="W139" s="107">
        <f t="shared" si="25"/>
        <v>4.5523607160400825E-2</v>
      </c>
      <c r="X139" s="107"/>
      <c r="Y139" s="105">
        <v>761.35</v>
      </c>
      <c r="Z139" s="124"/>
      <c r="AA139" s="107">
        <f t="shared" si="26"/>
        <v>1.0364413302545339E-2</v>
      </c>
      <c r="AB139" s="107"/>
      <c r="AC139" s="105">
        <v>446.09</v>
      </c>
      <c r="AD139" s="124"/>
      <c r="AE139" s="107">
        <f t="shared" si="27"/>
        <v>-5.0892534201400053E-2</v>
      </c>
      <c r="AF139" s="107"/>
      <c r="AG139" s="105">
        <v>496.7</v>
      </c>
      <c r="AH139" s="124"/>
      <c r="AI139" s="107">
        <f t="shared" si="28"/>
        <v>-3.8428032136288759E-2</v>
      </c>
    </row>
    <row r="140" spans="3:35" s="97" customFormat="1" ht="21" customHeight="1">
      <c r="C140" s="104">
        <v>44858</v>
      </c>
      <c r="E140" s="106">
        <v>382.27</v>
      </c>
      <c r="F140" s="108"/>
      <c r="G140" s="107">
        <f t="shared" si="21"/>
        <v>-8.3787289234760198E-3</v>
      </c>
      <c r="H140" s="109"/>
      <c r="I140" s="106">
        <v>17786.8</v>
      </c>
      <c r="J140" s="109"/>
      <c r="K140" s="107">
        <f t="shared" si="22"/>
        <v>-1.8234104149935426E-2</v>
      </c>
      <c r="M140" s="105">
        <v>493.34</v>
      </c>
      <c r="N140" s="124"/>
      <c r="O140" s="107">
        <f t="shared" si="23"/>
        <v>4.4304735293494879E-2</v>
      </c>
      <c r="P140" s="107"/>
      <c r="Q140" s="105">
        <v>1246.2</v>
      </c>
      <c r="R140" s="124"/>
      <c r="S140" s="107">
        <f t="shared" si="24"/>
        <v>-1.0363311494937411E-2</v>
      </c>
      <c r="T140" s="107"/>
      <c r="U140" s="105">
        <v>893.69</v>
      </c>
      <c r="V140" s="124"/>
      <c r="W140" s="107">
        <f t="shared" si="25"/>
        <v>-2.3524398505277433E-2</v>
      </c>
      <c r="X140" s="107"/>
      <c r="Y140" s="105">
        <v>707.65</v>
      </c>
      <c r="Z140" s="124"/>
      <c r="AA140" s="107">
        <f t="shared" si="26"/>
        <v>-7.0532606554147281E-2</v>
      </c>
      <c r="AB140" s="107"/>
      <c r="AC140" s="105">
        <v>442.05</v>
      </c>
      <c r="AD140" s="124"/>
      <c r="AE140" s="107">
        <f t="shared" si="27"/>
        <v>-9.0564684256538852E-3</v>
      </c>
      <c r="AF140" s="107"/>
      <c r="AG140" s="105">
        <v>492.42</v>
      </c>
      <c r="AH140" s="124"/>
      <c r="AI140" s="107">
        <f t="shared" si="28"/>
        <v>-8.6168713509160444E-3</v>
      </c>
    </row>
    <row r="141" spans="3:35" s="97" customFormat="1" ht="21" customHeight="1">
      <c r="C141" s="104">
        <v>44851</v>
      </c>
      <c r="E141" s="106">
        <v>367.95</v>
      </c>
      <c r="F141" s="108"/>
      <c r="G141" s="107">
        <f t="shared" si="21"/>
        <v>-3.7460433724854192E-2</v>
      </c>
      <c r="H141" s="109"/>
      <c r="I141" s="106">
        <v>17576.3</v>
      </c>
      <c r="J141" s="109"/>
      <c r="K141" s="107">
        <f t="shared" si="22"/>
        <v>-1.1834618930892549E-2</v>
      </c>
      <c r="M141" s="105">
        <v>501.64</v>
      </c>
      <c r="N141" s="124"/>
      <c r="O141" s="107">
        <f t="shared" si="23"/>
        <v>1.682409697166265E-2</v>
      </c>
      <c r="P141" s="107"/>
      <c r="Q141" s="105">
        <v>1203.2</v>
      </c>
      <c r="R141" s="124"/>
      <c r="S141" s="107">
        <f t="shared" si="24"/>
        <v>-3.450489488043651E-2</v>
      </c>
      <c r="T141" s="107"/>
      <c r="U141" s="105">
        <v>856.76</v>
      </c>
      <c r="V141" s="124"/>
      <c r="W141" s="107">
        <f t="shared" si="25"/>
        <v>-4.1323053855363834E-2</v>
      </c>
      <c r="X141" s="107"/>
      <c r="Y141" s="105">
        <v>707.01</v>
      </c>
      <c r="Z141" s="124"/>
      <c r="AA141" s="107">
        <f t="shared" si="26"/>
        <v>-9.044018935914222E-4</v>
      </c>
      <c r="AB141" s="107"/>
      <c r="AC141" s="105">
        <v>441.8</v>
      </c>
      <c r="AD141" s="124"/>
      <c r="AE141" s="107">
        <f t="shared" si="27"/>
        <v>-5.6554688383669838E-4</v>
      </c>
      <c r="AF141" s="107"/>
      <c r="AG141" s="105">
        <v>488.14</v>
      </c>
      <c r="AH141" s="124"/>
      <c r="AI141" s="107">
        <f t="shared" si="28"/>
        <v>-8.6917671906097116E-3</v>
      </c>
    </row>
    <row r="142" spans="3:35" s="97" customFormat="1" ht="21" customHeight="1">
      <c r="C142" s="104">
        <v>44844</v>
      </c>
      <c r="E142" s="106">
        <v>356.56</v>
      </c>
      <c r="F142" s="108"/>
      <c r="G142" s="107">
        <f t="shared" si="21"/>
        <v>-3.095529283870091E-2</v>
      </c>
      <c r="H142" s="109"/>
      <c r="I142" s="106">
        <v>17185.7</v>
      </c>
      <c r="J142" s="109"/>
      <c r="K142" s="107">
        <f t="shared" si="22"/>
        <v>-2.2223107252379526E-2</v>
      </c>
      <c r="M142" s="105">
        <v>487.71</v>
      </c>
      <c r="N142" s="124"/>
      <c r="O142" s="107">
        <f t="shared" si="23"/>
        <v>-2.7768917949126837E-2</v>
      </c>
      <c r="P142" s="107"/>
      <c r="Q142" s="105">
        <v>1180.75</v>
      </c>
      <c r="R142" s="124"/>
      <c r="S142" s="107">
        <f t="shared" si="24"/>
        <v>-1.8658577127659615E-2</v>
      </c>
      <c r="T142" s="107"/>
      <c r="U142" s="105">
        <v>889.15</v>
      </c>
      <c r="V142" s="124"/>
      <c r="W142" s="107">
        <f t="shared" si="25"/>
        <v>3.7805219664783563E-2</v>
      </c>
      <c r="X142" s="107"/>
      <c r="Y142" s="105">
        <v>675.18</v>
      </c>
      <c r="Z142" s="124"/>
      <c r="AA142" s="107">
        <f t="shared" si="26"/>
        <v>-4.5020579624050594E-2</v>
      </c>
      <c r="AB142" s="107"/>
      <c r="AC142" s="105">
        <v>436.37</v>
      </c>
      <c r="AD142" s="124"/>
      <c r="AE142" s="107">
        <f t="shared" si="27"/>
        <v>-1.2290629244001816E-2</v>
      </c>
      <c r="AF142" s="107"/>
      <c r="AG142" s="105">
        <v>492.27</v>
      </c>
      <c r="AH142" s="124"/>
      <c r="AI142" s="107">
        <f t="shared" si="28"/>
        <v>8.4606875076822519E-3</v>
      </c>
    </row>
    <row r="143" spans="3:35" s="97" customFormat="1" ht="21" customHeight="1">
      <c r="C143" s="104">
        <v>44837</v>
      </c>
      <c r="E143" s="106">
        <v>366.8</v>
      </c>
      <c r="F143" s="108"/>
      <c r="G143" s="107">
        <f t="shared" si="21"/>
        <v>2.8718869194525487E-2</v>
      </c>
      <c r="H143" s="109"/>
      <c r="I143" s="106">
        <v>17314.650000000001</v>
      </c>
      <c r="J143" s="109"/>
      <c r="K143" s="107">
        <f t="shared" si="22"/>
        <v>7.5033312579644296E-3</v>
      </c>
      <c r="M143" s="105">
        <v>501.49</v>
      </c>
      <c r="N143" s="124"/>
      <c r="O143" s="107">
        <f t="shared" si="23"/>
        <v>2.8254495499374643E-2</v>
      </c>
      <c r="P143" s="107"/>
      <c r="Q143" s="105">
        <v>1227.1500000000001</v>
      </c>
      <c r="R143" s="124"/>
      <c r="S143" s="107">
        <f t="shared" si="24"/>
        <v>3.9297056955325038E-2</v>
      </c>
      <c r="T143" s="107"/>
      <c r="U143" s="105">
        <v>930.33</v>
      </c>
      <c r="V143" s="124"/>
      <c r="W143" s="107">
        <f t="shared" si="25"/>
        <v>4.6313895293257579E-2</v>
      </c>
      <c r="X143" s="107"/>
      <c r="Y143" s="105">
        <v>719.58</v>
      </c>
      <c r="Z143" s="124"/>
      <c r="AA143" s="107">
        <f t="shared" si="26"/>
        <v>6.5760241713320955E-2</v>
      </c>
      <c r="AB143" s="107"/>
      <c r="AC143" s="105">
        <v>466.02</v>
      </c>
      <c r="AD143" s="124"/>
      <c r="AE143" s="107">
        <f t="shared" si="27"/>
        <v>6.7946925773999078E-2</v>
      </c>
      <c r="AF143" s="107"/>
      <c r="AG143" s="105">
        <v>517.94000000000005</v>
      </c>
      <c r="AH143" s="124"/>
      <c r="AI143" s="107">
        <f t="shared" si="28"/>
        <v>5.2146179941901849E-2</v>
      </c>
    </row>
    <row r="144" spans="3:35" s="97" customFormat="1" ht="21" customHeight="1">
      <c r="C144" s="104">
        <v>44830</v>
      </c>
      <c r="E144" s="106">
        <v>354.72</v>
      </c>
      <c r="F144" s="108"/>
      <c r="G144" s="107">
        <f t="shared" si="21"/>
        <v>-3.2933478735005406E-2</v>
      </c>
      <c r="H144" s="109"/>
      <c r="I144" s="106">
        <v>17094.349999999999</v>
      </c>
      <c r="J144" s="109"/>
      <c r="K144" s="107">
        <f t="shared" si="22"/>
        <v>-1.2723329665918937E-2</v>
      </c>
      <c r="M144" s="105">
        <v>460.82</v>
      </c>
      <c r="N144" s="124"/>
      <c r="O144" s="107">
        <f t="shared" si="23"/>
        <v>-8.1098326985582947E-2</v>
      </c>
      <c r="P144" s="107"/>
      <c r="Q144" s="105">
        <v>1193.45</v>
      </c>
      <c r="R144" s="124"/>
      <c r="S144" s="107">
        <f t="shared" si="24"/>
        <v>-2.7462005459805261E-2</v>
      </c>
      <c r="T144" s="107"/>
      <c r="U144" s="105">
        <v>906.38</v>
      </c>
      <c r="V144" s="124"/>
      <c r="W144" s="107">
        <f t="shared" si="25"/>
        <v>-2.5743553362785332E-2</v>
      </c>
      <c r="X144" s="107"/>
      <c r="Y144" s="105">
        <v>693.62</v>
      </c>
      <c r="Z144" s="124"/>
      <c r="AA144" s="107">
        <f t="shared" si="26"/>
        <v>-3.6076600239028367E-2</v>
      </c>
      <c r="AB144" s="107"/>
      <c r="AC144" s="105">
        <v>448.28</v>
      </c>
      <c r="AD144" s="124"/>
      <c r="AE144" s="107">
        <f t="shared" si="27"/>
        <v>-3.8067035749538625E-2</v>
      </c>
      <c r="AF144" s="107"/>
      <c r="AG144" s="105">
        <v>506.15</v>
      </c>
      <c r="AH144" s="124"/>
      <c r="AI144" s="107">
        <f t="shared" si="28"/>
        <v>-2.2763254431015345E-2</v>
      </c>
    </row>
    <row r="145" spans="3:35" s="97" customFormat="1" ht="21" customHeight="1">
      <c r="C145" s="104">
        <v>44823</v>
      </c>
      <c r="E145" s="106">
        <v>368.2</v>
      </c>
      <c r="F145" s="108"/>
      <c r="G145" s="107">
        <f t="shared" ref="G145:G208" si="29">E145/E144-1</f>
        <v>3.800180423996391E-2</v>
      </c>
      <c r="H145" s="109"/>
      <c r="I145" s="106">
        <v>17327.349999999999</v>
      </c>
      <c r="J145" s="109"/>
      <c r="K145" s="107">
        <f t="shared" ref="K145:K208" si="30">I145/I144-1</f>
        <v>1.3630234551182063E-2</v>
      </c>
      <c r="M145" s="105">
        <v>515.33000000000004</v>
      </c>
      <c r="N145" s="124"/>
      <c r="O145" s="107">
        <f t="shared" si="23"/>
        <v>0.11828913675621733</v>
      </c>
      <c r="P145" s="107"/>
      <c r="Q145" s="105">
        <v>1228.8</v>
      </c>
      <c r="R145" s="124"/>
      <c r="S145" s="107">
        <f t="shared" si="24"/>
        <v>2.9620009216975829E-2</v>
      </c>
      <c r="T145" s="107"/>
      <c r="U145" s="105">
        <v>958.23</v>
      </c>
      <c r="V145" s="124"/>
      <c r="W145" s="107">
        <f t="shared" si="25"/>
        <v>5.7205587060614738E-2</v>
      </c>
      <c r="X145" s="107"/>
      <c r="Y145" s="105">
        <v>690.89</v>
      </c>
      <c r="Z145" s="124"/>
      <c r="AA145" s="107">
        <f t="shared" si="26"/>
        <v>-3.9358726680315259E-3</v>
      </c>
      <c r="AB145" s="107"/>
      <c r="AC145" s="105">
        <v>431.42</v>
      </c>
      <c r="AD145" s="124"/>
      <c r="AE145" s="107">
        <f t="shared" si="27"/>
        <v>-3.7610422057642423E-2</v>
      </c>
      <c r="AF145" s="107"/>
      <c r="AG145" s="105">
        <v>515.79999999999995</v>
      </c>
      <c r="AH145" s="124"/>
      <c r="AI145" s="107">
        <f t="shared" si="28"/>
        <v>1.9065494418650575E-2</v>
      </c>
    </row>
    <row r="146" spans="3:35" s="97" customFormat="1" ht="21" customHeight="1">
      <c r="C146" s="104">
        <v>44816</v>
      </c>
      <c r="E146" s="106">
        <v>387.34</v>
      </c>
      <c r="F146" s="108"/>
      <c r="G146" s="107">
        <f t="shared" si="29"/>
        <v>5.1982618142313974E-2</v>
      </c>
      <c r="H146" s="109"/>
      <c r="I146" s="106">
        <v>17530.849999999999</v>
      </c>
      <c r="J146" s="109"/>
      <c r="K146" s="107">
        <f t="shared" si="30"/>
        <v>1.1744438705283855E-2</v>
      </c>
      <c r="M146" s="105">
        <v>516.12</v>
      </c>
      <c r="N146" s="124"/>
      <c r="O146" s="107">
        <f t="shared" si="23"/>
        <v>1.5329982729512803E-3</v>
      </c>
      <c r="P146" s="107"/>
      <c r="Q146" s="105">
        <v>1333.1</v>
      </c>
      <c r="R146" s="124"/>
      <c r="S146" s="107">
        <f t="shared" si="24"/>
        <v>8.4879557291666741E-2</v>
      </c>
      <c r="T146" s="107"/>
      <c r="U146" s="105">
        <v>1009.38</v>
      </c>
      <c r="V146" s="124"/>
      <c r="W146" s="107">
        <f t="shared" si="25"/>
        <v>5.3379668764284016E-2</v>
      </c>
      <c r="X146" s="107"/>
      <c r="Y146" s="105">
        <v>668.83</v>
      </c>
      <c r="Z146" s="124"/>
      <c r="AA146" s="107">
        <f t="shared" si="26"/>
        <v>-3.1929829640029439E-2</v>
      </c>
      <c r="AB146" s="107"/>
      <c r="AC146" s="105">
        <v>454.86</v>
      </c>
      <c r="AD146" s="124"/>
      <c r="AE146" s="107">
        <f t="shared" si="27"/>
        <v>5.4332205275601453E-2</v>
      </c>
      <c r="AF146" s="107"/>
      <c r="AG146" s="105">
        <v>556.20000000000005</v>
      </c>
      <c r="AH146" s="124"/>
      <c r="AI146" s="107">
        <f t="shared" si="28"/>
        <v>7.8324932144242077E-2</v>
      </c>
    </row>
    <row r="147" spans="3:35" s="97" customFormat="1" ht="21" customHeight="1">
      <c r="C147" s="104">
        <v>44809</v>
      </c>
      <c r="E147" s="106">
        <v>394.45</v>
      </c>
      <c r="F147" s="108"/>
      <c r="G147" s="107">
        <f t="shared" si="29"/>
        <v>1.8355966334486551E-2</v>
      </c>
      <c r="H147" s="109"/>
      <c r="I147" s="106">
        <v>17833.349999999999</v>
      </c>
      <c r="J147" s="109"/>
      <c r="K147" s="107">
        <f t="shared" si="30"/>
        <v>1.7255295664500014E-2</v>
      </c>
      <c r="M147" s="105">
        <v>550.29</v>
      </c>
      <c r="N147" s="124"/>
      <c r="O147" s="107">
        <f t="shared" ref="O147:O210" si="31">M147/M146-1</f>
        <v>6.6205533596837896E-2</v>
      </c>
      <c r="P147" s="107"/>
      <c r="Q147" s="105">
        <v>1408.85</v>
      </c>
      <c r="R147" s="124"/>
      <c r="S147" s="107">
        <f t="shared" ref="S147:S210" si="32">Q147/Q146-1</f>
        <v>5.6822443927687427E-2</v>
      </c>
      <c r="T147" s="107"/>
      <c r="U147" s="105">
        <v>1006.77</v>
      </c>
      <c r="V147" s="124"/>
      <c r="W147" s="107">
        <f t="shared" ref="W147:W210" si="33">U147/U146-1</f>
        <v>-2.5857457052844701E-3</v>
      </c>
      <c r="X147" s="107"/>
      <c r="Y147" s="105">
        <v>689.48</v>
      </c>
      <c r="Z147" s="124"/>
      <c r="AA147" s="107">
        <f t="shared" ref="AA147:AA210" si="34">Y147/Y146-1</f>
        <v>3.0874811237534106E-2</v>
      </c>
      <c r="AB147" s="107"/>
      <c r="AC147" s="105">
        <v>471.05</v>
      </c>
      <c r="AD147" s="124"/>
      <c r="AE147" s="107">
        <f t="shared" ref="AE147:AE210" si="35">AC147/AC146-1</f>
        <v>3.55933693883832E-2</v>
      </c>
      <c r="AF147" s="107"/>
      <c r="AG147" s="105">
        <v>557.99</v>
      </c>
      <c r="AH147" s="124"/>
      <c r="AI147" s="107">
        <f t="shared" ref="AI147:AI210" si="36">AG147/AG146-1</f>
        <v>3.2182668104998591E-3</v>
      </c>
    </row>
    <row r="148" spans="3:35" s="97" customFormat="1" ht="21" customHeight="1">
      <c r="C148" s="104">
        <v>44802</v>
      </c>
      <c r="E148" s="106">
        <v>392.66</v>
      </c>
      <c r="F148" s="108"/>
      <c r="G148" s="107">
        <f t="shared" si="29"/>
        <v>-4.5379642540245291E-3</v>
      </c>
      <c r="H148" s="109"/>
      <c r="I148" s="106">
        <v>17539.45</v>
      </c>
      <c r="J148" s="109"/>
      <c r="K148" s="107">
        <f t="shared" si="30"/>
        <v>-1.6480358429571407E-2</v>
      </c>
      <c r="M148" s="105">
        <v>543.34</v>
      </c>
      <c r="N148" s="124"/>
      <c r="O148" s="107">
        <f t="shared" si="31"/>
        <v>-1.2629704337712711E-2</v>
      </c>
      <c r="P148" s="107"/>
      <c r="Q148" s="105">
        <v>1420.05</v>
      </c>
      <c r="R148" s="124"/>
      <c r="S148" s="107">
        <f t="shared" si="32"/>
        <v>7.9497462469391156E-3</v>
      </c>
      <c r="T148" s="107"/>
      <c r="U148" s="105">
        <v>1010.57</v>
      </c>
      <c r="V148" s="124"/>
      <c r="W148" s="107">
        <f t="shared" si="33"/>
        <v>3.7744469938516545E-3</v>
      </c>
      <c r="X148" s="107"/>
      <c r="Y148" s="105">
        <v>686.57</v>
      </c>
      <c r="Z148" s="124"/>
      <c r="AA148" s="107">
        <f t="shared" si="34"/>
        <v>-4.2205720252943557E-3</v>
      </c>
      <c r="AB148" s="107"/>
      <c r="AC148" s="105">
        <v>477.41</v>
      </c>
      <c r="AD148" s="124"/>
      <c r="AE148" s="107">
        <f t="shared" si="35"/>
        <v>1.3501751406432394E-2</v>
      </c>
      <c r="AF148" s="107"/>
      <c r="AG148" s="105">
        <v>519.24</v>
      </c>
      <c r="AH148" s="124"/>
      <c r="AI148" s="107">
        <f t="shared" si="36"/>
        <v>-6.9445688990842136E-2</v>
      </c>
    </row>
    <row r="149" spans="3:35" s="97" customFormat="1" ht="21" customHeight="1">
      <c r="C149" s="104">
        <v>44795</v>
      </c>
      <c r="E149" s="106">
        <v>377.79</v>
      </c>
      <c r="F149" s="108"/>
      <c r="G149" s="107">
        <f t="shared" si="29"/>
        <v>-3.7869912901747016E-2</v>
      </c>
      <c r="H149" s="109"/>
      <c r="I149" s="106">
        <v>17558.900000000001</v>
      </c>
      <c r="J149" s="109"/>
      <c r="K149" s="107">
        <f t="shared" si="30"/>
        <v>1.1089287292360694E-3</v>
      </c>
      <c r="M149" s="105">
        <v>528.59</v>
      </c>
      <c r="N149" s="124"/>
      <c r="O149" s="107">
        <f t="shared" si="31"/>
        <v>-2.7146906172930363E-2</v>
      </c>
      <c r="P149" s="107"/>
      <c r="Q149" s="105">
        <v>1384.45</v>
      </c>
      <c r="R149" s="124"/>
      <c r="S149" s="107">
        <f t="shared" si="32"/>
        <v>-2.5069539804936425E-2</v>
      </c>
      <c r="T149" s="107"/>
      <c r="U149" s="105">
        <v>956.2</v>
      </c>
      <c r="V149" s="124"/>
      <c r="W149" s="107">
        <f t="shared" si="33"/>
        <v>-5.3801320047102141E-2</v>
      </c>
      <c r="X149" s="107"/>
      <c r="Y149" s="105">
        <v>689.63</v>
      </c>
      <c r="Z149" s="124"/>
      <c r="AA149" s="107">
        <f t="shared" si="34"/>
        <v>4.4569381126469132E-3</v>
      </c>
      <c r="AB149" s="107"/>
      <c r="AC149" s="105">
        <v>460.77</v>
      </c>
      <c r="AD149" s="124"/>
      <c r="AE149" s="107">
        <f t="shared" si="35"/>
        <v>-3.4854737018495729E-2</v>
      </c>
      <c r="AF149" s="107"/>
      <c r="AG149" s="105">
        <v>495.76</v>
      </c>
      <c r="AH149" s="124"/>
      <c r="AI149" s="107">
        <f t="shared" si="36"/>
        <v>-4.5219936830752649E-2</v>
      </c>
    </row>
    <row r="150" spans="3:35" s="97" customFormat="1" ht="21" customHeight="1">
      <c r="C150" s="104">
        <v>44788</v>
      </c>
      <c r="E150" s="106">
        <v>371.43</v>
      </c>
      <c r="F150" s="108"/>
      <c r="G150" s="107">
        <f t="shared" si="29"/>
        <v>-1.6834749463987997E-2</v>
      </c>
      <c r="H150" s="109"/>
      <c r="I150" s="106">
        <v>17758.45</v>
      </c>
      <c r="J150" s="109"/>
      <c r="K150" s="107">
        <f t="shared" si="30"/>
        <v>1.1364607122313908E-2</v>
      </c>
      <c r="M150" s="105">
        <v>546.11</v>
      </c>
      <c r="N150" s="124"/>
      <c r="O150" s="107">
        <f t="shared" si="31"/>
        <v>3.3144781399572443E-2</v>
      </c>
      <c r="P150" s="107"/>
      <c r="Q150" s="105">
        <v>1363.95</v>
      </c>
      <c r="R150" s="124"/>
      <c r="S150" s="107">
        <f t="shared" si="32"/>
        <v>-1.4807324208169326E-2</v>
      </c>
      <c r="T150" s="107"/>
      <c r="U150" s="105">
        <v>950.33</v>
      </c>
      <c r="V150" s="124"/>
      <c r="W150" s="107">
        <f t="shared" si="33"/>
        <v>-6.1388830788537962E-3</v>
      </c>
      <c r="X150" s="107"/>
      <c r="Y150" s="105">
        <v>686.49</v>
      </c>
      <c r="Z150" s="124"/>
      <c r="AA150" s="107">
        <f t="shared" si="34"/>
        <v>-4.5531661905658938E-3</v>
      </c>
      <c r="AB150" s="107"/>
      <c r="AC150" s="105">
        <v>452.03</v>
      </c>
      <c r="AD150" s="124"/>
      <c r="AE150" s="107">
        <f t="shared" si="35"/>
        <v>-1.8968248800920184E-2</v>
      </c>
      <c r="AF150" s="107"/>
      <c r="AG150" s="105">
        <v>497.5</v>
      </c>
      <c r="AH150" s="124"/>
      <c r="AI150" s="107">
        <f t="shared" si="36"/>
        <v>3.509762788445947E-3</v>
      </c>
    </row>
    <row r="151" spans="3:35" s="97" customFormat="1" ht="21" customHeight="1">
      <c r="C151" s="104">
        <v>44781</v>
      </c>
      <c r="E151" s="106">
        <v>370.83</v>
      </c>
      <c r="F151" s="108"/>
      <c r="G151" s="107">
        <f t="shared" si="29"/>
        <v>-1.615378402390788E-3</v>
      </c>
      <c r="H151" s="109"/>
      <c r="I151" s="106">
        <v>17698.150000000001</v>
      </c>
      <c r="J151" s="109"/>
      <c r="K151" s="107">
        <f t="shared" si="30"/>
        <v>-3.3955666175820021E-3</v>
      </c>
      <c r="M151" s="105">
        <v>545.88</v>
      </c>
      <c r="N151" s="124"/>
      <c r="O151" s="107">
        <f t="shared" si="31"/>
        <v>-4.2116057204599766E-4</v>
      </c>
      <c r="P151" s="107"/>
      <c r="Q151" s="105">
        <v>1354.55</v>
      </c>
      <c r="R151" s="124"/>
      <c r="S151" s="107">
        <f t="shared" si="32"/>
        <v>-6.891748231240169E-3</v>
      </c>
      <c r="T151" s="107"/>
      <c r="U151" s="105">
        <v>929</v>
      </c>
      <c r="V151" s="124"/>
      <c r="W151" s="107">
        <f t="shared" si="33"/>
        <v>-2.2444834952069281E-2</v>
      </c>
      <c r="X151" s="107"/>
      <c r="Y151" s="105">
        <v>650.12</v>
      </c>
      <c r="Z151" s="124"/>
      <c r="AA151" s="107">
        <f t="shared" si="34"/>
        <v>-5.2979650104153064E-2</v>
      </c>
      <c r="AB151" s="107"/>
      <c r="AC151" s="105">
        <v>461.37</v>
      </c>
      <c r="AD151" s="124"/>
      <c r="AE151" s="107">
        <f t="shared" si="35"/>
        <v>2.0662345419551809E-2</v>
      </c>
      <c r="AF151" s="107"/>
      <c r="AG151" s="105">
        <v>511.33</v>
      </c>
      <c r="AH151" s="124"/>
      <c r="AI151" s="107">
        <f t="shared" si="36"/>
        <v>2.7798994974874258E-2</v>
      </c>
    </row>
    <row r="152" spans="3:35" s="97" customFormat="1" ht="21" customHeight="1">
      <c r="C152" s="104">
        <v>44774</v>
      </c>
      <c r="E152" s="106">
        <v>362.66</v>
      </c>
      <c r="F152" s="108"/>
      <c r="G152" s="107">
        <f t="shared" si="29"/>
        <v>-2.2031658711538893E-2</v>
      </c>
      <c r="H152" s="109"/>
      <c r="I152" s="106">
        <v>17397.5</v>
      </c>
      <c r="J152" s="109"/>
      <c r="K152" s="107">
        <f t="shared" si="30"/>
        <v>-1.6987651251684555E-2</v>
      </c>
      <c r="M152" s="105">
        <v>530.95000000000005</v>
      </c>
      <c r="N152" s="124"/>
      <c r="O152" s="107">
        <f t="shared" si="31"/>
        <v>-2.7350333406609417E-2</v>
      </c>
      <c r="P152" s="107"/>
      <c r="Q152" s="105">
        <v>1373.75</v>
      </c>
      <c r="R152" s="124"/>
      <c r="S152" s="107">
        <f t="shared" si="32"/>
        <v>1.4174449079029872E-2</v>
      </c>
      <c r="T152" s="107"/>
      <c r="U152" s="105">
        <v>885.69</v>
      </c>
      <c r="V152" s="124"/>
      <c r="W152" s="107">
        <f t="shared" si="33"/>
        <v>-4.6620021528525291E-2</v>
      </c>
      <c r="X152" s="107"/>
      <c r="Y152" s="105">
        <v>642.29</v>
      </c>
      <c r="Z152" s="124"/>
      <c r="AA152" s="107">
        <f t="shared" si="34"/>
        <v>-1.2043930351319787E-2</v>
      </c>
      <c r="AB152" s="107"/>
      <c r="AC152" s="105">
        <v>429.38</v>
      </c>
      <c r="AD152" s="124"/>
      <c r="AE152" s="107">
        <f t="shared" si="35"/>
        <v>-6.9336974662418505E-2</v>
      </c>
      <c r="AF152" s="107"/>
      <c r="AG152" s="105">
        <v>512.16999999999996</v>
      </c>
      <c r="AH152" s="124"/>
      <c r="AI152" s="107">
        <f t="shared" si="36"/>
        <v>1.6427747247373947E-3</v>
      </c>
    </row>
    <row r="153" spans="3:35" s="97" customFormat="1" ht="21" customHeight="1">
      <c r="C153" s="104">
        <v>44767</v>
      </c>
      <c r="E153" s="106">
        <v>380.81</v>
      </c>
      <c r="F153" s="108"/>
      <c r="G153" s="107">
        <f t="shared" si="29"/>
        <v>5.0046875861688545E-2</v>
      </c>
      <c r="H153" s="109"/>
      <c r="I153" s="106">
        <v>17158.25</v>
      </c>
      <c r="J153" s="109"/>
      <c r="K153" s="107">
        <f t="shared" si="30"/>
        <v>-1.3751975858600329E-2</v>
      </c>
      <c r="M153" s="105">
        <v>570.13</v>
      </c>
      <c r="N153" s="124"/>
      <c r="O153" s="107">
        <f t="shared" si="31"/>
        <v>7.3792259158112605E-2</v>
      </c>
      <c r="P153" s="107"/>
      <c r="Q153" s="105">
        <v>1507.75</v>
      </c>
      <c r="R153" s="124"/>
      <c r="S153" s="107">
        <f t="shared" si="32"/>
        <v>9.7543221110100164E-2</v>
      </c>
      <c r="T153" s="107"/>
      <c r="U153" s="105">
        <v>898.83</v>
      </c>
      <c r="V153" s="124"/>
      <c r="W153" s="107">
        <f t="shared" si="33"/>
        <v>1.4835890661518025E-2</v>
      </c>
      <c r="X153" s="107"/>
      <c r="Y153" s="105">
        <v>619.78</v>
      </c>
      <c r="Z153" s="124"/>
      <c r="AA153" s="107">
        <f t="shared" si="34"/>
        <v>-3.5046474334023525E-2</v>
      </c>
      <c r="AB153" s="107"/>
      <c r="AC153" s="105">
        <v>410.9</v>
      </c>
      <c r="AD153" s="124"/>
      <c r="AE153" s="107">
        <f t="shared" si="35"/>
        <v>-4.3038800130420607E-2</v>
      </c>
      <c r="AF153" s="107"/>
      <c r="AG153" s="105">
        <v>489.55</v>
      </c>
      <c r="AH153" s="124"/>
      <c r="AI153" s="107">
        <f t="shared" si="36"/>
        <v>-4.4165023332096709E-2</v>
      </c>
    </row>
    <row r="154" spans="3:35" s="97" customFormat="1" ht="21" customHeight="1">
      <c r="C154" s="104">
        <v>44760</v>
      </c>
      <c r="E154" s="106">
        <v>355.26</v>
      </c>
      <c r="F154" s="108"/>
      <c r="G154" s="107">
        <f t="shared" si="29"/>
        <v>-6.7093826317586203E-2</v>
      </c>
      <c r="H154" s="109"/>
      <c r="I154" s="106">
        <v>16719.45</v>
      </c>
      <c r="J154" s="109"/>
      <c r="K154" s="107">
        <f t="shared" si="30"/>
        <v>-2.5573703611965093E-2</v>
      </c>
      <c r="M154" s="105">
        <v>562.23</v>
      </c>
      <c r="N154" s="124"/>
      <c r="O154" s="107">
        <f t="shared" si="31"/>
        <v>-1.3856488870959249E-2</v>
      </c>
      <c r="P154" s="107"/>
      <c r="Q154" s="105">
        <v>1449.7</v>
      </c>
      <c r="R154" s="124"/>
      <c r="S154" s="107">
        <f t="shared" si="32"/>
        <v>-3.8501077764881431E-2</v>
      </c>
      <c r="T154" s="107"/>
      <c r="U154" s="105">
        <v>882.58</v>
      </c>
      <c r="V154" s="124"/>
      <c r="W154" s="107">
        <f t="shared" si="33"/>
        <v>-1.8079058331386344E-2</v>
      </c>
      <c r="X154" s="107"/>
      <c r="Y154" s="105">
        <v>614.74</v>
      </c>
      <c r="Z154" s="124"/>
      <c r="AA154" s="107">
        <f t="shared" si="34"/>
        <v>-8.1319177772757323E-3</v>
      </c>
      <c r="AB154" s="107"/>
      <c r="AC154" s="105">
        <v>442.74</v>
      </c>
      <c r="AD154" s="124"/>
      <c r="AE154" s="107">
        <f t="shared" si="35"/>
        <v>7.7488440009734871E-2</v>
      </c>
      <c r="AF154" s="107"/>
      <c r="AG154" s="105">
        <v>479.24</v>
      </c>
      <c r="AH154" s="124"/>
      <c r="AI154" s="107">
        <f t="shared" si="36"/>
        <v>-2.1060157287304704E-2</v>
      </c>
    </row>
    <row r="155" spans="3:35" s="97" customFormat="1" ht="21" customHeight="1">
      <c r="C155" s="104">
        <v>44753</v>
      </c>
      <c r="E155" s="106">
        <v>348.89</v>
      </c>
      <c r="F155" s="108"/>
      <c r="G155" s="107">
        <f t="shared" si="29"/>
        <v>-1.7930529752857027E-2</v>
      </c>
      <c r="H155" s="109"/>
      <c r="I155" s="106">
        <v>16049.2</v>
      </c>
      <c r="J155" s="109"/>
      <c r="K155" s="107">
        <f t="shared" si="30"/>
        <v>-4.0088041173603206E-2</v>
      </c>
      <c r="M155" s="105">
        <v>547.54999999999995</v>
      </c>
      <c r="N155" s="124"/>
      <c r="O155" s="107">
        <f t="shared" si="31"/>
        <v>-2.6110310726926822E-2</v>
      </c>
      <c r="P155" s="107"/>
      <c r="Q155" s="105">
        <v>1343.7</v>
      </c>
      <c r="R155" s="124"/>
      <c r="S155" s="107">
        <f t="shared" si="32"/>
        <v>-7.3118576257156676E-2</v>
      </c>
      <c r="T155" s="107"/>
      <c r="U155" s="105">
        <v>837.5</v>
      </c>
      <c r="V155" s="124"/>
      <c r="W155" s="107">
        <f t="shared" si="33"/>
        <v>-5.1077522717487445E-2</v>
      </c>
      <c r="X155" s="107"/>
      <c r="Y155" s="105">
        <v>596.21</v>
      </c>
      <c r="Z155" s="124"/>
      <c r="AA155" s="107">
        <f t="shared" si="34"/>
        <v>-3.0142824608777596E-2</v>
      </c>
      <c r="AB155" s="107"/>
      <c r="AC155" s="105">
        <v>426.45</v>
      </c>
      <c r="AD155" s="124"/>
      <c r="AE155" s="107">
        <f t="shared" si="35"/>
        <v>-3.6793603469304825E-2</v>
      </c>
      <c r="AF155" s="107"/>
      <c r="AG155" s="105">
        <v>449.93</v>
      </c>
      <c r="AH155" s="124"/>
      <c r="AI155" s="107">
        <f t="shared" si="36"/>
        <v>-6.1159335614723309E-2</v>
      </c>
    </row>
    <row r="156" spans="3:35" s="97" customFormat="1" ht="21" customHeight="1">
      <c r="C156" s="104">
        <v>44746</v>
      </c>
      <c r="E156" s="106">
        <v>336.17</v>
      </c>
      <c r="F156" s="108"/>
      <c r="G156" s="107">
        <f t="shared" si="29"/>
        <v>-3.6458482616297361E-2</v>
      </c>
      <c r="H156" s="109"/>
      <c r="I156" s="106">
        <v>16220.6</v>
      </c>
      <c r="J156" s="109"/>
      <c r="K156" s="107">
        <f t="shared" si="30"/>
        <v>1.0679660045360473E-2</v>
      </c>
      <c r="M156" s="105">
        <v>542.37</v>
      </c>
      <c r="N156" s="124"/>
      <c r="O156" s="107">
        <f t="shared" si="31"/>
        <v>-9.4603232581498276E-3</v>
      </c>
      <c r="P156" s="107"/>
      <c r="Q156" s="105">
        <v>1303.3499999999999</v>
      </c>
      <c r="R156" s="124"/>
      <c r="S156" s="107">
        <f t="shared" si="32"/>
        <v>-3.0029024335789356E-2</v>
      </c>
      <c r="T156" s="107"/>
      <c r="U156" s="105">
        <v>790.27</v>
      </c>
      <c r="V156" s="124"/>
      <c r="W156" s="107">
        <f t="shared" si="33"/>
        <v>-5.6394029850746263E-2</v>
      </c>
      <c r="X156" s="107"/>
      <c r="Y156" s="105">
        <v>602.04999999999995</v>
      </c>
      <c r="Z156" s="124"/>
      <c r="AA156" s="107">
        <f t="shared" si="34"/>
        <v>9.7952063870112571E-3</v>
      </c>
      <c r="AB156" s="107"/>
      <c r="AC156" s="105">
        <v>422.18</v>
      </c>
      <c r="AD156" s="124"/>
      <c r="AE156" s="107">
        <f t="shared" si="35"/>
        <v>-1.001289717434628E-2</v>
      </c>
      <c r="AF156" s="107"/>
      <c r="AG156" s="105">
        <v>441.6</v>
      </c>
      <c r="AH156" s="124"/>
      <c r="AI156" s="107">
        <f t="shared" si="36"/>
        <v>-1.8513991065276736E-2</v>
      </c>
    </row>
    <row r="157" spans="3:35" s="97" customFormat="1" ht="21" customHeight="1">
      <c r="C157" s="104">
        <v>44739</v>
      </c>
      <c r="E157" s="106">
        <v>318.95</v>
      </c>
      <c r="F157" s="108"/>
      <c r="G157" s="107">
        <f t="shared" si="29"/>
        <v>-5.122408305321724E-2</v>
      </c>
      <c r="H157" s="109"/>
      <c r="I157" s="106">
        <v>15752.05</v>
      </c>
      <c r="J157" s="109"/>
      <c r="K157" s="107">
        <f t="shared" si="30"/>
        <v>-2.8886107788861137E-2</v>
      </c>
      <c r="M157" s="105">
        <v>531.83000000000004</v>
      </c>
      <c r="N157" s="124"/>
      <c r="O157" s="107">
        <f t="shared" si="31"/>
        <v>-1.9433228239024936E-2</v>
      </c>
      <c r="P157" s="107"/>
      <c r="Q157" s="105">
        <v>1227.4000000000001</v>
      </c>
      <c r="R157" s="124"/>
      <c r="S157" s="107">
        <f t="shared" si="32"/>
        <v>-5.8272912111098196E-2</v>
      </c>
      <c r="T157" s="107"/>
      <c r="U157" s="105">
        <v>730.06</v>
      </c>
      <c r="V157" s="124"/>
      <c r="W157" s="107">
        <f t="shared" si="33"/>
        <v>-7.6189150543485185E-2</v>
      </c>
      <c r="X157" s="107"/>
      <c r="Y157" s="105">
        <v>586.97</v>
      </c>
      <c r="Z157" s="124"/>
      <c r="AA157" s="107">
        <f t="shared" si="34"/>
        <v>-2.5047753508844695E-2</v>
      </c>
      <c r="AB157" s="107"/>
      <c r="AC157" s="105">
        <v>385.32</v>
      </c>
      <c r="AD157" s="124"/>
      <c r="AE157" s="107">
        <f t="shared" si="35"/>
        <v>-8.7308730873087326E-2</v>
      </c>
      <c r="AF157" s="107"/>
      <c r="AG157" s="105">
        <v>440.11</v>
      </c>
      <c r="AH157" s="124"/>
      <c r="AI157" s="107">
        <f t="shared" si="36"/>
        <v>-3.374094202898581E-3</v>
      </c>
    </row>
    <row r="158" spans="3:35" s="97" customFormat="1" ht="21" customHeight="1">
      <c r="C158" s="104">
        <v>44732</v>
      </c>
      <c r="E158" s="106">
        <v>311.45</v>
      </c>
      <c r="F158" s="108"/>
      <c r="G158" s="107">
        <f t="shared" si="29"/>
        <v>-2.3514657469822842E-2</v>
      </c>
      <c r="H158" s="109"/>
      <c r="I158" s="106">
        <v>15699.25</v>
      </c>
      <c r="J158" s="109"/>
      <c r="K158" s="107">
        <f t="shared" si="30"/>
        <v>-3.3519446675194242E-3</v>
      </c>
      <c r="M158" s="105">
        <v>503.71</v>
      </c>
      <c r="N158" s="124"/>
      <c r="O158" s="107">
        <f t="shared" si="31"/>
        <v>-5.2874038696576031E-2</v>
      </c>
      <c r="P158" s="107"/>
      <c r="Q158" s="105">
        <v>1199.75</v>
      </c>
      <c r="R158" s="124"/>
      <c r="S158" s="107">
        <f t="shared" si="32"/>
        <v>-2.2527293465862908E-2</v>
      </c>
      <c r="T158" s="107"/>
      <c r="U158" s="105">
        <v>746.39</v>
      </c>
      <c r="V158" s="124"/>
      <c r="W158" s="107">
        <f t="shared" si="33"/>
        <v>2.23680245459279E-2</v>
      </c>
      <c r="X158" s="107"/>
      <c r="Y158" s="105">
        <v>556.54</v>
      </c>
      <c r="Z158" s="124"/>
      <c r="AA158" s="107">
        <f t="shared" si="34"/>
        <v>-5.1842513245992206E-2</v>
      </c>
      <c r="AB158" s="107"/>
      <c r="AC158" s="105">
        <v>387.46</v>
      </c>
      <c r="AD158" s="124"/>
      <c r="AE158" s="107">
        <f t="shared" si="35"/>
        <v>5.5538253918820946E-3</v>
      </c>
      <c r="AF158" s="107"/>
      <c r="AG158" s="105">
        <v>435.45</v>
      </c>
      <c r="AH158" s="124"/>
      <c r="AI158" s="107">
        <f t="shared" si="36"/>
        <v>-1.058826202540275E-2</v>
      </c>
    </row>
    <row r="159" spans="3:35" s="97" customFormat="1" ht="21" customHeight="1">
      <c r="C159" s="104">
        <v>44725</v>
      </c>
      <c r="E159" s="106">
        <v>298.48</v>
      </c>
      <c r="F159" s="108"/>
      <c r="G159" s="107">
        <f t="shared" si="29"/>
        <v>-4.1643923583239539E-2</v>
      </c>
      <c r="H159" s="109"/>
      <c r="I159" s="106">
        <v>15293.5</v>
      </c>
      <c r="J159" s="109"/>
      <c r="K159" s="107">
        <f t="shared" si="30"/>
        <v>-2.5845183687118856E-2</v>
      </c>
      <c r="M159" s="105">
        <v>520.21</v>
      </c>
      <c r="N159" s="124"/>
      <c r="O159" s="107">
        <f t="shared" si="31"/>
        <v>3.2756943479383072E-2</v>
      </c>
      <c r="P159" s="107"/>
      <c r="Q159" s="105">
        <v>1186.45</v>
      </c>
      <c r="R159" s="124"/>
      <c r="S159" s="107">
        <f t="shared" si="32"/>
        <v>-1.1085642842258769E-2</v>
      </c>
      <c r="T159" s="107"/>
      <c r="U159" s="105">
        <v>744.67</v>
      </c>
      <c r="V159" s="124"/>
      <c r="W159" s="107">
        <f t="shared" si="33"/>
        <v>-2.3044253004461668E-3</v>
      </c>
      <c r="X159" s="107"/>
      <c r="Y159" s="105">
        <v>536.75</v>
      </c>
      <c r="Z159" s="124"/>
      <c r="AA159" s="107">
        <f t="shared" si="34"/>
        <v>-3.5558989470657942E-2</v>
      </c>
      <c r="AB159" s="107"/>
      <c r="AC159" s="105">
        <v>408.12</v>
      </c>
      <c r="AD159" s="124"/>
      <c r="AE159" s="107">
        <f t="shared" si="35"/>
        <v>5.3321633200846597E-2</v>
      </c>
      <c r="AF159" s="107"/>
      <c r="AG159" s="105">
        <v>439.12</v>
      </c>
      <c r="AH159" s="124"/>
      <c r="AI159" s="107">
        <f t="shared" si="36"/>
        <v>8.4280629234125826E-3</v>
      </c>
    </row>
    <row r="160" spans="3:35" s="97" customFormat="1" ht="21" customHeight="1">
      <c r="C160" s="104">
        <v>44718</v>
      </c>
      <c r="E160" s="106">
        <v>317.52</v>
      </c>
      <c r="F160" s="108"/>
      <c r="G160" s="107">
        <f t="shared" si="29"/>
        <v>6.3789868667917249E-2</v>
      </c>
      <c r="H160" s="109"/>
      <c r="I160" s="106">
        <v>16201.8</v>
      </c>
      <c r="J160" s="109"/>
      <c r="K160" s="107">
        <f t="shared" si="30"/>
        <v>5.9391244646418428E-2</v>
      </c>
      <c r="M160" s="105">
        <v>547.88</v>
      </c>
      <c r="N160" s="124"/>
      <c r="O160" s="107">
        <f t="shared" si="31"/>
        <v>5.3190057861248308E-2</v>
      </c>
      <c r="P160" s="107"/>
      <c r="Q160" s="105">
        <v>1312.75</v>
      </c>
      <c r="R160" s="124"/>
      <c r="S160" s="107">
        <f t="shared" si="32"/>
        <v>0.10645202073412285</v>
      </c>
      <c r="T160" s="107"/>
      <c r="U160" s="105">
        <v>779.99</v>
      </c>
      <c r="V160" s="124"/>
      <c r="W160" s="107">
        <f t="shared" si="33"/>
        <v>4.743040541447896E-2</v>
      </c>
      <c r="X160" s="107"/>
      <c r="Y160" s="105">
        <v>551.91999999999996</v>
      </c>
      <c r="Z160" s="124"/>
      <c r="AA160" s="107">
        <f t="shared" si="34"/>
        <v>2.826269212855137E-2</v>
      </c>
      <c r="AB160" s="107"/>
      <c r="AC160" s="105">
        <v>416.37</v>
      </c>
      <c r="AD160" s="124"/>
      <c r="AE160" s="107">
        <f t="shared" si="35"/>
        <v>2.0214642752131695E-2</v>
      </c>
      <c r="AF160" s="107"/>
      <c r="AG160" s="105">
        <v>452.21</v>
      </c>
      <c r="AH160" s="124"/>
      <c r="AI160" s="107">
        <f t="shared" si="36"/>
        <v>2.9809619238476914E-2</v>
      </c>
    </row>
    <row r="161" spans="3:35" s="97" customFormat="1" ht="21" customHeight="1">
      <c r="C161" s="104">
        <v>44711</v>
      </c>
      <c r="E161" s="106">
        <v>326.3</v>
      </c>
      <c r="F161" s="108"/>
      <c r="G161" s="107">
        <f t="shared" si="29"/>
        <v>2.7651801461325398E-2</v>
      </c>
      <c r="H161" s="109"/>
      <c r="I161" s="106">
        <v>16584.3</v>
      </c>
      <c r="J161" s="109"/>
      <c r="K161" s="107">
        <f t="shared" si="30"/>
        <v>2.3608487945783851E-2</v>
      </c>
      <c r="M161" s="105">
        <v>543.61</v>
      </c>
      <c r="N161" s="124"/>
      <c r="O161" s="107">
        <f t="shared" si="31"/>
        <v>-7.7936774476162762E-3</v>
      </c>
      <c r="P161" s="107"/>
      <c r="Q161" s="105">
        <v>1355.35</v>
      </c>
      <c r="R161" s="124"/>
      <c r="S161" s="107">
        <f t="shared" si="32"/>
        <v>3.2450961721576688E-2</v>
      </c>
      <c r="T161" s="107"/>
      <c r="U161" s="105">
        <v>751.61</v>
      </c>
      <c r="V161" s="124"/>
      <c r="W161" s="107">
        <f t="shared" si="33"/>
        <v>-3.6385081860023871E-2</v>
      </c>
      <c r="X161" s="107"/>
      <c r="Y161" s="105">
        <v>567.55999999999995</v>
      </c>
      <c r="Z161" s="124"/>
      <c r="AA161" s="107">
        <f t="shared" si="34"/>
        <v>2.8337440208725972E-2</v>
      </c>
      <c r="AB161" s="107"/>
      <c r="AC161" s="105">
        <v>436.13</v>
      </c>
      <c r="AD161" s="124"/>
      <c r="AE161" s="107">
        <f t="shared" si="35"/>
        <v>4.7457789946441897E-2</v>
      </c>
      <c r="AF161" s="107"/>
      <c r="AG161" s="105">
        <v>456.23</v>
      </c>
      <c r="AH161" s="124"/>
      <c r="AI161" s="107">
        <f t="shared" si="36"/>
        <v>8.8896751509255356E-3</v>
      </c>
    </row>
    <row r="162" spans="3:35" s="97" customFormat="1" ht="21" customHeight="1">
      <c r="C162" s="104">
        <v>44704</v>
      </c>
      <c r="E162" s="106">
        <v>320.38</v>
      </c>
      <c r="F162" s="108"/>
      <c r="G162" s="107">
        <f t="shared" si="29"/>
        <v>-1.8142813361936905E-2</v>
      </c>
      <c r="H162" s="109"/>
      <c r="I162" s="106">
        <v>16352.45</v>
      </c>
      <c r="J162" s="109"/>
      <c r="K162" s="107">
        <f t="shared" si="30"/>
        <v>-1.3980089602817047E-2</v>
      </c>
      <c r="M162" s="105">
        <v>440.96</v>
      </c>
      <c r="N162" s="124"/>
      <c r="O162" s="107">
        <f t="shared" si="31"/>
        <v>-0.18883022755284129</v>
      </c>
      <c r="P162" s="107"/>
      <c r="Q162" s="105">
        <v>1304.75</v>
      </c>
      <c r="R162" s="124"/>
      <c r="S162" s="107">
        <f t="shared" si="32"/>
        <v>-3.7333530084479927E-2</v>
      </c>
      <c r="T162" s="107"/>
      <c r="U162" s="105">
        <v>744.18</v>
      </c>
      <c r="V162" s="124"/>
      <c r="W162" s="107">
        <f t="shared" si="33"/>
        <v>-9.8854459094478431E-3</v>
      </c>
      <c r="X162" s="107"/>
      <c r="Y162" s="105">
        <v>554.24</v>
      </c>
      <c r="Z162" s="124"/>
      <c r="AA162" s="107">
        <f t="shared" si="34"/>
        <v>-2.3468884347029317E-2</v>
      </c>
      <c r="AB162" s="107"/>
      <c r="AC162" s="105">
        <v>411.2</v>
      </c>
      <c r="AD162" s="124"/>
      <c r="AE162" s="107">
        <f t="shared" si="35"/>
        <v>-5.7161855410084117E-2</v>
      </c>
      <c r="AF162" s="107"/>
      <c r="AG162" s="105">
        <v>439.61</v>
      </c>
      <c r="AH162" s="124"/>
      <c r="AI162" s="107">
        <f t="shared" si="36"/>
        <v>-3.6428994147688631E-2</v>
      </c>
    </row>
    <row r="163" spans="3:35" s="97" customFormat="1" ht="21" customHeight="1">
      <c r="C163" s="104">
        <v>44697</v>
      </c>
      <c r="E163" s="106">
        <v>327.08999999999997</v>
      </c>
      <c r="F163" s="108"/>
      <c r="G163" s="107">
        <f t="shared" si="29"/>
        <v>2.094387914351703E-2</v>
      </c>
      <c r="H163" s="109"/>
      <c r="I163" s="106">
        <v>16266.15</v>
      </c>
      <c r="J163" s="109"/>
      <c r="K163" s="107">
        <f t="shared" si="30"/>
        <v>-5.2774966442338256E-3</v>
      </c>
      <c r="M163" s="105">
        <v>493.44</v>
      </c>
      <c r="N163" s="124"/>
      <c r="O163" s="107">
        <f t="shared" si="31"/>
        <v>0.11901306240928888</v>
      </c>
      <c r="P163" s="107"/>
      <c r="Q163" s="105">
        <v>1345.35</v>
      </c>
      <c r="R163" s="124"/>
      <c r="S163" s="107">
        <f t="shared" si="32"/>
        <v>3.1117072236060528E-2</v>
      </c>
      <c r="T163" s="107"/>
      <c r="U163" s="105">
        <v>786.38</v>
      </c>
      <c r="V163" s="124"/>
      <c r="W163" s="107">
        <f t="shared" si="33"/>
        <v>5.6706710742024935E-2</v>
      </c>
      <c r="X163" s="107"/>
      <c r="Y163" s="105">
        <v>539.29</v>
      </c>
      <c r="Z163" s="124"/>
      <c r="AA163" s="107">
        <f t="shared" si="34"/>
        <v>-2.6973874133949249E-2</v>
      </c>
      <c r="AB163" s="107"/>
      <c r="AC163" s="105">
        <v>438.92</v>
      </c>
      <c r="AD163" s="124"/>
      <c r="AE163" s="107">
        <f t="shared" si="35"/>
        <v>6.7412451361867687E-2</v>
      </c>
      <c r="AF163" s="107"/>
      <c r="AG163" s="105">
        <v>446.01</v>
      </c>
      <c r="AH163" s="124"/>
      <c r="AI163" s="107">
        <f t="shared" si="36"/>
        <v>1.4558358545073924E-2</v>
      </c>
    </row>
    <row r="164" spans="3:35" s="97" customFormat="1" ht="21" customHeight="1">
      <c r="C164" s="104">
        <v>44690</v>
      </c>
      <c r="E164" s="106">
        <v>314.36</v>
      </c>
      <c r="F164" s="108"/>
      <c r="G164" s="107">
        <f t="shared" si="29"/>
        <v>-3.8918951970405624E-2</v>
      </c>
      <c r="H164" s="109"/>
      <c r="I164" s="106">
        <v>15782.15</v>
      </c>
      <c r="J164" s="109"/>
      <c r="K164" s="107">
        <f t="shared" si="30"/>
        <v>-2.975504344912594E-2</v>
      </c>
      <c r="M164" s="105">
        <v>428.8</v>
      </c>
      <c r="N164" s="124"/>
      <c r="O164" s="107">
        <f t="shared" si="31"/>
        <v>-0.13099870298313876</v>
      </c>
      <c r="P164" s="107"/>
      <c r="Q164" s="105">
        <v>1342.2</v>
      </c>
      <c r="R164" s="124"/>
      <c r="S164" s="107">
        <f t="shared" si="32"/>
        <v>-2.3413981491804403E-3</v>
      </c>
      <c r="T164" s="107"/>
      <c r="U164" s="105">
        <v>808.62</v>
      </c>
      <c r="V164" s="124"/>
      <c r="W164" s="107">
        <f t="shared" si="33"/>
        <v>2.8281492408250397E-2</v>
      </c>
      <c r="X164" s="107"/>
      <c r="Y164" s="105">
        <v>503.86</v>
      </c>
      <c r="Z164" s="124"/>
      <c r="AA164" s="107">
        <f t="shared" si="34"/>
        <v>-6.5697491145765619E-2</v>
      </c>
      <c r="AB164" s="107"/>
      <c r="AC164" s="105">
        <v>437.62</v>
      </c>
      <c r="AD164" s="124"/>
      <c r="AE164" s="107">
        <f t="shared" si="35"/>
        <v>-2.9618153649868528E-3</v>
      </c>
      <c r="AF164" s="107"/>
      <c r="AG164" s="105">
        <v>404.6</v>
      </c>
      <c r="AH164" s="124"/>
      <c r="AI164" s="107">
        <f t="shared" si="36"/>
        <v>-9.2845451895697373E-2</v>
      </c>
    </row>
    <row r="165" spans="3:35" s="97" customFormat="1" ht="21" customHeight="1">
      <c r="C165" s="104">
        <v>44683</v>
      </c>
      <c r="E165" s="106">
        <v>324.43</v>
      </c>
      <c r="F165" s="108"/>
      <c r="G165" s="107">
        <f t="shared" si="29"/>
        <v>3.2033337574755016E-2</v>
      </c>
      <c r="H165" s="109"/>
      <c r="I165" s="106">
        <v>16411.25</v>
      </c>
      <c r="J165" s="109"/>
      <c r="K165" s="107">
        <f t="shared" si="30"/>
        <v>3.9861489087354984E-2</v>
      </c>
      <c r="M165" s="105">
        <v>493.02</v>
      </c>
      <c r="N165" s="124"/>
      <c r="O165" s="107">
        <f t="shared" si="31"/>
        <v>0.14976679104477597</v>
      </c>
      <c r="P165" s="107"/>
      <c r="Q165" s="105">
        <v>1417.2</v>
      </c>
      <c r="R165" s="124"/>
      <c r="S165" s="107">
        <f t="shared" si="32"/>
        <v>5.5878408582923589E-2</v>
      </c>
      <c r="T165" s="107"/>
      <c r="U165" s="105">
        <v>861.3</v>
      </c>
      <c r="V165" s="124"/>
      <c r="W165" s="107">
        <f t="shared" si="33"/>
        <v>6.5148029976997757E-2</v>
      </c>
      <c r="X165" s="107"/>
      <c r="Y165" s="105">
        <v>519.01</v>
      </c>
      <c r="Z165" s="124"/>
      <c r="AA165" s="107">
        <f t="shared" si="34"/>
        <v>3.0067875997300764E-2</v>
      </c>
      <c r="AB165" s="107"/>
      <c r="AC165" s="105">
        <v>454.66</v>
      </c>
      <c r="AD165" s="124"/>
      <c r="AE165" s="107">
        <f t="shared" si="35"/>
        <v>3.8937891321237705E-2</v>
      </c>
      <c r="AF165" s="107"/>
      <c r="AG165" s="105">
        <v>432.32</v>
      </c>
      <c r="AH165" s="124"/>
      <c r="AI165" s="107">
        <f t="shared" si="36"/>
        <v>6.8512110726643538E-2</v>
      </c>
    </row>
    <row r="166" spans="3:35" s="97" customFormat="1" ht="21" customHeight="1">
      <c r="C166" s="104">
        <v>44676</v>
      </c>
      <c r="E166" s="106">
        <v>367.24</v>
      </c>
      <c r="F166" s="108"/>
      <c r="G166" s="107">
        <f t="shared" si="29"/>
        <v>0.13195450482384485</v>
      </c>
      <c r="H166" s="109"/>
      <c r="I166" s="106">
        <v>17102.55</v>
      </c>
      <c r="J166" s="109"/>
      <c r="K166" s="107">
        <f t="shared" si="30"/>
        <v>4.2123543301089139E-2</v>
      </c>
      <c r="M166" s="105">
        <v>501.77</v>
      </c>
      <c r="N166" s="124"/>
      <c r="O166" s="107">
        <f t="shared" si="31"/>
        <v>1.7747758711614159E-2</v>
      </c>
      <c r="P166" s="107"/>
      <c r="Q166" s="105">
        <v>1573</v>
      </c>
      <c r="R166" s="124"/>
      <c r="S166" s="107">
        <f t="shared" si="32"/>
        <v>0.10993508326277168</v>
      </c>
      <c r="T166" s="107"/>
      <c r="U166" s="105">
        <v>944.67</v>
      </c>
      <c r="V166" s="124"/>
      <c r="W166" s="107">
        <f t="shared" si="33"/>
        <v>9.6795541623127868E-2</v>
      </c>
      <c r="X166" s="107"/>
      <c r="Y166" s="105">
        <v>538.66999999999996</v>
      </c>
      <c r="Z166" s="124"/>
      <c r="AA166" s="107">
        <f t="shared" si="34"/>
        <v>3.7879809637579198E-2</v>
      </c>
      <c r="AB166" s="107"/>
      <c r="AC166" s="105">
        <v>471.5</v>
      </c>
      <c r="AD166" s="124"/>
      <c r="AE166" s="107">
        <f t="shared" si="35"/>
        <v>3.7038666256103303E-2</v>
      </c>
      <c r="AF166" s="107"/>
      <c r="AG166" s="105">
        <v>452.11</v>
      </c>
      <c r="AH166" s="124"/>
      <c r="AI166" s="107">
        <f t="shared" si="36"/>
        <v>4.577627683197627E-2</v>
      </c>
    </row>
    <row r="167" spans="3:35" s="97" customFormat="1" ht="21" customHeight="1">
      <c r="C167" s="104">
        <v>44669</v>
      </c>
      <c r="E167" s="106">
        <v>374.64</v>
      </c>
      <c r="F167" s="108"/>
      <c r="G167" s="107">
        <f t="shared" si="29"/>
        <v>2.0150310423701079E-2</v>
      </c>
      <c r="H167" s="109"/>
      <c r="I167" s="106">
        <v>17171.95</v>
      </c>
      <c r="J167" s="109"/>
      <c r="K167" s="107">
        <f t="shared" si="30"/>
        <v>4.0578744105412845E-3</v>
      </c>
      <c r="M167" s="105">
        <v>509.15</v>
      </c>
      <c r="N167" s="124"/>
      <c r="O167" s="107">
        <f t="shared" si="31"/>
        <v>1.4707933913944649E-2</v>
      </c>
      <c r="P167" s="107"/>
      <c r="Q167" s="105">
        <v>1572.3</v>
      </c>
      <c r="R167" s="124"/>
      <c r="S167" s="107">
        <f t="shared" si="32"/>
        <v>-4.4500953591863901E-4</v>
      </c>
      <c r="T167" s="107"/>
      <c r="U167" s="105">
        <v>950.67</v>
      </c>
      <c r="V167" s="124"/>
      <c r="W167" s="107">
        <f t="shared" si="33"/>
        <v>6.3514243069007215E-3</v>
      </c>
      <c r="X167" s="107"/>
      <c r="Y167" s="105">
        <v>504.31</v>
      </c>
      <c r="Z167" s="124"/>
      <c r="AA167" s="107">
        <f t="shared" si="34"/>
        <v>-6.3786733992982625E-2</v>
      </c>
      <c r="AB167" s="107"/>
      <c r="AC167" s="105">
        <v>484.41</v>
      </c>
      <c r="AD167" s="124"/>
      <c r="AE167" s="107">
        <f t="shared" si="35"/>
        <v>2.7380699893955418E-2</v>
      </c>
      <c r="AF167" s="107"/>
      <c r="AG167" s="105">
        <v>471.5</v>
      </c>
      <c r="AH167" s="124"/>
      <c r="AI167" s="107">
        <f t="shared" si="36"/>
        <v>4.2887792793789181E-2</v>
      </c>
    </row>
    <row r="168" spans="3:35" s="97" customFormat="1" ht="21" customHeight="1">
      <c r="C168" s="104">
        <v>44662</v>
      </c>
      <c r="E168" s="106">
        <v>385.59</v>
      </c>
      <c r="F168" s="108"/>
      <c r="G168" s="107">
        <f t="shared" si="29"/>
        <v>2.9228058936578982E-2</v>
      </c>
      <c r="H168" s="109"/>
      <c r="I168" s="106">
        <v>17475.650000000001</v>
      </c>
      <c r="J168" s="109"/>
      <c r="K168" s="107">
        <f t="shared" si="30"/>
        <v>1.7685819024630289E-2</v>
      </c>
      <c r="M168" s="105">
        <v>566.82000000000005</v>
      </c>
      <c r="N168" s="124"/>
      <c r="O168" s="107">
        <f t="shared" si="31"/>
        <v>0.11326721005597573</v>
      </c>
      <c r="P168" s="107"/>
      <c r="Q168" s="105">
        <v>1602.6</v>
      </c>
      <c r="R168" s="124"/>
      <c r="S168" s="107">
        <f t="shared" si="32"/>
        <v>1.9271131463461044E-2</v>
      </c>
      <c r="T168" s="107"/>
      <c r="U168" s="105">
        <v>981.32</v>
      </c>
      <c r="V168" s="124"/>
      <c r="W168" s="107">
        <f t="shared" si="33"/>
        <v>3.2240419914376206E-2</v>
      </c>
      <c r="X168" s="107"/>
      <c r="Y168" s="105">
        <v>526.32000000000005</v>
      </c>
      <c r="Z168" s="124"/>
      <c r="AA168" s="107">
        <f t="shared" si="34"/>
        <v>4.3643790525668802E-2</v>
      </c>
      <c r="AB168" s="107"/>
      <c r="AC168" s="105">
        <v>480.64</v>
      </c>
      <c r="AD168" s="124"/>
      <c r="AE168" s="107">
        <f t="shared" si="35"/>
        <v>-7.7826634462543343E-3</v>
      </c>
      <c r="AF168" s="107"/>
      <c r="AG168" s="105">
        <v>484.45</v>
      </c>
      <c r="AH168" s="124"/>
      <c r="AI168" s="107">
        <f t="shared" si="36"/>
        <v>2.7465535524920481E-2</v>
      </c>
    </row>
    <row r="169" spans="3:35" s="97" customFormat="1" ht="21" customHeight="1">
      <c r="C169" s="104">
        <v>44655</v>
      </c>
      <c r="E169" s="106">
        <v>390.63</v>
      </c>
      <c r="F169" s="108"/>
      <c r="G169" s="107">
        <f t="shared" si="29"/>
        <v>1.3070878394149332E-2</v>
      </c>
      <c r="H169" s="109"/>
      <c r="I169" s="106">
        <v>17784.349999999999</v>
      </c>
      <c r="J169" s="109"/>
      <c r="K169" s="107">
        <f t="shared" si="30"/>
        <v>1.7664578999922576E-2</v>
      </c>
      <c r="M169" s="105">
        <v>583.04</v>
      </c>
      <c r="N169" s="124"/>
      <c r="O169" s="107">
        <f t="shared" si="31"/>
        <v>2.8615786316643632E-2</v>
      </c>
      <c r="P169" s="107"/>
      <c r="Q169" s="105">
        <v>1665.3</v>
      </c>
      <c r="R169" s="124"/>
      <c r="S169" s="107">
        <f t="shared" si="32"/>
        <v>3.9123923624110768E-2</v>
      </c>
      <c r="T169" s="107"/>
      <c r="U169" s="105">
        <v>942.36</v>
      </c>
      <c r="V169" s="124"/>
      <c r="W169" s="107">
        <f t="shared" si="33"/>
        <v>-3.970162638079322E-2</v>
      </c>
      <c r="X169" s="107"/>
      <c r="Y169" s="105">
        <v>541.04999999999995</v>
      </c>
      <c r="Z169" s="124"/>
      <c r="AA169" s="107">
        <f t="shared" si="34"/>
        <v>2.7986776105791034E-2</v>
      </c>
      <c r="AB169" s="107"/>
      <c r="AC169" s="105">
        <v>512.97</v>
      </c>
      <c r="AD169" s="124"/>
      <c r="AE169" s="107">
        <f t="shared" si="35"/>
        <v>6.7264480692410311E-2</v>
      </c>
      <c r="AF169" s="107"/>
      <c r="AG169" s="105">
        <v>502.75</v>
      </c>
      <c r="AH169" s="124"/>
      <c r="AI169" s="107">
        <f t="shared" si="36"/>
        <v>3.7774796160594537E-2</v>
      </c>
    </row>
    <row r="170" spans="3:35" s="97" customFormat="1" ht="21" customHeight="1">
      <c r="C170" s="104">
        <v>44648</v>
      </c>
      <c r="E170" s="106">
        <v>380.41</v>
      </c>
      <c r="F170" s="108"/>
      <c r="G170" s="107">
        <f t="shared" si="29"/>
        <v>-2.6162865115326395E-2</v>
      </c>
      <c r="H170" s="109"/>
      <c r="I170" s="106">
        <v>17670.45</v>
      </c>
      <c r="J170" s="109"/>
      <c r="K170" s="107">
        <f t="shared" si="30"/>
        <v>-6.4045073336949088E-3</v>
      </c>
      <c r="M170" s="105">
        <v>588.1</v>
      </c>
      <c r="N170" s="124"/>
      <c r="O170" s="107">
        <f t="shared" si="31"/>
        <v>8.6786498353459418E-3</v>
      </c>
      <c r="P170" s="107"/>
      <c r="Q170" s="105">
        <v>1692.05</v>
      </c>
      <c r="R170" s="124"/>
      <c r="S170" s="107">
        <f t="shared" si="32"/>
        <v>1.6063171800876797E-2</v>
      </c>
      <c r="T170" s="107"/>
      <c r="U170" s="105">
        <v>969.56</v>
      </c>
      <c r="V170" s="124"/>
      <c r="W170" s="107">
        <f t="shared" si="33"/>
        <v>2.8863703892355375E-2</v>
      </c>
      <c r="X170" s="107"/>
      <c r="Y170" s="105">
        <v>530.37</v>
      </c>
      <c r="Z170" s="124"/>
      <c r="AA170" s="107">
        <f t="shared" si="34"/>
        <v>-1.9739395619628453E-2</v>
      </c>
      <c r="AB170" s="107"/>
      <c r="AC170" s="105">
        <v>501.65</v>
      </c>
      <c r="AD170" s="124"/>
      <c r="AE170" s="107">
        <f t="shared" si="35"/>
        <v>-2.2067567304130953E-2</v>
      </c>
      <c r="AF170" s="107"/>
      <c r="AG170" s="105">
        <v>519.51</v>
      </c>
      <c r="AH170" s="124"/>
      <c r="AI170" s="107">
        <f t="shared" si="36"/>
        <v>3.3336648433615057E-2</v>
      </c>
    </row>
    <row r="171" spans="3:35" s="97" customFormat="1" ht="21" customHeight="1">
      <c r="C171" s="104">
        <v>44641</v>
      </c>
      <c r="E171" s="106">
        <v>360.09</v>
      </c>
      <c r="F171" s="108"/>
      <c r="G171" s="107">
        <f t="shared" si="29"/>
        <v>-5.3416051102757711E-2</v>
      </c>
      <c r="H171" s="109"/>
      <c r="I171" s="106">
        <v>17153</v>
      </c>
      <c r="J171" s="109"/>
      <c r="K171" s="107">
        <f t="shared" si="30"/>
        <v>-2.928335158414197E-2</v>
      </c>
      <c r="M171" s="105">
        <v>537.48</v>
      </c>
      <c r="N171" s="124"/>
      <c r="O171" s="107">
        <f t="shared" si="31"/>
        <v>-8.6073796973303862E-2</v>
      </c>
      <c r="P171" s="107"/>
      <c r="Q171" s="105">
        <v>1621.6</v>
      </c>
      <c r="R171" s="124"/>
      <c r="S171" s="107">
        <f t="shared" si="32"/>
        <v>-4.1635885464377576E-2</v>
      </c>
      <c r="T171" s="107"/>
      <c r="U171" s="105">
        <v>905.91</v>
      </c>
      <c r="V171" s="124"/>
      <c r="W171" s="107">
        <f t="shared" si="33"/>
        <v>-6.5648335327364915E-2</v>
      </c>
      <c r="X171" s="107"/>
      <c r="Y171" s="105">
        <v>513.04999999999995</v>
      </c>
      <c r="Z171" s="124"/>
      <c r="AA171" s="107">
        <f t="shared" si="34"/>
        <v>-3.2656447385787324E-2</v>
      </c>
      <c r="AB171" s="107"/>
      <c r="AC171" s="105">
        <v>472.09</v>
      </c>
      <c r="AD171" s="124"/>
      <c r="AE171" s="107">
        <f t="shared" si="35"/>
        <v>-5.8925545699192616E-2</v>
      </c>
      <c r="AF171" s="107"/>
      <c r="AG171" s="105">
        <v>510.19</v>
      </c>
      <c r="AH171" s="124"/>
      <c r="AI171" s="107">
        <f t="shared" si="36"/>
        <v>-1.7939981906026858E-2</v>
      </c>
    </row>
    <row r="172" spans="3:35" s="97" customFormat="1" ht="21" customHeight="1">
      <c r="C172" s="104">
        <v>44634</v>
      </c>
      <c r="E172" s="106">
        <v>358.07</v>
      </c>
      <c r="F172" s="108"/>
      <c r="G172" s="107">
        <f t="shared" si="29"/>
        <v>-5.6097086839400623E-3</v>
      </c>
      <c r="H172" s="109"/>
      <c r="I172" s="106">
        <v>17287.05</v>
      </c>
      <c r="J172" s="109"/>
      <c r="K172" s="107">
        <f t="shared" si="30"/>
        <v>7.8149594823062607E-3</v>
      </c>
      <c r="M172" s="105">
        <v>553.23</v>
      </c>
      <c r="N172" s="124"/>
      <c r="O172" s="107">
        <f t="shared" si="31"/>
        <v>2.9303415941058342E-2</v>
      </c>
      <c r="P172" s="107"/>
      <c r="Q172" s="105">
        <v>1597.2</v>
      </c>
      <c r="R172" s="124"/>
      <c r="S172" s="107">
        <f t="shared" si="32"/>
        <v>-1.5046867291563792E-2</v>
      </c>
      <c r="T172" s="107"/>
      <c r="U172" s="105">
        <v>898.09</v>
      </c>
      <c r="V172" s="124"/>
      <c r="W172" s="107">
        <f t="shared" si="33"/>
        <v>-8.6322040820830948E-3</v>
      </c>
      <c r="X172" s="107"/>
      <c r="Y172" s="105">
        <v>500.11</v>
      </c>
      <c r="Z172" s="124"/>
      <c r="AA172" s="107">
        <f t="shared" si="34"/>
        <v>-2.522171328330558E-2</v>
      </c>
      <c r="AB172" s="107"/>
      <c r="AC172" s="105">
        <v>479.99</v>
      </c>
      <c r="AD172" s="124"/>
      <c r="AE172" s="107">
        <f t="shared" si="35"/>
        <v>1.6734097311953411E-2</v>
      </c>
      <c r="AF172" s="107"/>
      <c r="AG172" s="105">
        <v>524.87</v>
      </c>
      <c r="AH172" s="124"/>
      <c r="AI172" s="107">
        <f t="shared" si="36"/>
        <v>2.8773594151198623E-2</v>
      </c>
    </row>
    <row r="173" spans="3:35" s="97" customFormat="1" ht="21" customHeight="1">
      <c r="C173" s="104">
        <v>44627</v>
      </c>
      <c r="E173" s="106">
        <v>348.89</v>
      </c>
      <c r="F173" s="108"/>
      <c r="G173" s="107">
        <f t="shared" si="29"/>
        <v>-2.5637445192280839E-2</v>
      </c>
      <c r="H173" s="109"/>
      <c r="I173" s="106">
        <v>16630.45</v>
      </c>
      <c r="J173" s="109"/>
      <c r="K173" s="107">
        <f t="shared" si="30"/>
        <v>-3.7982188979611808E-2</v>
      </c>
      <c r="M173" s="105">
        <v>547.45000000000005</v>
      </c>
      <c r="N173" s="124"/>
      <c r="O173" s="107">
        <f t="shared" si="31"/>
        <v>-1.0447734215425775E-2</v>
      </c>
      <c r="P173" s="107"/>
      <c r="Q173" s="105">
        <v>1493.3</v>
      </c>
      <c r="R173" s="124"/>
      <c r="S173" s="107">
        <f t="shared" si="32"/>
        <v>-6.5051339844728329E-2</v>
      </c>
      <c r="T173" s="107"/>
      <c r="U173" s="105">
        <v>901.58</v>
      </c>
      <c r="V173" s="124"/>
      <c r="W173" s="107">
        <f t="shared" si="33"/>
        <v>3.8860247859346941E-3</v>
      </c>
      <c r="X173" s="107"/>
      <c r="Y173" s="105">
        <v>473.15</v>
      </c>
      <c r="Z173" s="124"/>
      <c r="AA173" s="107">
        <f t="shared" si="34"/>
        <v>-5.3908140209154021E-2</v>
      </c>
      <c r="AB173" s="107"/>
      <c r="AC173" s="105">
        <v>427.99</v>
      </c>
      <c r="AD173" s="124"/>
      <c r="AE173" s="107">
        <f t="shared" si="35"/>
        <v>-0.10833559032479845</v>
      </c>
      <c r="AF173" s="107"/>
      <c r="AG173" s="105">
        <v>443.88</v>
      </c>
      <c r="AH173" s="124"/>
      <c r="AI173" s="107">
        <f t="shared" si="36"/>
        <v>-0.15430487549297922</v>
      </c>
    </row>
    <row r="174" spans="3:35" s="97" customFormat="1" ht="21" customHeight="1">
      <c r="C174" s="104">
        <v>44620</v>
      </c>
      <c r="E174" s="106">
        <v>323.14</v>
      </c>
      <c r="F174" s="108"/>
      <c r="G174" s="107">
        <f t="shared" si="29"/>
        <v>-7.3805497434721534E-2</v>
      </c>
      <c r="H174" s="109"/>
      <c r="I174" s="106">
        <v>16245.35</v>
      </c>
      <c r="J174" s="109"/>
      <c r="K174" s="107">
        <f t="shared" si="30"/>
        <v>-2.3156318680492727E-2</v>
      </c>
      <c r="M174" s="105">
        <v>520.05999999999995</v>
      </c>
      <c r="N174" s="124"/>
      <c r="O174" s="107">
        <f t="shared" si="31"/>
        <v>-5.0031966389624816E-2</v>
      </c>
      <c r="P174" s="107"/>
      <c r="Q174" s="105">
        <v>1466.25</v>
      </c>
      <c r="R174" s="124"/>
      <c r="S174" s="107">
        <f t="shared" si="32"/>
        <v>-1.8114243621509374E-2</v>
      </c>
      <c r="T174" s="107"/>
      <c r="U174" s="105">
        <v>831.59</v>
      </c>
      <c r="V174" s="124"/>
      <c r="W174" s="107">
        <f t="shared" si="33"/>
        <v>-7.7630382217884208E-2</v>
      </c>
      <c r="X174" s="107"/>
      <c r="Y174" s="105">
        <v>461.19</v>
      </c>
      <c r="Z174" s="124"/>
      <c r="AA174" s="107">
        <f t="shared" si="34"/>
        <v>-2.5277396174574585E-2</v>
      </c>
      <c r="AB174" s="107"/>
      <c r="AC174" s="105">
        <v>430.47</v>
      </c>
      <c r="AD174" s="124"/>
      <c r="AE174" s="107">
        <f t="shared" si="35"/>
        <v>5.7945279095306113E-3</v>
      </c>
      <c r="AF174" s="107"/>
      <c r="AG174" s="105">
        <v>474.38</v>
      </c>
      <c r="AH174" s="124"/>
      <c r="AI174" s="107">
        <f t="shared" si="36"/>
        <v>6.8712264576011428E-2</v>
      </c>
    </row>
    <row r="175" spans="3:35" s="97" customFormat="1" ht="21" customHeight="1">
      <c r="C175" s="104">
        <v>44613</v>
      </c>
      <c r="E175" s="106">
        <v>344.16</v>
      </c>
      <c r="F175" s="108"/>
      <c r="G175" s="107">
        <f t="shared" si="29"/>
        <v>6.5049204679086481E-2</v>
      </c>
      <c r="H175" s="109"/>
      <c r="I175" s="106">
        <v>16658.400000000001</v>
      </c>
      <c r="J175" s="109"/>
      <c r="K175" s="107">
        <f t="shared" si="30"/>
        <v>2.5425737210955868E-2</v>
      </c>
      <c r="M175" s="105">
        <v>584.84</v>
      </c>
      <c r="N175" s="124"/>
      <c r="O175" s="107">
        <f t="shared" si="31"/>
        <v>0.12456255047494547</v>
      </c>
      <c r="P175" s="107"/>
      <c r="Q175" s="105">
        <v>1471.25</v>
      </c>
      <c r="R175" s="124"/>
      <c r="S175" s="107">
        <f t="shared" si="32"/>
        <v>3.4100596760442414E-3</v>
      </c>
      <c r="T175" s="107"/>
      <c r="U175" s="105">
        <v>884.61</v>
      </c>
      <c r="V175" s="124"/>
      <c r="W175" s="107">
        <f t="shared" si="33"/>
        <v>6.3757380439880107E-2</v>
      </c>
      <c r="X175" s="107"/>
      <c r="Y175" s="105">
        <v>468.95</v>
      </c>
      <c r="Z175" s="124"/>
      <c r="AA175" s="107">
        <f t="shared" si="34"/>
        <v>1.6826036991261617E-2</v>
      </c>
      <c r="AB175" s="107"/>
      <c r="AC175" s="105">
        <v>437.62</v>
      </c>
      <c r="AD175" s="124"/>
      <c r="AE175" s="107">
        <f t="shared" si="35"/>
        <v>1.6609752131391264E-2</v>
      </c>
      <c r="AF175" s="107"/>
      <c r="AG175" s="105">
        <v>491.04</v>
      </c>
      <c r="AH175" s="124"/>
      <c r="AI175" s="107">
        <f t="shared" si="36"/>
        <v>3.5119524431890037E-2</v>
      </c>
    </row>
    <row r="176" spans="3:35" s="97" customFormat="1" ht="21" customHeight="1">
      <c r="C176" s="104">
        <v>44606</v>
      </c>
      <c r="E176" s="106">
        <v>354.86</v>
      </c>
      <c r="F176" s="108"/>
      <c r="G176" s="107">
        <f t="shared" si="29"/>
        <v>3.1090190609019075E-2</v>
      </c>
      <c r="H176" s="109"/>
      <c r="I176" s="106">
        <v>17276.3</v>
      </c>
      <c r="J176" s="109"/>
      <c r="K176" s="107">
        <f t="shared" si="30"/>
        <v>3.7092397829323165E-2</v>
      </c>
      <c r="M176" s="105">
        <v>633.51</v>
      </c>
      <c r="N176" s="124"/>
      <c r="O176" s="107">
        <f t="shared" si="31"/>
        <v>8.3219342042267996E-2</v>
      </c>
      <c r="P176" s="107"/>
      <c r="Q176" s="105">
        <v>1568.65</v>
      </c>
      <c r="R176" s="124"/>
      <c r="S176" s="107">
        <f t="shared" si="32"/>
        <v>6.620220900594731E-2</v>
      </c>
      <c r="T176" s="107"/>
      <c r="U176" s="105">
        <v>876.89</v>
      </c>
      <c r="V176" s="124"/>
      <c r="W176" s="107">
        <f t="shared" si="33"/>
        <v>-8.7270096426673716E-3</v>
      </c>
      <c r="X176" s="107"/>
      <c r="Y176" s="105">
        <v>480.64</v>
      </c>
      <c r="Z176" s="124"/>
      <c r="AA176" s="107">
        <f t="shared" si="34"/>
        <v>2.4928030706898419E-2</v>
      </c>
      <c r="AB176" s="107"/>
      <c r="AC176" s="105">
        <v>442.54</v>
      </c>
      <c r="AD176" s="124"/>
      <c r="AE176" s="107">
        <f t="shared" si="35"/>
        <v>1.1242630592751768E-2</v>
      </c>
      <c r="AF176" s="107"/>
      <c r="AG176" s="105">
        <v>490.25</v>
      </c>
      <c r="AH176" s="124"/>
      <c r="AI176" s="107">
        <f t="shared" si="36"/>
        <v>-1.608830237862513E-3</v>
      </c>
    </row>
    <row r="177" spans="3:35" s="97" customFormat="1" ht="21" customHeight="1">
      <c r="C177" s="104">
        <v>44599</v>
      </c>
      <c r="E177" s="106">
        <v>373.66</v>
      </c>
      <c r="F177" s="108"/>
      <c r="G177" s="107">
        <f t="shared" si="29"/>
        <v>5.2978639463450383E-2</v>
      </c>
      <c r="H177" s="109"/>
      <c r="I177" s="106">
        <v>17374.75</v>
      </c>
      <c r="J177" s="109"/>
      <c r="K177" s="107">
        <f t="shared" si="30"/>
        <v>5.6985581403425911E-3</v>
      </c>
      <c r="M177" s="105">
        <v>641.46</v>
      </c>
      <c r="N177" s="124"/>
      <c r="O177" s="107">
        <f t="shared" si="31"/>
        <v>1.2549131031870164E-2</v>
      </c>
      <c r="P177" s="107"/>
      <c r="Q177" s="105">
        <v>1560.3</v>
      </c>
      <c r="R177" s="124"/>
      <c r="S177" s="107">
        <f t="shared" si="32"/>
        <v>-5.3230484811781498E-3</v>
      </c>
      <c r="T177" s="107"/>
      <c r="U177" s="105">
        <v>897.3</v>
      </c>
      <c r="V177" s="124"/>
      <c r="W177" s="107">
        <f t="shared" si="33"/>
        <v>2.3275439336746917E-2</v>
      </c>
      <c r="X177" s="107"/>
      <c r="Y177" s="105">
        <v>478.74</v>
      </c>
      <c r="Z177" s="124"/>
      <c r="AA177" s="107">
        <f t="shared" si="34"/>
        <v>-3.9530625832223665E-3</v>
      </c>
      <c r="AB177" s="107"/>
      <c r="AC177" s="105">
        <v>451.08</v>
      </c>
      <c r="AD177" s="124"/>
      <c r="AE177" s="107">
        <f t="shared" si="35"/>
        <v>1.9297690604239026E-2</v>
      </c>
      <c r="AF177" s="107"/>
      <c r="AG177" s="105">
        <v>491.89</v>
      </c>
      <c r="AH177" s="124"/>
      <c r="AI177" s="107">
        <f t="shared" si="36"/>
        <v>3.3452320244773404E-3</v>
      </c>
    </row>
    <row r="178" spans="3:35" s="97" customFormat="1" ht="21" customHeight="1">
      <c r="C178" s="104">
        <v>44592</v>
      </c>
      <c r="E178" s="106">
        <v>393.98</v>
      </c>
      <c r="F178" s="108"/>
      <c r="G178" s="107">
        <f t="shared" si="29"/>
        <v>5.4380988064015368E-2</v>
      </c>
      <c r="H178" s="109"/>
      <c r="I178" s="106">
        <v>17516.3</v>
      </c>
      <c r="J178" s="109"/>
      <c r="K178" s="107">
        <f t="shared" si="30"/>
        <v>8.1468798112203089E-3</v>
      </c>
      <c r="M178" s="105">
        <v>649.91</v>
      </c>
      <c r="N178" s="124"/>
      <c r="O178" s="107">
        <f t="shared" si="31"/>
        <v>1.3173073925108136E-2</v>
      </c>
      <c r="P178" s="107"/>
      <c r="Q178" s="105">
        <v>1506.55</v>
      </c>
      <c r="R178" s="124"/>
      <c r="S178" s="107">
        <f t="shared" si="32"/>
        <v>-3.4448503492918059E-2</v>
      </c>
      <c r="T178" s="107"/>
      <c r="U178" s="105">
        <v>930.7</v>
      </c>
      <c r="V178" s="124"/>
      <c r="W178" s="107">
        <f t="shared" si="33"/>
        <v>3.7222779449459509E-2</v>
      </c>
      <c r="X178" s="107"/>
      <c r="Y178" s="105">
        <v>492.62</v>
      </c>
      <c r="Z178" s="124"/>
      <c r="AA178" s="107">
        <f t="shared" si="34"/>
        <v>2.8992772694991009E-2</v>
      </c>
      <c r="AB178" s="107"/>
      <c r="AC178" s="105">
        <v>466.83</v>
      </c>
      <c r="AD178" s="124"/>
      <c r="AE178" s="107">
        <f t="shared" si="35"/>
        <v>3.4916201117318524E-2</v>
      </c>
      <c r="AF178" s="107"/>
      <c r="AG178" s="105">
        <v>502.2</v>
      </c>
      <c r="AH178" s="124"/>
      <c r="AI178" s="107">
        <f t="shared" si="36"/>
        <v>2.0959970725162202E-2</v>
      </c>
    </row>
    <row r="179" spans="3:35" s="97" customFormat="1" ht="21" customHeight="1">
      <c r="C179" s="104">
        <v>44585</v>
      </c>
      <c r="E179" s="106">
        <v>373.31</v>
      </c>
      <c r="F179" s="108"/>
      <c r="G179" s="107">
        <f t="shared" si="29"/>
        <v>-5.2464592111274744E-2</v>
      </c>
      <c r="H179" s="109"/>
      <c r="I179" s="106">
        <v>17101.95</v>
      </c>
      <c r="J179" s="109"/>
      <c r="K179" s="107">
        <f t="shared" si="30"/>
        <v>-2.3655109812003583E-2</v>
      </c>
      <c r="M179" s="105">
        <v>638.52</v>
      </c>
      <c r="N179" s="124"/>
      <c r="O179" s="107">
        <f t="shared" si="31"/>
        <v>-1.7525503531258146E-2</v>
      </c>
      <c r="P179" s="107"/>
      <c r="Q179" s="105">
        <v>1633.85</v>
      </c>
      <c r="R179" s="124"/>
      <c r="S179" s="107">
        <f t="shared" si="32"/>
        <v>8.449769340546287E-2</v>
      </c>
      <c r="T179" s="107"/>
      <c r="U179" s="105">
        <v>879.2</v>
      </c>
      <c r="V179" s="124"/>
      <c r="W179" s="107">
        <f t="shared" si="33"/>
        <v>-5.5334694316106159E-2</v>
      </c>
      <c r="X179" s="107"/>
      <c r="Y179" s="105">
        <v>470.76</v>
      </c>
      <c r="Z179" s="124"/>
      <c r="AA179" s="107">
        <f t="shared" si="34"/>
        <v>-4.4374974625472019E-2</v>
      </c>
      <c r="AB179" s="107"/>
      <c r="AC179" s="105">
        <v>475.52</v>
      </c>
      <c r="AD179" s="124"/>
      <c r="AE179" s="107">
        <f t="shared" si="35"/>
        <v>1.8614913351755469E-2</v>
      </c>
      <c r="AF179" s="107"/>
      <c r="AG179" s="105">
        <v>470.46</v>
      </c>
      <c r="AH179" s="124"/>
      <c r="AI179" s="107">
        <f t="shared" si="36"/>
        <v>-6.3201911589008342E-2</v>
      </c>
    </row>
    <row r="180" spans="3:35" s="97" customFormat="1" ht="21" customHeight="1">
      <c r="C180" s="104">
        <v>44578</v>
      </c>
      <c r="E180" s="106">
        <v>389.29</v>
      </c>
      <c r="F180" s="108"/>
      <c r="G180" s="107">
        <f t="shared" si="29"/>
        <v>4.2806246818997584E-2</v>
      </c>
      <c r="H180" s="109"/>
      <c r="I180" s="106">
        <v>17617.150000000001</v>
      </c>
      <c r="J180" s="109"/>
      <c r="K180" s="107">
        <f t="shared" si="30"/>
        <v>3.0125219638696299E-2</v>
      </c>
      <c r="M180" s="105">
        <v>636.33000000000004</v>
      </c>
      <c r="N180" s="124"/>
      <c r="O180" s="107">
        <f t="shared" si="31"/>
        <v>-3.4298064273632356E-3</v>
      </c>
      <c r="P180" s="107"/>
      <c r="Q180" s="105">
        <v>1798.85</v>
      </c>
      <c r="R180" s="124"/>
      <c r="S180" s="107">
        <f t="shared" si="32"/>
        <v>0.10098846283318541</v>
      </c>
      <c r="T180" s="107"/>
      <c r="U180" s="105">
        <v>917.27</v>
      </c>
      <c r="V180" s="124"/>
      <c r="W180" s="107">
        <f t="shared" si="33"/>
        <v>4.3300727934485916E-2</v>
      </c>
      <c r="X180" s="107"/>
      <c r="Y180" s="105">
        <v>472.78</v>
      </c>
      <c r="Z180" s="124"/>
      <c r="AA180" s="107">
        <f t="shared" si="34"/>
        <v>4.2909338091596805E-3</v>
      </c>
      <c r="AB180" s="107"/>
      <c r="AC180" s="105">
        <v>501.35</v>
      </c>
      <c r="AD180" s="124"/>
      <c r="AE180" s="107">
        <f t="shared" si="35"/>
        <v>5.4319481830417349E-2</v>
      </c>
      <c r="AF180" s="107"/>
      <c r="AG180" s="105">
        <v>497.14</v>
      </c>
      <c r="AH180" s="124"/>
      <c r="AI180" s="107">
        <f t="shared" si="36"/>
        <v>5.6710453598605604E-2</v>
      </c>
    </row>
    <row r="181" spans="3:35" s="97" customFormat="1" ht="21" customHeight="1">
      <c r="C181" s="104">
        <v>44571</v>
      </c>
      <c r="E181" s="106">
        <v>411.59</v>
      </c>
      <c r="F181" s="108"/>
      <c r="G181" s="107">
        <f t="shared" si="29"/>
        <v>5.7283773022682283E-2</v>
      </c>
      <c r="H181" s="109"/>
      <c r="I181" s="106">
        <v>18255.75</v>
      </c>
      <c r="J181" s="109"/>
      <c r="K181" s="107">
        <f t="shared" si="30"/>
        <v>3.6248768955250865E-2</v>
      </c>
      <c r="M181" s="105">
        <v>600.66</v>
      </c>
      <c r="N181" s="124"/>
      <c r="O181" s="107">
        <f t="shared" si="31"/>
        <v>-5.6055820093347863E-2</v>
      </c>
      <c r="P181" s="107"/>
      <c r="Q181" s="105">
        <v>1963.2</v>
      </c>
      <c r="R181" s="124"/>
      <c r="S181" s="107">
        <f t="shared" si="32"/>
        <v>9.1363926953331287E-2</v>
      </c>
      <c r="T181" s="107"/>
      <c r="U181" s="105">
        <v>958.15</v>
      </c>
      <c r="V181" s="124"/>
      <c r="W181" s="107">
        <f t="shared" si="33"/>
        <v>4.4567030427246079E-2</v>
      </c>
      <c r="X181" s="107"/>
      <c r="Y181" s="105">
        <v>504.6</v>
      </c>
      <c r="Z181" s="124"/>
      <c r="AA181" s="107">
        <f t="shared" si="34"/>
        <v>6.7304031473412795E-2</v>
      </c>
      <c r="AB181" s="107"/>
      <c r="AC181" s="105">
        <v>501.1</v>
      </c>
      <c r="AD181" s="124"/>
      <c r="AE181" s="107">
        <f t="shared" si="35"/>
        <v>-4.9865363518497574E-4</v>
      </c>
      <c r="AF181" s="107"/>
      <c r="AG181" s="105">
        <v>474.08</v>
      </c>
      <c r="AH181" s="124"/>
      <c r="AI181" s="107">
        <f t="shared" si="36"/>
        <v>-4.638532405358653E-2</v>
      </c>
    </row>
    <row r="182" spans="3:35" s="97" customFormat="1" ht="21" customHeight="1">
      <c r="C182" s="104">
        <v>44564</v>
      </c>
      <c r="E182" s="106">
        <v>395.36</v>
      </c>
      <c r="F182" s="108"/>
      <c r="G182" s="107">
        <f t="shared" si="29"/>
        <v>-3.9432444908768294E-2</v>
      </c>
      <c r="H182" s="109"/>
      <c r="I182" s="106">
        <v>17812.7</v>
      </c>
      <c r="J182" s="109"/>
      <c r="K182" s="107">
        <f t="shared" si="30"/>
        <v>-2.4269065910740406E-2</v>
      </c>
      <c r="M182" s="105">
        <v>600.49</v>
      </c>
      <c r="N182" s="124"/>
      <c r="O182" s="107">
        <f t="shared" si="31"/>
        <v>-2.8302200912322384E-4</v>
      </c>
      <c r="P182" s="107"/>
      <c r="Q182" s="105">
        <v>1891.65</v>
      </c>
      <c r="R182" s="124"/>
      <c r="S182" s="107">
        <f t="shared" si="32"/>
        <v>-3.6445599022004838E-2</v>
      </c>
      <c r="T182" s="107"/>
      <c r="U182" s="105">
        <v>896.17</v>
      </c>
      <c r="V182" s="124"/>
      <c r="W182" s="107">
        <f t="shared" si="33"/>
        <v>-6.4687157543182217E-2</v>
      </c>
      <c r="X182" s="107"/>
      <c r="Y182" s="105">
        <v>470.66</v>
      </c>
      <c r="Z182" s="124"/>
      <c r="AA182" s="107">
        <f t="shared" si="34"/>
        <v>-6.7261196987713046E-2</v>
      </c>
      <c r="AB182" s="107"/>
      <c r="AC182" s="105">
        <v>459.38</v>
      </c>
      <c r="AD182" s="124"/>
      <c r="AE182" s="107">
        <f t="shared" si="35"/>
        <v>-8.3256834963081228E-2</v>
      </c>
      <c r="AF182" s="107"/>
      <c r="AG182" s="105">
        <v>437.73</v>
      </c>
      <c r="AH182" s="124"/>
      <c r="AI182" s="107">
        <f t="shared" si="36"/>
        <v>-7.6674822814714716E-2</v>
      </c>
    </row>
    <row r="183" spans="3:35" s="97" customFormat="1" ht="21" customHeight="1">
      <c r="C183" s="104">
        <v>44557</v>
      </c>
      <c r="E183" s="106">
        <v>385.15</v>
      </c>
      <c r="F183" s="108"/>
      <c r="G183" s="107">
        <f t="shared" si="29"/>
        <v>-2.5824564953460194E-2</v>
      </c>
      <c r="H183" s="109"/>
      <c r="I183" s="106">
        <v>17354.05</v>
      </c>
      <c r="J183" s="109"/>
      <c r="K183" s="107">
        <f t="shared" si="30"/>
        <v>-2.5748482824052621E-2</v>
      </c>
      <c r="M183" s="105">
        <v>614.07000000000005</v>
      </c>
      <c r="N183" s="124"/>
      <c r="O183" s="107">
        <f t="shared" si="31"/>
        <v>2.2614864527302769E-2</v>
      </c>
      <c r="P183" s="107"/>
      <c r="Q183" s="105">
        <v>1872.85</v>
      </c>
      <c r="R183" s="124"/>
      <c r="S183" s="107">
        <f t="shared" si="32"/>
        <v>-9.9384135543045815E-3</v>
      </c>
      <c r="T183" s="107"/>
      <c r="U183" s="105">
        <v>847.82</v>
      </c>
      <c r="V183" s="124"/>
      <c r="W183" s="107">
        <f t="shared" si="33"/>
        <v>-5.3951817177544381E-2</v>
      </c>
      <c r="X183" s="107"/>
      <c r="Y183" s="105">
        <v>487.38</v>
      </c>
      <c r="Z183" s="124"/>
      <c r="AA183" s="107">
        <f t="shared" si="34"/>
        <v>3.5524582501168522E-2</v>
      </c>
      <c r="AB183" s="107"/>
      <c r="AC183" s="105">
        <v>471.6</v>
      </c>
      <c r="AD183" s="124"/>
      <c r="AE183" s="107">
        <f t="shared" si="35"/>
        <v>2.6601071008750976E-2</v>
      </c>
      <c r="AF183" s="107"/>
      <c r="AG183" s="105">
        <v>486.33</v>
      </c>
      <c r="AH183" s="124"/>
      <c r="AI183" s="107">
        <f t="shared" si="36"/>
        <v>0.11102734562401473</v>
      </c>
    </row>
    <row r="184" spans="3:35" s="97" customFormat="1" ht="21" customHeight="1">
      <c r="C184" s="104">
        <v>44550</v>
      </c>
      <c r="E184" s="106">
        <v>374.35</v>
      </c>
      <c r="F184" s="108"/>
      <c r="G184" s="107">
        <f t="shared" si="29"/>
        <v>-2.8041022978060326E-2</v>
      </c>
      <c r="H184" s="109"/>
      <c r="I184" s="106">
        <v>17003.75</v>
      </c>
      <c r="J184" s="109"/>
      <c r="K184" s="107">
        <f t="shared" si="30"/>
        <v>-2.0185489842428628E-2</v>
      </c>
      <c r="M184" s="105">
        <v>619.88</v>
      </c>
      <c r="N184" s="124"/>
      <c r="O184" s="107">
        <f t="shared" si="31"/>
        <v>9.4614620483006728E-3</v>
      </c>
      <c r="P184" s="107"/>
      <c r="Q184" s="105">
        <v>1830.05</v>
      </c>
      <c r="R184" s="124"/>
      <c r="S184" s="107">
        <f t="shared" si="32"/>
        <v>-2.2852871292415311E-2</v>
      </c>
      <c r="T184" s="107"/>
      <c r="U184" s="105">
        <v>828.78</v>
      </c>
      <c r="V184" s="124"/>
      <c r="W184" s="107">
        <f t="shared" si="33"/>
        <v>-2.2457597131466667E-2</v>
      </c>
      <c r="X184" s="107"/>
      <c r="Y184" s="105">
        <v>495.14</v>
      </c>
      <c r="Z184" s="124"/>
      <c r="AA184" s="107">
        <f t="shared" si="34"/>
        <v>1.5921867946981694E-2</v>
      </c>
      <c r="AB184" s="107"/>
      <c r="AC184" s="105">
        <v>464.3</v>
      </c>
      <c r="AD184" s="124"/>
      <c r="AE184" s="107">
        <f t="shared" si="35"/>
        <v>-1.5479219677692946E-2</v>
      </c>
      <c r="AF184" s="107"/>
      <c r="AG184" s="105">
        <v>490.05</v>
      </c>
      <c r="AH184" s="124"/>
      <c r="AI184" s="107">
        <f t="shared" si="36"/>
        <v>7.6491271358953838E-3</v>
      </c>
    </row>
    <row r="185" spans="3:35" s="97" customFormat="1" ht="21" customHeight="1">
      <c r="C185" s="104">
        <v>44543</v>
      </c>
      <c r="E185" s="106">
        <v>385</v>
      </c>
      <c r="F185" s="108"/>
      <c r="G185" s="107">
        <f t="shared" si="29"/>
        <v>2.8449312141044514E-2</v>
      </c>
      <c r="H185" s="109"/>
      <c r="I185" s="106">
        <v>16985.2</v>
      </c>
      <c r="J185" s="109"/>
      <c r="K185" s="107">
        <f t="shared" si="30"/>
        <v>-1.0909358229801436E-3</v>
      </c>
      <c r="M185" s="105">
        <v>589.27</v>
      </c>
      <c r="N185" s="124"/>
      <c r="O185" s="107">
        <f t="shared" si="31"/>
        <v>-4.9380525262954111E-2</v>
      </c>
      <c r="P185" s="107"/>
      <c r="Q185" s="105">
        <v>1876.8</v>
      </c>
      <c r="R185" s="124"/>
      <c r="S185" s="107">
        <f t="shared" si="32"/>
        <v>2.554575011611715E-2</v>
      </c>
      <c r="T185" s="107"/>
      <c r="U185" s="105">
        <v>822.88</v>
      </c>
      <c r="V185" s="124"/>
      <c r="W185" s="107">
        <f t="shared" si="33"/>
        <v>-7.118897656796741E-3</v>
      </c>
      <c r="X185" s="107"/>
      <c r="Y185" s="105">
        <v>507.02</v>
      </c>
      <c r="Z185" s="124"/>
      <c r="AA185" s="107">
        <f t="shared" si="34"/>
        <v>2.3993214040473498E-2</v>
      </c>
      <c r="AB185" s="107"/>
      <c r="AC185" s="105">
        <v>447.86</v>
      </c>
      <c r="AD185" s="124"/>
      <c r="AE185" s="107">
        <f t="shared" si="35"/>
        <v>-3.5408141287960326E-2</v>
      </c>
      <c r="AF185" s="107"/>
      <c r="AG185" s="105">
        <v>451.66</v>
      </c>
      <c r="AH185" s="124"/>
      <c r="AI185" s="107">
        <f t="shared" si="36"/>
        <v>-7.8338945005611671E-2</v>
      </c>
    </row>
    <row r="186" spans="3:35" s="97" customFormat="1" ht="21" customHeight="1">
      <c r="C186" s="104">
        <v>44536</v>
      </c>
      <c r="E186" s="106">
        <v>413.56</v>
      </c>
      <c r="F186" s="108"/>
      <c r="G186" s="107">
        <f t="shared" si="29"/>
        <v>7.4181818181818127E-2</v>
      </c>
      <c r="H186" s="109"/>
      <c r="I186" s="106">
        <v>17511.3</v>
      </c>
      <c r="J186" s="109"/>
      <c r="K186" s="107">
        <f t="shared" si="30"/>
        <v>3.0974024444810677E-2</v>
      </c>
      <c r="M186" s="105">
        <v>702.37</v>
      </c>
      <c r="N186" s="124"/>
      <c r="O186" s="107">
        <f t="shared" si="31"/>
        <v>0.19193239092436398</v>
      </c>
      <c r="P186" s="107"/>
      <c r="Q186" s="105">
        <v>2099.5500000000002</v>
      </c>
      <c r="R186" s="124"/>
      <c r="S186" s="107">
        <f t="shared" si="32"/>
        <v>0.11868606138107429</v>
      </c>
      <c r="T186" s="107"/>
      <c r="U186" s="105">
        <v>891.3</v>
      </c>
      <c r="V186" s="124"/>
      <c r="W186" s="107">
        <f t="shared" si="33"/>
        <v>8.3146995916780098E-2</v>
      </c>
      <c r="X186" s="107"/>
      <c r="Y186" s="105">
        <v>508.61</v>
      </c>
      <c r="Z186" s="124"/>
      <c r="AA186" s="107">
        <f t="shared" si="34"/>
        <v>3.135970967614643E-3</v>
      </c>
      <c r="AB186" s="107"/>
      <c r="AC186" s="105">
        <v>469.56</v>
      </c>
      <c r="AD186" s="124"/>
      <c r="AE186" s="107">
        <f t="shared" si="35"/>
        <v>4.8452641450453138E-2</v>
      </c>
      <c r="AF186" s="107"/>
      <c r="AG186" s="105">
        <v>487.97</v>
      </c>
      <c r="AH186" s="124"/>
      <c r="AI186" s="107">
        <f t="shared" si="36"/>
        <v>8.0392330514103438E-2</v>
      </c>
    </row>
    <row r="187" spans="3:35" s="97" customFormat="1" ht="21" customHeight="1">
      <c r="C187" s="104">
        <v>44529</v>
      </c>
      <c r="E187" s="106">
        <v>381.1</v>
      </c>
      <c r="F187" s="108"/>
      <c r="G187" s="107">
        <f t="shared" si="29"/>
        <v>-7.8489215591449835E-2</v>
      </c>
      <c r="H187" s="109"/>
      <c r="I187" s="106">
        <v>17196.7</v>
      </c>
      <c r="J187" s="109"/>
      <c r="K187" s="107">
        <f t="shared" si="30"/>
        <v>-1.7965542249861466E-2</v>
      </c>
      <c r="M187" s="105">
        <v>710.07</v>
      </c>
      <c r="N187" s="124"/>
      <c r="O187" s="107">
        <f t="shared" si="31"/>
        <v>1.0962882811054175E-2</v>
      </c>
      <c r="P187" s="107"/>
      <c r="Q187" s="105">
        <v>2023.15</v>
      </c>
      <c r="R187" s="124"/>
      <c r="S187" s="107">
        <f t="shared" si="32"/>
        <v>-3.6388749970231782E-2</v>
      </c>
      <c r="T187" s="107"/>
      <c r="U187" s="105">
        <v>841.18</v>
      </c>
      <c r="V187" s="124"/>
      <c r="W187" s="107">
        <f t="shared" si="33"/>
        <v>-5.6232469426680143E-2</v>
      </c>
      <c r="X187" s="107"/>
      <c r="Y187" s="105">
        <v>490.67</v>
      </c>
      <c r="Z187" s="124"/>
      <c r="AA187" s="107">
        <f t="shared" si="34"/>
        <v>-3.5272605729340767E-2</v>
      </c>
      <c r="AB187" s="107"/>
      <c r="AC187" s="105">
        <v>433.5</v>
      </c>
      <c r="AD187" s="124"/>
      <c r="AE187" s="107">
        <f t="shared" si="35"/>
        <v>-7.6795297725530287E-2</v>
      </c>
      <c r="AF187" s="107"/>
      <c r="AG187" s="105">
        <v>489.21</v>
      </c>
      <c r="AH187" s="124"/>
      <c r="AI187" s="107">
        <f t="shared" si="36"/>
        <v>2.5411398241694805E-3</v>
      </c>
    </row>
    <row r="188" spans="3:35" s="97" customFormat="1" ht="21" customHeight="1">
      <c r="C188" s="104">
        <v>44522</v>
      </c>
      <c r="E188" s="106">
        <v>371.58</v>
      </c>
      <c r="F188" s="108"/>
      <c r="G188" s="107">
        <f t="shared" si="29"/>
        <v>-2.4980320125951305E-2</v>
      </c>
      <c r="H188" s="109"/>
      <c r="I188" s="106">
        <v>17026.45</v>
      </c>
      <c r="J188" s="109"/>
      <c r="K188" s="107">
        <f t="shared" si="30"/>
        <v>-9.900155262346888E-3</v>
      </c>
      <c r="M188" s="105">
        <v>675.36</v>
      </c>
      <c r="N188" s="124"/>
      <c r="O188" s="107">
        <f t="shared" si="31"/>
        <v>-4.888250454180576E-2</v>
      </c>
      <c r="P188" s="107"/>
      <c r="Q188" s="105">
        <v>2098</v>
      </c>
      <c r="R188" s="124"/>
      <c r="S188" s="107">
        <f t="shared" si="32"/>
        <v>3.6996762474359235E-2</v>
      </c>
      <c r="T188" s="107"/>
      <c r="U188" s="105">
        <v>825.64</v>
      </c>
      <c r="V188" s="124"/>
      <c r="W188" s="107">
        <f t="shared" si="33"/>
        <v>-1.8474048360636153E-2</v>
      </c>
      <c r="X188" s="107"/>
      <c r="Y188" s="105">
        <v>479.72</v>
      </c>
      <c r="Z188" s="124"/>
      <c r="AA188" s="107">
        <f t="shared" si="34"/>
        <v>-2.2316424480811947E-2</v>
      </c>
      <c r="AB188" s="107"/>
      <c r="AC188" s="105">
        <v>437.28</v>
      </c>
      <c r="AD188" s="124"/>
      <c r="AE188" s="107">
        <f t="shared" si="35"/>
        <v>8.7197231833908706E-3</v>
      </c>
      <c r="AF188" s="107"/>
      <c r="AG188" s="105">
        <v>470.56</v>
      </c>
      <c r="AH188" s="124"/>
      <c r="AI188" s="107">
        <f t="shared" si="36"/>
        <v>-3.8122687598372895E-2</v>
      </c>
    </row>
    <row r="189" spans="3:35" s="97" customFormat="1" ht="21" customHeight="1">
      <c r="C189" s="104">
        <v>44515</v>
      </c>
      <c r="E189" s="106">
        <v>410.45</v>
      </c>
      <c r="F189" s="108"/>
      <c r="G189" s="107">
        <f t="shared" si="29"/>
        <v>0.10460735238710384</v>
      </c>
      <c r="H189" s="109"/>
      <c r="I189" s="106">
        <v>17764.8</v>
      </c>
      <c r="J189" s="109"/>
      <c r="K189" s="107">
        <f t="shared" si="30"/>
        <v>4.3364882286090145E-2</v>
      </c>
      <c r="M189" s="105">
        <v>687.04</v>
      </c>
      <c r="N189" s="124"/>
      <c r="O189" s="107">
        <f t="shared" si="31"/>
        <v>1.7294479981047051E-2</v>
      </c>
      <c r="P189" s="107"/>
      <c r="Q189" s="105">
        <v>2182.3000000000002</v>
      </c>
      <c r="R189" s="124"/>
      <c r="S189" s="107">
        <f t="shared" si="32"/>
        <v>4.0181124880839025E-2</v>
      </c>
      <c r="T189" s="107"/>
      <c r="U189" s="105">
        <v>906.55</v>
      </c>
      <c r="V189" s="124"/>
      <c r="W189" s="107">
        <f t="shared" si="33"/>
        <v>9.7996705585969623E-2</v>
      </c>
      <c r="X189" s="107"/>
      <c r="Y189" s="105">
        <v>532.89</v>
      </c>
      <c r="Z189" s="124"/>
      <c r="AA189" s="107">
        <f t="shared" si="34"/>
        <v>0.11083548736763094</v>
      </c>
      <c r="AB189" s="107"/>
      <c r="AC189" s="105">
        <v>463.65</v>
      </c>
      <c r="AD189" s="124"/>
      <c r="AE189" s="107">
        <f t="shared" si="35"/>
        <v>6.0304610318331564E-2</v>
      </c>
      <c r="AF189" s="107"/>
      <c r="AG189" s="105">
        <v>490.55</v>
      </c>
      <c r="AH189" s="124"/>
      <c r="AI189" s="107">
        <f t="shared" si="36"/>
        <v>4.2481298877932616E-2</v>
      </c>
    </row>
    <row r="190" spans="3:35" s="97" customFormat="1" ht="21" customHeight="1">
      <c r="C190" s="104">
        <v>44508</v>
      </c>
      <c r="E190" s="106">
        <v>422.29</v>
      </c>
      <c r="F190" s="108"/>
      <c r="G190" s="107">
        <f t="shared" si="29"/>
        <v>2.8846388110610466E-2</v>
      </c>
      <c r="H190" s="109"/>
      <c r="I190" s="106">
        <v>18102.75</v>
      </c>
      <c r="J190" s="109"/>
      <c r="K190" s="107">
        <f t="shared" si="30"/>
        <v>1.9023574709537971E-2</v>
      </c>
      <c r="M190" s="105">
        <v>629.02</v>
      </c>
      <c r="N190" s="124"/>
      <c r="O190" s="107">
        <f t="shared" si="31"/>
        <v>-8.4449231485794085E-2</v>
      </c>
      <c r="P190" s="107"/>
      <c r="Q190" s="105">
        <v>2293</v>
      </c>
      <c r="R190" s="124"/>
      <c r="S190" s="107">
        <f t="shared" si="32"/>
        <v>5.0726297942537579E-2</v>
      </c>
      <c r="T190" s="107"/>
      <c r="U190" s="105">
        <v>958.25</v>
      </c>
      <c r="V190" s="124"/>
      <c r="W190" s="107">
        <f t="shared" si="33"/>
        <v>5.7029397165076379E-2</v>
      </c>
      <c r="X190" s="107"/>
      <c r="Y190" s="105">
        <v>533.39</v>
      </c>
      <c r="Z190" s="124"/>
      <c r="AA190" s="107">
        <f t="shared" si="34"/>
        <v>9.3827994520445657E-4</v>
      </c>
      <c r="AB190" s="107"/>
      <c r="AC190" s="105">
        <v>507.16</v>
      </c>
      <c r="AD190" s="124"/>
      <c r="AE190" s="107">
        <f t="shared" si="35"/>
        <v>9.384233797045205E-2</v>
      </c>
      <c r="AF190" s="107"/>
      <c r="AG190" s="105">
        <v>498.33</v>
      </c>
      <c r="AH190" s="124"/>
      <c r="AI190" s="107">
        <f t="shared" si="36"/>
        <v>1.5859749261033507E-2</v>
      </c>
    </row>
    <row r="191" spans="3:35" s="97" customFormat="1" ht="21" customHeight="1">
      <c r="C191" s="104">
        <v>44501</v>
      </c>
      <c r="E191" s="106">
        <v>424.91</v>
      </c>
      <c r="F191" s="108"/>
      <c r="G191" s="107">
        <f t="shared" si="29"/>
        <v>6.2042672097373242E-3</v>
      </c>
      <c r="H191" s="109"/>
      <c r="I191" s="106">
        <v>17916.8</v>
      </c>
      <c r="J191" s="109"/>
      <c r="K191" s="107">
        <f t="shared" si="30"/>
        <v>-1.0271920012152935E-2</v>
      </c>
      <c r="M191" s="105">
        <v>582.89</v>
      </c>
      <c r="N191" s="124"/>
      <c r="O191" s="107">
        <f t="shared" si="31"/>
        <v>-7.3336300912530628E-2</v>
      </c>
      <c r="P191" s="107"/>
      <c r="Q191" s="105">
        <v>2431.85</v>
      </c>
      <c r="R191" s="124"/>
      <c r="S191" s="107">
        <f t="shared" si="32"/>
        <v>6.0553859572612279E-2</v>
      </c>
      <c r="T191" s="107"/>
      <c r="U191" s="105">
        <v>1015.21</v>
      </c>
      <c r="V191" s="124"/>
      <c r="W191" s="107">
        <f t="shared" si="33"/>
        <v>5.944169058178983E-2</v>
      </c>
      <c r="X191" s="107"/>
      <c r="Y191" s="105">
        <v>505.39</v>
      </c>
      <c r="Z191" s="124"/>
      <c r="AA191" s="107">
        <f t="shared" si="34"/>
        <v>-5.2494422467612822E-2</v>
      </c>
      <c r="AB191" s="107"/>
      <c r="AC191" s="105">
        <v>467.08</v>
      </c>
      <c r="AD191" s="124"/>
      <c r="AE191" s="107">
        <f t="shared" si="35"/>
        <v>-7.90283145358468E-2</v>
      </c>
      <c r="AF191" s="107"/>
      <c r="AG191" s="105">
        <v>492.63</v>
      </c>
      <c r="AH191" s="124"/>
      <c r="AI191" s="107">
        <f t="shared" si="36"/>
        <v>-1.1438203600024011E-2</v>
      </c>
    </row>
    <row r="192" spans="3:35" s="97" customFormat="1" ht="21" customHeight="1">
      <c r="C192" s="104">
        <v>44494</v>
      </c>
      <c r="E192" s="106">
        <v>393.24</v>
      </c>
      <c r="F192" s="108"/>
      <c r="G192" s="107">
        <f t="shared" si="29"/>
        <v>-7.4533430608834883E-2</v>
      </c>
      <c r="H192" s="109"/>
      <c r="I192" s="106">
        <v>17671.650000000001</v>
      </c>
      <c r="J192" s="109"/>
      <c r="K192" s="107">
        <f t="shared" si="30"/>
        <v>-1.3682688873012938E-2</v>
      </c>
      <c r="M192" s="105">
        <v>525.52</v>
      </c>
      <c r="N192" s="124"/>
      <c r="O192" s="107">
        <f t="shared" si="31"/>
        <v>-9.8423373192197516E-2</v>
      </c>
      <c r="P192" s="107"/>
      <c r="Q192" s="105">
        <v>2248.75</v>
      </c>
      <c r="R192" s="124"/>
      <c r="S192" s="107">
        <f t="shared" si="32"/>
        <v>-7.5292472808766941E-2</v>
      </c>
      <c r="T192" s="107"/>
      <c r="U192" s="105">
        <v>890.61</v>
      </c>
      <c r="V192" s="124"/>
      <c r="W192" s="107">
        <f t="shared" si="33"/>
        <v>-0.12273322760808114</v>
      </c>
      <c r="X192" s="107"/>
      <c r="Y192" s="105">
        <v>475.7</v>
      </c>
      <c r="Z192" s="124"/>
      <c r="AA192" s="107">
        <f t="shared" si="34"/>
        <v>-5.8746710461227925E-2</v>
      </c>
      <c r="AB192" s="107"/>
      <c r="AC192" s="105">
        <v>423.27</v>
      </c>
      <c r="AD192" s="124"/>
      <c r="AE192" s="107">
        <f t="shared" si="35"/>
        <v>-9.3795495418343755E-2</v>
      </c>
      <c r="AF192" s="107"/>
      <c r="AG192" s="105">
        <v>460.39</v>
      </c>
      <c r="AH192" s="124"/>
      <c r="AI192" s="107">
        <f t="shared" si="36"/>
        <v>-6.5444654202951535E-2</v>
      </c>
    </row>
    <row r="193" spans="3:35" s="97" customFormat="1" ht="21" customHeight="1">
      <c r="C193" s="104">
        <v>44487</v>
      </c>
      <c r="E193" s="106">
        <v>408.43</v>
      </c>
      <c r="F193" s="108"/>
      <c r="G193" s="107">
        <f t="shared" si="29"/>
        <v>3.8627809988810879E-2</v>
      </c>
      <c r="H193" s="109"/>
      <c r="I193" s="106">
        <v>18114.900000000001</v>
      </c>
      <c r="J193" s="109"/>
      <c r="K193" s="107">
        <f t="shared" si="30"/>
        <v>2.5082547470100414E-2</v>
      </c>
      <c r="M193" s="105">
        <v>524.02</v>
      </c>
      <c r="N193" s="124"/>
      <c r="O193" s="107">
        <f t="shared" si="31"/>
        <v>-2.8543157253767548E-3</v>
      </c>
      <c r="P193" s="107"/>
      <c r="Q193" s="105">
        <v>2353.4499999999998</v>
      </c>
      <c r="R193" s="124"/>
      <c r="S193" s="107">
        <f t="shared" si="32"/>
        <v>4.6559199555308517E-2</v>
      </c>
      <c r="T193" s="107"/>
      <c r="U193" s="105">
        <v>900.75</v>
      </c>
      <c r="V193" s="124"/>
      <c r="W193" s="107">
        <f t="shared" si="33"/>
        <v>1.1385454912924864E-2</v>
      </c>
      <c r="X193" s="107"/>
      <c r="Y193" s="105">
        <v>452.3</v>
      </c>
      <c r="Z193" s="124"/>
      <c r="AA193" s="107">
        <f t="shared" si="34"/>
        <v>-4.9190666386377924E-2</v>
      </c>
      <c r="AB193" s="107"/>
      <c r="AC193" s="105">
        <v>435.04</v>
      </c>
      <c r="AD193" s="124"/>
      <c r="AE193" s="107">
        <f t="shared" si="35"/>
        <v>2.7807309755002896E-2</v>
      </c>
      <c r="AF193" s="107"/>
      <c r="AG193" s="105">
        <v>444.87</v>
      </c>
      <c r="AH193" s="124"/>
      <c r="AI193" s="107">
        <f t="shared" si="36"/>
        <v>-3.3710549751297725E-2</v>
      </c>
    </row>
    <row r="194" spans="3:35" s="97" customFormat="1" ht="21" customHeight="1">
      <c r="C194" s="104">
        <v>44480</v>
      </c>
      <c r="E194" s="106">
        <v>429.1</v>
      </c>
      <c r="F194" s="108"/>
      <c r="G194" s="107">
        <f t="shared" si="29"/>
        <v>5.0608427392698996E-2</v>
      </c>
      <c r="H194" s="109"/>
      <c r="I194" s="106">
        <v>18338.55</v>
      </c>
      <c r="J194" s="109"/>
      <c r="K194" s="107">
        <f t="shared" si="30"/>
        <v>1.2346190152857428E-2</v>
      </c>
      <c r="M194" s="105">
        <v>598.16999999999996</v>
      </c>
      <c r="N194" s="124"/>
      <c r="O194" s="107">
        <f t="shared" si="31"/>
        <v>0.14150223273920837</v>
      </c>
      <c r="P194" s="107"/>
      <c r="Q194" s="105">
        <v>2502.5500000000002</v>
      </c>
      <c r="R194" s="124"/>
      <c r="S194" s="107">
        <f t="shared" si="32"/>
        <v>6.3353799740806238E-2</v>
      </c>
      <c r="T194" s="107"/>
      <c r="U194" s="105">
        <v>940.84</v>
      </c>
      <c r="V194" s="124"/>
      <c r="W194" s="107">
        <f t="shared" si="33"/>
        <v>4.4507354981959457E-2</v>
      </c>
      <c r="X194" s="107"/>
      <c r="Y194" s="105">
        <v>482.44</v>
      </c>
      <c r="Z194" s="124"/>
      <c r="AA194" s="107">
        <f t="shared" si="34"/>
        <v>6.6637187707274004E-2</v>
      </c>
      <c r="AB194" s="107"/>
      <c r="AC194" s="105">
        <v>450.54</v>
      </c>
      <c r="AD194" s="124"/>
      <c r="AE194" s="107">
        <f t="shared" si="35"/>
        <v>3.5628907686649391E-2</v>
      </c>
      <c r="AF194" s="107"/>
      <c r="AG194" s="105">
        <v>458.21</v>
      </c>
      <c r="AH194" s="124"/>
      <c r="AI194" s="107">
        <f t="shared" si="36"/>
        <v>2.9986288129116412E-2</v>
      </c>
    </row>
    <row r="195" spans="3:35" s="97" customFormat="1" ht="21" customHeight="1">
      <c r="C195" s="104">
        <v>44473</v>
      </c>
      <c r="E195" s="106">
        <v>410.16</v>
      </c>
      <c r="F195" s="108"/>
      <c r="G195" s="107">
        <f t="shared" si="29"/>
        <v>-4.4138895362386354E-2</v>
      </c>
      <c r="H195" s="109"/>
      <c r="I195" s="106">
        <v>17895.2</v>
      </c>
      <c r="J195" s="109"/>
      <c r="K195" s="107">
        <f t="shared" si="30"/>
        <v>-2.4175848145027712E-2</v>
      </c>
      <c r="M195" s="105">
        <v>580.33000000000004</v>
      </c>
      <c r="N195" s="124"/>
      <c r="O195" s="107">
        <f t="shared" si="31"/>
        <v>-2.9824297440526837E-2</v>
      </c>
      <c r="P195" s="107"/>
      <c r="Q195" s="105">
        <v>2359.6</v>
      </c>
      <c r="R195" s="124"/>
      <c r="S195" s="107">
        <f t="shared" si="32"/>
        <v>-5.7121735829454012E-2</v>
      </c>
      <c r="T195" s="107"/>
      <c r="U195" s="105">
        <v>902.91</v>
      </c>
      <c r="V195" s="124"/>
      <c r="W195" s="107">
        <f t="shared" si="33"/>
        <v>-4.0315037625951344E-2</v>
      </c>
      <c r="X195" s="107"/>
      <c r="Y195" s="105">
        <v>478.24</v>
      </c>
      <c r="Z195" s="124"/>
      <c r="AA195" s="107">
        <f t="shared" si="34"/>
        <v>-8.7057457922228298E-3</v>
      </c>
      <c r="AB195" s="107"/>
      <c r="AC195" s="105">
        <v>478.5</v>
      </c>
      <c r="AD195" s="124"/>
      <c r="AE195" s="107">
        <f t="shared" si="35"/>
        <v>6.2058862698095574E-2</v>
      </c>
      <c r="AF195" s="107"/>
      <c r="AG195" s="105">
        <v>458.26</v>
      </c>
      <c r="AH195" s="124"/>
      <c r="AI195" s="107">
        <f t="shared" si="36"/>
        <v>1.0912027236420485E-4</v>
      </c>
    </row>
    <row r="196" spans="3:35" s="97" customFormat="1" ht="21" customHeight="1">
      <c r="C196" s="104">
        <v>44466</v>
      </c>
      <c r="E196" s="106">
        <v>411.59</v>
      </c>
      <c r="F196" s="108"/>
      <c r="G196" s="107">
        <f t="shared" si="29"/>
        <v>3.4864443144138058E-3</v>
      </c>
      <c r="H196" s="109"/>
      <c r="I196" s="106">
        <v>17532.05</v>
      </c>
      <c r="J196" s="109"/>
      <c r="K196" s="107">
        <f t="shared" si="30"/>
        <v>-2.0293151236085771E-2</v>
      </c>
      <c r="M196" s="105">
        <v>527.74</v>
      </c>
      <c r="N196" s="124"/>
      <c r="O196" s="107">
        <f t="shared" si="31"/>
        <v>-9.062085365223238E-2</v>
      </c>
      <c r="P196" s="107"/>
      <c r="Q196" s="105">
        <v>2233.6</v>
      </c>
      <c r="R196" s="124"/>
      <c r="S196" s="107">
        <f t="shared" si="32"/>
        <v>-5.3398881166299428E-2</v>
      </c>
      <c r="T196" s="107"/>
      <c r="U196" s="105">
        <v>901.34</v>
      </c>
      <c r="V196" s="124"/>
      <c r="W196" s="107">
        <f t="shared" si="33"/>
        <v>-1.738822252494665E-3</v>
      </c>
      <c r="X196" s="107"/>
      <c r="Y196" s="105">
        <v>474.93</v>
      </c>
      <c r="Z196" s="124"/>
      <c r="AA196" s="107">
        <f t="shared" si="34"/>
        <v>-6.9212111073937432E-3</v>
      </c>
      <c r="AB196" s="107"/>
      <c r="AC196" s="105">
        <v>477.76</v>
      </c>
      <c r="AD196" s="124"/>
      <c r="AE196" s="107">
        <f t="shared" si="35"/>
        <v>-1.5464994775339358E-3</v>
      </c>
      <c r="AF196" s="107"/>
      <c r="AG196" s="105">
        <v>407.28</v>
      </c>
      <c r="AH196" s="124"/>
      <c r="AI196" s="107">
        <f t="shared" si="36"/>
        <v>-0.11124689041155678</v>
      </c>
    </row>
    <row r="197" spans="3:35" s="97" customFormat="1" ht="21" customHeight="1">
      <c r="C197" s="104">
        <v>44459</v>
      </c>
      <c r="E197" s="106">
        <v>405.08</v>
      </c>
      <c r="F197" s="108"/>
      <c r="G197" s="107">
        <f t="shared" si="29"/>
        <v>-1.5816710804441247E-2</v>
      </c>
      <c r="H197" s="109"/>
      <c r="I197" s="106">
        <v>17853.2</v>
      </c>
      <c r="J197" s="109"/>
      <c r="K197" s="107">
        <f t="shared" si="30"/>
        <v>1.8317880681380849E-2</v>
      </c>
      <c r="M197" s="105">
        <v>530.63</v>
      </c>
      <c r="N197" s="124"/>
      <c r="O197" s="107">
        <f t="shared" si="31"/>
        <v>5.4761814529882269E-3</v>
      </c>
      <c r="P197" s="107"/>
      <c r="Q197" s="105">
        <v>2194.1</v>
      </c>
      <c r="R197" s="124"/>
      <c r="S197" s="107">
        <f t="shared" si="32"/>
        <v>-1.7684455587392511E-2</v>
      </c>
      <c r="T197" s="107"/>
      <c r="U197" s="105">
        <v>916.88</v>
      </c>
      <c r="V197" s="124"/>
      <c r="W197" s="107">
        <f t="shared" si="33"/>
        <v>1.7240996738189684E-2</v>
      </c>
      <c r="X197" s="107"/>
      <c r="Y197" s="105">
        <v>467.67</v>
      </c>
      <c r="Z197" s="124"/>
      <c r="AA197" s="107">
        <f t="shared" si="34"/>
        <v>-1.52864632682711E-2</v>
      </c>
      <c r="AB197" s="107"/>
      <c r="AC197" s="105">
        <v>456.05</v>
      </c>
      <c r="AD197" s="124"/>
      <c r="AE197" s="107">
        <f t="shared" si="35"/>
        <v>-4.5441225720026734E-2</v>
      </c>
      <c r="AF197" s="107"/>
      <c r="AG197" s="105">
        <v>415.71</v>
      </c>
      <c r="AH197" s="124"/>
      <c r="AI197" s="107">
        <f t="shared" si="36"/>
        <v>2.0698291101944655E-2</v>
      </c>
    </row>
    <row r="198" spans="3:35" s="97" customFormat="1" ht="21" customHeight="1">
      <c r="C198" s="104">
        <v>44452</v>
      </c>
      <c r="E198" s="106">
        <v>330.1</v>
      </c>
      <c r="F198" s="108"/>
      <c r="G198" s="107">
        <f t="shared" si="29"/>
        <v>-0.1850992396563641</v>
      </c>
      <c r="H198" s="109"/>
      <c r="I198" s="106">
        <v>17585.150000000001</v>
      </c>
      <c r="J198" s="109"/>
      <c r="K198" s="107">
        <f t="shared" si="30"/>
        <v>-1.5014115116617655E-2</v>
      </c>
      <c r="M198" s="105">
        <v>501.1</v>
      </c>
      <c r="N198" s="124"/>
      <c r="O198" s="107">
        <f t="shared" si="31"/>
        <v>-5.5650830145298924E-2</v>
      </c>
      <c r="P198" s="107"/>
      <c r="Q198" s="105">
        <v>1633.9</v>
      </c>
      <c r="R198" s="124"/>
      <c r="S198" s="107">
        <f t="shared" si="32"/>
        <v>-0.25532108837336487</v>
      </c>
      <c r="T198" s="107"/>
      <c r="U198" s="105">
        <v>728.98</v>
      </c>
      <c r="V198" s="124"/>
      <c r="W198" s="107">
        <f t="shared" si="33"/>
        <v>-0.20493412442195269</v>
      </c>
      <c r="X198" s="107"/>
      <c r="Y198" s="105">
        <v>419.18</v>
      </c>
      <c r="Z198" s="124"/>
      <c r="AA198" s="107">
        <f t="shared" si="34"/>
        <v>-0.10368422178031522</v>
      </c>
      <c r="AB198" s="107"/>
      <c r="AC198" s="105">
        <v>406.44</v>
      </c>
      <c r="AD198" s="124"/>
      <c r="AE198" s="107">
        <f t="shared" si="35"/>
        <v>-0.10878193180572304</v>
      </c>
      <c r="AF198" s="107"/>
      <c r="AG198" s="105">
        <v>371.77</v>
      </c>
      <c r="AH198" s="124"/>
      <c r="AI198" s="107">
        <f t="shared" si="36"/>
        <v>-0.10569868417887474</v>
      </c>
    </row>
    <row r="199" spans="3:35" s="97" customFormat="1" ht="21" customHeight="1">
      <c r="C199" s="104">
        <v>44445</v>
      </c>
      <c r="E199" s="106">
        <v>328.52</v>
      </c>
      <c r="F199" s="108"/>
      <c r="G199" s="107">
        <f t="shared" si="29"/>
        <v>-4.7864283550440589E-3</v>
      </c>
      <c r="H199" s="109"/>
      <c r="I199" s="106">
        <v>17369.25</v>
      </c>
      <c r="J199" s="109"/>
      <c r="K199" s="107">
        <f t="shared" si="30"/>
        <v>-1.2277404514604684E-2</v>
      </c>
      <c r="M199" s="105">
        <v>517.35</v>
      </c>
      <c r="N199" s="124"/>
      <c r="O199" s="107">
        <f t="shared" si="31"/>
        <v>3.2428656954699653E-2</v>
      </c>
      <c r="P199" s="107"/>
      <c r="Q199" s="105">
        <v>1581.35</v>
      </c>
      <c r="R199" s="124"/>
      <c r="S199" s="107">
        <f t="shared" si="32"/>
        <v>-3.2162311034947155E-2</v>
      </c>
      <c r="T199" s="107"/>
      <c r="U199" s="105">
        <v>761.25</v>
      </c>
      <c r="V199" s="124"/>
      <c r="W199" s="107">
        <f t="shared" si="33"/>
        <v>4.4267332437103901E-2</v>
      </c>
      <c r="X199" s="107"/>
      <c r="Y199" s="105">
        <v>431.03</v>
      </c>
      <c r="Z199" s="124"/>
      <c r="AA199" s="107">
        <f t="shared" si="34"/>
        <v>2.8269478505653867E-2</v>
      </c>
      <c r="AB199" s="107"/>
      <c r="AC199" s="105">
        <v>424.9</v>
      </c>
      <c r="AD199" s="124"/>
      <c r="AE199" s="107">
        <f t="shared" si="35"/>
        <v>4.5418757996260162E-2</v>
      </c>
      <c r="AF199" s="107"/>
      <c r="AG199" s="105">
        <v>395.03</v>
      </c>
      <c r="AH199" s="124"/>
      <c r="AI199" s="107">
        <f t="shared" si="36"/>
        <v>6.256556473088204E-2</v>
      </c>
    </row>
    <row r="200" spans="3:35" s="97" customFormat="1" ht="21" customHeight="1">
      <c r="C200" s="104">
        <v>44438</v>
      </c>
      <c r="E200" s="106">
        <v>338.98</v>
      </c>
      <c r="F200" s="108"/>
      <c r="G200" s="107">
        <f t="shared" si="29"/>
        <v>3.1839766224278643E-2</v>
      </c>
      <c r="H200" s="109"/>
      <c r="I200" s="106">
        <v>17323.599999999999</v>
      </c>
      <c r="J200" s="109"/>
      <c r="K200" s="107">
        <f t="shared" si="30"/>
        <v>-2.6282078961383792E-3</v>
      </c>
      <c r="M200" s="105">
        <v>540.57000000000005</v>
      </c>
      <c r="N200" s="124"/>
      <c r="O200" s="107">
        <f t="shared" si="31"/>
        <v>4.488257465932155E-2</v>
      </c>
      <c r="P200" s="107"/>
      <c r="Q200" s="105">
        <v>1581.95</v>
      </c>
      <c r="R200" s="124"/>
      <c r="S200" s="107">
        <f t="shared" si="32"/>
        <v>3.7942264520829383E-4</v>
      </c>
      <c r="T200" s="107"/>
      <c r="U200" s="105">
        <v>750.18</v>
      </c>
      <c r="V200" s="124"/>
      <c r="W200" s="107">
        <f t="shared" si="33"/>
        <v>-1.4541871921182281E-2</v>
      </c>
      <c r="X200" s="107"/>
      <c r="Y200" s="105">
        <v>431.01</v>
      </c>
      <c r="Z200" s="124"/>
      <c r="AA200" s="107">
        <f t="shared" si="34"/>
        <v>-4.6400482564989964E-5</v>
      </c>
      <c r="AB200" s="107"/>
      <c r="AC200" s="105">
        <v>418.41</v>
      </c>
      <c r="AD200" s="124"/>
      <c r="AE200" s="107">
        <f t="shared" si="35"/>
        <v>-1.5274182160508243E-2</v>
      </c>
      <c r="AF200" s="107"/>
      <c r="AG200" s="105">
        <v>367.15</v>
      </c>
      <c r="AH200" s="124"/>
      <c r="AI200" s="107">
        <f t="shared" si="36"/>
        <v>-7.0576918208743677E-2</v>
      </c>
    </row>
    <row r="201" spans="3:35" s="97" customFormat="1" ht="21" customHeight="1">
      <c r="C201" s="104">
        <v>44431</v>
      </c>
      <c r="E201" s="106">
        <v>305.42</v>
      </c>
      <c r="F201" s="108"/>
      <c r="G201" s="107">
        <f t="shared" si="29"/>
        <v>-9.9002891026019224E-2</v>
      </c>
      <c r="H201" s="109"/>
      <c r="I201" s="106">
        <v>16705.2</v>
      </c>
      <c r="J201" s="109"/>
      <c r="K201" s="107">
        <f t="shared" si="30"/>
        <v>-3.5696968297582399E-2</v>
      </c>
      <c r="M201" s="105">
        <v>444.5</v>
      </c>
      <c r="N201" s="124"/>
      <c r="O201" s="107">
        <f t="shared" si="31"/>
        <v>-0.1777198142701224</v>
      </c>
      <c r="P201" s="107"/>
      <c r="Q201" s="105">
        <v>1472.75</v>
      </c>
      <c r="R201" s="124"/>
      <c r="S201" s="107">
        <f t="shared" si="32"/>
        <v>-6.9028730364423696E-2</v>
      </c>
      <c r="T201" s="107"/>
      <c r="U201" s="105">
        <v>667.3</v>
      </c>
      <c r="V201" s="124"/>
      <c r="W201" s="107">
        <f t="shared" si="33"/>
        <v>-0.11048015143032341</v>
      </c>
      <c r="X201" s="107"/>
      <c r="Y201" s="105">
        <v>421.84</v>
      </c>
      <c r="Z201" s="124"/>
      <c r="AA201" s="107">
        <f t="shared" si="34"/>
        <v>-2.1275608454560224E-2</v>
      </c>
      <c r="AB201" s="107"/>
      <c r="AC201" s="105">
        <v>348.13</v>
      </c>
      <c r="AD201" s="124"/>
      <c r="AE201" s="107">
        <f t="shared" si="35"/>
        <v>-0.16796921679692178</v>
      </c>
      <c r="AF201" s="107"/>
      <c r="AG201" s="105">
        <v>298.56</v>
      </c>
      <c r="AH201" s="124"/>
      <c r="AI201" s="107">
        <f t="shared" si="36"/>
        <v>-0.18681737709383084</v>
      </c>
    </row>
    <row r="202" spans="3:35" s="97" customFormat="1" ht="21" customHeight="1">
      <c r="C202" s="104">
        <v>44424</v>
      </c>
      <c r="E202" s="106">
        <v>302.97000000000003</v>
      </c>
      <c r="F202" s="108"/>
      <c r="G202" s="107">
        <f t="shared" si="29"/>
        <v>-8.0217405539911857E-3</v>
      </c>
      <c r="H202" s="109"/>
      <c r="I202" s="106">
        <v>16450.5</v>
      </c>
      <c r="J202" s="109"/>
      <c r="K202" s="107">
        <f t="shared" si="30"/>
        <v>-1.5246749515121061E-2</v>
      </c>
      <c r="M202" s="105">
        <v>425.13</v>
      </c>
      <c r="N202" s="124"/>
      <c r="O202" s="107">
        <f t="shared" si="31"/>
        <v>-4.3577052868391419E-2</v>
      </c>
      <c r="P202" s="107"/>
      <c r="Q202" s="105">
        <v>1480.05</v>
      </c>
      <c r="R202" s="124"/>
      <c r="S202" s="107">
        <f t="shared" si="32"/>
        <v>4.9567136309625059E-3</v>
      </c>
      <c r="T202" s="107"/>
      <c r="U202" s="105">
        <v>645.70000000000005</v>
      </c>
      <c r="V202" s="124"/>
      <c r="W202" s="107">
        <f t="shared" si="33"/>
        <v>-3.2369249213247242E-2</v>
      </c>
      <c r="X202" s="107"/>
      <c r="Y202" s="105">
        <v>398.1</v>
      </c>
      <c r="Z202" s="124"/>
      <c r="AA202" s="107">
        <f t="shared" si="34"/>
        <v>-5.627726152095569E-2</v>
      </c>
      <c r="AB202" s="107"/>
      <c r="AC202" s="105">
        <v>328.58</v>
      </c>
      <c r="AD202" s="124"/>
      <c r="AE202" s="107">
        <f t="shared" si="35"/>
        <v>-5.6157182661649374E-2</v>
      </c>
      <c r="AF202" s="107"/>
      <c r="AG202" s="105">
        <v>312.55</v>
      </c>
      <c r="AH202" s="124"/>
      <c r="AI202" s="107">
        <f t="shared" si="36"/>
        <v>4.6858252947481249E-2</v>
      </c>
    </row>
    <row r="203" spans="3:35" s="97" customFormat="1" ht="21" customHeight="1">
      <c r="C203" s="104">
        <v>44417</v>
      </c>
      <c r="E203" s="106">
        <v>325.91000000000003</v>
      </c>
      <c r="F203" s="108"/>
      <c r="G203" s="107">
        <f t="shared" si="29"/>
        <v>7.5717067696471574E-2</v>
      </c>
      <c r="H203" s="109"/>
      <c r="I203" s="106">
        <v>16529.099999999999</v>
      </c>
      <c r="J203" s="109"/>
      <c r="K203" s="107">
        <f t="shared" si="30"/>
        <v>4.7779702744596975E-3</v>
      </c>
      <c r="M203" s="105">
        <v>434.23</v>
      </c>
      <c r="N203" s="124"/>
      <c r="O203" s="107">
        <f t="shared" si="31"/>
        <v>2.1405217227671525E-2</v>
      </c>
      <c r="P203" s="107"/>
      <c r="Q203" s="105">
        <v>1547.1</v>
      </c>
      <c r="R203" s="124"/>
      <c r="S203" s="107">
        <f t="shared" si="32"/>
        <v>4.5302523563393038E-2</v>
      </c>
      <c r="T203" s="107"/>
      <c r="U203" s="105">
        <v>680.43</v>
      </c>
      <c r="V203" s="124"/>
      <c r="W203" s="107">
        <f t="shared" si="33"/>
        <v>5.3786588198853735E-2</v>
      </c>
      <c r="X203" s="107"/>
      <c r="Y203" s="105">
        <v>426</v>
      </c>
      <c r="Z203" s="124"/>
      <c r="AA203" s="107">
        <f t="shared" si="34"/>
        <v>7.0082893745289976E-2</v>
      </c>
      <c r="AB203" s="107"/>
      <c r="AC203" s="105">
        <v>335.36</v>
      </c>
      <c r="AD203" s="124"/>
      <c r="AE203" s="107">
        <f t="shared" si="35"/>
        <v>2.0634244324061246E-2</v>
      </c>
      <c r="AF203" s="107"/>
      <c r="AG203" s="105">
        <v>326.33999999999997</v>
      </c>
      <c r="AH203" s="124"/>
      <c r="AI203" s="107">
        <f t="shared" si="36"/>
        <v>4.412094064949601E-2</v>
      </c>
    </row>
    <row r="204" spans="3:35" s="97" customFormat="1" ht="21" customHeight="1">
      <c r="C204" s="104">
        <v>44410</v>
      </c>
      <c r="E204" s="106">
        <v>336.15</v>
      </c>
      <c r="F204" s="108"/>
      <c r="G204" s="107">
        <f t="shared" si="29"/>
        <v>3.1419717099812727E-2</v>
      </c>
      <c r="H204" s="109"/>
      <c r="I204" s="106">
        <v>16238.2</v>
      </c>
      <c r="J204" s="109"/>
      <c r="K204" s="107">
        <f t="shared" si="30"/>
        <v>-1.7599264327761266E-2</v>
      </c>
      <c r="M204" s="105">
        <v>435.92</v>
      </c>
      <c r="N204" s="124"/>
      <c r="O204" s="107">
        <f t="shared" si="31"/>
        <v>3.8919466642102218E-3</v>
      </c>
      <c r="P204" s="107"/>
      <c r="Q204" s="105">
        <v>1583.45</v>
      </c>
      <c r="R204" s="124"/>
      <c r="S204" s="107">
        <f t="shared" si="32"/>
        <v>2.3495572361192041E-2</v>
      </c>
      <c r="T204" s="107"/>
      <c r="U204" s="105">
        <v>686.78</v>
      </c>
      <c r="V204" s="124"/>
      <c r="W204" s="107">
        <f t="shared" si="33"/>
        <v>9.3323339652866544E-3</v>
      </c>
      <c r="X204" s="107"/>
      <c r="Y204" s="105">
        <v>435.72</v>
      </c>
      <c r="Z204" s="124"/>
      <c r="AA204" s="107">
        <f t="shared" si="34"/>
        <v>2.2816901408450718E-2</v>
      </c>
      <c r="AB204" s="107"/>
      <c r="AC204" s="105">
        <v>356.5</v>
      </c>
      <c r="AD204" s="124"/>
      <c r="AE204" s="107">
        <f t="shared" si="35"/>
        <v>6.3036736641221225E-2</v>
      </c>
      <c r="AF204" s="107"/>
      <c r="AG204" s="105">
        <v>330.57</v>
      </c>
      <c r="AH204" s="124"/>
      <c r="AI204" s="107">
        <f t="shared" si="36"/>
        <v>1.2961941533370158E-2</v>
      </c>
    </row>
    <row r="205" spans="3:35" s="97" customFormat="1" ht="21" customHeight="1">
      <c r="C205" s="104">
        <v>44403</v>
      </c>
      <c r="E205" s="106">
        <v>331.05</v>
      </c>
      <c r="F205" s="108"/>
      <c r="G205" s="107">
        <f t="shared" si="29"/>
        <v>-1.5171798304328354E-2</v>
      </c>
      <c r="H205" s="109"/>
      <c r="I205" s="106">
        <v>15763.05</v>
      </c>
      <c r="J205" s="109"/>
      <c r="K205" s="107">
        <f t="shared" si="30"/>
        <v>-2.9261248167900433E-2</v>
      </c>
      <c r="M205" s="105">
        <v>425.41</v>
      </c>
      <c r="N205" s="124"/>
      <c r="O205" s="107">
        <f t="shared" si="31"/>
        <v>-2.4109928427234362E-2</v>
      </c>
      <c r="P205" s="107"/>
      <c r="Q205" s="105">
        <v>1602.2</v>
      </c>
      <c r="R205" s="124"/>
      <c r="S205" s="107">
        <f t="shared" si="32"/>
        <v>1.1841232751270914E-2</v>
      </c>
      <c r="T205" s="107"/>
      <c r="U205" s="105">
        <v>661.49</v>
      </c>
      <c r="V205" s="124"/>
      <c r="W205" s="107">
        <f t="shared" si="33"/>
        <v>-3.6824019336614278E-2</v>
      </c>
      <c r="X205" s="107"/>
      <c r="Y205" s="105">
        <v>425.41</v>
      </c>
      <c r="Z205" s="124"/>
      <c r="AA205" s="107">
        <f t="shared" si="34"/>
        <v>-2.366198476085557E-2</v>
      </c>
      <c r="AB205" s="107"/>
      <c r="AC205" s="105">
        <v>337.2</v>
      </c>
      <c r="AD205" s="124"/>
      <c r="AE205" s="107">
        <f t="shared" si="35"/>
        <v>-5.4137447405329664E-2</v>
      </c>
      <c r="AF205" s="107"/>
      <c r="AG205" s="105">
        <v>322.42</v>
      </c>
      <c r="AH205" s="124"/>
      <c r="AI205" s="107">
        <f t="shared" si="36"/>
        <v>-2.4654384850409827E-2</v>
      </c>
    </row>
    <row r="206" spans="3:35" s="97" customFormat="1" ht="21" customHeight="1">
      <c r="C206" s="104">
        <v>44396</v>
      </c>
      <c r="E206" s="106">
        <v>327.33</v>
      </c>
      <c r="F206" s="108"/>
      <c r="G206" s="107">
        <f t="shared" si="29"/>
        <v>-1.1236973266878225E-2</v>
      </c>
      <c r="H206" s="109"/>
      <c r="I206" s="106">
        <v>15856.05</v>
      </c>
      <c r="J206" s="109"/>
      <c r="K206" s="107">
        <f t="shared" si="30"/>
        <v>5.899873438198755E-3</v>
      </c>
      <c r="M206" s="105">
        <v>420.87</v>
      </c>
      <c r="N206" s="124"/>
      <c r="O206" s="107">
        <f t="shared" si="31"/>
        <v>-1.0672057544486524E-2</v>
      </c>
      <c r="P206" s="107"/>
      <c r="Q206" s="105">
        <v>1560.7</v>
      </c>
      <c r="R206" s="124"/>
      <c r="S206" s="107">
        <f t="shared" si="32"/>
        <v>-2.5901884908251183E-2</v>
      </c>
      <c r="T206" s="107"/>
      <c r="U206" s="105">
        <v>685.2</v>
      </c>
      <c r="V206" s="124"/>
      <c r="W206" s="107">
        <f t="shared" si="33"/>
        <v>3.5843323406249628E-2</v>
      </c>
      <c r="X206" s="107"/>
      <c r="Y206" s="105">
        <v>432.68</v>
      </c>
      <c r="Z206" s="124"/>
      <c r="AA206" s="107">
        <f t="shared" si="34"/>
        <v>1.708939611198601E-2</v>
      </c>
      <c r="AB206" s="107"/>
      <c r="AC206" s="105">
        <v>345.26</v>
      </c>
      <c r="AD206" s="124"/>
      <c r="AE206" s="107">
        <f t="shared" si="35"/>
        <v>2.3902728351126834E-2</v>
      </c>
      <c r="AF206" s="107"/>
      <c r="AG206" s="105">
        <v>311.35000000000002</v>
      </c>
      <c r="AH206" s="124"/>
      <c r="AI206" s="107">
        <f t="shared" si="36"/>
        <v>-3.4334098380993661E-2</v>
      </c>
    </row>
    <row r="207" spans="3:35" s="97" customFormat="1" ht="21" customHeight="1">
      <c r="C207" s="104">
        <v>44389</v>
      </c>
      <c r="E207" s="106">
        <v>324.33999999999997</v>
      </c>
      <c r="F207" s="108"/>
      <c r="G207" s="107">
        <f t="shared" si="29"/>
        <v>-9.1345125714111797E-3</v>
      </c>
      <c r="H207" s="109"/>
      <c r="I207" s="106">
        <v>15923.4</v>
      </c>
      <c r="J207" s="109"/>
      <c r="K207" s="107">
        <f t="shared" si="30"/>
        <v>4.2475900366105712E-3</v>
      </c>
      <c r="M207" s="105">
        <v>425.43</v>
      </c>
      <c r="N207" s="124"/>
      <c r="O207" s="107">
        <f t="shared" si="31"/>
        <v>1.0834699550930305E-2</v>
      </c>
      <c r="P207" s="107"/>
      <c r="Q207" s="105">
        <v>1577.7</v>
      </c>
      <c r="R207" s="124"/>
      <c r="S207" s="107">
        <f t="shared" si="32"/>
        <v>1.0892548215544418E-2</v>
      </c>
      <c r="T207" s="107"/>
      <c r="U207" s="105">
        <v>695.29</v>
      </c>
      <c r="V207" s="124"/>
      <c r="W207" s="107">
        <f t="shared" si="33"/>
        <v>1.4725627553998644E-2</v>
      </c>
      <c r="X207" s="107"/>
      <c r="Y207" s="105">
        <v>431.87</v>
      </c>
      <c r="Z207" s="124"/>
      <c r="AA207" s="107">
        <f t="shared" si="34"/>
        <v>-1.8720532495146713E-3</v>
      </c>
      <c r="AB207" s="107"/>
      <c r="AC207" s="105">
        <v>326.31</v>
      </c>
      <c r="AD207" s="124"/>
      <c r="AE207" s="107">
        <f t="shared" si="35"/>
        <v>-5.4886172739384786E-2</v>
      </c>
      <c r="AF207" s="107"/>
      <c r="AG207" s="105">
        <v>335.17</v>
      </c>
      <c r="AH207" s="124"/>
      <c r="AI207" s="107">
        <f t="shared" si="36"/>
        <v>7.6505540388630111E-2</v>
      </c>
    </row>
    <row r="208" spans="3:35" s="97" customFormat="1" ht="21" customHeight="1">
      <c r="C208" s="104">
        <v>44382</v>
      </c>
      <c r="E208" s="106">
        <v>294.14999999999998</v>
      </c>
      <c r="F208" s="108"/>
      <c r="G208" s="107">
        <f t="shared" si="29"/>
        <v>-9.308133440217059E-2</v>
      </c>
      <c r="H208" s="109"/>
      <c r="I208" s="106">
        <v>15689.8</v>
      </c>
      <c r="J208" s="109"/>
      <c r="K208" s="107">
        <f t="shared" si="30"/>
        <v>-1.4670233744049632E-2</v>
      </c>
      <c r="M208" s="105">
        <v>384.96</v>
      </c>
      <c r="N208" s="124"/>
      <c r="O208" s="107">
        <f t="shared" si="31"/>
        <v>-9.5127282984274752E-2</v>
      </c>
      <c r="P208" s="107"/>
      <c r="Q208" s="105">
        <v>1480.1</v>
      </c>
      <c r="R208" s="124"/>
      <c r="S208" s="107">
        <f t="shared" si="32"/>
        <v>-6.1862204474868565E-2</v>
      </c>
      <c r="T208" s="107"/>
      <c r="U208" s="105">
        <v>659.67</v>
      </c>
      <c r="V208" s="124"/>
      <c r="W208" s="107">
        <f t="shared" si="33"/>
        <v>-5.1230421838369566E-2</v>
      </c>
      <c r="X208" s="107"/>
      <c r="Y208" s="105">
        <v>418.66</v>
      </c>
      <c r="Z208" s="124"/>
      <c r="AA208" s="107">
        <f t="shared" si="34"/>
        <v>-3.0587908398360564E-2</v>
      </c>
      <c r="AB208" s="107"/>
      <c r="AC208" s="105">
        <v>293.33999999999997</v>
      </c>
      <c r="AD208" s="124"/>
      <c r="AE208" s="107">
        <f t="shared" si="35"/>
        <v>-0.10103888939965067</v>
      </c>
      <c r="AF208" s="107"/>
      <c r="AG208" s="105">
        <v>312.73</v>
      </c>
      <c r="AH208" s="124"/>
      <c r="AI208" s="107">
        <f t="shared" si="36"/>
        <v>-6.6951099442074113E-2</v>
      </c>
    </row>
    <row r="209" spans="3:35" s="97" customFormat="1" ht="21" customHeight="1">
      <c r="C209" s="104">
        <v>44375</v>
      </c>
      <c r="E209" s="106">
        <v>278.22000000000003</v>
      </c>
      <c r="F209" s="108"/>
      <c r="G209" s="107">
        <f t="shared" ref="G209:G219" si="37">E209/E208-1</f>
        <v>-5.4156042835287965E-2</v>
      </c>
      <c r="H209" s="109"/>
      <c r="I209" s="106">
        <v>15722.2</v>
      </c>
      <c r="J209" s="109"/>
      <c r="K209" s="107">
        <f t="shared" ref="K209:K219" si="38">I209/I208-1</f>
        <v>2.0650358831852955E-3</v>
      </c>
      <c r="M209" s="105">
        <v>337.43</v>
      </c>
      <c r="N209" s="124"/>
      <c r="O209" s="107">
        <f t="shared" si="31"/>
        <v>-0.1234673732335827</v>
      </c>
      <c r="P209" s="107"/>
      <c r="Q209" s="105">
        <v>1388.75</v>
      </c>
      <c r="R209" s="124"/>
      <c r="S209" s="107">
        <f t="shared" si="32"/>
        <v>-6.171880278359565E-2</v>
      </c>
      <c r="T209" s="107"/>
      <c r="U209" s="105">
        <v>637.64</v>
      </c>
      <c r="V209" s="124"/>
      <c r="W209" s="107">
        <f t="shared" si="33"/>
        <v>-3.3395485621598664E-2</v>
      </c>
      <c r="X209" s="107"/>
      <c r="Y209" s="105">
        <v>407.42</v>
      </c>
      <c r="Z209" s="124"/>
      <c r="AA209" s="107">
        <f t="shared" si="34"/>
        <v>-2.6847561266899134E-2</v>
      </c>
      <c r="AB209" s="107"/>
      <c r="AC209" s="105">
        <v>281.95999999999998</v>
      </c>
      <c r="AD209" s="124"/>
      <c r="AE209" s="107">
        <f t="shared" si="35"/>
        <v>-3.8794572850617048E-2</v>
      </c>
      <c r="AF209" s="107"/>
      <c r="AG209" s="105">
        <v>276.81</v>
      </c>
      <c r="AH209" s="124"/>
      <c r="AI209" s="107">
        <f t="shared" si="36"/>
        <v>-0.11485946343491193</v>
      </c>
    </row>
    <row r="210" spans="3:35" s="97" customFormat="1" ht="21" customHeight="1">
      <c r="C210" s="104">
        <v>44368</v>
      </c>
      <c r="E210" s="106">
        <v>288.02</v>
      </c>
      <c r="F210" s="108"/>
      <c r="G210" s="107">
        <f t="shared" si="37"/>
        <v>3.5223923513765909E-2</v>
      </c>
      <c r="H210" s="109"/>
      <c r="I210" s="106">
        <v>15860.35</v>
      </c>
      <c r="J210" s="109"/>
      <c r="K210" s="107">
        <f t="shared" si="38"/>
        <v>8.7869382147536257E-3</v>
      </c>
      <c r="M210" s="105">
        <v>337.48</v>
      </c>
      <c r="N210" s="124"/>
      <c r="O210" s="107">
        <f t="shared" si="31"/>
        <v>1.4817888154583514E-4</v>
      </c>
      <c r="P210" s="107"/>
      <c r="Q210" s="105">
        <v>1401.45</v>
      </c>
      <c r="R210" s="124"/>
      <c r="S210" s="107">
        <f t="shared" si="32"/>
        <v>9.1449144914492742E-3</v>
      </c>
      <c r="T210" s="107"/>
      <c r="U210" s="105">
        <v>594.35</v>
      </c>
      <c r="V210" s="124"/>
      <c r="W210" s="107">
        <f t="shared" si="33"/>
        <v>-6.7890972962800222E-2</v>
      </c>
      <c r="X210" s="107"/>
      <c r="Y210" s="105">
        <v>401.48</v>
      </c>
      <c r="Z210" s="124"/>
      <c r="AA210" s="107">
        <f t="shared" si="34"/>
        <v>-1.4579549359383437E-2</v>
      </c>
      <c r="AB210" s="107"/>
      <c r="AC210" s="105">
        <v>283.89</v>
      </c>
      <c r="AD210" s="124"/>
      <c r="AE210" s="107">
        <f t="shared" si="35"/>
        <v>6.8449425450418655E-3</v>
      </c>
      <c r="AF210" s="107"/>
      <c r="AG210" s="105">
        <v>283.08999999999997</v>
      </c>
      <c r="AH210" s="124"/>
      <c r="AI210" s="107">
        <f t="shared" si="36"/>
        <v>2.26870416531193E-2</v>
      </c>
    </row>
    <row r="211" spans="3:35" s="97" customFormat="1" ht="21" customHeight="1">
      <c r="C211" s="104">
        <v>44361</v>
      </c>
      <c r="E211" s="106">
        <v>288.86</v>
      </c>
      <c r="F211" s="108"/>
      <c r="G211" s="107">
        <f t="shared" si="37"/>
        <v>2.9164641344352482E-3</v>
      </c>
      <c r="H211" s="109"/>
      <c r="I211" s="106">
        <v>15683.35</v>
      </c>
      <c r="J211" s="109"/>
      <c r="K211" s="107">
        <f t="shared" si="38"/>
        <v>-1.1159905046231655E-2</v>
      </c>
      <c r="M211" s="105">
        <v>339.67</v>
      </c>
      <c r="N211" s="124"/>
      <c r="O211" s="107">
        <f t="shared" ref="O211:O219" si="39">M211/M210-1</f>
        <v>6.4892734384258688E-3</v>
      </c>
      <c r="P211" s="107"/>
      <c r="Q211" s="105">
        <v>1385.3</v>
      </c>
      <c r="R211" s="124"/>
      <c r="S211" s="107">
        <f t="shared" ref="S211:S219" si="40">Q211/Q210-1</f>
        <v>-1.1523778943237417E-2</v>
      </c>
      <c r="T211" s="107"/>
      <c r="U211" s="105">
        <v>607.34</v>
      </c>
      <c r="V211" s="124"/>
      <c r="W211" s="107">
        <f t="shared" ref="W211:W219" si="41">U211/U210-1</f>
        <v>2.1855808866829252E-2</v>
      </c>
      <c r="X211" s="107"/>
      <c r="Y211" s="105">
        <v>394.26</v>
      </c>
      <c r="Z211" s="124"/>
      <c r="AA211" s="107">
        <f t="shared" ref="AA211:AA219" si="42">Y211/Y210-1</f>
        <v>-1.798346119358385E-2</v>
      </c>
      <c r="AB211" s="107"/>
      <c r="AC211" s="105">
        <v>279.19</v>
      </c>
      <c r="AD211" s="124"/>
      <c r="AE211" s="107">
        <f t="shared" ref="AE211:AE219" si="43">AC211/AC210-1</f>
        <v>-1.6555708196836716E-2</v>
      </c>
      <c r="AF211" s="107"/>
      <c r="AG211" s="105">
        <v>271.97000000000003</v>
      </c>
      <c r="AH211" s="124"/>
      <c r="AI211" s="107">
        <f t="shared" ref="AI211:AI219" si="44">AG211/AG210-1</f>
        <v>-3.9280794093750959E-2</v>
      </c>
    </row>
    <row r="212" spans="3:35" s="97" customFormat="1" ht="21" customHeight="1">
      <c r="C212" s="104">
        <v>44354</v>
      </c>
      <c r="E212" s="106">
        <v>303.8</v>
      </c>
      <c r="F212" s="108"/>
      <c r="G212" s="107">
        <f t="shared" si="37"/>
        <v>5.1720556671051687E-2</v>
      </c>
      <c r="H212" s="109"/>
      <c r="I212" s="106">
        <v>15799.35</v>
      </c>
      <c r="J212" s="109"/>
      <c r="K212" s="107">
        <f t="shared" si="38"/>
        <v>7.3963789624027498E-3</v>
      </c>
      <c r="M212" s="105">
        <v>335.24</v>
      </c>
      <c r="N212" s="124"/>
      <c r="O212" s="107">
        <f t="shared" si="39"/>
        <v>-1.3042070244649207E-2</v>
      </c>
      <c r="P212" s="107"/>
      <c r="Q212" s="105">
        <v>1421</v>
      </c>
      <c r="R212" s="124"/>
      <c r="S212" s="107">
        <f t="shared" si="40"/>
        <v>2.577059120768066E-2</v>
      </c>
      <c r="T212" s="107"/>
      <c r="U212" s="105">
        <v>642.26</v>
      </c>
      <c r="V212" s="124"/>
      <c r="W212" s="107">
        <f t="shared" si="41"/>
        <v>5.7496624625415604E-2</v>
      </c>
      <c r="X212" s="107"/>
      <c r="Y212" s="105">
        <v>411.71</v>
      </c>
      <c r="Z212" s="124"/>
      <c r="AA212" s="107">
        <f t="shared" si="42"/>
        <v>4.426013290721853E-2</v>
      </c>
      <c r="AB212" s="107"/>
      <c r="AC212" s="105">
        <v>290.62</v>
      </c>
      <c r="AD212" s="124"/>
      <c r="AE212" s="107">
        <f t="shared" si="43"/>
        <v>4.0939861742899097E-2</v>
      </c>
      <c r="AF212" s="107"/>
      <c r="AG212" s="105">
        <v>276.07</v>
      </c>
      <c r="AH212" s="124"/>
      <c r="AI212" s="107">
        <f t="shared" si="44"/>
        <v>1.5075192116777547E-2</v>
      </c>
    </row>
    <row r="213" spans="3:35" s="97" customFormat="1" ht="21" customHeight="1">
      <c r="C213" s="104">
        <v>44347</v>
      </c>
      <c r="E213" s="106">
        <v>291.01</v>
      </c>
      <c r="F213" s="108"/>
      <c r="G213" s="107">
        <f t="shared" si="37"/>
        <v>-4.2100065832784805E-2</v>
      </c>
      <c r="H213" s="109"/>
      <c r="I213" s="106">
        <v>15670.25</v>
      </c>
      <c r="J213" s="109"/>
      <c r="K213" s="107">
        <f t="shared" si="38"/>
        <v>-8.1712222338260476E-3</v>
      </c>
      <c r="M213" s="105">
        <v>312.48</v>
      </c>
      <c r="N213" s="124"/>
      <c r="O213" s="107">
        <f t="shared" si="39"/>
        <v>-6.7891659706478924E-2</v>
      </c>
      <c r="P213" s="107"/>
      <c r="Q213" s="105">
        <v>1408.4</v>
      </c>
      <c r="R213" s="124"/>
      <c r="S213" s="107">
        <f t="shared" si="40"/>
        <v>-8.8669950738915482E-3</v>
      </c>
      <c r="T213" s="107"/>
      <c r="U213" s="105">
        <v>643.74</v>
      </c>
      <c r="V213" s="124"/>
      <c r="W213" s="107">
        <f t="shared" si="41"/>
        <v>2.3043627191481342E-3</v>
      </c>
      <c r="X213" s="107"/>
      <c r="Y213" s="105">
        <v>431.85</v>
      </c>
      <c r="Z213" s="124"/>
      <c r="AA213" s="107">
        <f t="shared" si="42"/>
        <v>4.8917927667533112E-2</v>
      </c>
      <c r="AB213" s="107"/>
      <c r="AC213" s="105">
        <v>286.32</v>
      </c>
      <c r="AD213" s="124"/>
      <c r="AE213" s="107">
        <f t="shared" si="43"/>
        <v>-1.4795953478769608E-2</v>
      </c>
      <c r="AF213" s="107"/>
      <c r="AG213" s="105">
        <v>265.3</v>
      </c>
      <c r="AH213" s="124"/>
      <c r="AI213" s="107">
        <f t="shared" si="44"/>
        <v>-3.9011844821965402E-2</v>
      </c>
    </row>
    <row r="214" spans="3:35" s="97" customFormat="1" ht="21" customHeight="1">
      <c r="C214" s="104">
        <v>44340</v>
      </c>
      <c r="E214" s="106">
        <v>280.72000000000003</v>
      </c>
      <c r="F214" s="108"/>
      <c r="G214" s="107">
        <f t="shared" si="37"/>
        <v>-3.5359609635407629E-2</v>
      </c>
      <c r="H214" s="109"/>
      <c r="I214" s="106">
        <v>15435.65</v>
      </c>
      <c r="J214" s="109"/>
      <c r="K214" s="107">
        <f t="shared" si="38"/>
        <v>-1.4971043856990218E-2</v>
      </c>
      <c r="M214" s="105">
        <v>315.77</v>
      </c>
      <c r="N214" s="124"/>
      <c r="O214" s="107">
        <f t="shared" si="39"/>
        <v>1.0528673835125346E-2</v>
      </c>
      <c r="P214" s="107"/>
      <c r="Q214" s="105">
        <v>1359.75</v>
      </c>
      <c r="R214" s="124"/>
      <c r="S214" s="107">
        <f t="shared" si="40"/>
        <v>-3.4542743538767406E-2</v>
      </c>
      <c r="T214" s="107"/>
      <c r="U214" s="105">
        <v>576.59</v>
      </c>
      <c r="V214" s="124"/>
      <c r="W214" s="107">
        <f t="shared" si="41"/>
        <v>-0.10431229999689307</v>
      </c>
      <c r="X214" s="107"/>
      <c r="Y214" s="105">
        <v>377.64</v>
      </c>
      <c r="Z214" s="124"/>
      <c r="AA214" s="107">
        <f t="shared" si="42"/>
        <v>-0.12552969781174028</v>
      </c>
      <c r="AB214" s="107"/>
      <c r="AC214" s="105">
        <v>269.54000000000002</v>
      </c>
      <c r="AD214" s="124"/>
      <c r="AE214" s="107">
        <f t="shared" si="43"/>
        <v>-5.860575579770877E-2</v>
      </c>
      <c r="AF214" s="107"/>
      <c r="AG214" s="105">
        <v>261.99</v>
      </c>
      <c r="AH214" s="124"/>
      <c r="AI214" s="107">
        <f t="shared" si="44"/>
        <v>-1.2476441764040724E-2</v>
      </c>
    </row>
    <row r="215" spans="3:35" s="97" customFormat="1" ht="21" customHeight="1">
      <c r="C215" s="104">
        <v>44333</v>
      </c>
      <c r="E215" s="106">
        <v>262.93</v>
      </c>
      <c r="F215" s="108"/>
      <c r="G215" s="107">
        <f t="shared" si="37"/>
        <v>-6.3372755770874978E-2</v>
      </c>
      <c r="H215" s="109"/>
      <c r="I215" s="106">
        <v>15175.3</v>
      </c>
      <c r="J215" s="109"/>
      <c r="K215" s="107">
        <f t="shared" si="38"/>
        <v>-1.6866798612303335E-2</v>
      </c>
      <c r="M215" s="105">
        <v>321.14999999999998</v>
      </c>
      <c r="N215" s="124"/>
      <c r="O215" s="107">
        <f t="shared" si="39"/>
        <v>1.7037717325901758E-2</v>
      </c>
      <c r="P215" s="107"/>
      <c r="Q215" s="105">
        <v>1304.2</v>
      </c>
      <c r="R215" s="124"/>
      <c r="S215" s="107">
        <f t="shared" si="40"/>
        <v>-4.0853097995955157E-2</v>
      </c>
      <c r="T215" s="107"/>
      <c r="U215" s="105">
        <v>602.07000000000005</v>
      </c>
      <c r="V215" s="124"/>
      <c r="W215" s="107">
        <f t="shared" si="41"/>
        <v>4.4190846181862309E-2</v>
      </c>
      <c r="X215" s="107"/>
      <c r="Y215" s="105">
        <v>362.71</v>
      </c>
      <c r="Z215" s="124"/>
      <c r="AA215" s="107">
        <f t="shared" si="42"/>
        <v>-3.9535006884863888E-2</v>
      </c>
      <c r="AB215" s="107"/>
      <c r="AC215" s="105">
        <v>265.13</v>
      </c>
      <c r="AD215" s="124"/>
      <c r="AE215" s="107">
        <f t="shared" si="43"/>
        <v>-1.6361207983972781E-2</v>
      </c>
      <c r="AF215" s="107"/>
      <c r="AG215" s="105">
        <v>265.94</v>
      </c>
      <c r="AH215" s="124"/>
      <c r="AI215" s="107">
        <f t="shared" si="44"/>
        <v>1.5076911332493559E-2</v>
      </c>
    </row>
    <row r="216" spans="3:35" s="97" customFormat="1" ht="21" customHeight="1">
      <c r="C216" s="104">
        <v>44326</v>
      </c>
      <c r="E216" s="106">
        <v>245.09</v>
      </c>
      <c r="F216" s="108"/>
      <c r="G216" s="107">
        <f t="shared" si="37"/>
        <v>-6.7850758757083685E-2</v>
      </c>
      <c r="H216" s="109"/>
      <c r="I216" s="106">
        <v>14677.8</v>
      </c>
      <c r="J216" s="109"/>
      <c r="K216" s="107">
        <f t="shared" si="38"/>
        <v>-3.2783536404552116E-2</v>
      </c>
      <c r="M216" s="105">
        <v>322.35000000000002</v>
      </c>
      <c r="N216" s="124"/>
      <c r="O216" s="107">
        <f t="shared" si="39"/>
        <v>3.7365716954695927E-3</v>
      </c>
      <c r="P216" s="107"/>
      <c r="Q216" s="105">
        <v>1221.25</v>
      </c>
      <c r="R216" s="124"/>
      <c r="S216" s="107">
        <f t="shared" si="40"/>
        <v>-6.3602208250268411E-2</v>
      </c>
      <c r="T216" s="107"/>
      <c r="U216" s="105">
        <v>524.6</v>
      </c>
      <c r="V216" s="124"/>
      <c r="W216" s="107">
        <f t="shared" si="41"/>
        <v>-0.12867274569402232</v>
      </c>
      <c r="X216" s="107"/>
      <c r="Y216" s="105">
        <v>359.65</v>
      </c>
      <c r="Z216" s="124"/>
      <c r="AA216" s="107">
        <f t="shared" si="42"/>
        <v>-8.436491963276449E-3</v>
      </c>
      <c r="AB216" s="107"/>
      <c r="AC216" s="105">
        <v>264.29000000000002</v>
      </c>
      <c r="AD216" s="124"/>
      <c r="AE216" s="107">
        <f t="shared" si="43"/>
        <v>-3.1682570814316469E-3</v>
      </c>
      <c r="AF216" s="107"/>
      <c r="AG216" s="105">
        <v>241.04</v>
      </c>
      <c r="AH216" s="124"/>
      <c r="AI216" s="107">
        <f t="shared" si="44"/>
        <v>-9.3630142137324235E-2</v>
      </c>
    </row>
    <row r="217" spans="3:35" s="97" customFormat="1" ht="21" customHeight="1">
      <c r="C217" s="104">
        <v>44319</v>
      </c>
      <c r="E217" s="106">
        <v>252.83</v>
      </c>
      <c r="F217" s="108"/>
      <c r="G217" s="107">
        <f t="shared" si="37"/>
        <v>3.1580235831735415E-2</v>
      </c>
      <c r="H217" s="109"/>
      <c r="I217" s="106">
        <v>14823.15</v>
      </c>
      <c r="J217" s="109"/>
      <c r="K217" s="107">
        <f t="shared" si="38"/>
        <v>9.9027102154274349E-3</v>
      </c>
      <c r="M217" s="105">
        <v>314.62</v>
      </c>
      <c r="N217" s="124"/>
      <c r="O217" s="107">
        <f t="shared" si="39"/>
        <v>-2.3980145804250119E-2</v>
      </c>
      <c r="P217" s="107"/>
      <c r="Q217" s="105">
        <v>1246</v>
      </c>
      <c r="R217" s="124"/>
      <c r="S217" s="107">
        <f t="shared" si="40"/>
        <v>2.0266120777891583E-2</v>
      </c>
      <c r="T217" s="107"/>
      <c r="U217" s="105">
        <v>536.36</v>
      </c>
      <c r="V217" s="124"/>
      <c r="W217" s="107">
        <f t="shared" si="41"/>
        <v>2.2417079679756036E-2</v>
      </c>
      <c r="X217" s="107"/>
      <c r="Y217" s="105">
        <v>376.48</v>
      </c>
      <c r="Z217" s="124"/>
      <c r="AA217" s="107">
        <f t="shared" si="42"/>
        <v>4.6795495620742589E-2</v>
      </c>
      <c r="AB217" s="107"/>
      <c r="AC217" s="105">
        <v>269.58999999999997</v>
      </c>
      <c r="AD217" s="124"/>
      <c r="AE217" s="107">
        <f t="shared" si="43"/>
        <v>2.0053728858450803E-2</v>
      </c>
      <c r="AF217" s="107"/>
      <c r="AG217" s="105">
        <v>253.09</v>
      </c>
      <c r="AH217" s="124"/>
      <c r="AI217" s="107">
        <f t="shared" si="44"/>
        <v>4.9991702621971612E-2</v>
      </c>
    </row>
    <row r="218" spans="3:35" s="97" customFormat="1" ht="21" customHeight="1">
      <c r="C218" s="104">
        <v>44312</v>
      </c>
      <c r="E218" s="106">
        <v>242.74</v>
      </c>
      <c r="F218" s="108"/>
      <c r="G218" s="107">
        <f t="shared" si="37"/>
        <v>-3.9908238737491608E-2</v>
      </c>
      <c r="H218" s="109"/>
      <c r="I218" s="106">
        <v>14631.1</v>
      </c>
      <c r="J218" s="109"/>
      <c r="K218" s="107">
        <f t="shared" si="38"/>
        <v>-1.2956085582349175E-2</v>
      </c>
      <c r="M218" s="105">
        <v>295.88</v>
      </c>
      <c r="N218" s="124"/>
      <c r="O218" s="107">
        <f t="shared" si="39"/>
        <v>-5.9563918377725567E-2</v>
      </c>
      <c r="P218" s="107"/>
      <c r="Q218" s="105">
        <v>1367.8</v>
      </c>
      <c r="R218" s="124"/>
      <c r="S218" s="107">
        <f t="shared" si="40"/>
        <v>9.7752808988764039E-2</v>
      </c>
      <c r="T218" s="107"/>
      <c r="U218" s="105">
        <v>538.37</v>
      </c>
      <c r="V218" s="124"/>
      <c r="W218" s="107">
        <f t="shared" si="41"/>
        <v>3.7474830337833609E-3</v>
      </c>
      <c r="X218" s="107"/>
      <c r="Y218" s="105">
        <v>354.42</v>
      </c>
      <c r="Z218" s="124"/>
      <c r="AA218" s="107">
        <f t="shared" si="42"/>
        <v>-5.8595410114747115E-2</v>
      </c>
      <c r="AB218" s="107"/>
      <c r="AC218" s="105">
        <v>269.08999999999997</v>
      </c>
      <c r="AD218" s="124"/>
      <c r="AE218" s="107">
        <f t="shared" si="43"/>
        <v>-1.854668199859022E-3</v>
      </c>
      <c r="AF218" s="107"/>
      <c r="AG218" s="105">
        <v>247.46</v>
      </c>
      <c r="AH218" s="124"/>
      <c r="AI218" s="107">
        <f t="shared" si="44"/>
        <v>-2.2245051167568808E-2</v>
      </c>
    </row>
    <row r="219" spans="3:35" s="97" customFormat="1" ht="21" customHeight="1">
      <c r="C219" s="104">
        <v>44305</v>
      </c>
      <c r="E219" s="106">
        <v>237.2</v>
      </c>
      <c r="F219" s="108"/>
      <c r="G219" s="107">
        <f t="shared" si="37"/>
        <v>-2.2822773337727642E-2</v>
      </c>
      <c r="H219" s="109"/>
      <c r="I219" s="106">
        <v>14341.35</v>
      </c>
      <c r="J219" s="109"/>
      <c r="K219" s="107">
        <f t="shared" si="38"/>
        <v>-1.980370580475832E-2</v>
      </c>
      <c r="M219" s="105">
        <v>264.45</v>
      </c>
      <c r="N219" s="124"/>
      <c r="O219" s="107">
        <f t="shared" si="39"/>
        <v>-0.10622549682303639</v>
      </c>
      <c r="P219" s="107"/>
      <c r="Q219" s="105">
        <v>1310.95</v>
      </c>
      <c r="R219" s="124"/>
      <c r="S219" s="107">
        <f t="shared" si="40"/>
        <v>-4.1563094019593461E-2</v>
      </c>
      <c r="T219" s="107"/>
      <c r="U219" s="105">
        <v>513.14</v>
      </c>
      <c r="V219" s="124"/>
      <c r="W219" s="107">
        <f t="shared" si="41"/>
        <v>-4.6863681111503297E-2</v>
      </c>
      <c r="X219" s="107"/>
      <c r="Y219" s="105">
        <v>335.17</v>
      </c>
      <c r="Z219" s="124"/>
      <c r="AA219" s="107">
        <f t="shared" si="42"/>
        <v>-5.4314090626939815E-2</v>
      </c>
      <c r="AB219" s="107"/>
      <c r="AC219" s="105">
        <v>272.95</v>
      </c>
      <c r="AD219" s="124"/>
      <c r="AE219" s="107">
        <f t="shared" si="43"/>
        <v>1.4344643056226625E-2</v>
      </c>
      <c r="AF219" s="107"/>
      <c r="AG219" s="105">
        <v>232.73</v>
      </c>
      <c r="AH219" s="124"/>
      <c r="AI219" s="107">
        <f t="shared" si="44"/>
        <v>-5.9524771680271593E-2</v>
      </c>
    </row>
    <row r="220" spans="3:35" ht="21" customHeight="1">
      <c r="C220" s="131"/>
      <c r="E220" s="108"/>
      <c r="F220" s="108"/>
      <c r="G220" s="75"/>
      <c r="H220" s="80"/>
      <c r="I220" s="108"/>
      <c r="J220" s="80"/>
      <c r="K220" s="75"/>
    </row>
    <row r="221" spans="3:35" ht="21" customHeight="1">
      <c r="C221" s="131"/>
      <c r="E221" s="108"/>
      <c r="F221" s="108"/>
      <c r="G221" s="75"/>
      <c r="H221" s="80"/>
      <c r="I221" s="108"/>
      <c r="J221" s="80"/>
      <c r="K221" s="75"/>
    </row>
    <row r="222" spans="3:35" ht="21" customHeight="1">
      <c r="C222" s="131"/>
      <c r="E222" s="108"/>
      <c r="F222" s="108"/>
      <c r="G222" s="75"/>
      <c r="H222" s="80"/>
      <c r="I222" s="108"/>
      <c r="J222" s="80"/>
      <c r="K222" s="75"/>
    </row>
    <row r="223" spans="3:35" ht="21" customHeight="1">
      <c r="C223" s="131"/>
      <c r="E223" s="108"/>
      <c r="F223" s="108"/>
      <c r="G223" s="75"/>
      <c r="H223" s="80"/>
      <c r="I223" s="108"/>
      <c r="J223" s="80"/>
      <c r="K223" s="75"/>
    </row>
    <row r="224" spans="3:35" ht="21" customHeight="1">
      <c r="C224" s="131"/>
      <c r="E224" s="108"/>
      <c r="F224" s="108"/>
      <c r="G224" s="75"/>
      <c r="H224" s="80"/>
      <c r="I224" s="108"/>
      <c r="J224" s="80"/>
      <c r="K224" s="75"/>
    </row>
    <row r="225" spans="3:11" ht="21" customHeight="1">
      <c r="C225" s="131"/>
      <c r="E225" s="108"/>
      <c r="F225" s="108"/>
      <c r="G225" s="75"/>
      <c r="H225" s="80"/>
      <c r="I225" s="108"/>
      <c r="J225" s="80"/>
      <c r="K225" s="75"/>
    </row>
    <row r="226" spans="3:11" ht="21" customHeight="1">
      <c r="C226" s="131"/>
      <c r="E226" s="108"/>
      <c r="F226" s="108"/>
      <c r="G226" s="75"/>
      <c r="H226" s="80"/>
      <c r="I226" s="108"/>
      <c r="J226" s="80"/>
      <c r="K226" s="75"/>
    </row>
    <row r="227" spans="3:11" ht="21" customHeight="1">
      <c r="C227" s="131"/>
      <c r="E227" s="108"/>
      <c r="F227" s="108"/>
      <c r="G227" s="75"/>
      <c r="H227" s="80"/>
      <c r="I227" s="108"/>
      <c r="J227" s="80"/>
      <c r="K227" s="75"/>
    </row>
    <row r="228" spans="3:11" ht="21" customHeight="1">
      <c r="C228" s="131"/>
      <c r="E228" s="108"/>
      <c r="F228" s="108"/>
      <c r="G228" s="75"/>
      <c r="H228" s="80"/>
      <c r="I228" s="108"/>
      <c r="J228" s="80"/>
      <c r="K228" s="75"/>
    </row>
    <row r="229" spans="3:11" ht="21" customHeight="1">
      <c r="C229" s="131"/>
      <c r="E229" s="108"/>
      <c r="F229" s="108"/>
      <c r="G229" s="75"/>
      <c r="H229" s="80"/>
      <c r="I229" s="108"/>
      <c r="J229" s="80"/>
      <c r="K229" s="75"/>
    </row>
    <row r="230" spans="3:11" ht="21" customHeight="1">
      <c r="C230" s="131"/>
      <c r="E230" s="108"/>
      <c r="F230" s="108"/>
      <c r="G230" s="75"/>
      <c r="H230" s="80"/>
      <c r="I230" s="108"/>
      <c r="J230" s="80"/>
      <c r="K230" s="75"/>
    </row>
    <row r="231" spans="3:11" ht="21" customHeight="1">
      <c r="C231" s="131"/>
      <c r="E231" s="108"/>
      <c r="F231" s="108"/>
      <c r="G231" s="75"/>
      <c r="H231" s="80"/>
      <c r="I231" s="108"/>
      <c r="J231" s="80"/>
      <c r="K231" s="75"/>
    </row>
    <row r="232" spans="3:11" ht="21" customHeight="1">
      <c r="C232" s="131"/>
      <c r="E232" s="108"/>
      <c r="F232" s="108"/>
      <c r="G232" s="75"/>
      <c r="H232" s="80"/>
      <c r="I232" s="108"/>
      <c r="J232" s="80"/>
      <c r="K232" s="75"/>
    </row>
    <row r="233" spans="3:11" ht="21" customHeight="1">
      <c r="C233" s="131"/>
      <c r="E233" s="108"/>
      <c r="F233" s="108"/>
      <c r="G233" s="75"/>
      <c r="H233" s="80"/>
      <c r="I233" s="108"/>
      <c r="J233" s="80"/>
      <c r="K233" s="75"/>
    </row>
    <row r="234" spans="3:11" ht="21" customHeight="1">
      <c r="C234" s="131"/>
      <c r="E234" s="108"/>
      <c r="F234" s="108"/>
      <c r="G234" s="75"/>
      <c r="H234" s="80"/>
      <c r="I234" s="108"/>
      <c r="J234" s="80"/>
      <c r="K234" s="75"/>
    </row>
    <row r="235" spans="3:11" ht="21" customHeight="1">
      <c r="C235" s="131"/>
      <c r="E235" s="108"/>
      <c r="F235" s="108"/>
      <c r="G235" s="75"/>
      <c r="H235" s="80"/>
      <c r="I235" s="108"/>
      <c r="J235" s="80"/>
      <c r="K235" s="75"/>
    </row>
    <row r="236" spans="3:11" ht="21" customHeight="1">
      <c r="C236" s="131"/>
      <c r="E236" s="108"/>
      <c r="F236" s="108"/>
      <c r="G236" s="75"/>
      <c r="H236" s="80"/>
      <c r="I236" s="108"/>
      <c r="J236" s="80"/>
      <c r="K236" s="75"/>
    </row>
    <row r="237" spans="3:11" ht="21" customHeight="1">
      <c r="C237" s="131"/>
      <c r="E237" s="108"/>
      <c r="F237" s="108"/>
      <c r="G237" s="75"/>
      <c r="H237" s="80"/>
      <c r="I237" s="108"/>
      <c r="J237" s="80"/>
      <c r="K237" s="75"/>
    </row>
    <row r="238" spans="3:11" ht="21" customHeight="1">
      <c r="C238" s="131"/>
      <c r="E238" s="108"/>
      <c r="F238" s="108"/>
      <c r="G238" s="75"/>
      <c r="H238" s="80"/>
      <c r="I238" s="108"/>
      <c r="J238" s="80"/>
      <c r="K238" s="75"/>
    </row>
    <row r="239" spans="3:11" ht="21" customHeight="1">
      <c r="C239" s="131"/>
      <c r="E239" s="108"/>
      <c r="F239" s="108"/>
      <c r="G239" s="75"/>
      <c r="H239" s="80"/>
      <c r="I239" s="108"/>
      <c r="J239" s="80"/>
      <c r="K239" s="75"/>
    </row>
    <row r="240" spans="3:11" ht="21" customHeight="1">
      <c r="C240" s="131"/>
      <c r="E240" s="108"/>
      <c r="F240" s="108"/>
      <c r="G240" s="75"/>
      <c r="H240" s="80"/>
      <c r="I240" s="108"/>
      <c r="J240" s="80"/>
      <c r="K240" s="75"/>
    </row>
    <row r="241" spans="3:11" ht="21" customHeight="1">
      <c r="C241" s="131"/>
      <c r="E241" s="108"/>
      <c r="F241" s="108"/>
      <c r="G241" s="75"/>
      <c r="H241" s="80"/>
      <c r="I241" s="108"/>
      <c r="J241" s="80"/>
      <c r="K241" s="75"/>
    </row>
    <row r="242" spans="3:11" ht="21" customHeight="1">
      <c r="C242" s="131"/>
      <c r="E242" s="108"/>
      <c r="F242" s="108"/>
      <c r="G242" s="75"/>
      <c r="H242" s="80"/>
      <c r="I242" s="108"/>
      <c r="J242" s="80"/>
      <c r="K242" s="75"/>
    </row>
    <row r="243" spans="3:11" ht="21" customHeight="1">
      <c r="C243" s="131"/>
      <c r="E243" s="108"/>
      <c r="F243" s="108"/>
      <c r="G243" s="75"/>
      <c r="H243" s="80"/>
      <c r="I243" s="108"/>
      <c r="J243" s="80"/>
      <c r="K243" s="75"/>
    </row>
    <row r="244" spans="3:11" ht="21" customHeight="1">
      <c r="C244" s="131"/>
      <c r="E244" s="108"/>
      <c r="F244" s="108"/>
      <c r="G244" s="75"/>
      <c r="H244" s="80"/>
      <c r="I244" s="108"/>
      <c r="J244" s="80"/>
      <c r="K244" s="75"/>
    </row>
    <row r="245" spans="3:11" ht="21" customHeight="1">
      <c r="C245" s="131"/>
      <c r="E245" s="108"/>
      <c r="F245" s="108"/>
      <c r="G245" s="75"/>
      <c r="H245" s="80"/>
      <c r="I245" s="108"/>
      <c r="J245" s="80"/>
      <c r="K245" s="75"/>
    </row>
    <row r="246" spans="3:11" ht="21" customHeight="1">
      <c r="C246" s="131"/>
      <c r="E246" s="108"/>
      <c r="F246" s="108"/>
      <c r="G246" s="75"/>
      <c r="H246" s="80"/>
      <c r="I246" s="108"/>
      <c r="J246" s="80"/>
      <c r="K246" s="75"/>
    </row>
    <row r="247" spans="3:11" ht="21" customHeight="1">
      <c r="C247" s="131"/>
      <c r="E247" s="108"/>
      <c r="F247" s="108"/>
      <c r="G247" s="75"/>
      <c r="H247" s="80"/>
      <c r="I247" s="108"/>
      <c r="J247" s="80"/>
      <c r="K247" s="75"/>
    </row>
    <row r="248" spans="3:11" ht="21" customHeight="1">
      <c r="C248" s="131"/>
      <c r="E248" s="108"/>
      <c r="F248" s="108"/>
      <c r="G248" s="75"/>
      <c r="H248" s="80"/>
      <c r="I248" s="108"/>
      <c r="J248" s="80"/>
      <c r="K248" s="75"/>
    </row>
    <row r="249" spans="3:11" ht="21" customHeight="1">
      <c r="C249" s="131"/>
      <c r="E249" s="108"/>
      <c r="F249" s="108"/>
      <c r="G249" s="75"/>
      <c r="H249" s="80"/>
      <c r="I249" s="108"/>
      <c r="J249" s="80"/>
      <c r="K249" s="75"/>
    </row>
    <row r="250" spans="3:11" ht="21" customHeight="1">
      <c r="C250" s="131"/>
      <c r="E250" s="108"/>
      <c r="F250" s="108"/>
      <c r="G250" s="75"/>
      <c r="H250" s="80"/>
      <c r="I250" s="108"/>
      <c r="J250" s="80"/>
      <c r="K250" s="75"/>
    </row>
    <row r="251" spans="3:11" ht="21" customHeight="1">
      <c r="C251" s="131"/>
      <c r="E251" s="108"/>
      <c r="F251" s="108"/>
      <c r="G251" s="75"/>
      <c r="H251" s="80"/>
      <c r="I251" s="108"/>
      <c r="J251" s="80"/>
      <c r="K251" s="75"/>
    </row>
    <row r="252" spans="3:11" ht="21" customHeight="1">
      <c r="C252" s="131"/>
      <c r="E252" s="108"/>
      <c r="F252" s="108"/>
      <c r="G252" s="75"/>
      <c r="H252" s="80"/>
      <c r="I252" s="108"/>
      <c r="J252" s="80"/>
      <c r="K252" s="75"/>
    </row>
    <row r="253" spans="3:11" ht="21" customHeight="1">
      <c r="C253" s="131"/>
      <c r="E253" s="108"/>
      <c r="F253" s="108"/>
      <c r="G253" s="75"/>
      <c r="H253" s="80"/>
      <c r="I253" s="108"/>
      <c r="J253" s="80"/>
      <c r="K253" s="75"/>
    </row>
    <row r="254" spans="3:11" ht="21" customHeight="1">
      <c r="C254" s="131"/>
      <c r="E254" s="108"/>
      <c r="F254" s="108"/>
      <c r="G254" s="75"/>
      <c r="H254" s="80"/>
      <c r="I254" s="108"/>
      <c r="J254" s="80"/>
      <c r="K254" s="75"/>
    </row>
    <row r="255" spans="3:11" ht="21" customHeight="1">
      <c r="C255" s="131"/>
      <c r="E255" s="108"/>
      <c r="F255" s="108"/>
      <c r="G255" s="75"/>
      <c r="H255" s="80"/>
      <c r="I255" s="108"/>
      <c r="J255" s="80"/>
      <c r="K255" s="75"/>
    </row>
    <row r="256" spans="3:11" ht="21" customHeight="1">
      <c r="C256" s="131"/>
      <c r="E256" s="108"/>
      <c r="F256" s="108"/>
      <c r="G256" s="75"/>
      <c r="H256" s="80"/>
      <c r="I256" s="108"/>
      <c r="J256" s="80"/>
      <c r="K256" s="75"/>
    </row>
    <row r="257" spans="3:11" ht="21" customHeight="1">
      <c r="C257" s="131"/>
      <c r="E257" s="108"/>
      <c r="F257" s="108"/>
      <c r="G257" s="75"/>
      <c r="H257" s="80"/>
      <c r="I257" s="108"/>
      <c r="J257" s="80"/>
      <c r="K257" s="75"/>
    </row>
    <row r="258" spans="3:11" ht="21" customHeight="1">
      <c r="C258" s="131"/>
      <c r="E258" s="108"/>
      <c r="F258" s="108"/>
      <c r="G258" s="75"/>
      <c r="H258" s="80"/>
      <c r="I258" s="108"/>
      <c r="J258" s="80"/>
      <c r="K258" s="75"/>
    </row>
    <row r="259" spans="3:11" ht="21" customHeight="1">
      <c r="C259" s="131"/>
      <c r="E259" s="108"/>
      <c r="F259" s="108"/>
      <c r="G259" s="75"/>
      <c r="H259" s="80"/>
      <c r="I259" s="108"/>
      <c r="J259" s="80"/>
      <c r="K259" s="75"/>
    </row>
    <row r="260" spans="3:11" ht="21" customHeight="1">
      <c r="C260" s="131"/>
      <c r="E260" s="108"/>
      <c r="F260" s="108"/>
      <c r="G260" s="75"/>
      <c r="H260" s="80"/>
      <c r="I260" s="108"/>
      <c r="J260" s="80"/>
      <c r="K260" s="75"/>
    </row>
    <row r="261" spans="3:11" ht="21" customHeight="1">
      <c r="C261" s="131"/>
      <c r="E261" s="108"/>
      <c r="F261" s="108"/>
      <c r="G261" s="75"/>
      <c r="H261" s="80"/>
      <c r="I261" s="108"/>
      <c r="J261" s="80"/>
      <c r="K261" s="75"/>
    </row>
    <row r="262" spans="3:11" ht="21" customHeight="1">
      <c r="C262" s="131"/>
      <c r="E262" s="108"/>
      <c r="F262" s="108"/>
      <c r="G262" s="75"/>
      <c r="H262" s="80"/>
      <c r="I262" s="108"/>
      <c r="J262" s="80"/>
      <c r="K262" s="75"/>
    </row>
    <row r="263" spans="3:11" ht="21" customHeight="1">
      <c r="C263" s="131"/>
      <c r="E263" s="108"/>
      <c r="F263" s="108"/>
      <c r="G263" s="75"/>
      <c r="H263" s="80"/>
      <c r="I263" s="108"/>
      <c r="J263" s="80"/>
      <c r="K263" s="75"/>
    </row>
    <row r="264" spans="3:11" ht="21" customHeight="1">
      <c r="C264" s="131"/>
      <c r="E264" s="108"/>
      <c r="F264" s="108"/>
      <c r="G264" s="75"/>
      <c r="H264" s="80"/>
      <c r="I264" s="108"/>
      <c r="J264" s="80"/>
      <c r="K264" s="75"/>
    </row>
    <row r="265" spans="3:11" ht="21" customHeight="1">
      <c r="C265" s="131"/>
      <c r="E265" s="108"/>
      <c r="F265" s="108"/>
      <c r="G265" s="75"/>
      <c r="H265" s="80"/>
      <c r="I265" s="108"/>
      <c r="J265" s="80"/>
      <c r="K265" s="75"/>
    </row>
    <row r="266" spans="3:11" ht="21" customHeight="1">
      <c r="C266" s="131"/>
      <c r="E266" s="108"/>
      <c r="F266" s="108"/>
      <c r="G266" s="75"/>
      <c r="H266" s="80"/>
      <c r="I266" s="108"/>
      <c r="J266" s="80"/>
      <c r="K266" s="75"/>
    </row>
    <row r="267" spans="3:11" ht="21" customHeight="1">
      <c r="C267" s="131"/>
      <c r="E267" s="108"/>
      <c r="F267" s="108"/>
      <c r="G267" s="75"/>
      <c r="H267" s="80"/>
      <c r="I267" s="108"/>
      <c r="J267" s="80"/>
      <c r="K267" s="75"/>
    </row>
    <row r="268" spans="3:11" ht="21" customHeight="1">
      <c r="C268" s="131"/>
      <c r="E268" s="108"/>
      <c r="F268" s="108"/>
      <c r="G268" s="75"/>
      <c r="H268" s="80"/>
      <c r="I268" s="108"/>
      <c r="J268" s="80"/>
      <c r="K268" s="75"/>
    </row>
    <row r="269" spans="3:11" ht="21" customHeight="1">
      <c r="C269" s="131"/>
      <c r="E269" s="108"/>
      <c r="F269" s="108"/>
      <c r="G269" s="75"/>
      <c r="H269" s="80"/>
      <c r="I269" s="108"/>
      <c r="J269" s="80"/>
      <c r="K269" s="75"/>
    </row>
    <row r="270" spans="3:11" ht="21" customHeight="1">
      <c r="C270" s="131"/>
      <c r="E270" s="108"/>
      <c r="F270" s="108"/>
      <c r="G270" s="75"/>
      <c r="H270" s="80"/>
      <c r="I270" s="108"/>
      <c r="J270" s="80"/>
      <c r="K270" s="75"/>
    </row>
    <row r="271" spans="3:11" ht="21" customHeight="1">
      <c r="C271" s="131"/>
      <c r="E271" s="108"/>
      <c r="F271" s="108"/>
      <c r="G271" s="75"/>
      <c r="H271" s="80"/>
      <c r="I271" s="108"/>
      <c r="J271" s="80"/>
      <c r="K271" s="75"/>
    </row>
    <row r="272" spans="3:11" ht="21" customHeight="1">
      <c r="C272" s="131"/>
      <c r="E272" s="108"/>
      <c r="F272" s="108"/>
      <c r="G272" s="75"/>
      <c r="H272" s="80"/>
      <c r="I272" s="108"/>
      <c r="J272" s="80"/>
      <c r="K272" s="75"/>
    </row>
    <row r="273" spans="3:11" ht="21" customHeight="1">
      <c r="C273" s="131"/>
      <c r="E273" s="108"/>
      <c r="F273" s="108"/>
      <c r="G273" s="75"/>
      <c r="H273" s="80"/>
      <c r="I273" s="108"/>
      <c r="J273" s="80"/>
      <c r="K273" s="75"/>
    </row>
    <row r="274" spans="3:11" ht="21" customHeight="1">
      <c r="C274" s="131"/>
      <c r="E274" s="108"/>
      <c r="F274" s="108"/>
      <c r="G274" s="75"/>
      <c r="H274" s="80"/>
      <c r="I274" s="108"/>
      <c r="J274" s="80"/>
      <c r="K274" s="75"/>
    </row>
    <row r="275" spans="3:11" ht="21" customHeight="1">
      <c r="C275" s="131"/>
      <c r="E275" s="108"/>
      <c r="F275" s="108"/>
      <c r="G275" s="75"/>
      <c r="H275" s="80"/>
      <c r="I275" s="108"/>
      <c r="J275" s="80"/>
      <c r="K275" s="75"/>
    </row>
    <row r="276" spans="3:11" ht="21" customHeight="1">
      <c r="C276" s="131"/>
      <c r="E276" s="108"/>
      <c r="F276" s="108"/>
      <c r="G276" s="75"/>
      <c r="H276" s="80"/>
      <c r="I276" s="108"/>
      <c r="J276" s="80"/>
      <c r="K276" s="75"/>
    </row>
    <row r="277" spans="3:11" ht="21" customHeight="1">
      <c r="C277" s="131"/>
      <c r="E277" s="108"/>
      <c r="F277" s="108"/>
      <c r="G277" s="75"/>
      <c r="H277" s="80"/>
      <c r="I277" s="108"/>
      <c r="J277" s="80"/>
      <c r="K277" s="75"/>
    </row>
    <row r="278" spans="3:11" ht="21" customHeight="1">
      <c r="C278" s="131"/>
      <c r="E278" s="108"/>
      <c r="F278" s="108"/>
      <c r="G278" s="75"/>
      <c r="H278" s="80"/>
      <c r="I278" s="108"/>
      <c r="J278" s="80"/>
      <c r="K278" s="75"/>
    </row>
    <row r="279" spans="3:11" ht="21" customHeight="1">
      <c r="C279" s="131"/>
      <c r="E279" s="108"/>
      <c r="F279" s="108"/>
      <c r="G279" s="75"/>
      <c r="H279" s="80"/>
      <c r="I279" s="108"/>
      <c r="J279" s="80"/>
      <c r="K279" s="75"/>
    </row>
    <row r="280" spans="3:11" ht="21" customHeight="1">
      <c r="C280" s="131"/>
      <c r="E280" s="108"/>
      <c r="F280" s="108"/>
      <c r="G280" s="75"/>
      <c r="H280" s="80"/>
      <c r="I280" s="108"/>
      <c r="J280" s="80"/>
      <c r="K280" s="75"/>
    </row>
    <row r="281" spans="3:11" ht="21" customHeight="1">
      <c r="C281" s="131"/>
      <c r="E281" s="108"/>
      <c r="F281" s="108"/>
      <c r="G281" s="75"/>
      <c r="H281" s="80"/>
      <c r="I281" s="108"/>
      <c r="J281" s="80"/>
      <c r="K281" s="75"/>
    </row>
    <row r="282" spans="3:11" ht="21" customHeight="1">
      <c r="C282" s="131"/>
      <c r="E282" s="108"/>
      <c r="F282" s="108"/>
      <c r="G282" s="75"/>
      <c r="H282" s="80"/>
      <c r="I282" s="108"/>
      <c r="J282" s="80"/>
      <c r="K282" s="75"/>
    </row>
    <row r="283" spans="3:11" ht="21" customHeight="1">
      <c r="C283" s="132"/>
    </row>
    <row r="284" spans="3:11" ht="21" customHeight="1">
      <c r="C284" s="132"/>
    </row>
    <row r="285" spans="3:11" ht="21" customHeight="1">
      <c r="C285" s="132"/>
    </row>
    <row r="286" spans="3:11" ht="21" customHeight="1">
      <c r="C286" s="132"/>
    </row>
    <row r="287" spans="3:11" ht="21" customHeight="1">
      <c r="C287" s="132"/>
    </row>
  </sheetData>
  <mergeCells count="2">
    <mergeCell ref="B5:I5"/>
    <mergeCell ref="B3:I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39997558519241921"/>
  </sheetPr>
  <dimension ref="C1:O49"/>
  <sheetViews>
    <sheetView showGridLines="0" topLeftCell="A26" workbookViewId="0">
      <selection activeCell="I45" sqref="I45"/>
    </sheetView>
  </sheetViews>
  <sheetFormatPr defaultColWidth="8.88671875" defaultRowHeight="16.05" customHeight="1"/>
  <cols>
    <col min="1" max="1" width="2.109375" style="10" customWidth="1"/>
    <col min="2" max="2" width="1.77734375" style="10" customWidth="1"/>
    <col min="3" max="3" width="31" style="10" customWidth="1"/>
    <col min="4" max="11" width="11.6640625" style="10" customWidth="1"/>
    <col min="12" max="12" width="2.21875" style="10" customWidth="1"/>
    <col min="13" max="14" width="8.88671875" style="10"/>
    <col min="15" max="15" width="10.44140625" style="10"/>
    <col min="16" max="16384" width="8.88671875" style="10"/>
  </cols>
  <sheetData>
    <row r="1" spans="3:15" ht="16.05" customHeight="1">
      <c r="J1" s="89" t="s">
        <v>351</v>
      </c>
    </row>
    <row r="2" spans="3:15" ht="16.05" customHeight="1">
      <c r="C2" s="558"/>
      <c r="D2" s="559"/>
      <c r="E2" s="559"/>
      <c r="F2" s="559"/>
      <c r="G2" s="559"/>
      <c r="H2" s="559"/>
      <c r="I2" s="559"/>
      <c r="J2" s="559"/>
      <c r="K2" s="559"/>
    </row>
    <row r="3" spans="3:15" ht="16.05" customHeight="1">
      <c r="C3" s="561"/>
      <c r="D3" s="561"/>
      <c r="E3" s="561"/>
      <c r="F3" s="561"/>
      <c r="G3" s="561"/>
      <c r="H3" s="561"/>
      <c r="I3" s="561"/>
      <c r="J3" s="561"/>
      <c r="K3" s="561"/>
    </row>
    <row r="4" spans="3:15" ht="19.2" customHeight="1">
      <c r="C4" s="608" t="str">
        <f>"Weighted Average Cost of Capital"&amp;" - "&amp;J1</f>
        <v>Weighted Average Cost of Capital - DLF Ltd..</v>
      </c>
      <c r="D4" s="608"/>
      <c r="E4" s="608"/>
      <c r="F4" s="608"/>
      <c r="G4" s="608"/>
      <c r="H4" s="608"/>
      <c r="I4" s="608"/>
      <c r="J4" s="608"/>
      <c r="K4" s="608"/>
    </row>
    <row r="5" spans="3:15" ht="16.05" customHeight="1">
      <c r="C5" s="560"/>
      <c r="D5" s="560"/>
      <c r="E5" s="560"/>
      <c r="F5" s="560"/>
      <c r="G5" s="560"/>
      <c r="H5" s="560"/>
      <c r="I5" s="560"/>
      <c r="J5" s="560"/>
      <c r="K5" s="560"/>
    </row>
    <row r="7" spans="3:15" ht="18" customHeight="1">
      <c r="C7" s="63" t="s">
        <v>352</v>
      </c>
      <c r="D7" s="64"/>
      <c r="E7" s="64"/>
      <c r="F7" s="64"/>
      <c r="G7" s="64"/>
      <c r="H7" s="64"/>
      <c r="I7" s="64"/>
      <c r="J7" s="64"/>
      <c r="K7" s="64"/>
      <c r="N7" s="90"/>
      <c r="O7" s="90"/>
    </row>
    <row r="8" spans="3:15" ht="15" customHeight="1">
      <c r="E8" s="65" t="s">
        <v>93</v>
      </c>
      <c r="F8" s="65" t="s">
        <v>178</v>
      </c>
      <c r="G8" s="65" t="s">
        <v>353</v>
      </c>
      <c r="H8" s="65" t="s">
        <v>353</v>
      </c>
      <c r="I8" s="65" t="s">
        <v>354</v>
      </c>
      <c r="J8" s="65" t="s">
        <v>355</v>
      </c>
      <c r="K8" s="65" t="s">
        <v>356</v>
      </c>
      <c r="N8" s="90"/>
    </row>
    <row r="9" spans="3:15" ht="16.05" customHeight="1">
      <c r="C9" s="66" t="s">
        <v>11</v>
      </c>
      <c r="D9" s="67"/>
      <c r="E9" s="68" t="s">
        <v>357</v>
      </c>
      <c r="F9" s="68" t="s">
        <v>223</v>
      </c>
      <c r="G9" s="68" t="s">
        <v>93</v>
      </c>
      <c r="H9" s="68" t="s">
        <v>358</v>
      </c>
      <c r="I9" s="68" t="s">
        <v>359</v>
      </c>
      <c r="J9" s="68" t="s">
        <v>5</v>
      </c>
      <c r="K9" s="68" t="s">
        <v>5</v>
      </c>
      <c r="N9" s="90"/>
    </row>
    <row r="10" spans="3:15" ht="6" customHeight="1">
      <c r="N10" s="90"/>
    </row>
    <row r="11" spans="3:15" ht="16.05" customHeight="1">
      <c r="C11" s="10" t="str">
        <f>Comps!C9</f>
        <v>Macrotech Devel.</v>
      </c>
      <c r="E11" s="69">
        <f>Comps!G9</f>
        <v>105250.63499999999</v>
      </c>
      <c r="F11" s="69">
        <f>Comps!H9</f>
        <v>7989.6</v>
      </c>
      <c r="G11" s="70">
        <f t="shared" ref="G11:G16" si="0">F11/E11</f>
        <v>7.5910230850388699E-2</v>
      </c>
      <c r="H11" s="71">
        <f t="shared" ref="H11:H16" si="1">F11/(E11+F11)</f>
        <v>7.0554427938091094E-2</v>
      </c>
      <c r="I11" s="91">
        <v>0.22</v>
      </c>
      <c r="J11" s="92">
        <f>'Equity Beta'!O3</f>
        <v>1.7771979882921101</v>
      </c>
      <c r="K11" s="93">
        <f t="shared" ref="K11:K16" si="2">J11/(1+H11*(1-I11))</f>
        <v>1.6844960379228031</v>
      </c>
      <c r="N11" s="90"/>
      <c r="O11" s="94"/>
    </row>
    <row r="12" spans="3:15" ht="16.05" customHeight="1">
      <c r="C12" s="10" t="str">
        <f>Comps!C10</f>
        <v>Godrej Propert.</v>
      </c>
      <c r="E12" s="69">
        <f>Comps!G10</f>
        <v>59309.292000000001</v>
      </c>
      <c r="F12" s="69">
        <f>Comps!H10</f>
        <v>13589.81</v>
      </c>
      <c r="G12" s="70">
        <f t="shared" si="0"/>
        <v>0.22913458484717705</v>
      </c>
      <c r="H12" s="71">
        <f t="shared" si="1"/>
        <v>0.18641944313662465</v>
      </c>
      <c r="I12" s="91">
        <v>0.251</v>
      </c>
      <c r="J12" s="92">
        <f>'Equity Beta'!O4</f>
        <v>1.629406407498075</v>
      </c>
      <c r="K12" s="93">
        <f t="shared" si="2"/>
        <v>1.4297702185056562</v>
      </c>
      <c r="N12" s="90"/>
      <c r="O12" s="94"/>
    </row>
    <row r="13" spans="3:15" ht="16.05" customHeight="1">
      <c r="C13" s="10" t="str">
        <f>Comps!C11</f>
        <v>Oberoi Realty</v>
      </c>
      <c r="E13" s="69">
        <f>Comps!G11</f>
        <v>56885.22</v>
      </c>
      <c r="F13" s="69">
        <f>Comps!H11</f>
        <v>4662.34</v>
      </c>
      <c r="G13" s="70">
        <f t="shared" si="0"/>
        <v>8.1960481123216189E-2</v>
      </c>
      <c r="H13" s="71">
        <f t="shared" si="1"/>
        <v>7.5751825092660055E-2</v>
      </c>
      <c r="I13" s="91">
        <v>0.251</v>
      </c>
      <c r="J13" s="92">
        <f>'Equity Beta'!O5</f>
        <v>1.3766515025382786</v>
      </c>
      <c r="K13" s="93">
        <f t="shared" si="2"/>
        <v>1.3027366765701429</v>
      </c>
      <c r="N13" s="90"/>
      <c r="O13" s="95"/>
    </row>
    <row r="14" spans="3:15" ht="16.05" customHeight="1">
      <c r="C14" s="10" t="str">
        <f>Comps!C12</f>
        <v>Phoenix Mills</v>
      </c>
      <c r="E14" s="69">
        <f>Comps!G12</f>
        <v>54822.625</v>
      </c>
      <c r="F14" s="69">
        <f>Comps!H12</f>
        <v>2080.27</v>
      </c>
      <c r="G14" s="70">
        <f t="shared" si="0"/>
        <v>3.7945465033824996E-2</v>
      </c>
      <c r="H14" s="71">
        <f t="shared" si="1"/>
        <v>3.6558245410888146E-2</v>
      </c>
      <c r="I14" s="91">
        <v>0.17100000000000001</v>
      </c>
      <c r="J14" s="92">
        <f>'Equity Beta'!S3</f>
        <v>1.2554915766104198</v>
      </c>
      <c r="K14" s="93">
        <f t="shared" si="2"/>
        <v>1.2185609124833601</v>
      </c>
      <c r="N14" s="90"/>
    </row>
    <row r="15" spans="3:15" ht="16.05" customHeight="1">
      <c r="C15" s="10" t="str">
        <f>Comps!C13</f>
        <v>Prestige Estates</v>
      </c>
      <c r="E15" s="69">
        <f>Comps!G13</f>
        <v>48651.871999999996</v>
      </c>
      <c r="F15" s="69">
        <f>Comps!H13</f>
        <v>12351.4</v>
      </c>
      <c r="G15" s="70">
        <f t="shared" si="0"/>
        <v>0.25387306782357727</v>
      </c>
      <c r="H15" s="71">
        <f t="shared" si="1"/>
        <v>0.20247110679571417</v>
      </c>
      <c r="I15" s="91">
        <v>0.25169999999999998</v>
      </c>
      <c r="J15" s="92">
        <f>'Equity Beta'!S4</f>
        <v>1.2389504003292249</v>
      </c>
      <c r="K15" s="93">
        <f t="shared" si="2"/>
        <v>1.0759362378425816</v>
      </c>
      <c r="N15" s="90"/>
    </row>
    <row r="16" spans="3:15" ht="16.05" customHeight="1">
      <c r="C16" s="10" t="str">
        <f>Comps!C14</f>
        <v>Brigade Enterpr.</v>
      </c>
      <c r="E16" s="69">
        <f>Comps!G14</f>
        <v>23228.998000000003</v>
      </c>
      <c r="F16" s="69">
        <f>Comps!H14</f>
        <v>5385.15</v>
      </c>
      <c r="G16" s="70">
        <f t="shared" si="0"/>
        <v>0.23182876850736303</v>
      </c>
      <c r="H16" s="71">
        <f t="shared" si="1"/>
        <v>0.18819885883025417</v>
      </c>
      <c r="I16" s="91">
        <v>0.25169999999999998</v>
      </c>
      <c r="J16" s="92">
        <f>'Equity Beta'!S5</f>
        <v>1.2948364371323913</v>
      </c>
      <c r="K16" s="93">
        <f t="shared" si="2"/>
        <v>1.1349958698911944</v>
      </c>
      <c r="N16" s="90"/>
    </row>
    <row r="17" spans="3:14" ht="6" customHeight="1">
      <c r="N17" s="90"/>
    </row>
    <row r="18" spans="3:14" ht="16.05" customHeight="1">
      <c r="C18" s="64" t="s">
        <v>286</v>
      </c>
      <c r="D18" s="64"/>
      <c r="E18" s="64"/>
      <c r="F18" s="64"/>
      <c r="G18" s="64"/>
      <c r="H18" s="72">
        <f>AVERAGE(H11:H16)</f>
        <v>0.1266589845340387</v>
      </c>
      <c r="I18" s="72">
        <f>AVERAGE(I11:I16)</f>
        <v>0.23273333333333335</v>
      </c>
      <c r="J18" s="96">
        <f>AVERAGE(J11:J16)</f>
        <v>1.4287557187334166</v>
      </c>
      <c r="K18" s="96">
        <f>AVERAGE(K11:K16)</f>
        <v>1.3077493255359565</v>
      </c>
      <c r="N18" s="90"/>
    </row>
    <row r="19" spans="3:14" ht="16.05" customHeight="1">
      <c r="C19" s="64" t="s">
        <v>360</v>
      </c>
      <c r="D19" s="64"/>
      <c r="E19" s="64"/>
      <c r="F19" s="64"/>
      <c r="G19" s="64"/>
      <c r="H19" s="72">
        <f>MEDIAN(H11:H16)</f>
        <v>0.13108563411464236</v>
      </c>
      <c r="I19" s="72">
        <f>MEDIAN(I11:I16)</f>
        <v>0.251</v>
      </c>
      <c r="J19" s="96">
        <f>MEDIAN(J11:J16)</f>
        <v>1.3357439698353351</v>
      </c>
      <c r="K19" s="96">
        <f>MEDIAN(K11:K16)</f>
        <v>1.2606487945267515</v>
      </c>
      <c r="N19" s="90"/>
    </row>
    <row r="20" spans="3:14" ht="16.05" customHeight="1">
      <c r="N20" s="90"/>
    </row>
    <row r="21" spans="3:14" ht="16.05" customHeight="1">
      <c r="C21" s="73" t="str">
        <f>Comps!C19</f>
        <v>DLF</v>
      </c>
      <c r="D21" s="73"/>
      <c r="E21" s="74">
        <f>Comps!G19</f>
        <v>162899.49300000002</v>
      </c>
      <c r="F21" s="74">
        <f>Comps!H19</f>
        <v>4289.76</v>
      </c>
      <c r="G21" s="73"/>
      <c r="H21" s="73"/>
      <c r="I21" s="73"/>
      <c r="J21" s="73"/>
      <c r="K21" s="73"/>
      <c r="N21" s="90"/>
    </row>
    <row r="22" spans="3:14" ht="16.05" customHeight="1">
      <c r="N22" s="90"/>
    </row>
    <row r="23" spans="3:14" ht="16.05" customHeight="1">
      <c r="C23" s="635" t="s">
        <v>361</v>
      </c>
      <c r="D23" s="64"/>
      <c r="E23" s="64"/>
      <c r="F23" s="64"/>
      <c r="G23" s="64"/>
      <c r="H23" s="64"/>
      <c r="I23" s="64"/>
      <c r="J23" s="64"/>
      <c r="K23" s="64"/>
      <c r="N23" s="90"/>
    </row>
    <row r="25" spans="3:14" ht="16.05" customHeight="1">
      <c r="C25" s="632" t="s">
        <v>362</v>
      </c>
      <c r="D25" s="632"/>
      <c r="E25" s="632"/>
    </row>
    <row r="26" spans="3:14" ht="6" customHeight="1"/>
    <row r="27" spans="3:14" ht="16.05" customHeight="1">
      <c r="C27" s="10" t="s">
        <v>363</v>
      </c>
      <c r="E27" s="75">
        <f>H18</f>
        <v>0.1266589845340387</v>
      </c>
    </row>
    <row r="28" spans="3:14" ht="16.05" customHeight="1">
      <c r="C28" s="10" t="s">
        <v>364</v>
      </c>
      <c r="E28" s="76">
        <f>(1-E27)</f>
        <v>0.87334101546596132</v>
      </c>
    </row>
    <row r="29" spans="3:14" ht="13.05" customHeight="1"/>
    <row r="30" spans="3:14" ht="16.05" customHeight="1">
      <c r="C30" s="632" t="s">
        <v>365</v>
      </c>
      <c r="D30" s="633"/>
      <c r="E30" s="633"/>
    </row>
    <row r="31" spans="3:14" ht="16.05" customHeight="1">
      <c r="C31" s="634" t="s">
        <v>298</v>
      </c>
      <c r="E31" s="77">
        <f>E21</f>
        <v>162899.49300000002</v>
      </c>
    </row>
    <row r="32" spans="3:14" ht="16.05" customHeight="1">
      <c r="C32" s="10" t="s">
        <v>366</v>
      </c>
      <c r="E32" s="77">
        <f>F21</f>
        <v>4289.76</v>
      </c>
    </row>
    <row r="33" spans="3:6" ht="16.05" customHeight="1">
      <c r="C33" s="78" t="s">
        <v>367</v>
      </c>
      <c r="D33" s="78"/>
      <c r="E33" s="79">
        <f>E32/E31</f>
        <v>2.6333783617116597E-2</v>
      </c>
    </row>
    <row r="34" spans="3:6" ht="16.05" customHeight="1">
      <c r="E34" s="80"/>
    </row>
    <row r="35" spans="3:6" ht="16.05" customHeight="1">
      <c r="C35" s="632" t="s">
        <v>368</v>
      </c>
      <c r="D35" s="632"/>
      <c r="E35" s="632"/>
    </row>
    <row r="36" spans="3:6" ht="4.95" customHeight="1"/>
    <row r="37" spans="3:6" ht="16.05" customHeight="1">
      <c r="C37" s="10" t="s">
        <v>369</v>
      </c>
      <c r="E37" s="81">
        <v>0.14299999999999999</v>
      </c>
    </row>
    <row r="38" spans="3:6" ht="16.05" customHeight="1">
      <c r="C38" s="10" t="s">
        <v>186</v>
      </c>
      <c r="E38" s="76">
        <f>' DCF Valuation'!D9</f>
        <v>0.25186165271124172</v>
      </c>
    </row>
    <row r="39" spans="3:6" ht="16.05" customHeight="1">
      <c r="C39" s="78" t="s">
        <v>370</v>
      </c>
      <c r="D39" s="78"/>
      <c r="E39" s="82">
        <f>E37*(1-E38)</f>
        <v>0.10698378366229243</v>
      </c>
    </row>
    <row r="41" spans="3:6" ht="16.05" customHeight="1">
      <c r="C41" s="632" t="s">
        <v>371</v>
      </c>
      <c r="D41" s="632"/>
      <c r="E41" s="632"/>
    </row>
    <row r="42" spans="3:6" ht="6" customHeight="1">
      <c r="C42" s="83"/>
      <c r="D42" s="83"/>
      <c r="E42" s="83"/>
    </row>
    <row r="43" spans="3:6" ht="16.05" customHeight="1">
      <c r="C43" s="10" t="s">
        <v>372</v>
      </c>
      <c r="E43" s="84">
        <v>6.6799999999999998E-2</v>
      </c>
      <c r="F43" s="85" t="s">
        <v>373</v>
      </c>
    </row>
    <row r="44" spans="3:6" ht="16.05" customHeight="1">
      <c r="C44" s="10" t="s">
        <v>374</v>
      </c>
      <c r="E44" s="75">
        <f>'Market Return'!J16</f>
        <v>0.10099664088683746</v>
      </c>
    </row>
    <row r="45" spans="3:6" ht="16.05" customHeight="1">
      <c r="C45" s="10" t="s">
        <v>375</v>
      </c>
      <c r="E45" s="75">
        <f>E44-E43</f>
        <v>3.4196640886837465E-2</v>
      </c>
    </row>
    <row r="46" spans="3:6" ht="16.05" customHeight="1">
      <c r="C46" s="10" t="s">
        <v>376</v>
      </c>
      <c r="E46" s="86">
        <f>K19*(1+E33*(1-E39))</f>
        <v>1.2902948366181126</v>
      </c>
    </row>
    <row r="47" spans="3:6" ht="16.05" customHeight="1">
      <c r="C47" s="78" t="s">
        <v>371</v>
      </c>
      <c r="D47" s="78"/>
      <c r="E47" s="79">
        <f>E43+(E45*E46)</f>
        <v>0.11092374916597021</v>
      </c>
    </row>
    <row r="49" spans="3:5" ht="16.05" customHeight="1">
      <c r="C49" s="87" t="s">
        <v>6</v>
      </c>
      <c r="D49" s="87"/>
      <c r="E49" s="88">
        <f>(E39*E27)+(E47*E28)</f>
        <v>0.11042471713617524</v>
      </c>
    </row>
  </sheetData>
  <mergeCells count="1">
    <mergeCell ref="C4:K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2:R28"/>
  <sheetViews>
    <sheetView showGridLines="0" zoomScale="85" zoomScaleNormal="85" workbookViewId="0">
      <selection activeCell="C4" sqref="C4"/>
    </sheetView>
  </sheetViews>
  <sheetFormatPr defaultColWidth="8.88671875" defaultRowHeight="18" customHeight="1"/>
  <cols>
    <col min="1" max="1" width="2" style="9" customWidth="1"/>
    <col min="2" max="2" width="1.88671875" style="9" customWidth="1"/>
    <col min="3" max="3" width="26.77734375" style="9" customWidth="1"/>
    <col min="4" max="5" width="11.33203125" style="9" customWidth="1"/>
    <col min="6" max="6" width="13.88671875" style="9" customWidth="1"/>
    <col min="7" max="7" width="13.109375" style="9" customWidth="1"/>
    <col min="8" max="8" width="15.33203125" style="9" customWidth="1"/>
    <col min="9" max="9" width="11.33203125" style="9" customWidth="1"/>
    <col min="10" max="10" width="15.5546875" style="9" customWidth="1"/>
    <col min="11" max="11" width="3.77734375" style="9" customWidth="1"/>
    <col min="12" max="14" width="14.109375" style="9" customWidth="1"/>
    <col min="15" max="15" width="3.77734375" style="9" customWidth="1"/>
    <col min="16" max="18" width="13.77734375" style="9" customWidth="1"/>
    <col min="19" max="16384" width="8.88671875" style="9"/>
  </cols>
  <sheetData>
    <row r="2" spans="1:18" ht="18" customHeight="1">
      <c r="A2" s="23"/>
      <c r="B2" s="23"/>
      <c r="C2" s="611" t="str">
        <f>"Comps Valuation"&amp;" - "&amp;Comps_Data!F1</f>
        <v>Comps Valuation - DLF</v>
      </c>
      <c r="D2" s="611"/>
      <c r="E2" s="611"/>
      <c r="F2" s="611"/>
      <c r="G2" s="611"/>
      <c r="H2" s="611"/>
      <c r="I2" s="611"/>
      <c r="J2" s="611"/>
      <c r="K2" s="611"/>
      <c r="L2" s="611"/>
      <c r="M2" s="611"/>
      <c r="N2" s="611"/>
      <c r="O2" s="611"/>
      <c r="P2" s="611"/>
      <c r="Q2" s="611"/>
      <c r="R2" s="611"/>
    </row>
    <row r="3" spans="1:18" ht="18" customHeight="1">
      <c r="A3" s="23"/>
      <c r="B3" s="23"/>
      <c r="C3" s="611"/>
      <c r="D3" s="611"/>
      <c r="E3" s="611"/>
      <c r="F3" s="611"/>
      <c r="G3" s="611"/>
      <c r="H3" s="611"/>
      <c r="I3" s="611"/>
      <c r="J3" s="611"/>
      <c r="K3" s="611"/>
      <c r="L3" s="611"/>
      <c r="M3" s="611"/>
      <c r="N3" s="611"/>
      <c r="O3" s="611"/>
      <c r="P3" s="611"/>
      <c r="Q3" s="611"/>
      <c r="R3" s="611"/>
    </row>
    <row r="4" spans="1:18" ht="18" customHeight="1">
      <c r="C4" s="654" t="s">
        <v>489</v>
      </c>
    </row>
    <row r="5" spans="1:18" ht="18" customHeight="1">
      <c r="C5" s="24"/>
      <c r="D5" s="24"/>
      <c r="E5" s="25"/>
      <c r="F5" s="609" t="s">
        <v>377</v>
      </c>
      <c r="G5" s="609"/>
      <c r="H5" s="609"/>
      <c r="I5" s="609"/>
      <c r="J5" s="25"/>
      <c r="L5" s="609" t="s">
        <v>378</v>
      </c>
      <c r="M5" s="609"/>
      <c r="N5" s="609"/>
      <c r="P5" s="610" t="s">
        <v>379</v>
      </c>
      <c r="Q5" s="610"/>
      <c r="R5" s="610"/>
    </row>
    <row r="6" spans="1:18" ht="15" customHeight="1">
      <c r="C6" s="26"/>
      <c r="D6" s="26"/>
      <c r="E6" s="26" t="s">
        <v>380</v>
      </c>
      <c r="F6" s="26" t="s">
        <v>381</v>
      </c>
      <c r="G6" s="26" t="s">
        <v>298</v>
      </c>
      <c r="H6" s="26" t="s">
        <v>223</v>
      </c>
      <c r="I6" s="26" t="s">
        <v>206</v>
      </c>
      <c r="J6" s="26" t="s">
        <v>382</v>
      </c>
      <c r="L6" s="26" t="s">
        <v>383</v>
      </c>
      <c r="M6" s="26" t="s">
        <v>195</v>
      </c>
      <c r="N6" s="26" t="s">
        <v>384</v>
      </c>
      <c r="P6" s="48" t="s">
        <v>385</v>
      </c>
      <c r="Q6" s="48" t="s">
        <v>282</v>
      </c>
      <c r="R6" s="48" t="s">
        <v>386</v>
      </c>
    </row>
    <row r="7" spans="1:18" ht="18" customHeight="1">
      <c r="C7" s="26" t="s">
        <v>11</v>
      </c>
      <c r="D7" s="26" t="s">
        <v>387</v>
      </c>
      <c r="E7" s="27" t="s">
        <v>388</v>
      </c>
      <c r="F7" s="27" t="s">
        <v>389</v>
      </c>
      <c r="G7" s="27" t="s">
        <v>30</v>
      </c>
      <c r="H7" s="26"/>
      <c r="I7" s="26" t="s">
        <v>390</v>
      </c>
      <c r="J7" s="26"/>
      <c r="L7" s="49" t="s">
        <v>391</v>
      </c>
      <c r="M7" s="50" t="s">
        <v>391</v>
      </c>
      <c r="N7" s="50" t="s">
        <v>391</v>
      </c>
      <c r="P7" s="51" t="s">
        <v>392</v>
      </c>
      <c r="Q7" s="51" t="s">
        <v>392</v>
      </c>
      <c r="R7" s="51" t="s">
        <v>392</v>
      </c>
    </row>
    <row r="8" spans="1:18" ht="6" customHeight="1">
      <c r="C8" s="28"/>
      <c r="D8" s="28"/>
      <c r="E8" s="28"/>
      <c r="F8" s="28"/>
      <c r="G8" s="29"/>
      <c r="H8" s="29"/>
      <c r="I8" s="29"/>
      <c r="J8" s="29"/>
      <c r="L8" s="52"/>
      <c r="M8" s="52"/>
      <c r="N8" s="52"/>
      <c r="P8" s="29"/>
      <c r="Q8" s="29"/>
      <c r="R8" s="29"/>
    </row>
    <row r="9" spans="1:18" ht="18" customHeight="1">
      <c r="C9" s="30" t="str">
        <f>Comps_Data!C8</f>
        <v>Macrotech Devel.</v>
      </c>
      <c r="D9" s="31">
        <v>543287</v>
      </c>
      <c r="E9" s="32">
        <f>Comps_Data!D8</f>
        <v>1055.25</v>
      </c>
      <c r="F9" s="32">
        <f>Comps_Data!F8</f>
        <v>99.74</v>
      </c>
      <c r="G9" s="33">
        <f t="shared" ref="G9:G14" si="0">E9*F9</f>
        <v>105250.63499999999</v>
      </c>
      <c r="H9" s="34">
        <f>(Comps_Data!E8)/100</f>
        <v>7989.6</v>
      </c>
      <c r="I9" s="53">
        <f>(Comps_Data!L8)/100</f>
        <v>1421.7</v>
      </c>
      <c r="J9" s="33">
        <f t="shared" ref="J9:J14" si="1">G9+H9-I9</f>
        <v>111818.535</v>
      </c>
      <c r="K9" s="30"/>
      <c r="L9" s="32">
        <f>(Comps_Data!M8)/100</f>
        <v>13573.7</v>
      </c>
      <c r="M9" s="54">
        <f>J9/Q9</f>
        <v>4072.0515294974507</v>
      </c>
      <c r="N9" s="32">
        <f>Comps_Data!N8</f>
        <v>2510.8000000000002</v>
      </c>
      <c r="O9" s="30"/>
      <c r="P9" s="55">
        <f t="shared" ref="P9:P14" si="2">J9/L9</f>
        <v>8.2378817124291821</v>
      </c>
      <c r="Q9" s="55">
        <f>Comps_Data!K8</f>
        <v>27.46</v>
      </c>
      <c r="R9" s="55">
        <f>Comps_Data!J8</f>
        <v>41.97</v>
      </c>
    </row>
    <row r="10" spans="1:18" ht="18" customHeight="1">
      <c r="C10" s="30" t="str">
        <f>Comps_Data!C9</f>
        <v>Godrej Propert.</v>
      </c>
      <c r="D10" s="31">
        <v>533150</v>
      </c>
      <c r="E10" s="32">
        <f>Comps_Data!D9</f>
        <v>1969.1</v>
      </c>
      <c r="F10" s="32">
        <f>Comps_Data!F9</f>
        <v>30.12</v>
      </c>
      <c r="G10" s="33">
        <f t="shared" si="0"/>
        <v>59309.292000000001</v>
      </c>
      <c r="H10" s="34">
        <f>(Comps_Data!E9)/100</f>
        <v>13589.81</v>
      </c>
      <c r="I10" s="53">
        <f>(Comps_Data!L9)/100</f>
        <v>3567.84</v>
      </c>
      <c r="J10" s="33">
        <f t="shared" si="1"/>
        <v>69331.262000000002</v>
      </c>
      <c r="K10" s="30"/>
      <c r="L10" s="32">
        <f>(Comps_Data!M9)/100</f>
        <v>4227.2</v>
      </c>
      <c r="M10" s="54">
        <f t="shared" ref="M10:M14" si="3">J10/Q10</f>
        <v>1984.8629258517035</v>
      </c>
      <c r="N10" s="32">
        <f>Comps_Data!N9</f>
        <v>1488.8</v>
      </c>
      <c r="O10" s="30"/>
      <c r="P10" s="55">
        <f t="shared" si="2"/>
        <v>16.401225870552611</v>
      </c>
      <c r="Q10" s="55">
        <f>Comps_Data!K9</f>
        <v>34.93</v>
      </c>
      <c r="R10" s="55">
        <f>Comps_Data!J9</f>
        <v>40.020000000000003</v>
      </c>
    </row>
    <row r="11" spans="1:18" ht="18" customHeight="1">
      <c r="C11" s="30" t="str">
        <f>Comps_Data!C10</f>
        <v>Oberoi Realty</v>
      </c>
      <c r="D11" s="31">
        <v>533273</v>
      </c>
      <c r="E11" s="32">
        <f>Comps_Data!D10</f>
        <v>1564.5</v>
      </c>
      <c r="F11" s="32">
        <f>Comps_Data!F10</f>
        <v>36.36</v>
      </c>
      <c r="G11" s="33">
        <f t="shared" si="0"/>
        <v>56885.22</v>
      </c>
      <c r="H11" s="34">
        <f>(Comps_Data!E10)/100</f>
        <v>4662.34</v>
      </c>
      <c r="I11" s="53">
        <f>(Comps_Data!L10)/100</f>
        <v>445.69</v>
      </c>
      <c r="J11" s="33">
        <f t="shared" si="1"/>
        <v>61101.869999999995</v>
      </c>
      <c r="K11" s="30"/>
      <c r="L11" s="32">
        <f>(Comps_Data!M10)/100</f>
        <v>4103.1899999999996</v>
      </c>
      <c r="M11" s="54">
        <f t="shared" si="3"/>
        <v>2408.4300354749703</v>
      </c>
      <c r="N11" s="32">
        <f>Comps_Data!N10</f>
        <v>2580.36</v>
      </c>
      <c r="O11" s="30"/>
      <c r="P11" s="55">
        <f t="shared" si="2"/>
        <v>14.891308957177221</v>
      </c>
      <c r="Q11" s="55">
        <f>Comps_Data!K10</f>
        <v>25.37</v>
      </c>
      <c r="R11" s="55">
        <f>Comps_Data!J10</f>
        <v>54.18</v>
      </c>
    </row>
    <row r="12" spans="1:18" ht="18" customHeight="1">
      <c r="C12" s="30" t="str">
        <f>Comps_Data!C11</f>
        <v>Phoenix Mills</v>
      </c>
      <c r="D12" s="31">
        <v>503100</v>
      </c>
      <c r="E12" s="32">
        <f>Comps_Data!D11</f>
        <v>1533.5</v>
      </c>
      <c r="F12" s="32">
        <f>Comps_Data!F11</f>
        <v>35.75</v>
      </c>
      <c r="G12" s="33">
        <f t="shared" si="0"/>
        <v>54822.625</v>
      </c>
      <c r="H12" s="34">
        <f>(Comps_Data!E11)/100</f>
        <v>2080.27</v>
      </c>
      <c r="I12" s="53">
        <f>(Comps_Data!L11)/100</f>
        <v>1668.23</v>
      </c>
      <c r="J12" s="33">
        <f t="shared" si="1"/>
        <v>55234.664999999994</v>
      </c>
      <c r="K12" s="30"/>
      <c r="L12" s="32">
        <f>(Comps_Data!M11)/100</f>
        <v>5450.9</v>
      </c>
      <c r="M12" s="54">
        <f t="shared" si="3"/>
        <v>3591.3306241872556</v>
      </c>
      <c r="N12" s="32">
        <f>Comps_Data!N11</f>
        <v>1351.21</v>
      </c>
      <c r="O12" s="30"/>
      <c r="P12" s="55">
        <f t="shared" si="2"/>
        <v>10.133127556917206</v>
      </c>
      <c r="Q12" s="55">
        <f>Comps_Data!K11</f>
        <v>15.38</v>
      </c>
      <c r="R12" s="55">
        <f>Comps_Data!J11</f>
        <v>21.61</v>
      </c>
    </row>
    <row r="13" spans="1:18" ht="18" customHeight="1">
      <c r="C13" s="30" t="str">
        <f>Comps_Data!C12</f>
        <v>Prestige Estates</v>
      </c>
      <c r="D13" s="31">
        <v>533274</v>
      </c>
      <c r="E13" s="32">
        <f>Comps_Data!D12</f>
        <v>1129.5999999999999</v>
      </c>
      <c r="F13" s="32">
        <f>Comps_Data!F12</f>
        <v>43.07</v>
      </c>
      <c r="G13" s="33">
        <f t="shared" si="0"/>
        <v>48651.871999999996</v>
      </c>
      <c r="H13" s="34">
        <f>(Comps_Data!E12)/100</f>
        <v>12351.4</v>
      </c>
      <c r="I13" s="53">
        <f>(Comps_Data!L12)/100</f>
        <v>4880.1000000000004</v>
      </c>
      <c r="J13" s="33">
        <f t="shared" si="1"/>
        <v>56123.171999999999</v>
      </c>
      <c r="K13" s="30"/>
      <c r="L13" s="32">
        <f>(Comps_Data!M12)/100</f>
        <v>7985</v>
      </c>
      <c r="M13" s="54">
        <f t="shared" si="3"/>
        <v>3247.8687499999996</v>
      </c>
      <c r="N13" s="32">
        <f>Comps_Data!N12</f>
        <v>809.7</v>
      </c>
      <c r="O13" s="30"/>
      <c r="P13" s="55">
        <f t="shared" si="2"/>
        <v>7.0285750782717598</v>
      </c>
      <c r="Q13" s="55">
        <f>Comps_Data!K12</f>
        <v>17.28</v>
      </c>
      <c r="R13" s="55">
        <f>Comps_Data!J12</f>
        <v>83.53</v>
      </c>
    </row>
    <row r="14" spans="1:18" ht="18" customHeight="1">
      <c r="C14" s="30" t="str">
        <f>Comps_Data!C13</f>
        <v>Brigade Enterpr.</v>
      </c>
      <c r="D14" s="31">
        <v>532929</v>
      </c>
      <c r="E14" s="32">
        <f>Comps_Data!D13</f>
        <v>950.45</v>
      </c>
      <c r="F14" s="32">
        <f>Comps_Data!F13</f>
        <v>24.44</v>
      </c>
      <c r="G14" s="33">
        <f t="shared" si="0"/>
        <v>23228.998000000003</v>
      </c>
      <c r="H14" s="34">
        <f>(Comps_Data!E13)/100</f>
        <v>5385.15</v>
      </c>
      <c r="I14" s="53">
        <f>(Comps_Data!L13)/100</f>
        <v>3612.43</v>
      </c>
      <c r="J14" s="33">
        <f t="shared" si="1"/>
        <v>25001.718000000001</v>
      </c>
      <c r="K14" s="30"/>
      <c r="L14" s="32">
        <f>(Comps_Data!M13)/100</f>
        <v>5316.19</v>
      </c>
      <c r="M14" s="54">
        <f t="shared" si="3"/>
        <v>1659.0390179163901</v>
      </c>
      <c r="N14" s="32">
        <f>Comps_Data!N13</f>
        <v>641.99</v>
      </c>
      <c r="O14" s="30"/>
      <c r="P14" s="55">
        <f t="shared" si="2"/>
        <v>4.7029391349820084</v>
      </c>
      <c r="Q14" s="55">
        <f>Comps_Data!K13</f>
        <v>15.07</v>
      </c>
      <c r="R14" s="55">
        <f>Comps_Data!J13</f>
        <v>36.450000000000003</v>
      </c>
    </row>
    <row r="15" spans="1:18" ht="6" customHeight="1">
      <c r="Q15" s="62"/>
    </row>
    <row r="16" spans="1:18" ht="18" customHeight="1">
      <c r="C16" s="35" t="s">
        <v>286</v>
      </c>
      <c r="D16" s="36"/>
      <c r="E16" s="36"/>
      <c r="F16" s="36"/>
      <c r="G16" s="36"/>
      <c r="H16" s="36"/>
      <c r="I16" s="36"/>
      <c r="J16" s="36"/>
      <c r="K16" s="36"/>
      <c r="L16" s="36"/>
      <c r="M16" s="36"/>
      <c r="N16" s="36"/>
      <c r="O16" s="36"/>
      <c r="P16" s="56">
        <f>AVERAGE(P9:P14)</f>
        <v>10.232509718388332</v>
      </c>
      <c r="Q16" s="56">
        <f>AVERAGE(Q9:Q14)</f>
        <v>22.581666666666667</v>
      </c>
      <c r="R16" s="56">
        <f>AVERAGE(R9:R14)</f>
        <v>46.293333333333344</v>
      </c>
    </row>
    <row r="17" spans="3:18" ht="18" customHeight="1">
      <c r="C17" s="35" t="s">
        <v>360</v>
      </c>
      <c r="D17" s="36"/>
      <c r="E17" s="36"/>
      <c r="F17" s="36"/>
      <c r="G17" s="36"/>
      <c r="H17" s="36"/>
      <c r="I17" s="36"/>
      <c r="J17" s="36"/>
      <c r="K17" s="36"/>
      <c r="L17" s="36"/>
      <c r="M17" s="36"/>
      <c r="N17" s="36"/>
      <c r="O17" s="36"/>
      <c r="P17" s="56">
        <f>MEDIAN(P9:P14)</f>
        <v>9.1855046346731939</v>
      </c>
      <c r="Q17" s="56">
        <f>MEDIAN(Q9:Q14)</f>
        <v>21.325000000000003</v>
      </c>
      <c r="R17" s="56">
        <f>MEDIAN(R9:R14)</f>
        <v>40.995000000000005</v>
      </c>
    </row>
    <row r="18" spans="3:18" ht="16.05" customHeight="1">
      <c r="Q18" s="62"/>
    </row>
    <row r="19" spans="3:18" ht="18" customHeight="1">
      <c r="C19" s="37" t="str">
        <f>Comps_Data!C7</f>
        <v>DLF</v>
      </c>
      <c r="D19" s="38">
        <v>532868</v>
      </c>
      <c r="E19" s="39">
        <f>Comps_Data!D7</f>
        <v>658.1</v>
      </c>
      <c r="F19" s="39">
        <f>Comps_Data!F7</f>
        <v>247.53</v>
      </c>
      <c r="G19" s="40">
        <f>E19*F19</f>
        <v>162899.49300000002</v>
      </c>
      <c r="H19" s="39">
        <f>(Comps_Data!E7)/100</f>
        <v>4289.76</v>
      </c>
      <c r="I19" s="39">
        <f>Comps_Data!L7</f>
        <v>179131</v>
      </c>
      <c r="J19" s="40">
        <f>G19+H19-I19</f>
        <v>-11941.746999999974</v>
      </c>
      <c r="K19" s="40"/>
      <c r="L19" s="39">
        <f>(Comps_Data!M7)/100</f>
        <v>7000.92</v>
      </c>
      <c r="M19" s="39">
        <f>J19/Q19</f>
        <v>-205.6794178436096</v>
      </c>
      <c r="N19" s="39">
        <f>Comps_Data!N7</f>
        <v>4004.44</v>
      </c>
      <c r="O19" s="37"/>
      <c r="P19" s="57">
        <f>J19/L19</f>
        <v>-1.7057396742142423</v>
      </c>
      <c r="Q19" s="57">
        <f>Comps_Data!K7</f>
        <v>58.06</v>
      </c>
      <c r="R19" s="57">
        <f>Comps_Data!J7</f>
        <v>43.4</v>
      </c>
    </row>
    <row r="20" spans="3:18" ht="19.05" customHeight="1"/>
    <row r="21" spans="3:18" ht="18" customHeight="1">
      <c r="C21" s="35" t="s">
        <v>393</v>
      </c>
      <c r="D21" s="35"/>
      <c r="E21" s="41" t="s">
        <v>7</v>
      </c>
      <c r="F21" s="41" t="s">
        <v>382</v>
      </c>
      <c r="G21" s="41" t="s">
        <v>394</v>
      </c>
      <c r="H21" s="41" t="s">
        <v>307</v>
      </c>
      <c r="I21" s="41" t="s">
        <v>381</v>
      </c>
      <c r="J21" s="41" t="s">
        <v>395</v>
      </c>
      <c r="K21" s="41"/>
    </row>
    <row r="22" spans="3:18" ht="6" customHeight="1">
      <c r="C22" s="42"/>
      <c r="D22" s="42"/>
      <c r="E22" s="42"/>
      <c r="F22" s="42"/>
      <c r="G22" s="42"/>
      <c r="H22" s="42"/>
      <c r="I22" s="42"/>
      <c r="J22" s="42"/>
      <c r="K22" s="42"/>
    </row>
    <row r="23" spans="3:18" ht="18" customHeight="1">
      <c r="C23" s="9" t="s">
        <v>396</v>
      </c>
      <c r="E23" s="43">
        <f>P17</f>
        <v>9.1855046346731939</v>
      </c>
      <c r="F23" s="44">
        <f>L19*E23</f>
        <v>64306.983106976259</v>
      </c>
      <c r="G23" s="45">
        <f>H19-I19</f>
        <v>-174841.24</v>
      </c>
      <c r="H23" s="44">
        <f>F23-G23</f>
        <v>239148.22310697625</v>
      </c>
      <c r="I23" s="58">
        <f t="array" ref="I23:I25">F19</f>
        <v>247.53</v>
      </c>
      <c r="J23" s="59">
        <f>H23/I23</f>
        <v>966.13833921939261</v>
      </c>
    </row>
    <row r="24" spans="3:18" ht="18" customHeight="1">
      <c r="C24" s="9" t="s">
        <v>282</v>
      </c>
      <c r="E24" s="43">
        <f>Q17</f>
        <v>21.325000000000003</v>
      </c>
      <c r="F24" s="44">
        <f>M19*E24</f>
        <v>-4386.1135855149751</v>
      </c>
      <c r="G24" s="45">
        <f>G23</f>
        <v>-174841.24</v>
      </c>
      <c r="H24" s="44">
        <f>F24-G24</f>
        <v>170455.12641448501</v>
      </c>
      <c r="I24" s="58">
        <v>247.53</v>
      </c>
      <c r="J24" s="59">
        <f>H24/I24</f>
        <v>688.6241118833475</v>
      </c>
      <c r="P24" s="60"/>
    </row>
    <row r="25" spans="3:18" ht="18" customHeight="1">
      <c r="C25" s="9" t="s">
        <v>386</v>
      </c>
      <c r="E25" s="43">
        <f>R17</f>
        <v>40.995000000000005</v>
      </c>
      <c r="F25" s="44">
        <f>+H25+G25</f>
        <v>-10679.22219999996</v>
      </c>
      <c r="G25" s="45">
        <f>G24</f>
        <v>-174841.24</v>
      </c>
      <c r="H25" s="44">
        <f>N19*E25</f>
        <v>164162.01780000003</v>
      </c>
      <c r="I25" s="58">
        <v>247.53</v>
      </c>
      <c r="J25" s="59">
        <f>H25/I25</f>
        <v>663.20049206156841</v>
      </c>
      <c r="P25" s="61"/>
    </row>
    <row r="26" spans="3:18" ht="18" customHeight="1">
      <c r="C26" s="46"/>
      <c r="D26" s="46"/>
      <c r="E26" s="46"/>
      <c r="F26" s="46"/>
      <c r="G26" s="46"/>
      <c r="H26" s="46"/>
      <c r="I26" s="46"/>
      <c r="J26" s="46"/>
      <c r="K26" s="46"/>
      <c r="P26" s="47"/>
    </row>
    <row r="28" spans="3:18" ht="18" customHeight="1">
      <c r="G28" s="47"/>
    </row>
  </sheetData>
  <mergeCells count="4">
    <mergeCell ref="F5:I5"/>
    <mergeCell ref="L5:N5"/>
    <mergeCell ref="P5:R5"/>
    <mergeCell ref="C2:R3"/>
  </mergeCells>
  <pageMargins left="0.75138888888888899" right="0.75138888888888899" top="1" bottom="1" header="0.5" footer="0.5"/>
  <pageSetup scale="55"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B1:O13"/>
  <sheetViews>
    <sheetView showGridLines="0" workbookViewId="0">
      <selection activeCell="F7" sqref="F7"/>
    </sheetView>
  </sheetViews>
  <sheetFormatPr defaultColWidth="8.88671875" defaultRowHeight="14.4"/>
  <cols>
    <col min="1" max="1" width="2.109375" style="563" customWidth="1"/>
    <col min="2" max="2" width="8.88671875" style="563"/>
    <col min="3" max="3" width="18.21875" style="563" customWidth="1"/>
    <col min="4" max="4" width="8.6640625" style="563" customWidth="1"/>
    <col min="5" max="5" width="10.44140625" style="563" customWidth="1"/>
    <col min="6" max="6" width="17.44140625" style="563" customWidth="1"/>
    <col min="7" max="7" width="11.88671875" style="563" customWidth="1"/>
    <col min="8" max="8" width="11.6640625" style="563" customWidth="1"/>
    <col min="9" max="9" width="10.88671875" style="563" customWidth="1"/>
    <col min="10" max="10" width="6.6640625" style="563" customWidth="1"/>
    <col min="11" max="11" width="7.77734375" style="563" customWidth="1"/>
    <col min="12" max="12" width="15.109375" style="563" customWidth="1"/>
    <col min="13" max="13" width="11.21875" style="563" customWidth="1"/>
    <col min="14" max="14" width="9.77734375" style="563" customWidth="1"/>
    <col min="15" max="15" width="8.77734375" style="563" customWidth="1"/>
    <col min="16" max="16384" width="8.88671875" style="563"/>
  </cols>
  <sheetData>
    <row r="1" spans="2:15">
      <c r="F1" s="564" t="str">
        <f>C7</f>
        <v>DLF</v>
      </c>
    </row>
    <row r="2" spans="2:15" s="566" customFormat="1" ht="14.4" customHeight="1">
      <c r="B2" s="563"/>
      <c r="C2" s="565"/>
      <c r="D2" s="565"/>
      <c r="E2" s="565"/>
      <c r="F2" s="563"/>
      <c r="G2" s="563"/>
      <c r="H2" s="563"/>
      <c r="I2" s="563"/>
      <c r="J2" s="563"/>
      <c r="K2" s="563"/>
      <c r="L2" s="563"/>
      <c r="M2" s="563"/>
      <c r="N2" s="563"/>
    </row>
    <row r="3" spans="2:15" s="566" customFormat="1" ht="14.4" customHeight="1">
      <c r="B3" s="563"/>
      <c r="C3" s="565"/>
      <c r="D3" s="565"/>
      <c r="E3" s="565"/>
      <c r="F3" s="563"/>
      <c r="G3" s="563"/>
      <c r="H3" s="563"/>
      <c r="I3" s="563"/>
      <c r="J3" s="563"/>
      <c r="K3" s="563"/>
      <c r="L3" s="563"/>
      <c r="M3" s="563"/>
      <c r="N3" s="563"/>
    </row>
    <row r="4" spans="2:15" s="566" customFormat="1" ht="21" customHeight="1">
      <c r="B4" s="612" t="s">
        <v>397</v>
      </c>
      <c r="C4" s="612"/>
      <c r="D4" s="612"/>
      <c r="E4" s="612"/>
      <c r="F4" s="612"/>
      <c r="G4" s="612"/>
      <c r="H4" s="612"/>
      <c r="I4" s="612"/>
      <c r="J4" s="612"/>
      <c r="K4" s="612"/>
      <c r="L4" s="612"/>
      <c r="M4" s="612"/>
      <c r="N4" s="612"/>
    </row>
    <row r="5" spans="2:15" s="566" customFormat="1">
      <c r="B5" s="563"/>
      <c r="C5" s="563"/>
      <c r="D5" s="563"/>
      <c r="E5" s="563"/>
      <c r="F5" s="563"/>
      <c r="G5" s="563"/>
      <c r="H5" s="563"/>
      <c r="I5" s="563"/>
      <c r="J5" s="563"/>
      <c r="K5" s="563"/>
      <c r="L5" s="563"/>
      <c r="M5" s="563"/>
      <c r="N5" s="563"/>
    </row>
    <row r="6" spans="2:15" s="568" customFormat="1">
      <c r="B6" s="567" t="s">
        <v>398</v>
      </c>
      <c r="C6" s="567" t="s">
        <v>399</v>
      </c>
      <c r="D6" s="567" t="s">
        <v>400</v>
      </c>
      <c r="E6" s="567" t="s">
        <v>401</v>
      </c>
      <c r="F6" s="567" t="s">
        <v>402</v>
      </c>
      <c r="G6" s="567" t="s">
        <v>403</v>
      </c>
      <c r="H6" s="567" t="s">
        <v>394</v>
      </c>
      <c r="I6" s="567" t="s">
        <v>382</v>
      </c>
      <c r="J6" s="567" t="s">
        <v>386</v>
      </c>
      <c r="K6" s="567" t="s">
        <v>195</v>
      </c>
      <c r="L6" s="567" t="s">
        <v>491</v>
      </c>
      <c r="M6" s="567" t="s">
        <v>492</v>
      </c>
      <c r="N6" s="567" t="s">
        <v>234</v>
      </c>
    </row>
    <row r="7" spans="2:15">
      <c r="B7" s="569">
        <v>1</v>
      </c>
      <c r="C7" s="570" t="s">
        <v>340</v>
      </c>
      <c r="D7" s="571">
        <v>658.1</v>
      </c>
      <c r="E7" s="571">
        <v>428976</v>
      </c>
      <c r="F7" s="572">
        <v>247.53</v>
      </c>
      <c r="G7" s="573">
        <f t="shared" ref="G7:G13" si="0">D7*F7</f>
        <v>162899.49299999999</v>
      </c>
      <c r="H7" s="573">
        <f t="shared" ref="H7:H13" si="1">L7-E7</f>
        <v>-249845</v>
      </c>
      <c r="I7" s="573">
        <f t="shared" ref="I7:I13" si="2">G7+E7-L7</f>
        <v>412744.49300000002</v>
      </c>
      <c r="J7" s="571">
        <v>43.4</v>
      </c>
      <c r="K7" s="571">
        <v>58.06</v>
      </c>
      <c r="L7" s="571">
        <v>179131</v>
      </c>
      <c r="M7" s="571">
        <v>700092</v>
      </c>
      <c r="N7" s="572">
        <v>4004.44</v>
      </c>
      <c r="O7" s="574"/>
    </row>
    <row r="8" spans="2:15">
      <c r="B8" s="569">
        <v>2</v>
      </c>
      <c r="C8" s="570" t="s">
        <v>404</v>
      </c>
      <c r="D8" s="571">
        <v>1055.25</v>
      </c>
      <c r="E8" s="571">
        <v>798960</v>
      </c>
      <c r="F8" s="572">
        <v>99.74</v>
      </c>
      <c r="G8" s="573">
        <f t="shared" si="0"/>
        <v>105250.63499999999</v>
      </c>
      <c r="H8" s="573">
        <f t="shared" si="1"/>
        <v>-656790</v>
      </c>
      <c r="I8" s="573">
        <f t="shared" si="2"/>
        <v>762040.63500000001</v>
      </c>
      <c r="J8" s="571">
        <v>41.97</v>
      </c>
      <c r="K8" s="571">
        <v>27.46</v>
      </c>
      <c r="L8" s="571">
        <v>142170</v>
      </c>
      <c r="M8" s="571">
        <v>1357370</v>
      </c>
      <c r="N8" s="572">
        <v>2510.8000000000002</v>
      </c>
      <c r="O8" s="574"/>
    </row>
    <row r="9" spans="2:15">
      <c r="B9" s="569">
        <v>3</v>
      </c>
      <c r="C9" s="570" t="s">
        <v>405</v>
      </c>
      <c r="D9" s="571">
        <v>1969.1</v>
      </c>
      <c r="E9" s="571">
        <v>1358981</v>
      </c>
      <c r="F9" s="572">
        <v>30.12</v>
      </c>
      <c r="G9" s="573">
        <f t="shared" si="0"/>
        <v>59309.292000000001</v>
      </c>
      <c r="H9" s="573">
        <f t="shared" si="1"/>
        <v>-1002197</v>
      </c>
      <c r="I9" s="573">
        <f t="shared" si="2"/>
        <v>1061506.2919999999</v>
      </c>
      <c r="J9" s="571">
        <v>40.020000000000003</v>
      </c>
      <c r="K9" s="571">
        <v>34.93</v>
      </c>
      <c r="L9" s="571">
        <v>356784</v>
      </c>
      <c r="M9" s="571">
        <v>422720</v>
      </c>
      <c r="N9" s="572">
        <v>1488.8</v>
      </c>
      <c r="O9" s="574"/>
    </row>
    <row r="10" spans="2:15">
      <c r="B10" s="569">
        <v>4</v>
      </c>
      <c r="C10" s="570" t="s">
        <v>406</v>
      </c>
      <c r="D10" s="571">
        <v>1564.5</v>
      </c>
      <c r="E10" s="571">
        <v>466234</v>
      </c>
      <c r="F10" s="572">
        <v>36.36</v>
      </c>
      <c r="G10" s="573">
        <f t="shared" si="0"/>
        <v>56885.22</v>
      </c>
      <c r="H10" s="573">
        <f t="shared" si="1"/>
        <v>-421665</v>
      </c>
      <c r="I10" s="573">
        <f t="shared" si="2"/>
        <v>478550.22</v>
      </c>
      <c r="J10" s="571">
        <v>54.18</v>
      </c>
      <c r="K10" s="571">
        <v>25.37</v>
      </c>
      <c r="L10" s="571">
        <v>44569</v>
      </c>
      <c r="M10" s="571">
        <v>410319</v>
      </c>
      <c r="N10" s="572">
        <v>2580.36</v>
      </c>
      <c r="O10" s="574"/>
    </row>
    <row r="11" spans="2:15">
      <c r="B11" s="569">
        <v>5</v>
      </c>
      <c r="C11" s="570" t="s">
        <v>407</v>
      </c>
      <c r="D11" s="571">
        <v>1533.5</v>
      </c>
      <c r="E11" s="571">
        <v>208027</v>
      </c>
      <c r="F11" s="572">
        <v>35.75</v>
      </c>
      <c r="G11" s="573">
        <f t="shared" si="0"/>
        <v>54822.625</v>
      </c>
      <c r="H11" s="573">
        <f t="shared" si="1"/>
        <v>-41204</v>
      </c>
      <c r="I11" s="573">
        <f t="shared" si="2"/>
        <v>96026.625</v>
      </c>
      <c r="J11" s="571">
        <v>21.61</v>
      </c>
      <c r="K11" s="571">
        <v>15.38</v>
      </c>
      <c r="L11" s="571">
        <v>166823</v>
      </c>
      <c r="M11" s="571">
        <v>545090</v>
      </c>
      <c r="N11" s="572">
        <v>1351.21</v>
      </c>
      <c r="O11" s="574"/>
    </row>
    <row r="12" spans="2:15">
      <c r="B12" s="569">
        <v>6</v>
      </c>
      <c r="C12" s="570" t="s">
        <v>408</v>
      </c>
      <c r="D12" s="571">
        <v>1129.5999999999999</v>
      </c>
      <c r="E12" s="571">
        <v>1235140</v>
      </c>
      <c r="F12" s="572">
        <v>43.07</v>
      </c>
      <c r="G12" s="573">
        <f t="shared" si="0"/>
        <v>48651.872000000003</v>
      </c>
      <c r="H12" s="573">
        <f t="shared" si="1"/>
        <v>-747130</v>
      </c>
      <c r="I12" s="573">
        <f t="shared" si="2"/>
        <v>795781.87199999997</v>
      </c>
      <c r="J12" s="571">
        <v>83.53</v>
      </c>
      <c r="K12" s="571">
        <v>17.28</v>
      </c>
      <c r="L12" s="571">
        <v>488010</v>
      </c>
      <c r="M12" s="571">
        <v>798500</v>
      </c>
      <c r="N12" s="572">
        <v>809.7</v>
      </c>
      <c r="O12" s="574"/>
    </row>
    <row r="13" spans="2:15">
      <c r="B13" s="575">
        <v>7</v>
      </c>
      <c r="C13" s="576" t="s">
        <v>409</v>
      </c>
      <c r="D13" s="577">
        <v>950.45</v>
      </c>
      <c r="E13" s="577">
        <v>538515</v>
      </c>
      <c r="F13" s="578">
        <v>24.44</v>
      </c>
      <c r="G13" s="579">
        <f t="shared" si="0"/>
        <v>23228.998</v>
      </c>
      <c r="H13" s="579">
        <f t="shared" si="1"/>
        <v>-177272</v>
      </c>
      <c r="I13" s="579">
        <f t="shared" si="2"/>
        <v>200500.99799999999</v>
      </c>
      <c r="J13" s="577">
        <v>36.450000000000003</v>
      </c>
      <c r="K13" s="577">
        <v>15.07</v>
      </c>
      <c r="L13" s="577">
        <v>361243</v>
      </c>
      <c r="M13" s="577">
        <v>531619</v>
      </c>
      <c r="N13" s="578">
        <v>641.99</v>
      </c>
      <c r="O13" s="574"/>
    </row>
  </sheetData>
  <mergeCells count="1">
    <mergeCell ref="B4:N4"/>
  </mergeCells>
  <pageMargins left="0.75" right="0.75" top="1" bottom="1" header="0.5" footer="0.5"/>
  <pageSetup fitToWidth="0"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39997558519241921"/>
  </sheetPr>
  <dimension ref="C1:K536"/>
  <sheetViews>
    <sheetView showGridLines="0" workbookViewId="0">
      <selection activeCell="I9" sqref="I9"/>
    </sheetView>
  </sheetViews>
  <sheetFormatPr defaultColWidth="8.88671875" defaultRowHeight="15.6"/>
  <cols>
    <col min="1" max="2" width="1.77734375" style="9" customWidth="1"/>
    <col min="3" max="3" width="1.77734375" style="10" customWidth="1"/>
    <col min="4" max="4" width="13.109375" style="10" customWidth="1"/>
    <col min="5" max="5" width="8.88671875" style="10"/>
    <col min="6" max="6" width="14.33203125" style="10" customWidth="1"/>
    <col min="7" max="8" width="8.88671875" style="9"/>
    <col min="9" max="9" width="18" style="9" customWidth="1"/>
    <col min="10" max="10" width="18.109375" style="9"/>
    <col min="11" max="11" width="9.44140625" style="9"/>
    <col min="12" max="13" width="8.88671875" style="9"/>
    <col min="14" max="14" width="10.77734375" style="9" bestFit="1" customWidth="1"/>
    <col min="15" max="16384" width="8.88671875" style="9"/>
  </cols>
  <sheetData>
    <row r="1" spans="3:10">
      <c r="C1" s="9"/>
      <c r="D1" s="9"/>
      <c r="E1" s="9"/>
      <c r="F1" s="9"/>
    </row>
    <row r="2" spans="3:10">
      <c r="C2" s="9"/>
      <c r="D2" s="9"/>
      <c r="E2" s="9"/>
      <c r="F2" s="9"/>
    </row>
    <row r="3" spans="3:10" ht="15.6" customHeight="1">
      <c r="C3" s="9"/>
      <c r="E3" s="657"/>
      <c r="F3" s="657"/>
      <c r="G3" s="657"/>
      <c r="H3" s="657"/>
      <c r="I3" s="657"/>
      <c r="J3" s="657"/>
    </row>
    <row r="4" spans="3:10" ht="15.6" customHeight="1">
      <c r="C4" s="9"/>
      <c r="D4" s="656" t="s">
        <v>9</v>
      </c>
      <c r="E4" s="656"/>
      <c r="F4" s="656"/>
      <c r="G4" s="655"/>
      <c r="H4" s="655"/>
      <c r="I4" s="655"/>
      <c r="J4" s="655"/>
    </row>
    <row r="6" spans="3:10">
      <c r="F6" s="11" t="s">
        <v>0</v>
      </c>
    </row>
    <row r="7" spans="3:10">
      <c r="D7" s="11" t="s">
        <v>281</v>
      </c>
      <c r="F7" s="11" t="s">
        <v>349</v>
      </c>
    </row>
    <row r="8" spans="3:10" ht="6" customHeight="1">
      <c r="D8" s="12"/>
      <c r="F8" s="12"/>
    </row>
    <row r="9" spans="3:10">
      <c r="D9" s="13">
        <v>45758</v>
      </c>
      <c r="F9" s="14">
        <v>22828.5</v>
      </c>
    </row>
    <row r="10" spans="3:10">
      <c r="D10" s="13">
        <v>45751</v>
      </c>
      <c r="F10" s="14">
        <v>22904.45</v>
      </c>
    </row>
    <row r="11" spans="3:10">
      <c r="D11" s="13">
        <v>45744</v>
      </c>
      <c r="F11" s="14">
        <v>23519.35</v>
      </c>
    </row>
    <row r="12" spans="3:10">
      <c r="D12" s="13">
        <v>45740</v>
      </c>
      <c r="F12" s="14">
        <v>22591.95</v>
      </c>
      <c r="I12" s="17" t="s">
        <v>0</v>
      </c>
      <c r="J12" s="18" t="s">
        <v>410</v>
      </c>
    </row>
    <row r="13" spans="3:10">
      <c r="D13" s="13">
        <v>45733</v>
      </c>
      <c r="F13" s="14">
        <v>22508.75</v>
      </c>
      <c r="I13" s="19"/>
      <c r="J13" s="19"/>
    </row>
    <row r="14" spans="3:10">
      <c r="D14" s="13">
        <v>45726</v>
      </c>
      <c r="F14" s="14">
        <v>22460.3</v>
      </c>
      <c r="I14" s="17" t="s">
        <v>411</v>
      </c>
      <c r="J14" s="473">
        <f>YEARFRAC(D536,D9)</f>
        <v>10.088888888888889</v>
      </c>
    </row>
    <row r="15" spans="3:10">
      <c r="D15" s="15">
        <v>45719</v>
      </c>
      <c r="F15" s="16">
        <v>22552.5</v>
      </c>
      <c r="I15" s="19"/>
      <c r="J15" s="20"/>
    </row>
    <row r="16" spans="3:10">
      <c r="D16" s="15">
        <v>45712</v>
      </c>
      <c r="F16" s="16">
        <v>22124.7</v>
      </c>
      <c r="I16" s="17" t="s">
        <v>412</v>
      </c>
      <c r="J16" s="21">
        <f>_xlfn.RRI(J14,F536,F9)</f>
        <v>0.10099664088683746</v>
      </c>
    </row>
    <row r="17" spans="4:11">
      <c r="D17" s="15">
        <v>45705</v>
      </c>
      <c r="F17" s="16">
        <v>22795.9</v>
      </c>
    </row>
    <row r="18" spans="4:11">
      <c r="D18" s="15">
        <v>45698</v>
      </c>
      <c r="F18" s="16">
        <v>22929.25</v>
      </c>
      <c r="K18" s="22"/>
    </row>
    <row r="19" spans="4:11">
      <c r="D19" s="15">
        <v>45691</v>
      </c>
      <c r="F19" s="16">
        <v>23559.95</v>
      </c>
    </row>
    <row r="20" spans="4:11">
      <c r="D20" s="15">
        <v>45684</v>
      </c>
      <c r="F20" s="16">
        <v>23508.400000000001</v>
      </c>
    </row>
    <row r="21" spans="4:11">
      <c r="D21" s="15">
        <v>45677</v>
      </c>
      <c r="F21" s="16">
        <v>23092.2</v>
      </c>
    </row>
    <row r="22" spans="4:11">
      <c r="D22" s="15">
        <v>45670</v>
      </c>
      <c r="F22" s="16">
        <v>23203.200000000001</v>
      </c>
    </row>
    <row r="23" spans="4:11">
      <c r="D23" s="15">
        <v>45663</v>
      </c>
      <c r="F23" s="16">
        <v>23431.5</v>
      </c>
    </row>
    <row r="24" spans="4:11">
      <c r="D24" s="15">
        <v>45656</v>
      </c>
      <c r="F24" s="16">
        <v>24004.75</v>
      </c>
    </row>
    <row r="25" spans="4:11">
      <c r="D25" s="15">
        <v>45649</v>
      </c>
      <c r="F25" s="16">
        <v>23813.4</v>
      </c>
    </row>
    <row r="26" spans="4:11">
      <c r="D26" s="15">
        <v>45642</v>
      </c>
      <c r="F26" s="16">
        <v>23587.5</v>
      </c>
    </row>
    <row r="27" spans="4:11">
      <c r="D27" s="15">
        <v>45635</v>
      </c>
      <c r="F27" s="16">
        <v>24768.3</v>
      </c>
    </row>
    <row r="28" spans="4:11">
      <c r="D28" s="15">
        <v>45628</v>
      </c>
      <c r="F28" s="16">
        <v>24677.8</v>
      </c>
    </row>
    <row r="29" spans="4:11">
      <c r="D29" s="15">
        <v>45621</v>
      </c>
      <c r="F29" s="16">
        <v>24131.1</v>
      </c>
    </row>
    <row r="30" spans="4:11">
      <c r="D30" s="15">
        <v>45614</v>
      </c>
      <c r="F30" s="16">
        <v>23907.25</v>
      </c>
    </row>
    <row r="31" spans="4:11">
      <c r="D31" s="15">
        <v>45607</v>
      </c>
      <c r="F31" s="16">
        <v>23532.7</v>
      </c>
    </row>
    <row r="32" spans="4:11">
      <c r="D32" s="15">
        <v>45600</v>
      </c>
      <c r="F32" s="16">
        <v>24148.2</v>
      </c>
    </row>
    <row r="33" spans="4:6">
      <c r="D33" s="15">
        <v>45593</v>
      </c>
      <c r="F33" s="16">
        <v>24304.35</v>
      </c>
    </row>
    <row r="34" spans="4:6">
      <c r="D34" s="15">
        <v>45586</v>
      </c>
      <c r="F34" s="16">
        <v>24180.799999999999</v>
      </c>
    </row>
    <row r="35" spans="4:6">
      <c r="D35" s="15">
        <v>45579</v>
      </c>
      <c r="F35" s="16">
        <v>24854.05</v>
      </c>
    </row>
    <row r="36" spans="4:6">
      <c r="D36" s="15">
        <v>45572</v>
      </c>
      <c r="F36" s="16">
        <v>24964.25</v>
      </c>
    </row>
    <row r="37" spans="4:6">
      <c r="D37" s="15">
        <v>45565</v>
      </c>
      <c r="F37" s="16">
        <v>25014.6</v>
      </c>
    </row>
    <row r="38" spans="4:6">
      <c r="D38" s="15">
        <v>45558</v>
      </c>
      <c r="F38" s="16">
        <v>26178.95</v>
      </c>
    </row>
    <row r="39" spans="4:6">
      <c r="D39" s="15">
        <v>45551</v>
      </c>
      <c r="F39" s="16">
        <v>25790.95</v>
      </c>
    </row>
    <row r="40" spans="4:6">
      <c r="D40" s="15">
        <v>45544</v>
      </c>
      <c r="F40" s="16">
        <v>25356.5</v>
      </c>
    </row>
    <row r="41" spans="4:6">
      <c r="D41" s="15">
        <v>45537</v>
      </c>
      <c r="F41" s="16">
        <v>24852.15</v>
      </c>
    </row>
    <row r="42" spans="4:6">
      <c r="D42" s="15">
        <v>45530</v>
      </c>
      <c r="F42" s="16">
        <v>25235.9</v>
      </c>
    </row>
    <row r="43" spans="4:6">
      <c r="D43" s="15">
        <v>45523</v>
      </c>
      <c r="F43" s="16">
        <v>24823.15</v>
      </c>
    </row>
    <row r="44" spans="4:6">
      <c r="D44" s="15">
        <v>45516</v>
      </c>
      <c r="F44" s="16">
        <v>24541.15</v>
      </c>
    </row>
    <row r="45" spans="4:6">
      <c r="D45" s="15">
        <v>45509</v>
      </c>
      <c r="F45" s="16">
        <v>24367.5</v>
      </c>
    </row>
    <row r="46" spans="4:6">
      <c r="D46" s="15">
        <v>45502</v>
      </c>
      <c r="F46" s="16">
        <v>24717.7</v>
      </c>
    </row>
    <row r="47" spans="4:6">
      <c r="D47" s="15">
        <v>45495</v>
      </c>
      <c r="F47" s="16">
        <v>24834.85</v>
      </c>
    </row>
    <row r="48" spans="4:6">
      <c r="D48" s="15">
        <v>45488</v>
      </c>
      <c r="F48" s="16">
        <v>24530.9</v>
      </c>
    </row>
    <row r="49" spans="4:6">
      <c r="D49" s="15">
        <v>45481</v>
      </c>
      <c r="F49" s="16">
        <v>24502.15</v>
      </c>
    </row>
    <row r="50" spans="4:6">
      <c r="D50" s="15">
        <v>45474</v>
      </c>
      <c r="F50" s="16">
        <v>24323.85</v>
      </c>
    </row>
    <row r="51" spans="4:6">
      <c r="D51" s="15">
        <v>45467</v>
      </c>
      <c r="F51" s="16">
        <v>24010.6</v>
      </c>
    </row>
    <row r="52" spans="4:6">
      <c r="D52" s="15">
        <v>45460</v>
      </c>
      <c r="F52" s="16">
        <v>23501.1</v>
      </c>
    </row>
    <row r="53" spans="4:6">
      <c r="D53" s="15">
        <v>45453</v>
      </c>
      <c r="F53" s="16">
        <v>23465.599999999999</v>
      </c>
    </row>
    <row r="54" spans="4:6">
      <c r="D54" s="15">
        <v>45446</v>
      </c>
      <c r="F54" s="16">
        <v>23290.15</v>
      </c>
    </row>
    <row r="55" spans="4:6">
      <c r="D55" s="15">
        <v>45439</v>
      </c>
      <c r="F55" s="16">
        <v>22530.7</v>
      </c>
    </row>
    <row r="56" spans="4:6">
      <c r="D56" s="15">
        <v>45432</v>
      </c>
      <c r="F56" s="16">
        <v>22957.1</v>
      </c>
    </row>
    <row r="57" spans="4:6">
      <c r="D57" s="15">
        <v>45425</v>
      </c>
      <c r="F57" s="16">
        <v>22466.1</v>
      </c>
    </row>
    <row r="58" spans="4:6">
      <c r="D58" s="15">
        <v>45418</v>
      </c>
      <c r="F58" s="16">
        <v>22055.200000000001</v>
      </c>
    </row>
    <row r="59" spans="4:6">
      <c r="D59" s="15">
        <v>45411</v>
      </c>
      <c r="F59" s="16">
        <v>22475.85</v>
      </c>
    </row>
    <row r="60" spans="4:6">
      <c r="D60" s="15">
        <v>45404</v>
      </c>
      <c r="F60" s="16">
        <v>22419.95</v>
      </c>
    </row>
    <row r="61" spans="4:6">
      <c r="D61" s="15">
        <v>45397</v>
      </c>
      <c r="F61" s="16">
        <v>22147</v>
      </c>
    </row>
    <row r="62" spans="4:6">
      <c r="D62" s="15">
        <v>45390</v>
      </c>
      <c r="F62" s="16">
        <v>22519.4</v>
      </c>
    </row>
    <row r="63" spans="4:6">
      <c r="D63" s="15">
        <v>45383</v>
      </c>
      <c r="F63" s="16">
        <v>22513.7</v>
      </c>
    </row>
    <row r="64" spans="4:6">
      <c r="D64" s="15">
        <v>45376</v>
      </c>
      <c r="F64" s="16">
        <v>22326.9</v>
      </c>
    </row>
    <row r="65" spans="4:6">
      <c r="D65" s="15">
        <v>45369</v>
      </c>
      <c r="F65" s="16">
        <v>22096.75</v>
      </c>
    </row>
    <row r="66" spans="4:6">
      <c r="D66" s="15">
        <v>45362</v>
      </c>
      <c r="F66" s="16">
        <v>22023.35</v>
      </c>
    </row>
    <row r="67" spans="4:6">
      <c r="D67" s="15">
        <v>45355</v>
      </c>
      <c r="F67" s="16">
        <v>22493.55</v>
      </c>
    </row>
    <row r="68" spans="4:6">
      <c r="D68" s="15">
        <v>45348</v>
      </c>
      <c r="F68" s="16">
        <v>22338.75</v>
      </c>
    </row>
    <row r="69" spans="4:6">
      <c r="D69" s="15">
        <v>45341</v>
      </c>
      <c r="F69" s="16">
        <v>22212.7</v>
      </c>
    </row>
    <row r="70" spans="4:6">
      <c r="D70" s="15">
        <v>45334</v>
      </c>
      <c r="F70" s="16">
        <v>22040.7</v>
      </c>
    </row>
    <row r="71" spans="4:6">
      <c r="D71" s="15">
        <v>45327</v>
      </c>
      <c r="F71" s="16">
        <v>21782.5</v>
      </c>
    </row>
    <row r="72" spans="4:6">
      <c r="D72" s="15">
        <v>45320</v>
      </c>
      <c r="F72" s="16">
        <v>21853.8</v>
      </c>
    </row>
    <row r="73" spans="4:6">
      <c r="D73" s="15">
        <v>45313</v>
      </c>
      <c r="F73" s="16">
        <v>21352.6</v>
      </c>
    </row>
    <row r="74" spans="4:6">
      <c r="D74" s="15">
        <v>45306</v>
      </c>
      <c r="F74" s="16">
        <v>21622.400000000001</v>
      </c>
    </row>
    <row r="75" spans="4:6">
      <c r="D75" s="15">
        <v>45299</v>
      </c>
      <c r="F75" s="16">
        <v>21894.55</v>
      </c>
    </row>
    <row r="76" spans="4:6">
      <c r="D76" s="15">
        <v>45292</v>
      </c>
      <c r="F76" s="16">
        <v>21710.799999999999</v>
      </c>
    </row>
    <row r="77" spans="4:6">
      <c r="D77" s="15">
        <v>45285</v>
      </c>
      <c r="F77" s="16">
        <v>21731.4</v>
      </c>
    </row>
    <row r="78" spans="4:6">
      <c r="D78" s="15">
        <v>45278</v>
      </c>
      <c r="F78" s="16">
        <v>21349.4</v>
      </c>
    </row>
    <row r="79" spans="4:6">
      <c r="D79" s="15">
        <v>45271</v>
      </c>
      <c r="F79" s="16">
        <v>21456.65</v>
      </c>
    </row>
    <row r="80" spans="4:6">
      <c r="D80" s="15">
        <v>45264</v>
      </c>
      <c r="F80" s="16">
        <v>20969.400000000001</v>
      </c>
    </row>
    <row r="81" spans="4:6">
      <c r="D81" s="15">
        <v>45257</v>
      </c>
      <c r="F81" s="16">
        <v>20267.900000000001</v>
      </c>
    </row>
    <row r="82" spans="4:6">
      <c r="D82" s="15">
        <v>45250</v>
      </c>
      <c r="F82" s="16">
        <v>19794.7</v>
      </c>
    </row>
    <row r="83" spans="4:6">
      <c r="D83" s="15">
        <v>45243</v>
      </c>
      <c r="F83" s="16">
        <v>19731.8</v>
      </c>
    </row>
    <row r="84" spans="4:6">
      <c r="D84" s="15">
        <v>45236</v>
      </c>
      <c r="F84" s="16">
        <v>19425.349999999999</v>
      </c>
    </row>
    <row r="85" spans="4:6">
      <c r="D85" s="15">
        <v>45229</v>
      </c>
      <c r="F85" s="16">
        <v>19230.599999999999</v>
      </c>
    </row>
    <row r="86" spans="4:6">
      <c r="D86" s="15">
        <v>45222</v>
      </c>
      <c r="F86" s="16">
        <v>19047.25</v>
      </c>
    </row>
    <row r="87" spans="4:6">
      <c r="D87" s="15">
        <v>45215</v>
      </c>
      <c r="F87" s="16">
        <v>19542.650000000001</v>
      </c>
    </row>
    <row r="88" spans="4:6">
      <c r="D88" s="15">
        <v>45208</v>
      </c>
      <c r="F88" s="16">
        <v>19751.05</v>
      </c>
    </row>
    <row r="89" spans="4:6">
      <c r="D89" s="15">
        <v>45201</v>
      </c>
      <c r="F89" s="16">
        <v>19653.5</v>
      </c>
    </row>
    <row r="90" spans="4:6">
      <c r="D90" s="15">
        <v>45194</v>
      </c>
      <c r="F90" s="16">
        <v>19638.3</v>
      </c>
    </row>
    <row r="91" spans="4:6">
      <c r="D91" s="15">
        <v>45187</v>
      </c>
      <c r="F91" s="16">
        <v>19674.25</v>
      </c>
    </row>
    <row r="92" spans="4:6">
      <c r="D92" s="15">
        <v>45180</v>
      </c>
      <c r="F92" s="16">
        <v>20192.349999999999</v>
      </c>
    </row>
    <row r="93" spans="4:6">
      <c r="D93" s="15">
        <v>45173</v>
      </c>
      <c r="F93" s="16">
        <v>19819.95</v>
      </c>
    </row>
    <row r="94" spans="4:6">
      <c r="D94" s="15">
        <v>45166</v>
      </c>
      <c r="F94" s="16">
        <v>19435.3</v>
      </c>
    </row>
    <row r="95" spans="4:6">
      <c r="D95" s="15">
        <v>45159</v>
      </c>
      <c r="F95" s="16">
        <v>19265.8</v>
      </c>
    </row>
    <row r="96" spans="4:6">
      <c r="D96" s="15">
        <v>45152</v>
      </c>
      <c r="F96" s="16">
        <v>19310.150000000001</v>
      </c>
    </row>
    <row r="97" spans="4:6">
      <c r="D97" s="15">
        <v>45145</v>
      </c>
      <c r="F97" s="16">
        <v>19428.3</v>
      </c>
    </row>
    <row r="98" spans="4:6">
      <c r="D98" s="15">
        <v>45138</v>
      </c>
      <c r="F98" s="16">
        <v>19517</v>
      </c>
    </row>
    <row r="99" spans="4:6">
      <c r="D99" s="15">
        <v>45131</v>
      </c>
      <c r="F99" s="16">
        <v>19646.05</v>
      </c>
    </row>
    <row r="100" spans="4:6">
      <c r="D100" s="15">
        <v>45124</v>
      </c>
      <c r="F100" s="16">
        <v>19745</v>
      </c>
    </row>
    <row r="101" spans="4:6">
      <c r="D101" s="15">
        <v>45117</v>
      </c>
      <c r="F101" s="16">
        <v>19564.5</v>
      </c>
    </row>
    <row r="102" spans="4:6">
      <c r="D102" s="15">
        <v>45110</v>
      </c>
      <c r="F102" s="16">
        <v>19331.8</v>
      </c>
    </row>
    <row r="103" spans="4:6">
      <c r="D103" s="15">
        <v>45103</v>
      </c>
      <c r="F103" s="16">
        <v>19189.05</v>
      </c>
    </row>
    <row r="104" spans="4:6">
      <c r="D104" s="15">
        <v>45096</v>
      </c>
      <c r="F104" s="16">
        <v>18665.5</v>
      </c>
    </row>
    <row r="105" spans="4:6">
      <c r="D105" s="15">
        <v>45089</v>
      </c>
      <c r="F105" s="16">
        <v>18826</v>
      </c>
    </row>
    <row r="106" spans="4:6">
      <c r="D106" s="15">
        <v>45082</v>
      </c>
      <c r="F106" s="16">
        <v>18563.400000000001</v>
      </c>
    </row>
    <row r="107" spans="4:6">
      <c r="D107" s="15">
        <v>45075</v>
      </c>
      <c r="F107" s="16">
        <v>18534.099999999999</v>
      </c>
    </row>
    <row r="108" spans="4:6">
      <c r="D108" s="15">
        <v>45068</v>
      </c>
      <c r="F108" s="16">
        <v>18499.349999999999</v>
      </c>
    </row>
    <row r="109" spans="4:6">
      <c r="D109" s="15">
        <v>45061</v>
      </c>
      <c r="F109" s="16">
        <v>18203.400000000001</v>
      </c>
    </row>
    <row r="110" spans="4:6">
      <c r="D110" s="15">
        <v>45054</v>
      </c>
      <c r="F110" s="16">
        <v>18314.8</v>
      </c>
    </row>
    <row r="111" spans="4:6">
      <c r="D111" s="15">
        <v>45047</v>
      </c>
      <c r="F111" s="16">
        <v>18069</v>
      </c>
    </row>
    <row r="112" spans="4:6">
      <c r="D112" s="15">
        <v>45040</v>
      </c>
      <c r="F112" s="16">
        <v>18065</v>
      </c>
    </row>
    <row r="113" spans="4:6">
      <c r="D113" s="15">
        <v>45033</v>
      </c>
      <c r="F113" s="16">
        <v>17624.05</v>
      </c>
    </row>
    <row r="114" spans="4:6">
      <c r="D114" s="15">
        <v>45026</v>
      </c>
      <c r="F114" s="16">
        <v>17828</v>
      </c>
    </row>
    <row r="115" spans="4:6">
      <c r="D115" s="15">
        <v>45019</v>
      </c>
      <c r="F115" s="16">
        <v>17599.150000000001</v>
      </c>
    </row>
    <row r="116" spans="4:6">
      <c r="D116" s="15">
        <v>45012</v>
      </c>
      <c r="F116" s="16">
        <v>17359.75</v>
      </c>
    </row>
    <row r="117" spans="4:6">
      <c r="D117" s="15">
        <v>45005</v>
      </c>
      <c r="F117" s="16">
        <v>16945.05</v>
      </c>
    </row>
    <row r="118" spans="4:6">
      <c r="D118" s="15">
        <v>44998</v>
      </c>
      <c r="F118" s="16">
        <v>17100.05</v>
      </c>
    </row>
    <row r="119" spans="4:6">
      <c r="D119" s="15">
        <v>44991</v>
      </c>
      <c r="F119" s="16">
        <v>17412.900000000001</v>
      </c>
    </row>
    <row r="120" spans="4:6">
      <c r="D120" s="15">
        <v>44984</v>
      </c>
      <c r="F120" s="16">
        <v>17594.349999999999</v>
      </c>
    </row>
    <row r="121" spans="4:6">
      <c r="D121" s="15">
        <v>44977</v>
      </c>
      <c r="F121" s="16">
        <v>17465.8</v>
      </c>
    </row>
    <row r="122" spans="4:6">
      <c r="D122" s="15">
        <v>44970</v>
      </c>
      <c r="F122" s="16">
        <v>17944.2</v>
      </c>
    </row>
    <row r="123" spans="4:6">
      <c r="D123" s="15">
        <v>44963</v>
      </c>
      <c r="F123" s="16">
        <v>17856.5</v>
      </c>
    </row>
    <row r="124" spans="4:6">
      <c r="D124" s="15">
        <v>44956</v>
      </c>
      <c r="F124" s="16">
        <v>17854.05</v>
      </c>
    </row>
    <row r="125" spans="4:6">
      <c r="D125" s="15">
        <v>44949</v>
      </c>
      <c r="F125" s="16">
        <v>17604.349999999999</v>
      </c>
    </row>
    <row r="126" spans="4:6">
      <c r="D126" s="15">
        <v>44942</v>
      </c>
      <c r="F126" s="16">
        <v>18027.650000000001</v>
      </c>
    </row>
    <row r="127" spans="4:6">
      <c r="D127" s="15">
        <v>44935</v>
      </c>
      <c r="F127" s="16">
        <v>17956.599999999999</v>
      </c>
    </row>
    <row r="128" spans="4:6">
      <c r="D128" s="15">
        <v>44928</v>
      </c>
      <c r="F128" s="16">
        <v>17859.45</v>
      </c>
    </row>
    <row r="129" spans="4:6">
      <c r="D129" s="15">
        <v>44921</v>
      </c>
      <c r="F129" s="16">
        <v>18105.3</v>
      </c>
    </row>
    <row r="130" spans="4:6">
      <c r="D130" s="15">
        <v>44914</v>
      </c>
      <c r="F130" s="16">
        <v>17806.8</v>
      </c>
    </row>
    <row r="131" spans="4:6">
      <c r="D131" s="15">
        <v>44907</v>
      </c>
      <c r="F131" s="16">
        <v>18269</v>
      </c>
    </row>
    <row r="132" spans="4:6">
      <c r="D132" s="15">
        <v>44900</v>
      </c>
      <c r="F132" s="16">
        <v>18496.599999999999</v>
      </c>
    </row>
    <row r="133" spans="4:6">
      <c r="D133" s="15">
        <v>44893</v>
      </c>
      <c r="F133" s="16">
        <v>18696.099999999999</v>
      </c>
    </row>
    <row r="134" spans="4:6">
      <c r="D134" s="15">
        <v>44886</v>
      </c>
      <c r="F134" s="16">
        <v>18512.75</v>
      </c>
    </row>
    <row r="135" spans="4:6">
      <c r="D135" s="15">
        <v>44879</v>
      </c>
      <c r="F135" s="16">
        <v>18307.650000000001</v>
      </c>
    </row>
    <row r="136" spans="4:6">
      <c r="D136" s="15">
        <v>44872</v>
      </c>
      <c r="F136" s="16">
        <v>18349.7</v>
      </c>
    </row>
    <row r="137" spans="4:6">
      <c r="D137" s="15">
        <v>44865</v>
      </c>
      <c r="F137" s="16">
        <v>18117.150000000001</v>
      </c>
    </row>
    <row r="138" spans="4:6">
      <c r="D138" s="15">
        <v>44858</v>
      </c>
      <c r="F138" s="16">
        <v>17786.8</v>
      </c>
    </row>
    <row r="139" spans="4:6">
      <c r="D139" s="15">
        <v>44851</v>
      </c>
      <c r="F139" s="16">
        <v>17576.3</v>
      </c>
    </row>
    <row r="140" spans="4:6">
      <c r="D140" s="15">
        <v>44844</v>
      </c>
      <c r="F140" s="16">
        <v>17185.7</v>
      </c>
    </row>
    <row r="141" spans="4:6">
      <c r="D141" s="15">
        <v>44837</v>
      </c>
      <c r="F141" s="16">
        <v>17314.650000000001</v>
      </c>
    </row>
    <row r="142" spans="4:6">
      <c r="D142" s="15">
        <v>44830</v>
      </c>
      <c r="F142" s="16">
        <v>17094.349999999999</v>
      </c>
    </row>
    <row r="143" spans="4:6">
      <c r="D143" s="15">
        <v>44823</v>
      </c>
      <c r="F143" s="16">
        <v>17327.349999999999</v>
      </c>
    </row>
    <row r="144" spans="4:6">
      <c r="D144" s="15">
        <v>44816</v>
      </c>
      <c r="F144" s="16">
        <v>17530.849999999999</v>
      </c>
    </row>
    <row r="145" spans="4:6">
      <c r="D145" s="15">
        <v>44809</v>
      </c>
      <c r="F145" s="16">
        <v>17833.349999999999</v>
      </c>
    </row>
    <row r="146" spans="4:6">
      <c r="D146" s="15">
        <v>44802</v>
      </c>
      <c r="F146" s="16">
        <v>17539.45</v>
      </c>
    </row>
    <row r="147" spans="4:6">
      <c r="D147" s="15">
        <v>44795</v>
      </c>
      <c r="F147" s="16">
        <v>17558.900000000001</v>
      </c>
    </row>
    <row r="148" spans="4:6">
      <c r="D148" s="15">
        <v>44788</v>
      </c>
      <c r="F148" s="16">
        <v>17758.45</v>
      </c>
    </row>
    <row r="149" spans="4:6">
      <c r="D149" s="15">
        <v>44781</v>
      </c>
      <c r="F149" s="16">
        <v>17698.150000000001</v>
      </c>
    </row>
    <row r="150" spans="4:6">
      <c r="D150" s="15">
        <v>44774</v>
      </c>
      <c r="F150" s="16">
        <v>17397.5</v>
      </c>
    </row>
    <row r="151" spans="4:6">
      <c r="D151" s="15">
        <v>44767</v>
      </c>
      <c r="F151" s="16">
        <v>17158.25</v>
      </c>
    </row>
    <row r="152" spans="4:6">
      <c r="D152" s="15">
        <v>44760</v>
      </c>
      <c r="F152" s="16">
        <v>16719.45</v>
      </c>
    </row>
    <row r="153" spans="4:6">
      <c r="D153" s="15">
        <v>44753</v>
      </c>
      <c r="F153" s="16">
        <v>16049.2</v>
      </c>
    </row>
    <row r="154" spans="4:6">
      <c r="D154" s="15">
        <v>44746</v>
      </c>
      <c r="F154" s="16">
        <v>16220.6</v>
      </c>
    </row>
    <row r="155" spans="4:6">
      <c r="D155" s="15">
        <v>44739</v>
      </c>
      <c r="F155" s="16">
        <v>15752.05</v>
      </c>
    </row>
    <row r="156" spans="4:6">
      <c r="D156" s="15">
        <v>44732</v>
      </c>
      <c r="F156" s="16">
        <v>15699.25</v>
      </c>
    </row>
    <row r="157" spans="4:6">
      <c r="D157" s="15">
        <v>44725</v>
      </c>
      <c r="F157" s="16">
        <v>15293.5</v>
      </c>
    </row>
    <row r="158" spans="4:6">
      <c r="D158" s="15">
        <v>44718</v>
      </c>
      <c r="F158" s="16">
        <v>16201.8</v>
      </c>
    </row>
    <row r="159" spans="4:6">
      <c r="D159" s="15">
        <v>44711</v>
      </c>
      <c r="F159" s="16">
        <v>16584.3</v>
      </c>
    </row>
    <row r="160" spans="4:6">
      <c r="D160" s="15">
        <v>44704</v>
      </c>
      <c r="F160" s="16">
        <v>16352.45</v>
      </c>
    </row>
    <row r="161" spans="4:6">
      <c r="D161" s="15">
        <v>44697</v>
      </c>
      <c r="F161" s="16">
        <v>16266.15</v>
      </c>
    </row>
    <row r="162" spans="4:6">
      <c r="D162" s="15">
        <v>44690</v>
      </c>
      <c r="F162" s="16">
        <v>15782.15</v>
      </c>
    </row>
    <row r="163" spans="4:6">
      <c r="D163" s="15">
        <v>44683</v>
      </c>
      <c r="F163" s="16">
        <v>16411.25</v>
      </c>
    </row>
    <row r="164" spans="4:6">
      <c r="D164" s="15">
        <v>44676</v>
      </c>
      <c r="F164" s="16">
        <v>17102.55</v>
      </c>
    </row>
    <row r="165" spans="4:6">
      <c r="D165" s="15">
        <v>44669</v>
      </c>
      <c r="F165" s="16">
        <v>17171.95</v>
      </c>
    </row>
    <row r="166" spans="4:6">
      <c r="D166" s="15">
        <v>44662</v>
      </c>
      <c r="F166" s="16">
        <v>17475.650000000001</v>
      </c>
    </row>
    <row r="167" spans="4:6">
      <c r="D167" s="15">
        <v>44655</v>
      </c>
      <c r="F167" s="16">
        <v>17784.349999999999</v>
      </c>
    </row>
    <row r="168" spans="4:6">
      <c r="D168" s="15">
        <v>44648</v>
      </c>
      <c r="F168" s="16">
        <v>17670.45</v>
      </c>
    </row>
    <row r="169" spans="4:6">
      <c r="D169" s="15">
        <v>44641</v>
      </c>
      <c r="F169" s="16">
        <v>17153</v>
      </c>
    </row>
    <row r="170" spans="4:6">
      <c r="D170" s="15">
        <v>44634</v>
      </c>
      <c r="F170" s="16">
        <v>17287.05</v>
      </c>
    </row>
    <row r="171" spans="4:6">
      <c r="D171" s="15">
        <v>44627</v>
      </c>
      <c r="F171" s="16">
        <v>16630.45</v>
      </c>
    </row>
    <row r="172" spans="4:6">
      <c r="D172" s="15">
        <v>44620</v>
      </c>
      <c r="F172" s="16">
        <v>16245.35</v>
      </c>
    </row>
    <row r="173" spans="4:6">
      <c r="D173" s="15">
        <v>44613</v>
      </c>
      <c r="F173" s="16">
        <v>16658.400000000001</v>
      </c>
    </row>
    <row r="174" spans="4:6">
      <c r="D174" s="15">
        <v>44606</v>
      </c>
      <c r="F174" s="16">
        <v>17276.3</v>
      </c>
    </row>
    <row r="175" spans="4:6">
      <c r="D175" s="15">
        <v>44599</v>
      </c>
      <c r="F175" s="16">
        <v>17374.75</v>
      </c>
    </row>
    <row r="176" spans="4:6">
      <c r="D176" s="15">
        <v>44592</v>
      </c>
      <c r="F176" s="16">
        <v>17516.3</v>
      </c>
    </row>
    <row r="177" spans="4:6">
      <c r="D177" s="15">
        <v>44585</v>
      </c>
      <c r="F177" s="16">
        <v>17101.95</v>
      </c>
    </row>
    <row r="178" spans="4:6">
      <c r="D178" s="15">
        <v>44578</v>
      </c>
      <c r="F178" s="16">
        <v>17617.150000000001</v>
      </c>
    </row>
    <row r="179" spans="4:6">
      <c r="D179" s="15">
        <v>44571</v>
      </c>
      <c r="F179" s="16">
        <v>18255.75</v>
      </c>
    </row>
    <row r="180" spans="4:6">
      <c r="D180" s="15">
        <v>44564</v>
      </c>
      <c r="F180" s="16">
        <v>17812.7</v>
      </c>
    </row>
    <row r="181" spans="4:6">
      <c r="D181" s="15">
        <v>44557</v>
      </c>
      <c r="F181" s="16">
        <v>17354.05</v>
      </c>
    </row>
    <row r="182" spans="4:6">
      <c r="D182" s="15">
        <v>44550</v>
      </c>
      <c r="F182" s="16">
        <v>17003.75</v>
      </c>
    </row>
    <row r="183" spans="4:6">
      <c r="D183" s="15">
        <v>44543</v>
      </c>
      <c r="F183" s="16">
        <v>16985.2</v>
      </c>
    </row>
    <row r="184" spans="4:6">
      <c r="D184" s="15">
        <v>44536</v>
      </c>
      <c r="F184" s="16">
        <v>17511.3</v>
      </c>
    </row>
    <row r="185" spans="4:6">
      <c r="D185" s="15">
        <v>44529</v>
      </c>
      <c r="F185" s="16">
        <v>17196.7</v>
      </c>
    </row>
    <row r="186" spans="4:6">
      <c r="D186" s="15">
        <v>44522</v>
      </c>
      <c r="F186" s="16">
        <v>17026.45</v>
      </c>
    </row>
    <row r="187" spans="4:6">
      <c r="D187" s="15">
        <v>44515</v>
      </c>
      <c r="F187" s="16">
        <v>17764.8</v>
      </c>
    </row>
    <row r="188" spans="4:6">
      <c r="D188" s="15">
        <v>44508</v>
      </c>
      <c r="F188" s="16">
        <v>18102.75</v>
      </c>
    </row>
    <row r="189" spans="4:6">
      <c r="D189" s="15">
        <v>44501</v>
      </c>
      <c r="F189" s="16">
        <v>17916.8</v>
      </c>
    </row>
    <row r="190" spans="4:6">
      <c r="D190" s="15">
        <v>44494</v>
      </c>
      <c r="F190" s="16">
        <v>17671.650000000001</v>
      </c>
    </row>
    <row r="191" spans="4:6">
      <c r="D191" s="15">
        <v>44487</v>
      </c>
      <c r="F191" s="16">
        <v>18114.900000000001</v>
      </c>
    </row>
    <row r="192" spans="4:6">
      <c r="D192" s="15">
        <v>44480</v>
      </c>
      <c r="F192" s="16">
        <v>18338.55</v>
      </c>
    </row>
    <row r="193" spans="4:6">
      <c r="D193" s="15">
        <v>44473</v>
      </c>
      <c r="F193" s="16">
        <v>17895.2</v>
      </c>
    </row>
    <row r="194" spans="4:6">
      <c r="D194" s="15">
        <v>44466</v>
      </c>
      <c r="F194" s="16">
        <v>17532.05</v>
      </c>
    </row>
    <row r="195" spans="4:6">
      <c r="D195" s="15">
        <v>44459</v>
      </c>
      <c r="F195" s="16">
        <v>17853.2</v>
      </c>
    </row>
    <row r="196" spans="4:6">
      <c r="D196" s="15">
        <v>44452</v>
      </c>
      <c r="F196" s="16">
        <v>17585.150000000001</v>
      </c>
    </row>
    <row r="197" spans="4:6">
      <c r="D197" s="15">
        <v>44445</v>
      </c>
      <c r="F197" s="16">
        <v>17369.25</v>
      </c>
    </row>
    <row r="198" spans="4:6">
      <c r="D198" s="15">
        <v>44438</v>
      </c>
      <c r="F198" s="16">
        <v>17323.599999999999</v>
      </c>
    </row>
    <row r="199" spans="4:6">
      <c r="D199" s="15">
        <v>44431</v>
      </c>
      <c r="F199" s="16">
        <v>16705.2</v>
      </c>
    </row>
    <row r="200" spans="4:6">
      <c r="D200" s="15">
        <v>44424</v>
      </c>
      <c r="F200" s="16">
        <v>16450.5</v>
      </c>
    </row>
    <row r="201" spans="4:6">
      <c r="D201" s="15">
        <v>44417</v>
      </c>
      <c r="F201" s="16">
        <v>16529.099999999999</v>
      </c>
    </row>
    <row r="202" spans="4:6">
      <c r="D202" s="15">
        <v>44410</v>
      </c>
      <c r="F202" s="16">
        <v>16238.2</v>
      </c>
    </row>
    <row r="203" spans="4:6">
      <c r="D203" s="15">
        <v>44403</v>
      </c>
      <c r="F203" s="16">
        <v>15763.05</v>
      </c>
    </row>
    <row r="204" spans="4:6">
      <c r="D204" s="15">
        <v>44396</v>
      </c>
      <c r="F204" s="16">
        <v>15856.05</v>
      </c>
    </row>
    <row r="205" spans="4:6">
      <c r="D205" s="15">
        <v>44389</v>
      </c>
      <c r="F205" s="16">
        <v>15923.4</v>
      </c>
    </row>
    <row r="206" spans="4:6">
      <c r="D206" s="15">
        <v>44382</v>
      </c>
      <c r="F206" s="16">
        <v>15689.8</v>
      </c>
    </row>
    <row r="207" spans="4:6">
      <c r="D207" s="15">
        <v>44375</v>
      </c>
      <c r="F207" s="16">
        <v>15722.2</v>
      </c>
    </row>
    <row r="208" spans="4:6">
      <c r="D208" s="15">
        <v>44368</v>
      </c>
      <c r="F208" s="16">
        <v>15860.35</v>
      </c>
    </row>
    <row r="209" spans="4:6">
      <c r="D209" s="15">
        <v>44361</v>
      </c>
      <c r="F209" s="16">
        <v>15683.35</v>
      </c>
    </row>
    <row r="210" spans="4:6">
      <c r="D210" s="15">
        <v>44354</v>
      </c>
      <c r="F210" s="16">
        <v>15799.35</v>
      </c>
    </row>
    <row r="211" spans="4:6">
      <c r="D211" s="15">
        <v>44347</v>
      </c>
      <c r="F211" s="16">
        <v>15670.25</v>
      </c>
    </row>
    <row r="212" spans="4:6">
      <c r="D212" s="15">
        <v>44340</v>
      </c>
      <c r="F212" s="16">
        <v>15435.65</v>
      </c>
    </row>
    <row r="213" spans="4:6">
      <c r="D213" s="15">
        <v>44333</v>
      </c>
      <c r="F213" s="16">
        <v>15175.3</v>
      </c>
    </row>
    <row r="214" spans="4:6">
      <c r="D214" s="15">
        <v>44326</v>
      </c>
      <c r="F214" s="16">
        <v>14677.8</v>
      </c>
    </row>
    <row r="215" spans="4:6">
      <c r="D215" s="15">
        <v>44319</v>
      </c>
      <c r="F215" s="16">
        <v>14823.15</v>
      </c>
    </row>
    <row r="216" spans="4:6">
      <c r="D216" s="15">
        <v>44312</v>
      </c>
      <c r="F216" s="16">
        <v>14631.1</v>
      </c>
    </row>
    <row r="217" spans="4:6">
      <c r="D217" s="15">
        <v>44305</v>
      </c>
      <c r="F217" s="16">
        <v>14341.35</v>
      </c>
    </row>
    <row r="218" spans="4:6">
      <c r="D218" s="15">
        <v>44298</v>
      </c>
      <c r="F218" s="16">
        <v>14617.85</v>
      </c>
    </row>
    <row r="219" spans="4:6">
      <c r="D219" s="15">
        <v>44291</v>
      </c>
      <c r="F219" s="16">
        <v>14834.85</v>
      </c>
    </row>
    <row r="220" spans="4:6">
      <c r="D220" s="15">
        <v>44284</v>
      </c>
      <c r="F220" s="16">
        <v>14867.35</v>
      </c>
    </row>
    <row r="221" spans="4:6">
      <c r="D221" s="15">
        <v>44277</v>
      </c>
      <c r="F221" s="16">
        <v>14507.3</v>
      </c>
    </row>
    <row r="222" spans="4:6">
      <c r="D222" s="15">
        <v>44270</v>
      </c>
      <c r="F222" s="16">
        <v>14744</v>
      </c>
    </row>
    <row r="223" spans="4:6">
      <c r="D223" s="15">
        <v>44263</v>
      </c>
      <c r="F223" s="16">
        <v>15030.95</v>
      </c>
    </row>
    <row r="224" spans="4:6">
      <c r="D224" s="15">
        <v>44256</v>
      </c>
      <c r="F224" s="16">
        <v>14938.1</v>
      </c>
    </row>
    <row r="225" spans="4:6">
      <c r="D225" s="15">
        <v>44249</v>
      </c>
      <c r="F225" s="16">
        <v>14529.15</v>
      </c>
    </row>
    <row r="226" spans="4:6">
      <c r="D226" s="15">
        <v>44242</v>
      </c>
      <c r="F226" s="16">
        <v>14981.75</v>
      </c>
    </row>
    <row r="227" spans="4:6">
      <c r="D227" s="15">
        <v>44235</v>
      </c>
      <c r="F227" s="16">
        <v>15163.3</v>
      </c>
    </row>
    <row r="228" spans="4:6">
      <c r="D228" s="15">
        <v>44228</v>
      </c>
      <c r="F228" s="16">
        <v>14924.25</v>
      </c>
    </row>
    <row r="229" spans="4:6">
      <c r="D229" s="15">
        <v>44221</v>
      </c>
      <c r="F229" s="16">
        <v>13634.6</v>
      </c>
    </row>
    <row r="230" spans="4:6">
      <c r="D230" s="15">
        <v>44214</v>
      </c>
      <c r="F230" s="16">
        <v>14371.9</v>
      </c>
    </row>
    <row r="231" spans="4:6">
      <c r="D231" s="15">
        <v>44207</v>
      </c>
      <c r="F231" s="16">
        <v>14433.7</v>
      </c>
    </row>
    <row r="232" spans="4:6">
      <c r="D232" s="15">
        <v>44200</v>
      </c>
      <c r="F232" s="16">
        <v>14347.25</v>
      </c>
    </row>
    <row r="233" spans="4:6">
      <c r="D233" s="15">
        <v>44193</v>
      </c>
      <c r="F233" s="16">
        <v>14018.5</v>
      </c>
    </row>
    <row r="234" spans="4:6">
      <c r="D234" s="15">
        <v>44186</v>
      </c>
      <c r="F234" s="16">
        <v>13749.25</v>
      </c>
    </row>
    <row r="235" spans="4:6">
      <c r="D235" s="15">
        <v>44179</v>
      </c>
      <c r="F235" s="16">
        <v>13760.55</v>
      </c>
    </row>
    <row r="236" spans="4:6">
      <c r="D236" s="15">
        <v>44172</v>
      </c>
      <c r="F236" s="16">
        <v>13513.85</v>
      </c>
    </row>
    <row r="237" spans="4:6">
      <c r="D237" s="15">
        <v>44165</v>
      </c>
      <c r="F237" s="16">
        <v>13258.55</v>
      </c>
    </row>
    <row r="238" spans="4:6">
      <c r="D238" s="15">
        <v>44158</v>
      </c>
      <c r="F238" s="16">
        <v>12968.95</v>
      </c>
    </row>
    <row r="239" spans="4:6">
      <c r="D239" s="15">
        <v>44151</v>
      </c>
      <c r="F239" s="16">
        <v>12859.05</v>
      </c>
    </row>
    <row r="240" spans="4:6">
      <c r="D240" s="15">
        <v>44144</v>
      </c>
      <c r="F240" s="16">
        <v>12719.95</v>
      </c>
    </row>
    <row r="241" spans="4:6">
      <c r="D241" s="15">
        <v>44137</v>
      </c>
      <c r="F241" s="16">
        <v>12263.55</v>
      </c>
    </row>
    <row r="242" spans="4:6">
      <c r="D242" s="15">
        <v>44130</v>
      </c>
      <c r="F242" s="16">
        <v>11642.4</v>
      </c>
    </row>
    <row r="243" spans="4:6">
      <c r="D243" s="15">
        <v>44123</v>
      </c>
      <c r="F243" s="16">
        <v>11930.35</v>
      </c>
    </row>
    <row r="244" spans="4:6">
      <c r="D244" s="15">
        <v>44116</v>
      </c>
      <c r="F244" s="16">
        <v>11762.45</v>
      </c>
    </row>
    <row r="245" spans="4:6">
      <c r="D245" s="15">
        <v>44109</v>
      </c>
      <c r="F245" s="16">
        <v>11914.2</v>
      </c>
    </row>
    <row r="246" spans="4:6">
      <c r="D246" s="15">
        <v>44102</v>
      </c>
      <c r="F246" s="16">
        <v>11416.95</v>
      </c>
    </row>
    <row r="247" spans="4:6">
      <c r="D247" s="15">
        <v>44095</v>
      </c>
      <c r="F247" s="16">
        <v>11050.25</v>
      </c>
    </row>
    <row r="248" spans="4:6">
      <c r="D248" s="15">
        <v>44088</v>
      </c>
      <c r="F248" s="16">
        <v>11504.95</v>
      </c>
    </row>
    <row r="249" spans="4:6">
      <c r="D249" s="15">
        <v>44081</v>
      </c>
      <c r="F249" s="16">
        <v>11464.45</v>
      </c>
    </row>
    <row r="250" spans="4:6">
      <c r="D250" s="15">
        <v>44074</v>
      </c>
      <c r="F250" s="16">
        <v>11333.85</v>
      </c>
    </row>
    <row r="251" spans="4:6">
      <c r="D251" s="15">
        <v>44067</v>
      </c>
      <c r="F251" s="16">
        <v>11647.6</v>
      </c>
    </row>
    <row r="252" spans="4:6">
      <c r="D252" s="15">
        <v>44060</v>
      </c>
      <c r="F252" s="16">
        <v>11371.6</v>
      </c>
    </row>
    <row r="253" spans="4:6">
      <c r="D253" s="15">
        <v>44053</v>
      </c>
      <c r="F253" s="16">
        <v>11178.4</v>
      </c>
    </row>
    <row r="254" spans="4:6">
      <c r="D254" s="15">
        <v>44046</v>
      </c>
      <c r="F254" s="16">
        <v>11214.05</v>
      </c>
    </row>
    <row r="255" spans="4:6">
      <c r="D255" s="15">
        <v>44039</v>
      </c>
      <c r="F255" s="16">
        <v>11073.45</v>
      </c>
    </row>
    <row r="256" spans="4:6">
      <c r="D256" s="15">
        <v>44032</v>
      </c>
      <c r="F256" s="16">
        <v>11194.15</v>
      </c>
    </row>
    <row r="257" spans="4:6">
      <c r="D257" s="15">
        <v>44025</v>
      </c>
      <c r="F257" s="16">
        <v>10901.7</v>
      </c>
    </row>
    <row r="258" spans="4:6">
      <c r="D258" s="15">
        <v>44018</v>
      </c>
      <c r="F258" s="16">
        <v>10768.05</v>
      </c>
    </row>
    <row r="259" spans="4:6">
      <c r="D259" s="15">
        <v>44011</v>
      </c>
      <c r="F259" s="16">
        <v>10607.35</v>
      </c>
    </row>
    <row r="260" spans="4:6">
      <c r="D260" s="15">
        <v>44004</v>
      </c>
      <c r="F260" s="16">
        <v>10383</v>
      </c>
    </row>
    <row r="261" spans="4:6">
      <c r="D261" s="15">
        <v>43997</v>
      </c>
      <c r="F261" s="16">
        <v>10244.4</v>
      </c>
    </row>
    <row r="262" spans="4:6">
      <c r="D262" s="15">
        <v>43990</v>
      </c>
      <c r="F262" s="16">
        <v>9972.9</v>
      </c>
    </row>
    <row r="263" spans="4:6">
      <c r="D263" s="15">
        <v>43983</v>
      </c>
      <c r="F263" s="16">
        <v>10142.15</v>
      </c>
    </row>
    <row r="264" spans="4:6">
      <c r="D264" s="15">
        <v>43976</v>
      </c>
      <c r="F264" s="16">
        <v>9580.2999999999993</v>
      </c>
    </row>
    <row r="265" spans="4:6">
      <c r="D265" s="15">
        <v>43969</v>
      </c>
      <c r="F265" s="16">
        <v>9039.25</v>
      </c>
    </row>
    <row r="266" spans="4:6">
      <c r="D266" s="15">
        <v>43962</v>
      </c>
      <c r="F266" s="16">
        <v>9136.85</v>
      </c>
    </row>
    <row r="267" spans="4:6">
      <c r="D267" s="15">
        <v>43955</v>
      </c>
      <c r="F267" s="16">
        <v>9251.5</v>
      </c>
    </row>
    <row r="268" spans="4:6">
      <c r="D268" s="15">
        <v>43948</v>
      </c>
      <c r="F268" s="16">
        <v>9859.9</v>
      </c>
    </row>
    <row r="269" spans="4:6">
      <c r="D269" s="15">
        <v>43941</v>
      </c>
      <c r="F269" s="16">
        <v>9154.4</v>
      </c>
    </row>
    <row r="270" spans="4:6">
      <c r="D270" s="15">
        <v>43934</v>
      </c>
      <c r="F270" s="16">
        <v>9266.75</v>
      </c>
    </row>
    <row r="271" spans="4:6">
      <c r="D271" s="15">
        <v>43927</v>
      </c>
      <c r="F271" s="16">
        <v>9111.9</v>
      </c>
    </row>
    <row r="272" spans="4:6">
      <c r="D272" s="15">
        <v>43920</v>
      </c>
      <c r="F272" s="16">
        <v>8083.8</v>
      </c>
    </row>
    <row r="273" spans="4:6">
      <c r="D273" s="15">
        <v>43913</v>
      </c>
      <c r="F273" s="16">
        <v>8660.25</v>
      </c>
    </row>
    <row r="274" spans="4:6">
      <c r="D274" s="15">
        <v>43906</v>
      </c>
      <c r="F274" s="16">
        <v>8745.4500000000007</v>
      </c>
    </row>
    <row r="275" spans="4:6">
      <c r="D275" s="15">
        <v>43899</v>
      </c>
      <c r="F275" s="16">
        <v>9955.2000000000007</v>
      </c>
    </row>
    <row r="276" spans="4:6">
      <c r="D276" s="15">
        <v>43892</v>
      </c>
      <c r="F276" s="16">
        <v>10989.45</v>
      </c>
    </row>
    <row r="277" spans="4:6">
      <c r="D277" s="15">
        <v>43885</v>
      </c>
      <c r="F277" s="16">
        <v>11201.75</v>
      </c>
    </row>
    <row r="278" spans="4:6">
      <c r="D278" s="15">
        <v>43878</v>
      </c>
      <c r="F278" s="16">
        <v>12080.85</v>
      </c>
    </row>
    <row r="279" spans="4:6">
      <c r="D279" s="15">
        <v>43871</v>
      </c>
      <c r="F279" s="16">
        <v>12113.45</v>
      </c>
    </row>
    <row r="280" spans="4:6">
      <c r="D280" s="15">
        <v>43864</v>
      </c>
      <c r="F280" s="16">
        <v>12098.35</v>
      </c>
    </row>
    <row r="281" spans="4:6">
      <c r="D281" s="15">
        <v>43857</v>
      </c>
      <c r="F281" s="16">
        <v>11962.1</v>
      </c>
    </row>
    <row r="282" spans="4:6">
      <c r="D282" s="15">
        <v>43850</v>
      </c>
      <c r="F282" s="16">
        <v>12248.25</v>
      </c>
    </row>
    <row r="283" spans="4:6">
      <c r="D283" s="15">
        <v>43843</v>
      </c>
      <c r="F283" s="16">
        <v>12352.35</v>
      </c>
    </row>
    <row r="284" spans="4:6">
      <c r="D284" s="15">
        <v>43836</v>
      </c>
      <c r="F284" s="16">
        <v>12256.8</v>
      </c>
    </row>
    <row r="285" spans="4:6">
      <c r="D285" s="15">
        <v>43829</v>
      </c>
      <c r="F285" s="16">
        <v>12226.65</v>
      </c>
    </row>
    <row r="286" spans="4:6">
      <c r="D286" s="15">
        <v>43822</v>
      </c>
      <c r="F286" s="16">
        <v>12245.8</v>
      </c>
    </row>
    <row r="287" spans="4:6">
      <c r="D287" s="15">
        <v>43815</v>
      </c>
      <c r="F287" s="16">
        <v>12271.8</v>
      </c>
    </row>
    <row r="288" spans="4:6">
      <c r="D288" s="15">
        <v>43808</v>
      </c>
      <c r="F288" s="16">
        <v>12086.7</v>
      </c>
    </row>
    <row r="289" spans="4:6">
      <c r="D289" s="15">
        <v>43801</v>
      </c>
      <c r="F289" s="16">
        <v>11921.5</v>
      </c>
    </row>
    <row r="290" spans="4:6">
      <c r="D290" s="15">
        <v>43794</v>
      </c>
      <c r="F290" s="16">
        <v>12056.05</v>
      </c>
    </row>
    <row r="291" spans="4:6">
      <c r="D291" s="15">
        <v>43787</v>
      </c>
      <c r="F291" s="16">
        <v>11914.4</v>
      </c>
    </row>
    <row r="292" spans="4:6">
      <c r="D292" s="15">
        <v>43780</v>
      </c>
      <c r="F292" s="16">
        <v>11895.45</v>
      </c>
    </row>
    <row r="293" spans="4:6">
      <c r="D293" s="15">
        <v>43773</v>
      </c>
      <c r="F293" s="16">
        <v>11908.15</v>
      </c>
    </row>
    <row r="294" spans="4:6">
      <c r="D294" s="15">
        <v>43766</v>
      </c>
      <c r="F294" s="16">
        <v>11890.6</v>
      </c>
    </row>
    <row r="295" spans="4:6">
      <c r="D295" s="15">
        <v>43759</v>
      </c>
      <c r="F295" s="16">
        <v>11583.9</v>
      </c>
    </row>
    <row r="296" spans="4:6">
      <c r="D296" s="15">
        <v>43752</v>
      </c>
      <c r="F296" s="16">
        <v>11661.85</v>
      </c>
    </row>
    <row r="297" spans="4:6">
      <c r="D297" s="15">
        <v>43745</v>
      </c>
      <c r="F297" s="16">
        <v>11305.05</v>
      </c>
    </row>
    <row r="298" spans="4:6">
      <c r="D298" s="15">
        <v>43738</v>
      </c>
      <c r="F298" s="16">
        <v>11174.75</v>
      </c>
    </row>
    <row r="299" spans="4:6">
      <c r="D299" s="15">
        <v>43731</v>
      </c>
      <c r="F299" s="16">
        <v>11512.4</v>
      </c>
    </row>
    <row r="300" spans="4:6">
      <c r="D300" s="15">
        <v>43724</v>
      </c>
      <c r="F300" s="16">
        <v>11274.2</v>
      </c>
    </row>
    <row r="301" spans="4:6">
      <c r="D301" s="15">
        <v>43717</v>
      </c>
      <c r="F301" s="16">
        <v>11075.9</v>
      </c>
    </row>
    <row r="302" spans="4:6">
      <c r="D302" s="15">
        <v>43710</v>
      </c>
      <c r="F302" s="16">
        <v>10946.2</v>
      </c>
    </row>
    <row r="303" spans="4:6">
      <c r="D303" s="15">
        <v>43703</v>
      </c>
      <c r="F303" s="16">
        <v>11023.25</v>
      </c>
    </row>
    <row r="304" spans="4:6">
      <c r="D304" s="15">
        <v>43696</v>
      </c>
      <c r="F304" s="16">
        <v>10829.35</v>
      </c>
    </row>
    <row r="305" spans="4:6">
      <c r="D305" s="15">
        <v>43689</v>
      </c>
      <c r="F305" s="16">
        <v>11047.8</v>
      </c>
    </row>
    <row r="306" spans="4:6">
      <c r="D306" s="15">
        <v>43682</v>
      </c>
      <c r="F306" s="16">
        <v>11109.65</v>
      </c>
    </row>
    <row r="307" spans="4:6">
      <c r="D307" s="15">
        <v>43675</v>
      </c>
      <c r="F307" s="16">
        <v>10997.35</v>
      </c>
    </row>
    <row r="308" spans="4:6">
      <c r="D308" s="15">
        <v>43668</v>
      </c>
      <c r="F308" s="16">
        <v>11284.3</v>
      </c>
    </row>
    <row r="309" spans="4:6">
      <c r="D309" s="15">
        <v>43661</v>
      </c>
      <c r="F309" s="16">
        <v>11419.25</v>
      </c>
    </row>
    <row r="310" spans="4:6">
      <c r="D310" s="15">
        <v>43654</v>
      </c>
      <c r="F310" s="16">
        <v>11552.5</v>
      </c>
    </row>
    <row r="311" spans="4:6">
      <c r="D311" s="15">
        <v>43647</v>
      </c>
      <c r="F311" s="16">
        <v>11811.15</v>
      </c>
    </row>
    <row r="312" spans="4:6">
      <c r="D312" s="15">
        <v>43640</v>
      </c>
      <c r="F312" s="16">
        <v>11788.85</v>
      </c>
    </row>
    <row r="313" spans="4:6">
      <c r="D313" s="15">
        <v>43633</v>
      </c>
      <c r="F313" s="16">
        <v>11724.1</v>
      </c>
    </row>
    <row r="314" spans="4:6">
      <c r="D314" s="15">
        <v>43626</v>
      </c>
      <c r="F314" s="16">
        <v>11823.3</v>
      </c>
    </row>
    <row r="315" spans="4:6">
      <c r="D315" s="15">
        <v>43619</v>
      </c>
      <c r="F315" s="16">
        <v>11870.65</v>
      </c>
    </row>
    <row r="316" spans="4:6">
      <c r="D316" s="15">
        <v>43612</v>
      </c>
      <c r="F316" s="16">
        <v>11922.8</v>
      </c>
    </row>
    <row r="317" spans="4:6">
      <c r="D317" s="15">
        <v>43605</v>
      </c>
      <c r="F317" s="16">
        <v>11844.1</v>
      </c>
    </row>
    <row r="318" spans="4:6">
      <c r="D318" s="15">
        <v>43598</v>
      </c>
      <c r="F318" s="16">
        <v>11407.15</v>
      </c>
    </row>
    <row r="319" spans="4:6">
      <c r="D319" s="15">
        <v>43591</v>
      </c>
      <c r="F319" s="16">
        <v>11278.9</v>
      </c>
    </row>
    <row r="320" spans="4:6">
      <c r="D320" s="15">
        <v>43584</v>
      </c>
      <c r="F320" s="16">
        <v>11712.25</v>
      </c>
    </row>
    <row r="321" spans="4:6">
      <c r="D321" s="15">
        <v>43577</v>
      </c>
      <c r="F321" s="16">
        <v>11754.65</v>
      </c>
    </row>
    <row r="322" spans="4:6">
      <c r="D322" s="15">
        <v>43570</v>
      </c>
      <c r="F322" s="16">
        <v>11752.8</v>
      </c>
    </row>
    <row r="323" spans="4:6">
      <c r="D323" s="15">
        <v>43563</v>
      </c>
      <c r="F323" s="16">
        <v>11643.45</v>
      </c>
    </row>
    <row r="324" spans="4:6">
      <c r="D324" s="15">
        <v>43556</v>
      </c>
      <c r="F324" s="16">
        <v>11665.95</v>
      </c>
    </row>
    <row r="325" spans="4:6">
      <c r="D325" s="15">
        <v>43549</v>
      </c>
      <c r="F325" s="16">
        <v>11623.9</v>
      </c>
    </row>
    <row r="326" spans="4:6">
      <c r="D326" s="15">
        <v>43542</v>
      </c>
      <c r="F326" s="16">
        <v>11456.9</v>
      </c>
    </row>
    <row r="327" spans="4:6">
      <c r="D327" s="15">
        <v>43535</v>
      </c>
      <c r="F327" s="16">
        <v>11426.85</v>
      </c>
    </row>
    <row r="328" spans="4:6">
      <c r="D328" s="15">
        <v>43528</v>
      </c>
      <c r="F328" s="16">
        <v>11035.4</v>
      </c>
    </row>
    <row r="329" spans="4:6">
      <c r="D329" s="15">
        <v>43521</v>
      </c>
      <c r="F329" s="16">
        <v>10863.5</v>
      </c>
    </row>
    <row r="330" spans="4:6">
      <c r="D330" s="15">
        <v>43514</v>
      </c>
      <c r="F330" s="16">
        <v>10791.65</v>
      </c>
    </row>
    <row r="331" spans="4:6">
      <c r="D331" s="15">
        <v>43507</v>
      </c>
      <c r="F331" s="16">
        <v>10724.4</v>
      </c>
    </row>
    <row r="332" spans="4:6">
      <c r="D332" s="15">
        <v>43500</v>
      </c>
      <c r="F332" s="16">
        <v>10943.6</v>
      </c>
    </row>
    <row r="333" spans="4:6">
      <c r="D333" s="15">
        <v>43493</v>
      </c>
      <c r="F333" s="16">
        <v>10893.65</v>
      </c>
    </row>
    <row r="334" spans="4:6">
      <c r="D334" s="15">
        <v>43486</v>
      </c>
      <c r="F334" s="16">
        <v>10780.55</v>
      </c>
    </row>
    <row r="335" spans="4:6">
      <c r="D335" s="15">
        <v>43479</v>
      </c>
      <c r="F335" s="16">
        <v>10906.95</v>
      </c>
    </row>
    <row r="336" spans="4:6">
      <c r="D336" s="15">
        <v>43472</v>
      </c>
      <c r="F336" s="16">
        <v>10794.95</v>
      </c>
    </row>
    <row r="337" spans="4:6">
      <c r="D337" s="15">
        <v>43465</v>
      </c>
      <c r="F337" s="16">
        <v>10727.35</v>
      </c>
    </row>
    <row r="338" spans="4:6">
      <c r="D338" s="15">
        <v>43458</v>
      </c>
      <c r="F338" s="16">
        <v>10859.9</v>
      </c>
    </row>
    <row r="339" spans="4:6">
      <c r="D339" s="15">
        <v>43451</v>
      </c>
      <c r="F339" s="16">
        <v>10754</v>
      </c>
    </row>
    <row r="340" spans="4:6">
      <c r="D340" s="15">
        <v>43444</v>
      </c>
      <c r="F340" s="16">
        <v>10805.45</v>
      </c>
    </row>
    <row r="341" spans="4:6">
      <c r="D341" s="15">
        <v>43437</v>
      </c>
      <c r="F341" s="16">
        <v>10693.7</v>
      </c>
    </row>
    <row r="342" spans="4:6">
      <c r="D342" s="15">
        <v>43430</v>
      </c>
      <c r="F342" s="16">
        <v>10876.75</v>
      </c>
    </row>
    <row r="343" spans="4:6">
      <c r="D343" s="15">
        <v>43423</v>
      </c>
      <c r="F343" s="16">
        <v>10526.75</v>
      </c>
    </row>
    <row r="344" spans="4:6">
      <c r="D344" s="15">
        <v>43416</v>
      </c>
      <c r="F344" s="16">
        <v>10682.2</v>
      </c>
    </row>
    <row r="345" spans="4:6">
      <c r="D345" s="15">
        <v>43409</v>
      </c>
      <c r="F345" s="16">
        <v>10585.2</v>
      </c>
    </row>
    <row r="346" spans="4:6">
      <c r="D346" s="15">
        <v>43402</v>
      </c>
      <c r="F346" s="16">
        <v>10553</v>
      </c>
    </row>
    <row r="347" spans="4:6">
      <c r="D347" s="15">
        <v>43395</v>
      </c>
      <c r="F347" s="16">
        <v>10030</v>
      </c>
    </row>
    <row r="348" spans="4:6">
      <c r="D348" s="15">
        <v>43388</v>
      </c>
      <c r="F348" s="16">
        <v>10303.549999999999</v>
      </c>
    </row>
    <row r="349" spans="4:6">
      <c r="D349" s="15">
        <v>43381</v>
      </c>
      <c r="F349" s="16">
        <v>10472.5</v>
      </c>
    </row>
    <row r="350" spans="4:6">
      <c r="D350" s="15">
        <v>43374</v>
      </c>
      <c r="F350" s="16">
        <v>10316.450000000001</v>
      </c>
    </row>
    <row r="351" spans="4:6">
      <c r="D351" s="15">
        <v>43367</v>
      </c>
      <c r="F351" s="16">
        <v>10930.45</v>
      </c>
    </row>
    <row r="352" spans="4:6">
      <c r="D352" s="15">
        <v>43360</v>
      </c>
      <c r="F352" s="16">
        <v>11143.1</v>
      </c>
    </row>
    <row r="353" spans="4:6">
      <c r="D353" s="15">
        <v>43353</v>
      </c>
      <c r="F353" s="16">
        <v>11515.2</v>
      </c>
    </row>
    <row r="354" spans="4:6">
      <c r="D354" s="15">
        <v>43346</v>
      </c>
      <c r="F354" s="16">
        <v>11589.1</v>
      </c>
    </row>
    <row r="355" spans="4:6">
      <c r="D355" s="15">
        <v>43339</v>
      </c>
      <c r="F355" s="16">
        <v>11680.5</v>
      </c>
    </row>
    <row r="356" spans="4:6">
      <c r="D356" s="15">
        <v>43332</v>
      </c>
      <c r="F356" s="16">
        <v>11557.1</v>
      </c>
    </row>
    <row r="357" spans="4:6">
      <c r="D357" s="15">
        <v>43325</v>
      </c>
      <c r="F357" s="16">
        <v>11470.75</v>
      </c>
    </row>
    <row r="358" spans="4:6">
      <c r="D358" s="15">
        <v>43318</v>
      </c>
      <c r="F358" s="16">
        <v>11429.5</v>
      </c>
    </row>
    <row r="359" spans="4:6">
      <c r="D359" s="15">
        <v>43311</v>
      </c>
      <c r="F359" s="16">
        <v>11360.8</v>
      </c>
    </row>
    <row r="360" spans="4:6">
      <c r="D360" s="15">
        <v>43304</v>
      </c>
      <c r="F360" s="16">
        <v>11278.35</v>
      </c>
    </row>
    <row r="361" spans="4:6">
      <c r="D361" s="15">
        <v>43297</v>
      </c>
      <c r="F361" s="16">
        <v>11010.2</v>
      </c>
    </row>
    <row r="362" spans="4:6">
      <c r="D362" s="15">
        <v>43290</v>
      </c>
      <c r="F362" s="16">
        <v>11018.9</v>
      </c>
    </row>
    <row r="363" spans="4:6">
      <c r="D363" s="15">
        <v>43283</v>
      </c>
      <c r="F363" s="16">
        <v>10772.65</v>
      </c>
    </row>
    <row r="364" spans="4:6">
      <c r="D364" s="15">
        <v>43276</v>
      </c>
      <c r="F364" s="16">
        <v>10714.3</v>
      </c>
    </row>
    <row r="365" spans="4:6">
      <c r="D365" s="15">
        <v>43269</v>
      </c>
      <c r="F365" s="16">
        <v>10821.85</v>
      </c>
    </row>
    <row r="366" spans="4:6">
      <c r="D366" s="15">
        <v>43262</v>
      </c>
      <c r="F366" s="16">
        <v>10817.7</v>
      </c>
    </row>
    <row r="367" spans="4:6">
      <c r="D367" s="15">
        <v>43255</v>
      </c>
      <c r="F367" s="16">
        <v>10767.65</v>
      </c>
    </row>
    <row r="368" spans="4:6">
      <c r="D368" s="15">
        <v>43248</v>
      </c>
      <c r="F368" s="16">
        <v>10696.2</v>
      </c>
    </row>
    <row r="369" spans="4:6">
      <c r="D369" s="15">
        <v>43241</v>
      </c>
      <c r="F369" s="16">
        <v>10605.15</v>
      </c>
    </row>
    <row r="370" spans="4:6">
      <c r="D370" s="15">
        <v>43234</v>
      </c>
      <c r="F370" s="16">
        <v>10596.4</v>
      </c>
    </row>
    <row r="371" spans="4:6">
      <c r="D371" s="15">
        <v>43227</v>
      </c>
      <c r="F371" s="16">
        <v>10806.5</v>
      </c>
    </row>
    <row r="372" spans="4:6">
      <c r="D372" s="15">
        <v>43220</v>
      </c>
      <c r="F372" s="16">
        <v>10618.25</v>
      </c>
    </row>
    <row r="373" spans="4:6">
      <c r="D373" s="15">
        <v>43213</v>
      </c>
      <c r="F373" s="16">
        <v>10692.3</v>
      </c>
    </row>
    <row r="374" spans="4:6">
      <c r="D374" s="15">
        <v>43206</v>
      </c>
      <c r="F374" s="16">
        <v>10564.05</v>
      </c>
    </row>
    <row r="375" spans="4:6">
      <c r="D375" s="15">
        <v>43199</v>
      </c>
      <c r="F375" s="16">
        <v>10480.6</v>
      </c>
    </row>
    <row r="376" spans="4:6">
      <c r="D376" s="15">
        <v>43192</v>
      </c>
      <c r="F376" s="16">
        <v>10331.6</v>
      </c>
    </row>
    <row r="377" spans="4:6">
      <c r="D377" s="15">
        <v>43185</v>
      </c>
      <c r="F377" s="16">
        <v>10113.700000000001</v>
      </c>
    </row>
    <row r="378" spans="4:6">
      <c r="D378" s="15">
        <v>43178</v>
      </c>
      <c r="F378" s="16">
        <v>9998.0499999999993</v>
      </c>
    </row>
    <row r="379" spans="4:6">
      <c r="D379" s="15">
        <v>43171</v>
      </c>
      <c r="F379" s="16">
        <v>10195.15</v>
      </c>
    </row>
    <row r="380" spans="4:6">
      <c r="D380" s="15">
        <v>43164</v>
      </c>
      <c r="F380" s="16">
        <v>10226.85</v>
      </c>
    </row>
    <row r="381" spans="4:6">
      <c r="D381" s="15">
        <v>43157</v>
      </c>
      <c r="F381" s="16">
        <v>10458.35</v>
      </c>
    </row>
    <row r="382" spans="4:6">
      <c r="D382" s="15">
        <v>43150</v>
      </c>
      <c r="F382" s="16">
        <v>10491.05</v>
      </c>
    </row>
    <row r="383" spans="4:6">
      <c r="D383" s="15">
        <v>43143</v>
      </c>
      <c r="F383" s="16">
        <v>10452.299999999999</v>
      </c>
    </row>
    <row r="384" spans="4:6">
      <c r="D384" s="15">
        <v>43136</v>
      </c>
      <c r="F384" s="16">
        <v>10454.950000000001</v>
      </c>
    </row>
    <row r="385" spans="4:6">
      <c r="D385" s="15">
        <v>43129</v>
      </c>
      <c r="F385" s="16">
        <v>10760.6</v>
      </c>
    </row>
    <row r="386" spans="4:6">
      <c r="D386" s="15">
        <v>43122</v>
      </c>
      <c r="F386" s="16">
        <v>11069.65</v>
      </c>
    </row>
    <row r="387" spans="4:6">
      <c r="D387" s="15">
        <v>43115</v>
      </c>
      <c r="F387" s="16">
        <v>10894.7</v>
      </c>
    </row>
    <row r="388" spans="4:6">
      <c r="D388" s="15">
        <v>43108</v>
      </c>
      <c r="F388" s="16">
        <v>10681.25</v>
      </c>
    </row>
    <row r="389" spans="4:6">
      <c r="D389" s="15">
        <v>43101</v>
      </c>
      <c r="F389" s="16">
        <v>10558.85</v>
      </c>
    </row>
    <row r="390" spans="4:6">
      <c r="D390" s="15">
        <v>43094</v>
      </c>
      <c r="F390" s="16">
        <v>10530.7</v>
      </c>
    </row>
    <row r="391" spans="4:6">
      <c r="D391" s="15">
        <v>43087</v>
      </c>
      <c r="F391" s="16">
        <v>10493</v>
      </c>
    </row>
    <row r="392" spans="4:6">
      <c r="D392" s="15">
        <v>43080</v>
      </c>
      <c r="F392" s="16">
        <v>10333.25</v>
      </c>
    </row>
    <row r="393" spans="4:6">
      <c r="D393" s="15">
        <v>43073</v>
      </c>
      <c r="F393" s="16">
        <v>10265.65</v>
      </c>
    </row>
    <row r="394" spans="4:6">
      <c r="D394" s="15">
        <v>43066</v>
      </c>
      <c r="F394" s="16">
        <v>10121.799999999999</v>
      </c>
    </row>
    <row r="395" spans="4:6">
      <c r="D395" s="15">
        <v>43059</v>
      </c>
      <c r="F395" s="16">
        <v>10389.700000000001</v>
      </c>
    </row>
    <row r="396" spans="4:6">
      <c r="D396" s="15">
        <v>43052</v>
      </c>
      <c r="F396" s="16">
        <v>10283.6</v>
      </c>
    </row>
    <row r="397" spans="4:6">
      <c r="D397" s="15">
        <v>43045</v>
      </c>
      <c r="F397" s="16">
        <v>10321.75</v>
      </c>
    </row>
    <row r="398" spans="4:6">
      <c r="D398" s="15">
        <v>43038</v>
      </c>
      <c r="F398" s="16">
        <v>10452.5</v>
      </c>
    </row>
    <row r="399" spans="4:6">
      <c r="D399" s="15">
        <v>43031</v>
      </c>
      <c r="F399" s="16">
        <v>10323.049999999999</v>
      </c>
    </row>
    <row r="400" spans="4:6">
      <c r="D400" s="15">
        <v>43024</v>
      </c>
      <c r="F400" s="16">
        <v>10146.549999999999</v>
      </c>
    </row>
    <row r="401" spans="4:6">
      <c r="D401" s="15">
        <v>43017</v>
      </c>
      <c r="F401" s="16">
        <v>10167.450000000001</v>
      </c>
    </row>
    <row r="402" spans="4:6">
      <c r="D402" s="15">
        <v>43010</v>
      </c>
      <c r="F402" s="16">
        <v>9979.7000000000007</v>
      </c>
    </row>
    <row r="403" spans="4:6">
      <c r="D403" s="15">
        <v>43003</v>
      </c>
      <c r="F403" s="16">
        <v>9788.6</v>
      </c>
    </row>
    <row r="404" spans="4:6">
      <c r="D404" s="15">
        <v>42996</v>
      </c>
      <c r="F404" s="16">
        <v>9964.4</v>
      </c>
    </row>
    <row r="405" spans="4:6">
      <c r="D405" s="15">
        <v>42989</v>
      </c>
      <c r="F405" s="16">
        <v>10085.4</v>
      </c>
    </row>
    <row r="406" spans="4:6">
      <c r="D406" s="15">
        <v>42982</v>
      </c>
      <c r="F406" s="16">
        <v>9934.7999999999993</v>
      </c>
    </row>
    <row r="407" spans="4:6">
      <c r="D407" s="15">
        <v>42975</v>
      </c>
      <c r="F407" s="16">
        <v>9974.4</v>
      </c>
    </row>
    <row r="408" spans="4:6">
      <c r="D408" s="15">
        <v>42968</v>
      </c>
      <c r="F408" s="16">
        <v>9857.0499999999993</v>
      </c>
    </row>
    <row r="409" spans="4:6">
      <c r="D409" s="15">
        <v>42961</v>
      </c>
      <c r="F409" s="16">
        <v>9837.4</v>
      </c>
    </row>
    <row r="410" spans="4:6">
      <c r="D410" s="15">
        <v>42954</v>
      </c>
      <c r="F410" s="16">
        <v>9710.7999999999993</v>
      </c>
    </row>
    <row r="411" spans="4:6">
      <c r="D411" s="15">
        <v>42947</v>
      </c>
      <c r="F411" s="16">
        <v>10066.4</v>
      </c>
    </row>
    <row r="412" spans="4:6">
      <c r="D412" s="15">
        <v>42940</v>
      </c>
      <c r="F412" s="16">
        <v>10014.5</v>
      </c>
    </row>
    <row r="413" spans="4:6">
      <c r="D413" s="15">
        <v>42933</v>
      </c>
      <c r="F413" s="16">
        <v>9915.25</v>
      </c>
    </row>
    <row r="414" spans="4:6">
      <c r="D414" s="15">
        <v>42926</v>
      </c>
      <c r="F414" s="16">
        <v>9886.35</v>
      </c>
    </row>
    <row r="415" spans="4:6">
      <c r="D415" s="15">
        <v>42919</v>
      </c>
      <c r="F415" s="16">
        <v>9665.7999999999993</v>
      </c>
    </row>
    <row r="416" spans="4:6">
      <c r="D416" s="15">
        <v>42912</v>
      </c>
      <c r="F416" s="16">
        <v>9520.9</v>
      </c>
    </row>
    <row r="417" spans="4:6">
      <c r="D417" s="15">
        <v>42905</v>
      </c>
      <c r="F417" s="16">
        <v>9574.9500000000007</v>
      </c>
    </row>
    <row r="418" spans="4:6">
      <c r="D418" s="15">
        <v>42898</v>
      </c>
      <c r="F418" s="16">
        <v>9588.0499999999993</v>
      </c>
    </row>
    <row r="419" spans="4:6">
      <c r="D419" s="15">
        <v>42891</v>
      </c>
      <c r="F419" s="16">
        <v>9668.25</v>
      </c>
    </row>
    <row r="420" spans="4:6">
      <c r="D420" s="15">
        <v>42884</v>
      </c>
      <c r="F420" s="16">
        <v>9653.5</v>
      </c>
    </row>
    <row r="421" spans="4:6">
      <c r="D421" s="15">
        <v>42877</v>
      </c>
      <c r="F421" s="16">
        <v>9595.1</v>
      </c>
    </row>
    <row r="422" spans="4:6">
      <c r="D422" s="15">
        <v>42870</v>
      </c>
      <c r="F422" s="16">
        <v>9427.9</v>
      </c>
    </row>
    <row r="423" spans="4:6">
      <c r="D423" s="15">
        <v>42863</v>
      </c>
      <c r="F423" s="16">
        <v>9400.9</v>
      </c>
    </row>
    <row r="424" spans="4:6">
      <c r="D424" s="15">
        <v>42856</v>
      </c>
      <c r="F424" s="16">
        <v>9285.2999999999993</v>
      </c>
    </row>
    <row r="425" spans="4:6">
      <c r="D425" s="15">
        <v>42849</v>
      </c>
      <c r="F425" s="16">
        <v>9304.0499999999993</v>
      </c>
    </row>
    <row r="426" spans="4:6">
      <c r="D426" s="15">
        <v>42842</v>
      </c>
      <c r="F426" s="16">
        <v>9119.4</v>
      </c>
    </row>
    <row r="427" spans="4:6">
      <c r="D427" s="15">
        <v>42835</v>
      </c>
      <c r="F427" s="16">
        <v>9150.7999999999993</v>
      </c>
    </row>
    <row r="428" spans="4:6">
      <c r="D428" s="15">
        <v>42828</v>
      </c>
      <c r="F428" s="16">
        <v>9198.2999999999993</v>
      </c>
    </row>
    <row r="429" spans="4:6">
      <c r="D429" s="15">
        <v>42821</v>
      </c>
      <c r="F429" s="16">
        <v>9173.75</v>
      </c>
    </row>
    <row r="430" spans="4:6">
      <c r="D430" s="15">
        <v>42814</v>
      </c>
      <c r="F430" s="16">
        <v>9108</v>
      </c>
    </row>
    <row r="431" spans="4:6">
      <c r="D431" s="15">
        <v>42807</v>
      </c>
      <c r="F431" s="16">
        <v>9160.0499999999993</v>
      </c>
    </row>
    <row r="432" spans="4:6">
      <c r="D432" s="15">
        <v>42800</v>
      </c>
      <c r="F432" s="16">
        <v>8934.5499999999993</v>
      </c>
    </row>
    <row r="433" spans="4:6">
      <c r="D433" s="15">
        <v>42793</v>
      </c>
      <c r="F433" s="16">
        <v>8897.5499999999993</v>
      </c>
    </row>
    <row r="434" spans="4:6">
      <c r="D434" s="15">
        <v>42786</v>
      </c>
      <c r="F434" s="16">
        <v>8939.5</v>
      </c>
    </row>
    <row r="435" spans="4:6">
      <c r="D435" s="15">
        <v>42779</v>
      </c>
      <c r="F435" s="16">
        <v>8821.7000000000007</v>
      </c>
    </row>
    <row r="436" spans="4:6">
      <c r="D436" s="15">
        <v>42772</v>
      </c>
      <c r="F436" s="16">
        <v>8793.5499999999993</v>
      </c>
    </row>
    <row r="437" spans="4:6">
      <c r="D437" s="15">
        <v>42765</v>
      </c>
      <c r="F437" s="16">
        <v>8740.9500000000007</v>
      </c>
    </row>
    <row r="438" spans="4:6">
      <c r="D438" s="15">
        <v>42758</v>
      </c>
      <c r="F438" s="16">
        <v>8641.25</v>
      </c>
    </row>
    <row r="439" spans="4:6">
      <c r="D439" s="15">
        <v>42751</v>
      </c>
      <c r="F439" s="16">
        <v>8349.35</v>
      </c>
    </row>
    <row r="440" spans="4:6">
      <c r="D440" s="15">
        <v>42744</v>
      </c>
      <c r="F440" s="16">
        <v>8400.35</v>
      </c>
    </row>
    <row r="441" spans="4:6">
      <c r="D441" s="15">
        <v>42737</v>
      </c>
      <c r="F441" s="16">
        <v>8243.7999999999993</v>
      </c>
    </row>
    <row r="442" spans="4:6">
      <c r="D442" s="15">
        <v>42730</v>
      </c>
      <c r="F442" s="16">
        <v>8185.8</v>
      </c>
    </row>
    <row r="443" spans="4:6">
      <c r="D443" s="15">
        <v>42723</v>
      </c>
      <c r="F443" s="16">
        <v>7985.75</v>
      </c>
    </row>
    <row r="444" spans="4:6">
      <c r="D444" s="15">
        <v>42716</v>
      </c>
      <c r="F444" s="16">
        <v>8139.45</v>
      </c>
    </row>
    <row r="445" spans="4:6">
      <c r="D445" s="15">
        <v>42709</v>
      </c>
      <c r="F445" s="16">
        <v>8261.75</v>
      </c>
    </row>
    <row r="446" spans="4:6">
      <c r="D446" s="15">
        <v>42702</v>
      </c>
      <c r="F446" s="16">
        <v>8086.8</v>
      </c>
    </row>
    <row r="447" spans="4:6">
      <c r="D447" s="15">
        <v>42695</v>
      </c>
      <c r="F447" s="16">
        <v>8114.3</v>
      </c>
    </row>
    <row r="448" spans="4:6">
      <c r="D448" s="15">
        <v>42688</v>
      </c>
      <c r="F448" s="16">
        <v>8074.1</v>
      </c>
    </row>
    <row r="449" spans="4:6">
      <c r="D449" s="15">
        <v>42681</v>
      </c>
      <c r="F449" s="16">
        <v>8296.2999999999993</v>
      </c>
    </row>
    <row r="450" spans="4:6">
      <c r="D450" s="15">
        <v>42674</v>
      </c>
      <c r="F450" s="16">
        <v>8433.75</v>
      </c>
    </row>
    <row r="451" spans="4:6">
      <c r="D451" s="15">
        <v>42667</v>
      </c>
      <c r="F451" s="16">
        <v>8638</v>
      </c>
    </row>
    <row r="452" spans="4:6">
      <c r="D452" s="15">
        <v>42660</v>
      </c>
      <c r="F452" s="16">
        <v>8693.0499999999993</v>
      </c>
    </row>
    <row r="453" spans="4:6">
      <c r="D453" s="15">
        <v>42653</v>
      </c>
      <c r="F453" s="16">
        <v>8583.4</v>
      </c>
    </row>
    <row r="454" spans="4:6">
      <c r="D454" s="15">
        <v>42646</v>
      </c>
      <c r="F454" s="16">
        <v>8697.6</v>
      </c>
    </row>
    <row r="455" spans="4:6">
      <c r="D455" s="15">
        <v>42639</v>
      </c>
      <c r="F455" s="16">
        <v>8611.15</v>
      </c>
    </row>
    <row r="456" spans="4:6">
      <c r="D456" s="15">
        <v>42632</v>
      </c>
      <c r="F456" s="16">
        <v>8831.5499999999993</v>
      </c>
    </row>
    <row r="457" spans="4:6">
      <c r="D457" s="15">
        <v>42625</v>
      </c>
      <c r="F457" s="16">
        <v>8779.85</v>
      </c>
    </row>
    <row r="458" spans="4:6">
      <c r="D458" s="15">
        <v>42618</v>
      </c>
      <c r="F458" s="16">
        <v>8866.7000000000007</v>
      </c>
    </row>
    <row r="459" spans="4:6">
      <c r="D459" s="15">
        <v>42611</v>
      </c>
      <c r="F459" s="16">
        <v>8809.65</v>
      </c>
    </row>
    <row r="460" spans="4:6">
      <c r="D460" s="15">
        <v>42604</v>
      </c>
      <c r="F460" s="16">
        <v>8572.5499999999993</v>
      </c>
    </row>
    <row r="461" spans="4:6">
      <c r="D461" s="15">
        <v>42597</v>
      </c>
      <c r="F461" s="16">
        <v>8666.9</v>
      </c>
    </row>
    <row r="462" spans="4:6">
      <c r="D462" s="15">
        <v>42590</v>
      </c>
      <c r="F462" s="16">
        <v>8592.15</v>
      </c>
    </row>
    <row r="463" spans="4:6">
      <c r="D463" s="15">
        <v>42583</v>
      </c>
      <c r="F463" s="16">
        <v>8683.15</v>
      </c>
    </row>
    <row r="464" spans="4:6">
      <c r="D464" s="15">
        <v>42576</v>
      </c>
      <c r="F464" s="16">
        <v>8638.5</v>
      </c>
    </row>
    <row r="465" spans="4:6">
      <c r="D465" s="15">
        <v>42569</v>
      </c>
      <c r="F465" s="16">
        <v>8541.2000000000007</v>
      </c>
    </row>
    <row r="466" spans="4:6">
      <c r="D466" s="15">
        <v>42562</v>
      </c>
      <c r="F466" s="16">
        <v>8541.4</v>
      </c>
    </row>
    <row r="467" spans="4:6">
      <c r="D467" s="15">
        <v>42555</v>
      </c>
      <c r="F467" s="16">
        <v>8323.2000000000007</v>
      </c>
    </row>
    <row r="468" spans="4:6">
      <c r="D468" s="15">
        <v>42548</v>
      </c>
      <c r="F468" s="16">
        <v>8328.35</v>
      </c>
    </row>
    <row r="469" spans="4:6">
      <c r="D469" s="15">
        <v>42541</v>
      </c>
      <c r="F469" s="16">
        <v>8088.6</v>
      </c>
    </row>
    <row r="470" spans="4:6">
      <c r="D470" s="15">
        <v>42534</v>
      </c>
      <c r="F470" s="16">
        <v>8170.2</v>
      </c>
    </row>
    <row r="471" spans="4:6">
      <c r="D471" s="15">
        <v>42527</v>
      </c>
      <c r="F471" s="16">
        <v>8170.05</v>
      </c>
    </row>
    <row r="472" spans="4:6">
      <c r="D472" s="15">
        <v>42520</v>
      </c>
      <c r="F472" s="16">
        <v>8220.7999999999993</v>
      </c>
    </row>
    <row r="473" spans="4:6">
      <c r="D473" s="15">
        <v>42513</v>
      </c>
      <c r="F473" s="16">
        <v>8156.65</v>
      </c>
    </row>
    <row r="474" spans="4:6">
      <c r="D474" s="15">
        <v>42506</v>
      </c>
      <c r="F474" s="16">
        <v>7749.7</v>
      </c>
    </row>
    <row r="475" spans="4:6">
      <c r="D475" s="15">
        <v>42499</v>
      </c>
      <c r="F475" s="16">
        <v>7814.9</v>
      </c>
    </row>
    <row r="476" spans="4:6">
      <c r="D476" s="15">
        <v>42492</v>
      </c>
      <c r="F476" s="16">
        <v>7733.45</v>
      </c>
    </row>
    <row r="477" spans="4:6">
      <c r="D477" s="15">
        <v>42485</v>
      </c>
      <c r="F477" s="16">
        <v>7849.8</v>
      </c>
    </row>
    <row r="478" spans="4:6">
      <c r="D478" s="15">
        <v>42478</v>
      </c>
      <c r="F478" s="16">
        <v>7899.3</v>
      </c>
    </row>
    <row r="479" spans="4:6">
      <c r="D479" s="15">
        <v>42471</v>
      </c>
      <c r="F479" s="16">
        <v>7850.45</v>
      </c>
    </row>
    <row r="480" spans="4:6">
      <c r="D480" s="15">
        <v>42464</v>
      </c>
      <c r="F480" s="16">
        <v>7555.2</v>
      </c>
    </row>
    <row r="481" spans="4:6">
      <c r="D481" s="15">
        <v>42457</v>
      </c>
      <c r="F481" s="16">
        <v>7713.05</v>
      </c>
    </row>
    <row r="482" spans="4:6">
      <c r="D482" s="15">
        <v>42450</v>
      </c>
      <c r="F482" s="16">
        <v>7716.5</v>
      </c>
    </row>
    <row r="483" spans="4:6">
      <c r="D483" s="15">
        <v>42443</v>
      </c>
      <c r="F483" s="16">
        <v>7604.35</v>
      </c>
    </row>
    <row r="484" spans="4:6">
      <c r="D484" s="15">
        <v>42436</v>
      </c>
      <c r="F484" s="16">
        <v>7510.2</v>
      </c>
    </row>
    <row r="485" spans="4:6">
      <c r="D485" s="15">
        <v>42429</v>
      </c>
      <c r="F485" s="16">
        <v>7485.35</v>
      </c>
    </row>
    <row r="486" spans="4:6">
      <c r="D486" s="15">
        <v>42422</v>
      </c>
      <c r="F486" s="16">
        <v>7029.75</v>
      </c>
    </row>
    <row r="487" spans="4:6">
      <c r="D487" s="15">
        <v>42415</v>
      </c>
      <c r="F487" s="16">
        <v>7210.75</v>
      </c>
    </row>
    <row r="488" spans="4:6">
      <c r="D488" s="15">
        <v>42408</v>
      </c>
      <c r="F488" s="16">
        <v>6980.95</v>
      </c>
    </row>
    <row r="489" spans="4:6">
      <c r="D489" s="15">
        <v>42401</v>
      </c>
      <c r="F489" s="16">
        <v>7489.1</v>
      </c>
    </row>
    <row r="490" spans="4:6">
      <c r="D490" s="15">
        <v>42394</v>
      </c>
      <c r="F490" s="16">
        <v>7563.55</v>
      </c>
    </row>
    <row r="491" spans="4:6">
      <c r="D491" s="15">
        <v>42387</v>
      </c>
      <c r="F491" s="16">
        <v>7422.45</v>
      </c>
    </row>
    <row r="492" spans="4:6">
      <c r="D492" s="15">
        <v>42380</v>
      </c>
      <c r="F492" s="16">
        <v>7437.8</v>
      </c>
    </row>
    <row r="493" spans="4:6">
      <c r="D493" s="15">
        <v>42373</v>
      </c>
      <c r="F493" s="16">
        <v>7601.35</v>
      </c>
    </row>
    <row r="494" spans="4:6">
      <c r="D494" s="15">
        <v>42366</v>
      </c>
      <c r="F494" s="16">
        <v>7946.35</v>
      </c>
    </row>
    <row r="495" spans="4:6">
      <c r="D495" s="15">
        <v>42359</v>
      </c>
      <c r="F495" s="16">
        <v>7861.05</v>
      </c>
    </row>
    <row r="496" spans="4:6">
      <c r="D496" s="15">
        <v>42352</v>
      </c>
      <c r="F496" s="16">
        <v>7761.95</v>
      </c>
    </row>
    <row r="497" spans="4:6">
      <c r="D497" s="15">
        <v>42345</v>
      </c>
      <c r="F497" s="16">
        <v>7610.45</v>
      </c>
    </row>
    <row r="498" spans="4:6">
      <c r="D498" s="15">
        <v>42338</v>
      </c>
      <c r="F498" s="16">
        <v>7781.9</v>
      </c>
    </row>
    <row r="499" spans="4:6">
      <c r="D499" s="15">
        <v>42331</v>
      </c>
      <c r="F499" s="16">
        <v>7942.7</v>
      </c>
    </row>
    <row r="500" spans="4:6">
      <c r="D500" s="15">
        <v>42324</v>
      </c>
      <c r="F500" s="16">
        <v>7856.55</v>
      </c>
    </row>
    <row r="501" spans="4:6">
      <c r="D501" s="15">
        <v>42317</v>
      </c>
      <c r="F501" s="16">
        <v>7762.25</v>
      </c>
    </row>
    <row r="502" spans="4:6">
      <c r="D502" s="15">
        <v>42310</v>
      </c>
      <c r="F502" s="16">
        <v>7954.3</v>
      </c>
    </row>
    <row r="503" spans="4:6">
      <c r="D503" s="15">
        <v>42303</v>
      </c>
      <c r="F503" s="16">
        <v>8065.8</v>
      </c>
    </row>
    <row r="504" spans="4:6">
      <c r="D504" s="15">
        <v>42296</v>
      </c>
      <c r="F504" s="16">
        <v>8295.4500000000007</v>
      </c>
    </row>
    <row r="505" spans="4:6">
      <c r="D505" s="15">
        <v>42289</v>
      </c>
      <c r="F505" s="16">
        <v>8238.15</v>
      </c>
    </row>
    <row r="506" spans="4:6">
      <c r="D506" s="15">
        <v>42282</v>
      </c>
      <c r="F506" s="16">
        <v>8189.7</v>
      </c>
    </row>
    <row r="507" spans="4:6">
      <c r="D507" s="15">
        <v>42275</v>
      </c>
      <c r="F507" s="16">
        <v>7950.9</v>
      </c>
    </row>
    <row r="508" spans="4:6">
      <c r="D508" s="15">
        <v>42268</v>
      </c>
      <c r="F508" s="16">
        <v>7868.5</v>
      </c>
    </row>
    <row r="509" spans="4:6">
      <c r="D509" s="15">
        <v>42261</v>
      </c>
      <c r="F509" s="16">
        <v>7981.9</v>
      </c>
    </row>
    <row r="510" spans="4:6">
      <c r="D510" s="15">
        <v>42254</v>
      </c>
      <c r="F510" s="16">
        <v>7789.3</v>
      </c>
    </row>
    <row r="511" spans="4:6">
      <c r="D511" s="15">
        <v>42247</v>
      </c>
      <c r="F511" s="16">
        <v>7655.05</v>
      </c>
    </row>
    <row r="512" spans="4:6">
      <c r="D512" s="15">
        <v>42240</v>
      </c>
      <c r="F512" s="16">
        <v>8001.95</v>
      </c>
    </row>
    <row r="513" spans="4:6">
      <c r="D513" s="15">
        <v>42233</v>
      </c>
      <c r="F513" s="16">
        <v>8299.9500000000007</v>
      </c>
    </row>
    <row r="514" spans="4:6">
      <c r="D514" s="15">
        <v>42226</v>
      </c>
      <c r="F514" s="16">
        <v>8518.5499999999993</v>
      </c>
    </row>
    <row r="515" spans="4:6">
      <c r="D515" s="15">
        <v>42219</v>
      </c>
      <c r="F515" s="16">
        <v>8564.6</v>
      </c>
    </row>
    <row r="516" spans="4:6">
      <c r="D516" s="15">
        <v>42212</v>
      </c>
      <c r="F516" s="16">
        <v>8532.85</v>
      </c>
    </row>
    <row r="517" spans="4:6">
      <c r="D517" s="15">
        <v>42205</v>
      </c>
      <c r="F517" s="16">
        <v>8521.5499999999993</v>
      </c>
    </row>
    <row r="518" spans="4:6">
      <c r="D518" s="15">
        <v>42198</v>
      </c>
      <c r="F518" s="16">
        <v>8609.85</v>
      </c>
    </row>
    <row r="519" spans="4:6">
      <c r="D519" s="15">
        <v>42191</v>
      </c>
      <c r="F519" s="16">
        <v>8360.5499999999993</v>
      </c>
    </row>
    <row r="520" spans="4:6">
      <c r="D520" s="15">
        <v>42184</v>
      </c>
      <c r="F520" s="16">
        <v>8484.9</v>
      </c>
    </row>
    <row r="521" spans="4:6">
      <c r="D521" s="15">
        <v>42177</v>
      </c>
      <c r="F521" s="16">
        <v>8381.1</v>
      </c>
    </row>
    <row r="522" spans="4:6">
      <c r="D522" s="15">
        <v>42170</v>
      </c>
      <c r="F522" s="16">
        <v>8224.9500000000007</v>
      </c>
    </row>
    <row r="523" spans="4:6">
      <c r="D523" s="15">
        <v>42163</v>
      </c>
      <c r="F523" s="16">
        <v>7982.9</v>
      </c>
    </row>
    <row r="524" spans="4:6">
      <c r="D524" s="15">
        <v>42156</v>
      </c>
      <c r="F524" s="16">
        <v>8114.7</v>
      </c>
    </row>
    <row r="525" spans="4:6">
      <c r="D525" s="15">
        <v>42149</v>
      </c>
      <c r="F525" s="16">
        <v>8433.65</v>
      </c>
    </row>
    <row r="526" spans="4:6">
      <c r="D526" s="15">
        <v>42142</v>
      </c>
      <c r="F526" s="16">
        <v>8458.9500000000007</v>
      </c>
    </row>
    <row r="527" spans="4:6">
      <c r="D527" s="15">
        <v>42135</v>
      </c>
      <c r="F527" s="16">
        <v>8262.35</v>
      </c>
    </row>
    <row r="528" spans="4:6">
      <c r="D528" s="15">
        <v>42128</v>
      </c>
      <c r="F528" s="16">
        <v>8191.5</v>
      </c>
    </row>
    <row r="529" spans="4:6">
      <c r="D529" s="15">
        <v>42121</v>
      </c>
      <c r="F529" s="16">
        <v>8181.5</v>
      </c>
    </row>
    <row r="530" spans="4:6">
      <c r="D530" s="15">
        <v>42114</v>
      </c>
      <c r="F530" s="16">
        <v>8305.25</v>
      </c>
    </row>
    <row r="531" spans="4:6">
      <c r="D531" s="15">
        <v>42107</v>
      </c>
      <c r="F531" s="16">
        <v>8606</v>
      </c>
    </row>
    <row r="532" spans="4:6">
      <c r="D532" s="15">
        <v>42100</v>
      </c>
      <c r="F532" s="16">
        <v>8780.35</v>
      </c>
    </row>
    <row r="533" spans="4:6">
      <c r="D533" s="15">
        <v>42093</v>
      </c>
      <c r="F533" s="16">
        <v>8586.25</v>
      </c>
    </row>
    <row r="534" spans="4:6">
      <c r="D534" s="15">
        <v>42086</v>
      </c>
      <c r="F534" s="16">
        <v>8341.4</v>
      </c>
    </row>
    <row r="535" spans="4:6">
      <c r="D535" s="15">
        <v>42079</v>
      </c>
      <c r="F535" s="16">
        <v>8570.9</v>
      </c>
    </row>
    <row r="536" spans="4:6">
      <c r="D536" s="15">
        <v>42072</v>
      </c>
      <c r="F536" s="16">
        <v>8647.75</v>
      </c>
    </row>
  </sheetData>
  <mergeCells count="1">
    <mergeCell ref="D4:F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tint="0.39997558519241921"/>
  </sheetPr>
  <dimension ref="D4:R19"/>
  <sheetViews>
    <sheetView showGridLines="0" workbookViewId="0">
      <selection activeCell="I11" sqref="I11"/>
    </sheetView>
  </sheetViews>
  <sheetFormatPr defaultColWidth="9" defaultRowHeight="13.2"/>
  <cols>
    <col min="1" max="3" width="1.88671875" customWidth="1"/>
    <col min="13" max="13" width="13.44140625" customWidth="1"/>
    <col min="14" max="14" width="10.88671875" customWidth="1"/>
  </cols>
  <sheetData>
    <row r="4" spans="4:18" ht="13.2" customHeight="1">
      <c r="D4" s="613" t="s">
        <v>413</v>
      </c>
      <c r="E4" s="613"/>
      <c r="F4" s="613"/>
      <c r="G4" s="613"/>
      <c r="H4" s="613"/>
      <c r="I4" s="613"/>
      <c r="J4" s="613"/>
      <c r="K4" s="613"/>
      <c r="L4" s="613"/>
      <c r="M4" s="613"/>
      <c r="N4" s="613"/>
      <c r="O4" s="613"/>
      <c r="P4" s="613"/>
      <c r="Q4" s="613"/>
      <c r="R4" s="613"/>
    </row>
    <row r="5" spans="4:18" ht="13.2" customHeight="1">
      <c r="D5" s="613"/>
      <c r="E5" s="613"/>
      <c r="F5" s="613"/>
      <c r="G5" s="613"/>
      <c r="H5" s="613"/>
      <c r="I5" s="613"/>
      <c r="J5" s="613"/>
      <c r="K5" s="613"/>
      <c r="L5" s="613"/>
      <c r="M5" s="613"/>
      <c r="N5" s="613"/>
      <c r="O5" s="613"/>
      <c r="P5" s="613"/>
      <c r="Q5" s="613"/>
      <c r="R5" s="613"/>
    </row>
    <row r="9" spans="4:18" ht="18">
      <c r="D9" s="1" t="s">
        <v>414</v>
      </c>
      <c r="E9" s="2"/>
      <c r="F9" s="2"/>
      <c r="G9" s="2"/>
      <c r="H9" s="2"/>
      <c r="I9" s="2"/>
      <c r="J9" s="2"/>
      <c r="K9" s="2"/>
      <c r="L9" s="2"/>
      <c r="M9" s="2"/>
      <c r="N9" s="2"/>
      <c r="O9" s="4"/>
      <c r="P9" s="4"/>
      <c r="Q9" s="4"/>
      <c r="R9" s="4"/>
    </row>
    <row r="10" spans="4:18" ht="14.4">
      <c r="D10" s="3"/>
      <c r="E10" s="3"/>
      <c r="F10" s="3"/>
      <c r="G10" s="3"/>
      <c r="H10" s="3"/>
      <c r="I10" s="3"/>
      <c r="J10" s="3"/>
      <c r="K10" s="5"/>
      <c r="L10" s="5"/>
      <c r="M10" s="5"/>
      <c r="N10" s="6" t="s">
        <v>415</v>
      </c>
    </row>
    <row r="11" spans="4:18" ht="14.4">
      <c r="D11" s="3"/>
      <c r="E11" s="3"/>
      <c r="F11" s="3"/>
      <c r="G11" s="3"/>
      <c r="H11" s="3"/>
      <c r="I11" s="3"/>
      <c r="J11" s="3"/>
      <c r="K11" s="6" t="s">
        <v>7</v>
      </c>
      <c r="L11" s="6" t="s">
        <v>416</v>
      </c>
      <c r="M11" s="6" t="s">
        <v>417</v>
      </c>
      <c r="N11" s="6" t="s">
        <v>418</v>
      </c>
    </row>
    <row r="12" spans="4:18" ht="14.4">
      <c r="D12" s="3"/>
      <c r="E12" s="3"/>
      <c r="F12" s="3"/>
      <c r="H12" s="3"/>
      <c r="I12" s="3" t="s">
        <v>419</v>
      </c>
      <c r="J12" s="3"/>
      <c r="K12" s="7">
        <f>MAX(Comps!J23:J25)</f>
        <v>966.13833921939261</v>
      </c>
      <c r="L12" s="7">
        <v>106</v>
      </c>
      <c r="M12" s="7">
        <f>967.6</f>
        <v>967.6</v>
      </c>
      <c r="N12" s="7">
        <v>690</v>
      </c>
      <c r="O12" s="8"/>
    </row>
    <row r="13" spans="4:18" ht="14.4">
      <c r="D13" s="3"/>
      <c r="E13" s="3"/>
      <c r="F13" s="3"/>
      <c r="H13" s="3"/>
      <c r="I13" s="3" t="s">
        <v>419</v>
      </c>
      <c r="J13" s="3"/>
      <c r="K13" s="7">
        <f>K12</f>
        <v>966.13833921939261</v>
      </c>
      <c r="L13" s="7">
        <f>L12</f>
        <v>106</v>
      </c>
      <c r="M13" s="7">
        <f>M12</f>
        <v>967.6</v>
      </c>
      <c r="N13" s="7">
        <f>N12</f>
        <v>690</v>
      </c>
    </row>
    <row r="14" spans="4:18" ht="14.4">
      <c r="D14" s="3"/>
      <c r="E14" s="3"/>
      <c r="F14" s="3"/>
      <c r="H14" s="3"/>
      <c r="I14" s="3" t="s">
        <v>420</v>
      </c>
      <c r="J14" s="3"/>
      <c r="K14" s="7">
        <f>MIN(Comps!J23:J25)</f>
        <v>663.20049206156841</v>
      </c>
      <c r="L14" s="7">
        <v>80</v>
      </c>
      <c r="M14" s="7">
        <v>622</v>
      </c>
      <c r="N14" s="7">
        <v>450</v>
      </c>
      <c r="O14" s="8"/>
    </row>
    <row r="15" spans="4:18" ht="14.4">
      <c r="D15" s="3"/>
      <c r="E15" s="3"/>
      <c r="F15" s="3"/>
      <c r="H15" s="3"/>
      <c r="I15" s="3" t="s">
        <v>420</v>
      </c>
      <c r="J15" s="3"/>
      <c r="K15" s="7">
        <f>K14</f>
        <v>663.20049206156841</v>
      </c>
      <c r="L15" s="7">
        <f>L14</f>
        <v>80</v>
      </c>
      <c r="M15" s="7">
        <f>M14</f>
        <v>622</v>
      </c>
      <c r="N15" s="7">
        <f>N14</f>
        <v>450</v>
      </c>
    </row>
    <row r="19" spans="4:18" ht="18">
      <c r="D19" s="1" t="s">
        <v>421</v>
      </c>
      <c r="E19" s="1"/>
      <c r="F19" s="1"/>
      <c r="G19" s="1"/>
      <c r="H19" s="1"/>
      <c r="I19" s="1"/>
      <c r="J19" s="1"/>
      <c r="K19" s="1"/>
      <c r="L19" s="1"/>
      <c r="M19" s="1"/>
      <c r="N19" s="1"/>
      <c r="O19" s="1"/>
      <c r="P19" s="1"/>
      <c r="Q19" s="1"/>
      <c r="R19" s="1"/>
    </row>
  </sheetData>
  <mergeCells count="1">
    <mergeCell ref="D4:R5"/>
  </mergeCells>
  <pageMargins left="0.7" right="0.7" top="0.75" bottom="0.75" header="0.3" footer="0.3"/>
  <ignoredErrors>
    <ignoredError sqref="K14" formula="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8BF5910-3F61-430B-B734-D2626B5054D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Index</vt:lpstr>
      <vt:lpstr>Assumptions</vt:lpstr>
      <vt:lpstr>Historical</vt:lpstr>
      <vt:lpstr>Cost Buildup</vt:lpstr>
      <vt:lpstr>Model</vt:lpstr>
      <vt:lpstr>Cash Flow</vt:lpstr>
      <vt:lpstr>Supporting Schedules</vt:lpstr>
      <vt:lpstr> DCF Valuation</vt:lpstr>
      <vt:lpstr>Ratios Analysis</vt:lpstr>
      <vt:lpstr>Common Sizing Statement</vt:lpstr>
      <vt:lpstr>Equity Beta</vt:lpstr>
      <vt:lpstr>WACC</vt:lpstr>
      <vt:lpstr>Comps</vt:lpstr>
      <vt:lpstr>Comps_Data</vt:lpstr>
      <vt:lpstr>Market Return</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V2117</dc:creator>
  <cp:lastModifiedBy>22BBA10087 Sumit</cp:lastModifiedBy>
  <dcterms:created xsi:type="dcterms:W3CDTF">2025-03-05T08:39:00Z</dcterms:created>
  <dcterms:modified xsi:type="dcterms:W3CDTF">2025-04-16T06:15:31Z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stSaved">
    <vt:filetime>2025-03-04T18:30:00Z</vt:filetime>
  </property>
  <property fmtid="{D5CDD505-2E9C-101B-9397-08002B2CF9AE}" pid="3" name="Producer">
    <vt:lpwstr>PDFium</vt:lpwstr>
  </property>
  <property fmtid="{D5CDD505-2E9C-101B-9397-08002B2CF9AE}" pid="4" name="Creator">
    <vt:lpwstr>PDFium</vt:lpwstr>
  </property>
  <property fmtid="{D5CDD505-2E9C-101B-9397-08002B2CF9AE}" pid="5" name="KSOProductBuildVer">
    <vt:lpwstr>1033-12.2.0.20782</vt:lpwstr>
  </property>
  <property fmtid="{D5CDD505-2E9C-101B-9397-08002B2CF9AE}" pid="6" name="ICV">
    <vt:lpwstr>CDA81CEF334142289E375FC26224775E_13</vt:lpwstr>
  </property>
  <property fmtid="{D5CDD505-2E9C-101B-9397-08002B2CF9AE}" pid="7" name="Created">
    <vt:filetime>2025-03-04T18:30:00Z</vt:filetime>
  </property>
</Properties>
</file>