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OneDrive\Desktop\Github\"/>
    </mc:Choice>
  </mc:AlternateContent>
  <xr:revisionPtr revIDLastSave="0" documentId="13_ncr:1_{ADC76354-C786-455E-8FD5-2642AC2F8B41}" xr6:coauthVersionLast="47" xr6:coauthVersionMax="47" xr10:uidLastSave="{00000000-0000-0000-0000-000000000000}"/>
  <bookViews>
    <workbookView xWindow="-108" yWindow="-108" windowWidth="23256" windowHeight="12456" xr2:uid="{42FB5C55-715F-44AE-B9C4-568878EF0453}"/>
  </bookViews>
  <sheets>
    <sheet name="Index" sheetId="18" r:id="rId1"/>
    <sheet name="Assumptions" sheetId="17" r:id="rId2"/>
    <sheet name="P&amp;L Inputs" sheetId="1" r:id="rId3"/>
    <sheet name="BS Inputs" sheetId="2" r:id="rId4"/>
    <sheet name="Revenue Buildup" sheetId="22" r:id="rId5"/>
    <sheet name="Cost Buildup" sheetId="19" r:id="rId6"/>
    <sheet name="BS Items" sheetId="23" r:id="rId7"/>
    <sheet name="Working Schedule" sheetId="25" r:id="rId8"/>
    <sheet name="Common Sizing Statement" sheetId="6" r:id="rId9"/>
    <sheet name="Income Statement" sheetId="7" r:id="rId10"/>
    <sheet name="Balance Sheet" sheetId="24" r:id="rId11"/>
    <sheet name="Cash Flow" sheetId="26" r:id="rId12"/>
    <sheet name="DCF Valuation" sheetId="10" r:id="rId13"/>
    <sheet name="Comps" sheetId="13" r:id="rId14"/>
    <sheet name="Comps Data" sheetId="14" r:id="rId15"/>
    <sheet name="Ratio Analysis" sheetId="9" r:id="rId16"/>
    <sheet name="Equity Beta" sheetId="11" r:id="rId17"/>
    <sheet name="WACC" sheetId="12" r:id="rId18"/>
    <sheet name="Market Return" sheetId="15" r:id="rId19"/>
    <sheet name="Summary" sheetId="16" r:id="rId2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5" i="15" l="1"/>
  <c r="J13" i="15"/>
  <c r="X12" i="11"/>
  <c r="AB15" i="11" s="1"/>
  <c r="T12" i="11"/>
  <c r="P12" i="11"/>
  <c r="L12" i="11"/>
  <c r="H12" i="11"/>
  <c r="H27" i="10"/>
  <c r="G27" i="10"/>
  <c r="F14" i="26"/>
  <c r="G14" i="26"/>
  <c r="G15" i="26"/>
  <c r="F15" i="26"/>
  <c r="F16" i="26"/>
  <c r="F17" i="26"/>
  <c r="F18" i="26"/>
  <c r="F19" i="26"/>
  <c r="G16" i="26"/>
  <c r="G17" i="26"/>
  <c r="G18" i="26"/>
  <c r="G19" i="26"/>
  <c r="F29" i="26"/>
  <c r="G29" i="26"/>
  <c r="F22" i="26"/>
  <c r="G22" i="26"/>
  <c r="F21" i="26"/>
  <c r="G21" i="26"/>
  <c r="F24" i="26"/>
  <c r="G24" i="26"/>
  <c r="F34" i="26"/>
  <c r="G34" i="26"/>
  <c r="F32" i="26"/>
  <c r="G32" i="26"/>
  <c r="F48" i="26"/>
  <c r="G48" i="26"/>
  <c r="AB12" i="11" l="1"/>
  <c r="AB13" i="11"/>
  <c r="AB14" i="11"/>
  <c r="F24" i="10"/>
  <c r="E11" i="6"/>
  <c r="E10" i="6"/>
  <c r="G12" i="7"/>
  <c r="F12" i="7"/>
  <c r="E12" i="7"/>
  <c r="G11" i="7"/>
  <c r="F11" i="7"/>
  <c r="G10" i="7"/>
  <c r="F10" i="7"/>
  <c r="G9" i="7"/>
  <c r="F9" i="7"/>
  <c r="E11" i="7"/>
  <c r="E10" i="7"/>
  <c r="E9" i="7"/>
  <c r="E37" i="12"/>
  <c r="E38" i="12" s="1"/>
  <c r="X13" i="11"/>
  <c r="T13" i="11"/>
  <c r="P13" i="11"/>
  <c r="L13" i="11"/>
  <c r="H13" i="11"/>
  <c r="F27" i="9"/>
  <c r="G22" i="25"/>
  <c r="H19" i="25"/>
  <c r="G10" i="24"/>
  <c r="F22" i="25"/>
  <c r="F10" i="24"/>
  <c r="G21" i="25"/>
  <c r="G13" i="7"/>
  <c r="H25" i="10" s="1"/>
  <c r="G22" i="19"/>
  <c r="G23" i="19" s="1"/>
  <c r="H23" i="19" s="1"/>
  <c r="H21" i="25" s="1"/>
  <c r="H14" i="11"/>
  <c r="L14" i="11"/>
  <c r="P14" i="11"/>
  <c r="T14" i="11"/>
  <c r="X14" i="11"/>
  <c r="G33" i="24"/>
  <c r="E37" i="10"/>
  <c r="J37" i="10" s="1"/>
  <c r="F33" i="24"/>
  <c r="G46" i="26"/>
  <c r="H33" i="24"/>
  <c r="H46" i="26" s="1"/>
  <c r="E33" i="24"/>
  <c r="F46" i="26"/>
  <c r="E22" i="25"/>
  <c r="E10" i="24" s="1"/>
  <c r="E22" i="19"/>
  <c r="E23" i="19" s="1"/>
  <c r="G55" i="2"/>
  <c r="G58" i="6" s="1"/>
  <c r="G55" i="6"/>
  <c r="F31" i="2"/>
  <c r="F33" i="6" s="1"/>
  <c r="F22" i="19"/>
  <c r="E21" i="25"/>
  <c r="E13" i="7" s="1"/>
  <c r="F25" i="10" s="1"/>
  <c r="F21" i="25"/>
  <c r="F13" i="7"/>
  <c r="F23" i="19"/>
  <c r="G19" i="25"/>
  <c r="F19" i="25"/>
  <c r="G71" i="6"/>
  <c r="E55" i="2"/>
  <c r="E53" i="6" s="1"/>
  <c r="F55" i="2"/>
  <c r="E31" i="2"/>
  <c r="F37" i="6"/>
  <c r="G31" i="2"/>
  <c r="F5" i="24"/>
  <c r="G5" i="24"/>
  <c r="H5" i="24"/>
  <c r="I5" i="24" s="1"/>
  <c r="J5" i="24" s="1"/>
  <c r="K5" i="24" s="1"/>
  <c r="L5" i="24" s="1"/>
  <c r="D35" i="26"/>
  <c r="D36" i="26"/>
  <c r="D37" i="26"/>
  <c r="F5" i="26"/>
  <c r="G5" i="26"/>
  <c r="H5" i="26" s="1"/>
  <c r="I5" i="26" s="1"/>
  <c r="J5" i="26" s="1"/>
  <c r="K5" i="26" s="1"/>
  <c r="L5" i="26" s="1"/>
  <c r="E9" i="25"/>
  <c r="E13" i="25" s="1"/>
  <c r="F9" i="25"/>
  <c r="G9" i="25"/>
  <c r="E8" i="25"/>
  <c r="F8" i="25"/>
  <c r="G8" i="25"/>
  <c r="F11" i="26"/>
  <c r="F16" i="25"/>
  <c r="G16" i="25" s="1"/>
  <c r="H16" i="25" s="1"/>
  <c r="I16" i="25" s="1"/>
  <c r="J16" i="25" s="1"/>
  <c r="K16" i="25" s="1"/>
  <c r="L16" i="25" s="1"/>
  <c r="F5" i="25"/>
  <c r="G5" i="25"/>
  <c r="H5" i="25" s="1"/>
  <c r="I5" i="25" s="1"/>
  <c r="J5" i="25" s="1"/>
  <c r="K5" i="25" s="1"/>
  <c r="L5" i="25" s="1"/>
  <c r="E21" i="24"/>
  <c r="F52" i="26"/>
  <c r="F21" i="24"/>
  <c r="F18" i="9" s="1"/>
  <c r="G21" i="24"/>
  <c r="E47" i="24"/>
  <c r="F47" i="24"/>
  <c r="G47" i="24"/>
  <c r="E48" i="24"/>
  <c r="F48" i="24"/>
  <c r="G48" i="24"/>
  <c r="E49" i="24"/>
  <c r="F49" i="24"/>
  <c r="G49" i="24"/>
  <c r="E50" i="24"/>
  <c r="F50" i="24"/>
  <c r="G50" i="24"/>
  <c r="E45" i="24"/>
  <c r="F45" i="24"/>
  <c r="G45" i="24"/>
  <c r="E46" i="24"/>
  <c r="F46" i="24"/>
  <c r="G46" i="24"/>
  <c r="E38" i="24"/>
  <c r="F38" i="24"/>
  <c r="G38" i="24"/>
  <c r="E39" i="24"/>
  <c r="F39" i="24"/>
  <c r="F42" i="26" s="1"/>
  <c r="G39" i="24"/>
  <c r="E40" i="24"/>
  <c r="F40" i="24"/>
  <c r="G40" i="24"/>
  <c r="G41" i="24" s="1"/>
  <c r="E31" i="24"/>
  <c r="F31" i="24"/>
  <c r="G31" i="24"/>
  <c r="E32" i="24"/>
  <c r="F32" i="24"/>
  <c r="G32" i="24"/>
  <c r="E19" i="24"/>
  <c r="F19" i="24"/>
  <c r="F25" i="24" s="1"/>
  <c r="G19" i="24"/>
  <c r="E20" i="24"/>
  <c r="F20" i="24"/>
  <c r="G20" i="24"/>
  <c r="E22" i="24"/>
  <c r="F22" i="24"/>
  <c r="G22" i="24"/>
  <c r="E23" i="24"/>
  <c r="F27" i="26" s="1"/>
  <c r="F23" i="24"/>
  <c r="G23" i="24"/>
  <c r="E24" i="24"/>
  <c r="F24" i="24"/>
  <c r="F28" i="26" s="1"/>
  <c r="G24" i="24"/>
  <c r="E12" i="24"/>
  <c r="F12" i="24"/>
  <c r="G12" i="24"/>
  <c r="G15" i="24" s="1"/>
  <c r="E13" i="24"/>
  <c r="F13" i="24"/>
  <c r="G13" i="24"/>
  <c r="E14" i="24"/>
  <c r="F37" i="26" s="1"/>
  <c r="F14" i="24"/>
  <c r="G14" i="24"/>
  <c r="E43" i="23"/>
  <c r="F43" i="23"/>
  <c r="G43" i="23"/>
  <c r="E41" i="23"/>
  <c r="F41" i="23"/>
  <c r="G41" i="23"/>
  <c r="E39" i="23"/>
  <c r="F39" i="23"/>
  <c r="G39" i="23"/>
  <c r="E35" i="23"/>
  <c r="E36" i="23" s="1"/>
  <c r="F35" i="23"/>
  <c r="G35" i="23"/>
  <c r="E37" i="23"/>
  <c r="F37" i="23"/>
  <c r="G37" i="23"/>
  <c r="E31" i="23"/>
  <c r="F31" i="23"/>
  <c r="G31" i="23"/>
  <c r="E29" i="23"/>
  <c r="F29" i="23"/>
  <c r="G29" i="23"/>
  <c r="E27" i="23"/>
  <c r="E28" i="23" s="1"/>
  <c r="F27" i="23"/>
  <c r="G27" i="23"/>
  <c r="E23" i="23"/>
  <c r="F23" i="23"/>
  <c r="G23" i="23"/>
  <c r="E21" i="23"/>
  <c r="F21" i="23"/>
  <c r="G21" i="23"/>
  <c r="E19" i="23"/>
  <c r="F19" i="23"/>
  <c r="G19" i="23"/>
  <c r="E17" i="23"/>
  <c r="F17" i="23"/>
  <c r="G17" i="23"/>
  <c r="E13" i="23"/>
  <c r="F13" i="23"/>
  <c r="F14" i="23" s="1"/>
  <c r="G13" i="23"/>
  <c r="E11" i="23"/>
  <c r="F11" i="23"/>
  <c r="G11" i="23"/>
  <c r="E9" i="23"/>
  <c r="F9" i="23"/>
  <c r="G9" i="23"/>
  <c r="F5" i="23"/>
  <c r="G5" i="23" s="1"/>
  <c r="H5" i="23" s="1"/>
  <c r="I5" i="23" s="1"/>
  <c r="J5" i="23" s="1"/>
  <c r="K5" i="23" s="1"/>
  <c r="L5" i="23" s="1"/>
  <c r="D15" i="17"/>
  <c r="C9" i="17"/>
  <c r="D20" i="17"/>
  <c r="C11" i="17"/>
  <c r="D22" i="17"/>
  <c r="G17" i="12"/>
  <c r="E27" i="12" s="1"/>
  <c r="M20" i="10"/>
  <c r="N20" i="10" s="1"/>
  <c r="N18" i="10"/>
  <c r="E13" i="10"/>
  <c r="J34" i="10" s="1"/>
  <c r="J40" i="10" s="1"/>
  <c r="N34" i="10" s="1"/>
  <c r="J17" i="12"/>
  <c r="J10" i="12"/>
  <c r="J11" i="12"/>
  <c r="J12" i="12"/>
  <c r="G10" i="12"/>
  <c r="G11" i="12"/>
  <c r="G12" i="12"/>
  <c r="D10" i="12"/>
  <c r="D11" i="12"/>
  <c r="D12" i="12"/>
  <c r="X274" i="11"/>
  <c r="X273" i="11"/>
  <c r="X272" i="11"/>
  <c r="X271" i="11"/>
  <c r="X270" i="11"/>
  <c r="X269" i="11"/>
  <c r="X268" i="11"/>
  <c r="X267" i="11"/>
  <c r="X266" i="11"/>
  <c r="X265" i="11"/>
  <c r="X264" i="11"/>
  <c r="X263" i="11"/>
  <c r="X262" i="11"/>
  <c r="X261" i="11"/>
  <c r="X260" i="11"/>
  <c r="X259" i="11"/>
  <c r="X258" i="11"/>
  <c r="X257" i="11"/>
  <c r="X256" i="11"/>
  <c r="X255" i="11"/>
  <c r="X254" i="11"/>
  <c r="X253" i="11"/>
  <c r="X252" i="11"/>
  <c r="X251" i="11"/>
  <c r="X250" i="11"/>
  <c r="X249" i="11"/>
  <c r="X248" i="11"/>
  <c r="X247" i="11"/>
  <c r="X246" i="11"/>
  <c r="X245" i="11"/>
  <c r="X244" i="11"/>
  <c r="X243" i="11"/>
  <c r="X242" i="11"/>
  <c r="X241" i="11"/>
  <c r="X240" i="11"/>
  <c r="X239" i="11"/>
  <c r="X238" i="11"/>
  <c r="X237" i="11"/>
  <c r="X236" i="11"/>
  <c r="X235" i="11"/>
  <c r="X234" i="11"/>
  <c r="X233" i="11"/>
  <c r="X232" i="11"/>
  <c r="X231" i="11"/>
  <c r="X230" i="11"/>
  <c r="X229" i="11"/>
  <c r="X228" i="11"/>
  <c r="X227" i="11"/>
  <c r="X226" i="11"/>
  <c r="X225" i="11"/>
  <c r="X224" i="11"/>
  <c r="X223" i="11"/>
  <c r="X222" i="11"/>
  <c r="X221" i="11"/>
  <c r="X220" i="11"/>
  <c r="X219" i="11"/>
  <c r="X218" i="11"/>
  <c r="X217" i="11"/>
  <c r="X216" i="11"/>
  <c r="X215" i="11"/>
  <c r="X214" i="11"/>
  <c r="X213" i="11"/>
  <c r="X212" i="11"/>
  <c r="X211" i="11"/>
  <c r="X210" i="11"/>
  <c r="X209" i="11"/>
  <c r="X208" i="11"/>
  <c r="X207" i="11"/>
  <c r="X206" i="11"/>
  <c r="X205" i="11"/>
  <c r="X204" i="11"/>
  <c r="X203" i="11"/>
  <c r="X202" i="11"/>
  <c r="X201" i="11"/>
  <c r="X200" i="11"/>
  <c r="X199" i="11"/>
  <c r="X198" i="11"/>
  <c r="X197" i="11"/>
  <c r="X196" i="11"/>
  <c r="X195" i="11"/>
  <c r="X194" i="11"/>
  <c r="X193" i="11"/>
  <c r="X192" i="11"/>
  <c r="X191" i="11"/>
  <c r="X190" i="11"/>
  <c r="X189" i="11"/>
  <c r="X188" i="11"/>
  <c r="X187" i="11"/>
  <c r="X186" i="11"/>
  <c r="X185" i="11"/>
  <c r="X184" i="11"/>
  <c r="X183" i="11"/>
  <c r="X182" i="11"/>
  <c r="X181" i="11"/>
  <c r="X180" i="11"/>
  <c r="X179" i="11"/>
  <c r="X178" i="11"/>
  <c r="X177" i="11"/>
  <c r="X176" i="11"/>
  <c r="X175" i="11"/>
  <c r="X174" i="11"/>
  <c r="X173" i="11"/>
  <c r="X172" i="11"/>
  <c r="X171" i="11"/>
  <c r="X170" i="11"/>
  <c r="X169" i="11"/>
  <c r="X168" i="11"/>
  <c r="X167" i="11"/>
  <c r="X166" i="11"/>
  <c r="X165" i="11"/>
  <c r="X164" i="11"/>
  <c r="X163" i="11"/>
  <c r="X162" i="11"/>
  <c r="X161" i="11"/>
  <c r="X160" i="11"/>
  <c r="X159" i="11"/>
  <c r="X158" i="11"/>
  <c r="X157" i="11"/>
  <c r="X156" i="11"/>
  <c r="X155" i="11"/>
  <c r="X154" i="11"/>
  <c r="X153" i="11"/>
  <c r="X152" i="11"/>
  <c r="X151" i="11"/>
  <c r="X150" i="11"/>
  <c r="X149" i="11"/>
  <c r="X148" i="11"/>
  <c r="X147" i="11"/>
  <c r="X146" i="11"/>
  <c r="X145" i="11"/>
  <c r="X144" i="11"/>
  <c r="X143" i="11"/>
  <c r="X142" i="11"/>
  <c r="X141"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S17" i="13"/>
  <c r="R17" i="13"/>
  <c r="O17" i="13"/>
  <c r="M17" i="13"/>
  <c r="J17" i="13"/>
  <c r="I17" i="13"/>
  <c r="H21" i="13" s="1"/>
  <c r="H22" i="13"/>
  <c r="G17" i="13"/>
  <c r="F17" i="13"/>
  <c r="R10" i="13"/>
  <c r="R11" i="13"/>
  <c r="R14" i="13" s="1"/>
  <c r="R12" i="13"/>
  <c r="S10" i="13"/>
  <c r="S11" i="13"/>
  <c r="S12" i="13"/>
  <c r="O10" i="13"/>
  <c r="O11" i="13"/>
  <c r="O12" i="13"/>
  <c r="M10" i="13"/>
  <c r="M11" i="13"/>
  <c r="M12" i="13"/>
  <c r="J10" i="13"/>
  <c r="J11" i="13"/>
  <c r="J12" i="13"/>
  <c r="I10" i="13"/>
  <c r="I11" i="13"/>
  <c r="I12" i="13"/>
  <c r="G10" i="13"/>
  <c r="F10" i="13"/>
  <c r="H10" i="13" s="1"/>
  <c r="F10" i="12" s="1"/>
  <c r="H10" i="12" s="1"/>
  <c r="I10" i="12" s="1"/>
  <c r="G11" i="13"/>
  <c r="F11" i="13"/>
  <c r="H11" i="13" s="1"/>
  <c r="G12" i="13"/>
  <c r="H12" i="13" s="1"/>
  <c r="F12" i="13"/>
  <c r="D10" i="13"/>
  <c r="D11" i="13"/>
  <c r="D12" i="13"/>
  <c r="I24" i="22"/>
  <c r="J24" i="22" s="1"/>
  <c r="K24" i="22"/>
  <c r="L24" i="22" s="1"/>
  <c r="C15" i="17"/>
  <c r="H20" i="22" s="1" a="1"/>
  <c r="H25" i="22"/>
  <c r="I25" i="22"/>
  <c r="J25" i="22" s="1"/>
  <c r="K25" i="22" s="1"/>
  <c r="L25" i="22" s="1"/>
  <c r="H23" i="22"/>
  <c r="I23" i="22" s="1"/>
  <c r="J23" i="22" s="1"/>
  <c r="K23" i="22" s="1"/>
  <c r="L23" i="22"/>
  <c r="E8" i="22"/>
  <c r="E10" i="22"/>
  <c r="F8" i="22"/>
  <c r="G8" i="22"/>
  <c r="E13" i="22"/>
  <c r="E14" i="22" s="1"/>
  <c r="F13" i="22"/>
  <c r="F16" i="7" s="1"/>
  <c r="G13" i="22"/>
  <c r="G16" i="7"/>
  <c r="F5" i="22"/>
  <c r="G5" i="22" s="1"/>
  <c r="H5" i="22" s="1"/>
  <c r="I5" i="22" s="1"/>
  <c r="J5" i="22" s="1"/>
  <c r="K5" i="22" s="1"/>
  <c r="L5" i="22" s="1"/>
  <c r="E19" i="22"/>
  <c r="F19" i="22"/>
  <c r="F20" i="22" s="1"/>
  <c r="G19" i="22"/>
  <c r="G20" i="22"/>
  <c r="E19" i="19"/>
  <c r="E20" i="19" s="1"/>
  <c r="E15" i="7"/>
  <c r="F19" i="19"/>
  <c r="F15" i="7"/>
  <c r="G19" i="19"/>
  <c r="G20" i="19" s="1"/>
  <c r="D30" i="17" s="1"/>
  <c r="E10" i="19"/>
  <c r="E11" i="19" s="1"/>
  <c r="F10" i="19"/>
  <c r="G10" i="19"/>
  <c r="E16" i="19"/>
  <c r="F16" i="19"/>
  <c r="G16" i="19"/>
  <c r="G17" i="19" s="1"/>
  <c r="H17" i="19" s="1"/>
  <c r="I17" i="19" s="1"/>
  <c r="J17" i="19" s="1"/>
  <c r="K17" i="19" s="1"/>
  <c r="L17" i="19" s="1"/>
  <c r="E13" i="19"/>
  <c r="F13" i="19"/>
  <c r="F14" i="19" s="1"/>
  <c r="G13" i="19"/>
  <c r="E8" i="19"/>
  <c r="E14" i="19" s="1"/>
  <c r="E8" i="7"/>
  <c r="F8" i="19"/>
  <c r="F8" i="7"/>
  <c r="F26" i="9" s="1"/>
  <c r="G8" i="19"/>
  <c r="G11" i="19" s="1"/>
  <c r="H11" i="19" s="1"/>
  <c r="I11" i="19" s="1"/>
  <c r="J11" i="19" s="1"/>
  <c r="K11" i="19" s="1"/>
  <c r="L11" i="19" s="1"/>
  <c r="G8" i="7"/>
  <c r="G26" i="9" s="1"/>
  <c r="E26" i="1"/>
  <c r="E18" i="7"/>
  <c r="F26" i="1"/>
  <c r="F18" i="7"/>
  <c r="G26" i="1"/>
  <c r="G18" i="7" s="1"/>
  <c r="G18" i="1"/>
  <c r="F18" i="1"/>
  <c r="E18" i="1"/>
  <c r="E10" i="1"/>
  <c r="E20" i="1" s="1"/>
  <c r="E28" i="1" s="1"/>
  <c r="F10" i="1"/>
  <c r="F20" i="1"/>
  <c r="F28" i="1" s="1"/>
  <c r="G10" i="1"/>
  <c r="G20" i="1" s="1"/>
  <c r="M13" i="16"/>
  <c r="M11" i="16"/>
  <c r="L13" i="16"/>
  <c r="L11" i="16"/>
  <c r="K13" i="16"/>
  <c r="K11" i="16"/>
  <c r="K10" i="13"/>
  <c r="E18" i="23"/>
  <c r="F24" i="23"/>
  <c r="F38" i="23"/>
  <c r="F44" i="23"/>
  <c r="F12" i="23"/>
  <c r="E14" i="23"/>
  <c r="F22" i="23"/>
  <c r="E24" i="23"/>
  <c r="G30" i="23"/>
  <c r="H30" i="23" s="1"/>
  <c r="I30" i="23" s="1"/>
  <c r="J30" i="23" s="1"/>
  <c r="K30" i="23" s="1"/>
  <c r="F32" i="23"/>
  <c r="E38" i="23"/>
  <c r="F42" i="23"/>
  <c r="E44" i="23"/>
  <c r="H31" i="24"/>
  <c r="H45" i="26" s="1"/>
  <c r="G34" i="24"/>
  <c r="G27" i="6"/>
  <c r="G33" i="6"/>
  <c r="F54" i="6"/>
  <c r="F55" i="6"/>
  <c r="F10" i="23"/>
  <c r="E12" i="23"/>
  <c r="F20" i="23"/>
  <c r="E22" i="23"/>
  <c r="F30" i="23"/>
  <c r="E32" i="23"/>
  <c r="F40" i="23"/>
  <c r="E42" i="23"/>
  <c r="F34" i="24"/>
  <c r="F13" i="25"/>
  <c r="E55" i="6"/>
  <c r="E10" i="23"/>
  <c r="F18" i="23"/>
  <c r="E20" i="23"/>
  <c r="F28" i="23"/>
  <c r="E30" i="23"/>
  <c r="F36" i="23"/>
  <c r="E40" i="23"/>
  <c r="E34" i="24"/>
  <c r="E37" i="6"/>
  <c r="E33" i="6"/>
  <c r="G59" i="6"/>
  <c r="G67" i="6"/>
  <c r="F65" i="6"/>
  <c r="F70" i="6"/>
  <c r="F58" i="6"/>
  <c r="G72" i="6"/>
  <c r="F71" i="6"/>
  <c r="E70" i="6"/>
  <c r="G68" i="6"/>
  <c r="F67" i="6"/>
  <c r="G60" i="6"/>
  <c r="F59" i="6"/>
  <c r="E58" i="6"/>
  <c r="G53" i="6"/>
  <c r="E69" i="6"/>
  <c r="F72" i="6"/>
  <c r="G69" i="6"/>
  <c r="F68" i="6"/>
  <c r="E67" i="6"/>
  <c r="G64" i="6"/>
  <c r="F60" i="6"/>
  <c r="G54" i="6"/>
  <c r="F53" i="6"/>
  <c r="E64" i="6"/>
  <c r="G37" i="26"/>
  <c r="F36" i="26"/>
  <c r="F26" i="26"/>
  <c r="F45" i="26"/>
  <c r="G41" i="26"/>
  <c r="E72" i="6"/>
  <c r="G70" i="6"/>
  <c r="F69" i="6"/>
  <c r="G65" i="6"/>
  <c r="F64" i="6"/>
  <c r="E60" i="6"/>
  <c r="E32" i="6"/>
  <c r="E46" i="6"/>
  <c r="E42" i="6"/>
  <c r="E31" i="6"/>
  <c r="E27" i="6"/>
  <c r="E48" i="6"/>
  <c r="E44" i="6"/>
  <c r="E36" i="6"/>
  <c r="E29" i="6"/>
  <c r="E47" i="6"/>
  <c r="E43" i="6"/>
  <c r="E35" i="6"/>
  <c r="E28" i="6"/>
  <c r="E45" i="6"/>
  <c r="E41" i="6"/>
  <c r="E34" i="6"/>
  <c r="E30" i="6"/>
  <c r="G48" i="6"/>
  <c r="G35" i="6"/>
  <c r="G41" i="6"/>
  <c r="G43" i="6"/>
  <c r="G45" i="6"/>
  <c r="F10" i="25"/>
  <c r="G25" i="10"/>
  <c r="G44" i="6"/>
  <c r="G34" i="6"/>
  <c r="G32" i="6"/>
  <c r="G29" i="6"/>
  <c r="G47" i="6"/>
  <c r="G36" i="6"/>
  <c r="G30" i="6"/>
  <c r="G28" i="6"/>
  <c r="G37" i="6"/>
  <c r="F46" i="6"/>
  <c r="F42" i="6"/>
  <c r="F31" i="6"/>
  <c r="F27" i="6"/>
  <c r="F47" i="6"/>
  <c r="F43" i="6"/>
  <c r="F35" i="6"/>
  <c r="F32" i="6"/>
  <c r="F28" i="6"/>
  <c r="F48" i="6"/>
  <c r="F44" i="6"/>
  <c r="F36" i="6"/>
  <c r="F29" i="6"/>
  <c r="G46" i="6"/>
  <c r="F45" i="6"/>
  <c r="G42" i="6"/>
  <c r="F41" i="6"/>
  <c r="F34" i="6"/>
  <c r="G31" i="6"/>
  <c r="F30" i="6"/>
  <c r="G10" i="25"/>
  <c r="E35" i="10"/>
  <c r="G36" i="26"/>
  <c r="F35" i="26"/>
  <c r="G26" i="26"/>
  <c r="F25" i="26"/>
  <c r="F43" i="26"/>
  <c r="E36" i="10"/>
  <c r="J35" i="10" s="1"/>
  <c r="G35" i="26"/>
  <c r="G25" i="26"/>
  <c r="G43" i="26"/>
  <c r="E41" i="24"/>
  <c r="E53" i="24" s="1"/>
  <c r="F12" i="25"/>
  <c r="E12" i="25"/>
  <c r="E25" i="24"/>
  <c r="E16" i="9" s="1"/>
  <c r="E51" i="24"/>
  <c r="E18" i="9" s="1"/>
  <c r="F15" i="24"/>
  <c r="G28" i="26"/>
  <c r="G27" i="26"/>
  <c r="F41" i="26"/>
  <c r="I31" i="24"/>
  <c r="G51" i="24"/>
  <c r="G25" i="24"/>
  <c r="F51" i="24"/>
  <c r="G21" i="9"/>
  <c r="G45" i="26"/>
  <c r="F14" i="22"/>
  <c r="F10" i="22"/>
  <c r="F11" i="22"/>
  <c r="E57" i="2"/>
  <c r="G28" i="1"/>
  <c r="I20" i="10"/>
  <c r="H20" i="10"/>
  <c r="J20" i="10"/>
  <c r="K20" i="10"/>
  <c r="L20" i="10"/>
  <c r="G19" i="10"/>
  <c r="H19" i="10" s="1"/>
  <c r="J19" i="10"/>
  <c r="K19" i="10" s="1"/>
  <c r="L19" i="10" s="1"/>
  <c r="M19" i="10" s="1"/>
  <c r="E11" i="10"/>
  <c r="F21" i="9"/>
  <c r="I45" i="26"/>
  <c r="J31" i="24"/>
  <c r="F57" i="2"/>
  <c r="G57" i="2"/>
  <c r="D23" i="17"/>
  <c r="S15" i="13"/>
  <c r="F23" i="13"/>
  <c r="I23" i="13" s="1"/>
  <c r="L30" i="23"/>
  <c r="R15" i="13"/>
  <c r="F22" i="13"/>
  <c r="H17" i="13"/>
  <c r="K17" i="13" s="1"/>
  <c r="Q17" i="13" s="1"/>
  <c r="S14" i="13"/>
  <c r="E10" i="10"/>
  <c r="H23" i="13"/>
  <c r="J21" i="13"/>
  <c r="J22" i="13"/>
  <c r="J23" i="13" s="1"/>
  <c r="F17" i="12"/>
  <c r="E22" i="12"/>
  <c r="E23" i="12" s="1"/>
  <c r="P274" i="11"/>
  <c r="P273" i="11"/>
  <c r="P272" i="11"/>
  <c r="P271" i="11"/>
  <c r="P270" i="11"/>
  <c r="P269" i="11"/>
  <c r="P268" i="11"/>
  <c r="P267" i="11"/>
  <c r="P266" i="11"/>
  <c r="P265" i="11"/>
  <c r="P264" i="11"/>
  <c r="P263" i="11"/>
  <c r="P262" i="11"/>
  <c r="P261" i="11"/>
  <c r="P260" i="11"/>
  <c r="P259" i="11"/>
  <c r="P258" i="11"/>
  <c r="P257" i="11"/>
  <c r="P256" i="11"/>
  <c r="P255" i="11"/>
  <c r="P254" i="11"/>
  <c r="P253" i="11"/>
  <c r="P252" i="11"/>
  <c r="P251" i="11"/>
  <c r="P250" i="11"/>
  <c r="P249" i="11"/>
  <c r="P248" i="11"/>
  <c r="P247" i="11"/>
  <c r="P246" i="11"/>
  <c r="P245" i="11"/>
  <c r="P244" i="11"/>
  <c r="P243" i="11"/>
  <c r="P242" i="11"/>
  <c r="P241" i="11"/>
  <c r="P240" i="11"/>
  <c r="P239" i="11"/>
  <c r="P238" i="11"/>
  <c r="P237" i="11"/>
  <c r="P236" i="11"/>
  <c r="P235" i="11"/>
  <c r="P234" i="11"/>
  <c r="P233" i="11"/>
  <c r="P232" i="11"/>
  <c r="P231" i="11"/>
  <c r="P230" i="11"/>
  <c r="P229" i="11"/>
  <c r="P228" i="11"/>
  <c r="P227" i="11"/>
  <c r="P226" i="11"/>
  <c r="P225" i="11"/>
  <c r="P224" i="11"/>
  <c r="P223" i="11"/>
  <c r="P222" i="11"/>
  <c r="P221" i="11"/>
  <c r="P220" i="11"/>
  <c r="P219" i="11"/>
  <c r="P218" i="11"/>
  <c r="P217" i="11"/>
  <c r="P216" i="11"/>
  <c r="P215" i="11"/>
  <c r="P214" i="11"/>
  <c r="P213" i="11"/>
  <c r="P212" i="11"/>
  <c r="P211" i="11"/>
  <c r="P210" i="11"/>
  <c r="P209" i="11"/>
  <c r="P208" i="11"/>
  <c r="P207" i="11"/>
  <c r="P206" i="11"/>
  <c r="P205" i="11"/>
  <c r="P204" i="11"/>
  <c r="P203" i="11"/>
  <c r="P202" i="11"/>
  <c r="P201" i="11"/>
  <c r="P200" i="11"/>
  <c r="P199" i="11"/>
  <c r="P198" i="11"/>
  <c r="P197" i="11"/>
  <c r="P196" i="11"/>
  <c r="P195" i="11"/>
  <c r="P194" i="11"/>
  <c r="P193" i="11"/>
  <c r="P192" i="11"/>
  <c r="P191" i="11"/>
  <c r="P190" i="11"/>
  <c r="P189" i="11"/>
  <c r="P188" i="11"/>
  <c r="P187" i="11"/>
  <c r="P186" i="11"/>
  <c r="P185" i="11"/>
  <c r="P184" i="11"/>
  <c r="P183" i="11"/>
  <c r="P182" i="11"/>
  <c r="P181" i="11"/>
  <c r="P180" i="11"/>
  <c r="P179" i="11"/>
  <c r="P178" i="11"/>
  <c r="P177" i="11"/>
  <c r="P176" i="11"/>
  <c r="P175" i="11"/>
  <c r="P174" i="11"/>
  <c r="P173" i="11"/>
  <c r="P172" i="11"/>
  <c r="P171" i="11"/>
  <c r="P170" i="11"/>
  <c r="P169" i="11"/>
  <c r="P168" i="11"/>
  <c r="P167" i="11"/>
  <c r="P166" i="11"/>
  <c r="P165" i="11"/>
  <c r="P164" i="11"/>
  <c r="P163" i="11"/>
  <c r="P162" i="11"/>
  <c r="P161" i="11"/>
  <c r="P160" i="11"/>
  <c r="P159" i="11"/>
  <c r="P158" i="11"/>
  <c r="P157" i="11"/>
  <c r="H157" i="11"/>
  <c r="P156" i="11"/>
  <c r="H156" i="11"/>
  <c r="P155" i="11"/>
  <c r="H155" i="11"/>
  <c r="P154" i="11"/>
  <c r="H154" i="11"/>
  <c r="P153" i="11"/>
  <c r="H153" i="11"/>
  <c r="P152" i="11"/>
  <c r="H152" i="11"/>
  <c r="P151" i="11"/>
  <c r="H151" i="11"/>
  <c r="P150" i="11"/>
  <c r="H150" i="11"/>
  <c r="P149" i="11"/>
  <c r="H149" i="11"/>
  <c r="P148" i="11"/>
  <c r="H148" i="11"/>
  <c r="P147" i="11"/>
  <c r="H147" i="11"/>
  <c r="P146" i="11"/>
  <c r="H146" i="11"/>
  <c r="P145" i="11"/>
  <c r="H145" i="11"/>
  <c r="P144" i="11"/>
  <c r="H144" i="11"/>
  <c r="P143" i="11"/>
  <c r="H143" i="11"/>
  <c r="P142" i="11"/>
  <c r="H142" i="11"/>
  <c r="P141" i="11"/>
  <c r="H141" i="11"/>
  <c r="P140" i="11"/>
  <c r="H140" i="11"/>
  <c r="P139" i="11"/>
  <c r="H139" i="11"/>
  <c r="P138" i="11"/>
  <c r="H138" i="11"/>
  <c r="P137" i="11"/>
  <c r="H137" i="11"/>
  <c r="P136" i="11"/>
  <c r="H136" i="11"/>
  <c r="P135" i="11"/>
  <c r="H135" i="11"/>
  <c r="P134" i="11"/>
  <c r="H134" i="11"/>
  <c r="P133" i="11"/>
  <c r="H133" i="11"/>
  <c r="P132" i="11"/>
  <c r="H132" i="11"/>
  <c r="P131" i="11"/>
  <c r="H131" i="11"/>
  <c r="P130" i="11"/>
  <c r="H130" i="11"/>
  <c r="P129" i="11"/>
  <c r="H129" i="11"/>
  <c r="P128" i="11"/>
  <c r="H128" i="11"/>
  <c r="P127" i="11"/>
  <c r="H127" i="11"/>
  <c r="P126" i="11"/>
  <c r="H126" i="11"/>
  <c r="P125" i="11"/>
  <c r="H125" i="11"/>
  <c r="P124" i="11"/>
  <c r="H124" i="11"/>
  <c r="P123" i="11"/>
  <c r="H123" i="11"/>
  <c r="P122" i="11"/>
  <c r="H122" i="11"/>
  <c r="P121" i="11"/>
  <c r="H121" i="11"/>
  <c r="P120" i="11"/>
  <c r="H120" i="11"/>
  <c r="P119" i="11"/>
  <c r="H119" i="11"/>
  <c r="P118" i="11"/>
  <c r="H118" i="11"/>
  <c r="P117" i="11"/>
  <c r="H117" i="11"/>
  <c r="P116" i="11"/>
  <c r="H116" i="11"/>
  <c r="P115" i="11"/>
  <c r="H115" i="11"/>
  <c r="P114" i="11"/>
  <c r="H114" i="11"/>
  <c r="P113" i="11"/>
  <c r="H113" i="11"/>
  <c r="P112" i="11"/>
  <c r="H112" i="11"/>
  <c r="P111" i="11"/>
  <c r="H111" i="11"/>
  <c r="P110" i="11"/>
  <c r="H110" i="11"/>
  <c r="P109" i="11"/>
  <c r="H109" i="11"/>
  <c r="P108" i="11"/>
  <c r="H108" i="11"/>
  <c r="P107" i="11"/>
  <c r="H107" i="11"/>
  <c r="P106" i="11"/>
  <c r="H106" i="11"/>
  <c r="P105" i="11"/>
  <c r="H105" i="11"/>
  <c r="P104" i="11"/>
  <c r="H104" i="11"/>
  <c r="P103" i="11"/>
  <c r="H103" i="11"/>
  <c r="P102" i="11"/>
  <c r="H102" i="11"/>
  <c r="P101" i="11"/>
  <c r="H101" i="11"/>
  <c r="P100" i="11"/>
  <c r="H100" i="11"/>
  <c r="P99" i="11"/>
  <c r="H99" i="11"/>
  <c r="P98" i="11"/>
  <c r="H98" i="11"/>
  <c r="P97" i="11"/>
  <c r="H97" i="11"/>
  <c r="P96" i="11"/>
  <c r="H96" i="11"/>
  <c r="P95" i="11"/>
  <c r="H95" i="11"/>
  <c r="P94" i="11"/>
  <c r="H94" i="11"/>
  <c r="P93" i="11"/>
  <c r="H93" i="11"/>
  <c r="P92" i="11"/>
  <c r="H92" i="11"/>
  <c r="P91" i="11"/>
  <c r="H91" i="11"/>
  <c r="P90" i="11"/>
  <c r="H90" i="11"/>
  <c r="P89" i="11"/>
  <c r="H89" i="11"/>
  <c r="P88" i="11"/>
  <c r="H88" i="11"/>
  <c r="P87" i="11"/>
  <c r="H87" i="11"/>
  <c r="P86" i="11"/>
  <c r="H86" i="11"/>
  <c r="P85" i="11"/>
  <c r="H85" i="11"/>
  <c r="P84" i="11"/>
  <c r="H84" i="11"/>
  <c r="P83" i="11"/>
  <c r="H83" i="11"/>
  <c r="T82" i="11"/>
  <c r="P82" i="11"/>
  <c r="H82" i="11"/>
  <c r="T81" i="11"/>
  <c r="P81" i="11"/>
  <c r="H81" i="11"/>
  <c r="T80" i="11"/>
  <c r="P80" i="11"/>
  <c r="H80" i="11"/>
  <c r="T79" i="11"/>
  <c r="P79" i="11"/>
  <c r="H79" i="11"/>
  <c r="T78" i="11"/>
  <c r="P78" i="11"/>
  <c r="H78" i="11"/>
  <c r="T77" i="11"/>
  <c r="P77" i="11"/>
  <c r="H77" i="11"/>
  <c r="T76" i="11"/>
  <c r="P76" i="11"/>
  <c r="H76" i="11"/>
  <c r="T75" i="11"/>
  <c r="P75" i="11"/>
  <c r="H75" i="11"/>
  <c r="T74" i="11"/>
  <c r="P74" i="11"/>
  <c r="H74" i="11"/>
  <c r="T73" i="11"/>
  <c r="P73" i="11"/>
  <c r="H73" i="11"/>
  <c r="T72" i="11"/>
  <c r="P72" i="11"/>
  <c r="H72" i="11"/>
  <c r="T71" i="11"/>
  <c r="P71" i="11"/>
  <c r="H71" i="11"/>
  <c r="T70" i="11"/>
  <c r="P70" i="11"/>
  <c r="H70" i="11"/>
  <c r="T69" i="11"/>
  <c r="P69" i="11"/>
  <c r="H69" i="11"/>
  <c r="T68" i="11"/>
  <c r="P68" i="11"/>
  <c r="H68" i="11"/>
  <c r="T67" i="11"/>
  <c r="P67" i="11"/>
  <c r="H67" i="11"/>
  <c r="T66" i="11"/>
  <c r="P66" i="11"/>
  <c r="H66" i="11"/>
  <c r="T65" i="11"/>
  <c r="P65" i="11"/>
  <c r="H65" i="11"/>
  <c r="T64" i="11"/>
  <c r="P64" i="11"/>
  <c r="H64" i="11"/>
  <c r="T63" i="11"/>
  <c r="P63" i="11"/>
  <c r="H63" i="11"/>
  <c r="T62" i="11"/>
  <c r="P62" i="11"/>
  <c r="H62" i="11"/>
  <c r="T61" i="11"/>
  <c r="P61" i="11"/>
  <c r="H61" i="11"/>
  <c r="T60" i="11"/>
  <c r="P60" i="11"/>
  <c r="H60" i="11"/>
  <c r="T59" i="11"/>
  <c r="P59" i="11"/>
  <c r="H59" i="11"/>
  <c r="T58" i="11"/>
  <c r="P58" i="11"/>
  <c r="H58" i="11"/>
  <c r="T57" i="11"/>
  <c r="P57" i="11"/>
  <c r="H57" i="11"/>
  <c r="T56" i="11"/>
  <c r="P56" i="11"/>
  <c r="H56" i="11"/>
  <c r="T55" i="11"/>
  <c r="P55" i="11"/>
  <c r="H55" i="11"/>
  <c r="T54" i="11"/>
  <c r="P54" i="11"/>
  <c r="H54" i="11"/>
  <c r="T53" i="11"/>
  <c r="P53" i="11"/>
  <c r="H53" i="11"/>
  <c r="T52" i="11"/>
  <c r="P52" i="11"/>
  <c r="H52" i="11"/>
  <c r="T51" i="11"/>
  <c r="P51" i="11"/>
  <c r="H51" i="11"/>
  <c r="T50" i="11"/>
  <c r="P50" i="11"/>
  <c r="H50" i="11"/>
  <c r="T49" i="11"/>
  <c r="P49" i="11"/>
  <c r="H49" i="11"/>
  <c r="T48" i="11"/>
  <c r="P48" i="11"/>
  <c r="H48" i="11"/>
  <c r="T47" i="11"/>
  <c r="P47" i="11"/>
  <c r="H47" i="11"/>
  <c r="T46" i="11"/>
  <c r="P46" i="11"/>
  <c r="H46" i="11"/>
  <c r="T45" i="11"/>
  <c r="P45" i="11"/>
  <c r="H45" i="11"/>
  <c r="T44" i="11"/>
  <c r="P44" i="11"/>
  <c r="H44" i="11"/>
  <c r="T43" i="11"/>
  <c r="P43" i="11"/>
  <c r="H43" i="11"/>
  <c r="T42" i="11"/>
  <c r="P42" i="11"/>
  <c r="H42" i="11"/>
  <c r="T41" i="11"/>
  <c r="P41" i="11"/>
  <c r="H41" i="11"/>
  <c r="T40" i="11"/>
  <c r="P40" i="11"/>
  <c r="H40" i="11"/>
  <c r="T39" i="11"/>
  <c r="P39" i="11"/>
  <c r="H39" i="11"/>
  <c r="T38" i="11"/>
  <c r="P38" i="11"/>
  <c r="H38" i="11"/>
  <c r="T37" i="11"/>
  <c r="P37" i="11"/>
  <c r="H37" i="11"/>
  <c r="T36" i="11"/>
  <c r="P36" i="11"/>
  <c r="L36" i="11"/>
  <c r="H36" i="11"/>
  <c r="T35" i="11"/>
  <c r="P35" i="11"/>
  <c r="L35" i="11"/>
  <c r="H35" i="11"/>
  <c r="T34" i="11"/>
  <c r="P34" i="11"/>
  <c r="L34" i="11"/>
  <c r="H34" i="11"/>
  <c r="T33" i="11"/>
  <c r="P33" i="11"/>
  <c r="L33" i="11"/>
  <c r="H33" i="11"/>
  <c r="T32" i="11"/>
  <c r="P32" i="11"/>
  <c r="L32" i="11"/>
  <c r="H32" i="11"/>
  <c r="T31" i="11"/>
  <c r="P31" i="11"/>
  <c r="L31" i="11"/>
  <c r="H31" i="11"/>
  <c r="T30" i="11"/>
  <c r="P30" i="11"/>
  <c r="L30" i="11"/>
  <c r="H30" i="11"/>
  <c r="T29" i="11"/>
  <c r="P29" i="11"/>
  <c r="L29" i="11"/>
  <c r="H29" i="11"/>
  <c r="T28" i="11"/>
  <c r="P28" i="11"/>
  <c r="L28" i="11"/>
  <c r="H28" i="11"/>
  <c r="T27" i="11"/>
  <c r="P27" i="11"/>
  <c r="L27" i="11"/>
  <c r="H27" i="11"/>
  <c r="T26" i="11"/>
  <c r="P26" i="11"/>
  <c r="L26" i="11"/>
  <c r="H26" i="11"/>
  <c r="T25" i="11"/>
  <c r="P25" i="11"/>
  <c r="L25" i="11"/>
  <c r="H25" i="11"/>
  <c r="T24" i="11"/>
  <c r="P24" i="11"/>
  <c r="L24" i="11"/>
  <c r="H24" i="11"/>
  <c r="T23" i="11"/>
  <c r="P23" i="11"/>
  <c r="L23" i="11"/>
  <c r="H23" i="11"/>
  <c r="T22" i="11"/>
  <c r="P22" i="11"/>
  <c r="L22" i="11"/>
  <c r="H22" i="11"/>
  <c r="T21" i="11"/>
  <c r="P21" i="11"/>
  <c r="L21" i="11"/>
  <c r="H21" i="11"/>
  <c r="T20" i="11"/>
  <c r="P20" i="11"/>
  <c r="L20" i="11"/>
  <c r="H20" i="11"/>
  <c r="T19" i="11"/>
  <c r="P19" i="11"/>
  <c r="L19" i="11"/>
  <c r="H19" i="11"/>
  <c r="T18" i="11"/>
  <c r="P18" i="11"/>
  <c r="L18" i="11"/>
  <c r="H18" i="11"/>
  <c r="T17" i="11"/>
  <c r="P17" i="11"/>
  <c r="L17" i="11"/>
  <c r="H17" i="11"/>
  <c r="T16" i="11"/>
  <c r="P16" i="11"/>
  <c r="L16" i="11"/>
  <c r="H16" i="11"/>
  <c r="T15" i="11"/>
  <c r="P15" i="11"/>
  <c r="L15" i="11"/>
  <c r="H15" i="11"/>
  <c r="G16" i="10"/>
  <c r="H16" i="10" s="1"/>
  <c r="I16" i="10" s="1"/>
  <c r="J16" i="10" s="1"/>
  <c r="K16" i="10" s="1"/>
  <c r="L16" i="10" s="1"/>
  <c r="M16" i="10" s="1"/>
  <c r="F5" i="9"/>
  <c r="G5" i="9"/>
  <c r="H5" i="9" s="1"/>
  <c r="I5" i="9" s="1"/>
  <c r="J5" i="9" s="1"/>
  <c r="K5" i="9" s="1"/>
  <c r="L5" i="9" s="1"/>
  <c r="F5" i="2"/>
  <c r="G5" i="2" s="1"/>
  <c r="F5" i="7"/>
  <c r="G5" i="7"/>
  <c r="H5" i="7" s="1"/>
  <c r="I5" i="7" s="1"/>
  <c r="J5" i="7" s="1"/>
  <c r="K5" i="7" s="1"/>
  <c r="L5" i="7" s="1"/>
  <c r="F5" i="1"/>
  <c r="G5" i="1"/>
  <c r="F5" i="6"/>
  <c r="G5" i="6" s="1"/>
  <c r="F5" i="19"/>
  <c r="G5" i="19" s="1"/>
  <c r="H5" i="19" s="1"/>
  <c r="I5" i="19" s="1"/>
  <c r="J5" i="19" s="1"/>
  <c r="K5" i="19" s="1"/>
  <c r="L5" i="19" s="1"/>
  <c r="E7" i="18"/>
  <c r="E8" i="18" s="1"/>
  <c r="E9" i="18"/>
  <c r="E10" i="18" s="1"/>
  <c r="E11" i="18" s="1"/>
  <c r="E12" i="18" s="1"/>
  <c r="E13" i="18"/>
  <c r="E14" i="18" s="1"/>
  <c r="E15" i="18" s="1"/>
  <c r="E16" i="18" s="1"/>
  <c r="E17" i="18"/>
  <c r="E18" i="18" s="1"/>
  <c r="E19" i="18"/>
  <c r="E20" i="18" s="1"/>
  <c r="E21" i="18" s="1"/>
  <c r="E22" i="18" s="1"/>
  <c r="E23" i="18" s="1"/>
  <c r="E24" i="18" s="1"/>
  <c r="J36" i="10"/>
  <c r="F11" i="19"/>
  <c r="G14" i="19"/>
  <c r="H14" i="19" s="1"/>
  <c r="I14" i="19" s="1"/>
  <c r="J14" i="19" s="1"/>
  <c r="K14" i="19" s="1"/>
  <c r="L14" i="19" s="1"/>
  <c r="F17" i="19"/>
  <c r="G18" i="10"/>
  <c r="F20" i="10" s="1"/>
  <c r="G20" i="10"/>
  <c r="K10" i="12" l="1"/>
  <c r="L10" i="12" s="1"/>
  <c r="K11" i="12"/>
  <c r="K12" i="12"/>
  <c r="E9" i="6"/>
  <c r="G11" i="26"/>
  <c r="F12" i="26"/>
  <c r="F9" i="9"/>
  <c r="G49" i="6"/>
  <c r="F49" i="6"/>
  <c r="E49" i="6"/>
  <c r="G73" i="6"/>
  <c r="K17" i="12"/>
  <c r="G20" i="25"/>
  <c r="H20" i="25" s="1"/>
  <c r="E17" i="19"/>
  <c r="G15" i="7"/>
  <c r="E15" i="6" s="1"/>
  <c r="F20" i="19"/>
  <c r="G27" i="9"/>
  <c r="E13" i="6"/>
  <c r="J38" i="10"/>
  <c r="E16" i="6"/>
  <c r="G38" i="26"/>
  <c r="G10" i="22"/>
  <c r="G11" i="22" s="1"/>
  <c r="G38" i="23"/>
  <c r="H38" i="23" s="1"/>
  <c r="I38" i="23" s="1"/>
  <c r="J38" i="23" s="1"/>
  <c r="K38" i="23" s="1"/>
  <c r="L38" i="23" s="1"/>
  <c r="G14" i="22"/>
  <c r="H14" i="22" s="1"/>
  <c r="I14" i="22" s="1"/>
  <c r="J14" i="22" s="1"/>
  <c r="K14" i="22" s="1"/>
  <c r="L14" i="22" s="1"/>
  <c r="G10" i="23"/>
  <c r="H10" i="23" s="1"/>
  <c r="I10" i="23" s="1"/>
  <c r="J10" i="23" s="1"/>
  <c r="K10" i="23" s="1"/>
  <c r="L10" i="23" s="1"/>
  <c r="G20" i="23"/>
  <c r="H20" i="23" s="1"/>
  <c r="I20" i="23" s="1"/>
  <c r="J20" i="23" s="1"/>
  <c r="K20" i="23" s="1"/>
  <c r="L20" i="23" s="1"/>
  <c r="G18" i="23"/>
  <c r="H18" i="23" s="1"/>
  <c r="I18" i="23" s="1"/>
  <c r="J18" i="23" s="1"/>
  <c r="K18" i="23" s="1"/>
  <c r="L18" i="23" s="1"/>
  <c r="G28" i="23"/>
  <c r="H28" i="23" s="1"/>
  <c r="I28" i="23" s="1"/>
  <c r="J28" i="23" s="1"/>
  <c r="K28" i="23" s="1"/>
  <c r="L28" i="23" s="1"/>
  <c r="G36" i="23"/>
  <c r="H36" i="23" s="1"/>
  <c r="I36" i="23" s="1"/>
  <c r="J36" i="23" s="1"/>
  <c r="K36" i="23" s="1"/>
  <c r="L36" i="23" s="1"/>
  <c r="G12" i="25"/>
  <c r="H12" i="25" s="1"/>
  <c r="I12" i="25" s="1"/>
  <c r="J12" i="25" s="1"/>
  <c r="K12" i="25" s="1"/>
  <c r="L12" i="25" s="1"/>
  <c r="G32" i="23"/>
  <c r="H32" i="23" s="1"/>
  <c r="I32" i="23" s="1"/>
  <c r="J32" i="23" s="1"/>
  <c r="K32" i="23" s="1"/>
  <c r="L32" i="23" s="1"/>
  <c r="G40" i="23"/>
  <c r="H40" i="23" s="1"/>
  <c r="I40" i="23" s="1"/>
  <c r="J40" i="23" s="1"/>
  <c r="K40" i="23" s="1"/>
  <c r="L40" i="23" s="1"/>
  <c r="G44" i="23"/>
  <c r="H44" i="23" s="1"/>
  <c r="I44" i="23" s="1"/>
  <c r="J44" i="23" s="1"/>
  <c r="K44" i="23" s="1"/>
  <c r="L44" i="23" s="1"/>
  <c r="G12" i="23"/>
  <c r="H12" i="23" s="1"/>
  <c r="I12" i="23" s="1"/>
  <c r="J12" i="23" s="1"/>
  <c r="K12" i="23" s="1"/>
  <c r="L12" i="23" s="1"/>
  <c r="G14" i="23"/>
  <c r="H14" i="23" s="1"/>
  <c r="I14" i="23" s="1"/>
  <c r="J14" i="23" s="1"/>
  <c r="K14" i="23" s="1"/>
  <c r="L14" i="23" s="1"/>
  <c r="G13" i="25"/>
  <c r="H13" i="25" s="1"/>
  <c r="I13" i="25" s="1"/>
  <c r="J13" i="25" s="1"/>
  <c r="K13" i="25" s="1"/>
  <c r="L13" i="25" s="1"/>
  <c r="G24" i="23"/>
  <c r="H24" i="23" s="1"/>
  <c r="I24" i="23" s="1"/>
  <c r="J24" i="23" s="1"/>
  <c r="K24" i="23" s="1"/>
  <c r="L24" i="23" s="1"/>
  <c r="G16" i="9"/>
  <c r="G17" i="9"/>
  <c r="G42" i="23"/>
  <c r="H42" i="23" s="1"/>
  <c r="I42" i="23" s="1"/>
  <c r="J42" i="23" s="1"/>
  <c r="K42" i="23" s="1"/>
  <c r="L42" i="23" s="1"/>
  <c r="H17" i="12"/>
  <c r="I17" i="12" s="1"/>
  <c r="E26" i="12"/>
  <c r="E28" i="12" s="1"/>
  <c r="K31" i="24"/>
  <c r="J45" i="26"/>
  <c r="E9" i="9"/>
  <c r="E14" i="7"/>
  <c r="I11" i="12"/>
  <c r="G22" i="23"/>
  <c r="H22" i="23" s="1"/>
  <c r="I22" i="23" s="1"/>
  <c r="J22" i="23" s="1"/>
  <c r="K22" i="23" s="1"/>
  <c r="L22" i="23" s="1"/>
  <c r="G27" i="24"/>
  <c r="F27" i="24"/>
  <c r="F17" i="9"/>
  <c r="F16" i="9"/>
  <c r="K20" i="22"/>
  <c r="L20" i="22"/>
  <c r="I20" i="22"/>
  <c r="J20" i="22"/>
  <c r="H20" i="22"/>
  <c r="H19" i="22" s="1"/>
  <c r="F11" i="12"/>
  <c r="H11" i="12" s="1"/>
  <c r="K11" i="13"/>
  <c r="N17" i="13"/>
  <c r="G22" i="13" s="1"/>
  <c r="I22" i="13" s="1"/>
  <c r="K22" i="13" s="1"/>
  <c r="G23" i="13"/>
  <c r="K23" i="13"/>
  <c r="F53" i="24"/>
  <c r="E21" i="9"/>
  <c r="N10" i="13"/>
  <c r="Q10" i="13"/>
  <c r="H20" i="19"/>
  <c r="I20" i="19" s="1"/>
  <c r="J20" i="19" s="1"/>
  <c r="K20" i="19" s="1"/>
  <c r="L20" i="19" s="1"/>
  <c r="E31" i="12"/>
  <c r="F73" i="6"/>
  <c r="F12" i="12"/>
  <c r="K12" i="13"/>
  <c r="E15" i="24"/>
  <c r="E27" i="24" s="1"/>
  <c r="G53" i="24"/>
  <c r="G18" i="9"/>
  <c r="H22" i="19"/>
  <c r="H13" i="7"/>
  <c r="E17" i="9"/>
  <c r="E8" i="6"/>
  <c r="E18" i="6"/>
  <c r="F41" i="24"/>
  <c r="G42" i="26"/>
  <c r="E59" i="6"/>
  <c r="E54" i="6"/>
  <c r="E16" i="7"/>
  <c r="I23" i="19"/>
  <c r="J23" i="19" s="1"/>
  <c r="K23" i="19" s="1"/>
  <c r="L23" i="19" s="1"/>
  <c r="I33" i="24"/>
  <c r="E10" i="25"/>
  <c r="E68" i="6"/>
  <c r="E71" i="6"/>
  <c r="E65" i="6"/>
  <c r="F14" i="7" l="1"/>
  <c r="G22" i="10" s="1"/>
  <c r="H26" i="10"/>
  <c r="E73" i="6"/>
  <c r="G12" i="26"/>
  <c r="H22" i="25"/>
  <c r="I19" i="25" s="1"/>
  <c r="H10" i="24"/>
  <c r="H34" i="26" s="1"/>
  <c r="I20" i="25"/>
  <c r="H12" i="12"/>
  <c r="L12" i="12" s="1"/>
  <c r="I12" i="12"/>
  <c r="E10" i="9"/>
  <c r="E17" i="7"/>
  <c r="E20" i="9"/>
  <c r="F22" i="10"/>
  <c r="F10" i="9"/>
  <c r="F20" i="9"/>
  <c r="I46" i="26"/>
  <c r="J33" i="24"/>
  <c r="G26" i="10"/>
  <c r="F20" i="25"/>
  <c r="Q11" i="13"/>
  <c r="Q15" i="13" s="1"/>
  <c r="F21" i="13" s="1"/>
  <c r="G21" i="13" s="1"/>
  <c r="I21" i="13" s="1"/>
  <c r="K21" i="13" s="1"/>
  <c r="N11" i="13"/>
  <c r="K15" i="12"/>
  <c r="L11" i="12"/>
  <c r="K14" i="12"/>
  <c r="F38" i="26"/>
  <c r="I25" i="10"/>
  <c r="H11" i="26"/>
  <c r="E33" i="9"/>
  <c r="E55" i="24"/>
  <c r="E22" i="9"/>
  <c r="E32" i="9"/>
  <c r="F23" i="9"/>
  <c r="F55" i="24"/>
  <c r="F32" i="9"/>
  <c r="F33" i="9"/>
  <c r="F22" i="9"/>
  <c r="G14" i="7"/>
  <c r="E12" i="6"/>
  <c r="G9" i="9"/>
  <c r="N12" i="13"/>
  <c r="Q12" i="13"/>
  <c r="E23" i="9"/>
  <c r="H8" i="22"/>
  <c r="H17" i="22"/>
  <c r="H18" i="22" s="1"/>
  <c r="I19" i="22"/>
  <c r="G22" i="9"/>
  <c r="G23" i="9"/>
  <c r="G55" i="24"/>
  <c r="G33" i="9"/>
  <c r="G32" i="9"/>
  <c r="L31" i="24"/>
  <c r="K45" i="26"/>
  <c r="L17" i="12"/>
  <c r="F17" i="7" l="1"/>
  <c r="J10" i="16"/>
  <c r="J11" i="16" s="1"/>
  <c r="J12" i="16"/>
  <c r="J13" i="16" s="1"/>
  <c r="L14" i="12"/>
  <c r="L15" i="12"/>
  <c r="K33" i="24"/>
  <c r="J46" i="26"/>
  <c r="J20" i="25"/>
  <c r="I10" i="24"/>
  <c r="H19" i="23"/>
  <c r="H22" i="24" s="1"/>
  <c r="H26" i="26" s="1"/>
  <c r="H9" i="25"/>
  <c r="H47" i="24" s="1"/>
  <c r="H16" i="26" s="1"/>
  <c r="H27" i="23"/>
  <c r="H31" i="23"/>
  <c r="H40" i="24" s="1"/>
  <c r="H43" i="26" s="1"/>
  <c r="H10" i="22"/>
  <c r="H21" i="23"/>
  <c r="H23" i="24" s="1"/>
  <c r="H27" i="26" s="1"/>
  <c r="H11" i="23"/>
  <c r="H13" i="24" s="1"/>
  <c r="H36" i="26" s="1"/>
  <c r="H29" i="23"/>
  <c r="H39" i="24" s="1"/>
  <c r="H42" i="26" s="1"/>
  <c r="H37" i="23"/>
  <c r="H46" i="24" s="1"/>
  <c r="H15" i="26" s="1"/>
  <c r="H43" i="23"/>
  <c r="H50" i="24" s="1"/>
  <c r="H19" i="26" s="1"/>
  <c r="H17" i="23"/>
  <c r="H19" i="24" s="1"/>
  <c r="H24" i="26" s="1"/>
  <c r="H13" i="23"/>
  <c r="H14" i="24" s="1"/>
  <c r="H37" i="26" s="1"/>
  <c r="H9" i="23"/>
  <c r="H12" i="24" s="1"/>
  <c r="H35" i="26" s="1"/>
  <c r="H41" i="23"/>
  <c r="H49" i="24" s="1"/>
  <c r="H18" i="26" s="1"/>
  <c r="H13" i="22"/>
  <c r="H16" i="7" s="1"/>
  <c r="H39" i="23"/>
  <c r="H48" i="24" s="1"/>
  <c r="H17" i="26" s="1"/>
  <c r="H23" i="23"/>
  <c r="H24" i="24" s="1"/>
  <c r="H28" i="26" s="1"/>
  <c r="H8" i="25"/>
  <c r="H35" i="23"/>
  <c r="H45" i="24" s="1"/>
  <c r="H14" i="26" s="1"/>
  <c r="G20" i="9"/>
  <c r="G17" i="7"/>
  <c r="H22" i="10"/>
  <c r="G10" i="9"/>
  <c r="E14" i="6"/>
  <c r="Q14" i="13"/>
  <c r="F9" i="26"/>
  <c r="F11" i="9"/>
  <c r="F25" i="19"/>
  <c r="F12" i="9"/>
  <c r="F19" i="7"/>
  <c r="I26" i="10"/>
  <c r="I8" i="22"/>
  <c r="J19" i="22"/>
  <c r="I17" i="22"/>
  <c r="I18" i="22" s="1"/>
  <c r="L45" i="26"/>
  <c r="E25" i="19"/>
  <c r="E12" i="9"/>
  <c r="E11" i="9"/>
  <c r="E19" i="7"/>
  <c r="I21" i="25"/>
  <c r="I22" i="25" s="1"/>
  <c r="J19" i="25" s="1"/>
  <c r="H32" i="26" l="1"/>
  <c r="H21" i="26"/>
  <c r="H15" i="24"/>
  <c r="J8" i="22"/>
  <c r="J17" i="22"/>
  <c r="J18" i="22" s="1"/>
  <c r="K19" i="22"/>
  <c r="H38" i="26"/>
  <c r="H19" i="19"/>
  <c r="H15" i="7" s="1"/>
  <c r="H48" i="26" s="1"/>
  <c r="H38" i="24"/>
  <c r="H10" i="25"/>
  <c r="H20" i="24"/>
  <c r="H25" i="26" s="1"/>
  <c r="I27" i="10" s="1"/>
  <c r="J21" i="25"/>
  <c r="J22" i="25" s="1"/>
  <c r="K19" i="25" s="1"/>
  <c r="I13" i="7"/>
  <c r="I34" i="26" s="1"/>
  <c r="I22" i="19"/>
  <c r="H51" i="24"/>
  <c r="K20" i="25"/>
  <c r="J10" i="24"/>
  <c r="E13" i="9"/>
  <c r="E22" i="7"/>
  <c r="E31" i="9"/>
  <c r="E34" i="9" s="1"/>
  <c r="E28" i="19"/>
  <c r="E28" i="9" s="1"/>
  <c r="I31" i="23"/>
  <c r="I40" i="24" s="1"/>
  <c r="I43" i="26" s="1"/>
  <c r="I8" i="25"/>
  <c r="I39" i="23"/>
  <c r="I48" i="24" s="1"/>
  <c r="I17" i="26" s="1"/>
  <c r="I41" i="23"/>
  <c r="I49" i="24" s="1"/>
  <c r="I18" i="26" s="1"/>
  <c r="I11" i="23"/>
  <c r="I13" i="24" s="1"/>
  <c r="I36" i="26" s="1"/>
  <c r="I21" i="23"/>
  <c r="I23" i="24" s="1"/>
  <c r="I27" i="26" s="1"/>
  <c r="I27" i="23"/>
  <c r="I29" i="23"/>
  <c r="I39" i="24" s="1"/>
  <c r="I42" i="26" s="1"/>
  <c r="I43" i="23"/>
  <c r="I50" i="24" s="1"/>
  <c r="I19" i="26" s="1"/>
  <c r="I13" i="23"/>
  <c r="I14" i="24" s="1"/>
  <c r="I37" i="26" s="1"/>
  <c r="I9" i="23"/>
  <c r="I12" i="24" s="1"/>
  <c r="I35" i="26" s="1"/>
  <c r="I23" i="23"/>
  <c r="I24" i="24" s="1"/>
  <c r="I28" i="26" s="1"/>
  <c r="I17" i="23"/>
  <c r="I19" i="24" s="1"/>
  <c r="I24" i="26" s="1"/>
  <c r="I10" i="22"/>
  <c r="I37" i="23"/>
  <c r="I46" i="24" s="1"/>
  <c r="I15" i="26" s="1"/>
  <c r="I9" i="25"/>
  <c r="I47" i="24" s="1"/>
  <c r="I16" i="26" s="1"/>
  <c r="I13" i="22"/>
  <c r="I16" i="7" s="1"/>
  <c r="I35" i="23"/>
  <c r="I45" i="24" s="1"/>
  <c r="I14" i="26" s="1"/>
  <c r="I19" i="23"/>
  <c r="I22" i="24" s="1"/>
  <c r="I26" i="26" s="1"/>
  <c r="F22" i="7"/>
  <c r="F44" i="26"/>
  <c r="F28" i="19"/>
  <c r="F28" i="9" s="1"/>
  <c r="F31" i="9"/>
  <c r="F34" i="9" s="1"/>
  <c r="F13" i="9"/>
  <c r="G9" i="26"/>
  <c r="G12" i="9"/>
  <c r="G11" i="9"/>
  <c r="G19" i="7"/>
  <c r="G25" i="19"/>
  <c r="E17" i="6"/>
  <c r="H11" i="22"/>
  <c r="H8" i="19"/>
  <c r="K46" i="26"/>
  <c r="L33" i="24"/>
  <c r="L46" i="26" s="1"/>
  <c r="I21" i="26" l="1"/>
  <c r="I32" i="26"/>
  <c r="F49" i="26"/>
  <c r="F51" i="26" s="1"/>
  <c r="F53" i="26" s="1"/>
  <c r="H8" i="7"/>
  <c r="H16" i="19"/>
  <c r="H11" i="7" s="1"/>
  <c r="H10" i="19"/>
  <c r="H9" i="7" s="1"/>
  <c r="H13" i="19"/>
  <c r="H10" i="7" s="1"/>
  <c r="F15" i="6"/>
  <c r="H12" i="26"/>
  <c r="I8" i="19"/>
  <c r="I11" i="22"/>
  <c r="I10" i="25"/>
  <c r="I20" i="24"/>
  <c r="I25" i="26" s="1"/>
  <c r="J27" i="10" s="1"/>
  <c r="I15" i="24"/>
  <c r="J22" i="19"/>
  <c r="J13" i="7"/>
  <c r="J34" i="26" s="1"/>
  <c r="J11" i="23"/>
  <c r="J13" i="24" s="1"/>
  <c r="J36" i="26" s="1"/>
  <c r="J41" i="23"/>
  <c r="J49" i="24" s="1"/>
  <c r="J18" i="26" s="1"/>
  <c r="J35" i="23"/>
  <c r="J45" i="24" s="1"/>
  <c r="J14" i="26" s="1"/>
  <c r="J8" i="25"/>
  <c r="J9" i="23"/>
  <c r="J12" i="24" s="1"/>
  <c r="J35" i="26" s="1"/>
  <c r="J29" i="23"/>
  <c r="J39" i="24" s="1"/>
  <c r="J42" i="26" s="1"/>
  <c r="J31" i="23"/>
  <c r="J40" i="24" s="1"/>
  <c r="J43" i="26" s="1"/>
  <c r="J23" i="23"/>
  <c r="J24" i="24" s="1"/>
  <c r="J28" i="26" s="1"/>
  <c r="J19" i="23"/>
  <c r="J22" i="24" s="1"/>
  <c r="J26" i="26" s="1"/>
  <c r="J27" i="23"/>
  <c r="J39" i="23"/>
  <c r="J48" i="24" s="1"/>
  <c r="J17" i="26" s="1"/>
  <c r="J13" i="22"/>
  <c r="J16" i="7" s="1"/>
  <c r="J13" i="23"/>
  <c r="J14" i="24" s="1"/>
  <c r="J37" i="26" s="1"/>
  <c r="J43" i="23"/>
  <c r="J50" i="24" s="1"/>
  <c r="J19" i="26" s="1"/>
  <c r="J17" i="23"/>
  <c r="J19" i="24" s="1"/>
  <c r="J24" i="26" s="1"/>
  <c r="J37" i="23"/>
  <c r="J46" i="24" s="1"/>
  <c r="J15" i="26" s="1"/>
  <c r="J9" i="25"/>
  <c r="J47" i="24" s="1"/>
  <c r="J16" i="26" s="1"/>
  <c r="J21" i="23"/>
  <c r="J23" i="24" s="1"/>
  <c r="J27" i="26" s="1"/>
  <c r="J10" i="22"/>
  <c r="G31" i="9"/>
  <c r="G34" i="9" s="1"/>
  <c r="G13" i="9"/>
  <c r="G28" i="19"/>
  <c r="E19" i="6"/>
  <c r="G22" i="7"/>
  <c r="H22" i="7" s="1"/>
  <c r="I22" i="7" s="1"/>
  <c r="J22" i="7" s="1"/>
  <c r="K22" i="7" s="1"/>
  <c r="L22" i="7" s="1"/>
  <c r="G44" i="26"/>
  <c r="G49" i="26" s="1"/>
  <c r="H41" i="24"/>
  <c r="H41" i="26"/>
  <c r="I19" i="19"/>
  <c r="I15" i="7" s="1"/>
  <c r="I48" i="26" s="1"/>
  <c r="I38" i="24"/>
  <c r="L20" i="25"/>
  <c r="L10" i="24" s="1"/>
  <c r="K10" i="24"/>
  <c r="I11" i="26"/>
  <c r="J25" i="10"/>
  <c r="K21" i="25"/>
  <c r="K22" i="25" s="1"/>
  <c r="L19" i="25" s="1"/>
  <c r="I51" i="24"/>
  <c r="E32" i="12"/>
  <c r="H25" i="19"/>
  <c r="I25" i="19" s="1"/>
  <c r="J25" i="19" s="1"/>
  <c r="K25" i="19" s="1"/>
  <c r="L25" i="19" s="1"/>
  <c r="J26" i="10"/>
  <c r="L19" i="22"/>
  <c r="K17" i="22"/>
  <c r="K18" i="22" s="1"/>
  <c r="K8" i="22"/>
  <c r="F10" i="6" l="1"/>
  <c r="J15" i="24"/>
  <c r="J21" i="26"/>
  <c r="J32" i="26"/>
  <c r="G51" i="26"/>
  <c r="G52" i="26"/>
  <c r="F55" i="26"/>
  <c r="K26" i="10"/>
  <c r="F11" i="6"/>
  <c r="H12" i="7"/>
  <c r="L17" i="22"/>
  <c r="L18" i="22" s="1"/>
  <c r="L8" i="22"/>
  <c r="I41" i="24"/>
  <c r="I41" i="26"/>
  <c r="J11" i="22"/>
  <c r="J8" i="19"/>
  <c r="I12" i="26"/>
  <c r="H28" i="19"/>
  <c r="G28" i="9"/>
  <c r="J38" i="24"/>
  <c r="J19" i="19"/>
  <c r="J15" i="7" s="1"/>
  <c r="J48" i="26" s="1"/>
  <c r="F8" i="6"/>
  <c r="H26" i="9"/>
  <c r="F13" i="6"/>
  <c r="F16" i="6"/>
  <c r="K11" i="23"/>
  <c r="K13" i="24" s="1"/>
  <c r="K36" i="26" s="1"/>
  <c r="K8" i="25"/>
  <c r="K17" i="23"/>
  <c r="K19" i="24" s="1"/>
  <c r="K24" i="26" s="1"/>
  <c r="K35" i="23"/>
  <c r="K45" i="24" s="1"/>
  <c r="K14" i="26" s="1"/>
  <c r="K37" i="23"/>
  <c r="K46" i="24" s="1"/>
  <c r="K15" i="26" s="1"/>
  <c r="K31" i="23"/>
  <c r="K40" i="24" s="1"/>
  <c r="K43" i="26" s="1"/>
  <c r="K41" i="23"/>
  <c r="K49" i="24" s="1"/>
  <c r="K18" i="26" s="1"/>
  <c r="K13" i="23"/>
  <c r="K14" i="24" s="1"/>
  <c r="K37" i="26" s="1"/>
  <c r="K39" i="23"/>
  <c r="K48" i="24" s="1"/>
  <c r="K17" i="26" s="1"/>
  <c r="K19" i="23"/>
  <c r="K22" i="24" s="1"/>
  <c r="K26" i="26" s="1"/>
  <c r="K13" i="22"/>
  <c r="K16" i="7" s="1"/>
  <c r="K9" i="25"/>
  <c r="K47" i="24" s="1"/>
  <c r="K16" i="26" s="1"/>
  <c r="K43" i="23"/>
  <c r="K50" i="24" s="1"/>
  <c r="K19" i="26" s="1"/>
  <c r="K10" i="22"/>
  <c r="K23" i="23"/>
  <c r="K24" i="24" s="1"/>
  <c r="K28" i="26" s="1"/>
  <c r="K9" i="23"/>
  <c r="K12" i="24" s="1"/>
  <c r="K35" i="26" s="1"/>
  <c r="K21" i="23"/>
  <c r="K23" i="24" s="1"/>
  <c r="K27" i="26" s="1"/>
  <c r="K29" i="23"/>
  <c r="K39" i="24" s="1"/>
  <c r="K42" i="26" s="1"/>
  <c r="K27" i="23"/>
  <c r="I38" i="26"/>
  <c r="E9" i="10"/>
  <c r="E33" i="12"/>
  <c r="E39" i="12"/>
  <c r="E40" i="12" s="1"/>
  <c r="K22" i="19"/>
  <c r="K13" i="7"/>
  <c r="K34" i="26" s="1"/>
  <c r="H27" i="9"/>
  <c r="F9" i="6"/>
  <c r="J51" i="24"/>
  <c r="L21" i="25"/>
  <c r="L22" i="25" s="1"/>
  <c r="I10" i="19"/>
  <c r="I9" i="7" s="1"/>
  <c r="I8" i="7"/>
  <c r="I13" i="19"/>
  <c r="I10" i="7" s="1"/>
  <c r="I16" i="19"/>
  <c r="I11" i="7" s="1"/>
  <c r="J20" i="24"/>
  <c r="J25" i="26" s="1"/>
  <c r="K27" i="10" s="1"/>
  <c r="J10" i="25"/>
  <c r="K25" i="10"/>
  <c r="J11" i="26"/>
  <c r="I12" i="7" l="1"/>
  <c r="K32" i="26"/>
  <c r="K21" i="26"/>
  <c r="G53" i="26"/>
  <c r="H52" i="26" s="1"/>
  <c r="G55" i="26"/>
  <c r="L26" i="10"/>
  <c r="J38" i="26"/>
  <c r="G11" i="6"/>
  <c r="G10" i="6"/>
  <c r="E42" i="12"/>
  <c r="E12" i="10" s="1"/>
  <c r="K38" i="24"/>
  <c r="K19" i="19"/>
  <c r="K15" i="7" s="1"/>
  <c r="K48" i="26" s="1"/>
  <c r="I28" i="19"/>
  <c r="H28" i="9"/>
  <c r="I26" i="9"/>
  <c r="G8" i="6"/>
  <c r="G16" i="6"/>
  <c r="G13" i="6"/>
  <c r="K15" i="24"/>
  <c r="K11" i="22"/>
  <c r="K8" i="19"/>
  <c r="K10" i="25"/>
  <c r="K20" i="24"/>
  <c r="K25" i="26" s="1"/>
  <c r="L27" i="10" s="1"/>
  <c r="J12" i="26"/>
  <c r="L11" i="23"/>
  <c r="L13" i="24" s="1"/>
  <c r="L36" i="26" s="1"/>
  <c r="L39" i="23"/>
  <c r="L48" i="24" s="1"/>
  <c r="L17" i="26" s="1"/>
  <c r="L19" i="23"/>
  <c r="L22" i="24" s="1"/>
  <c r="L26" i="26" s="1"/>
  <c r="L31" i="23"/>
  <c r="L40" i="24" s="1"/>
  <c r="L43" i="26" s="1"/>
  <c r="L41" i="23"/>
  <c r="L49" i="24" s="1"/>
  <c r="L18" i="26" s="1"/>
  <c r="L43" i="23"/>
  <c r="L50" i="24" s="1"/>
  <c r="L19" i="26" s="1"/>
  <c r="L13" i="23"/>
  <c r="L14" i="24" s="1"/>
  <c r="L37" i="26" s="1"/>
  <c r="L17" i="23"/>
  <c r="L19" i="24" s="1"/>
  <c r="L24" i="26" s="1"/>
  <c r="L13" i="22"/>
  <c r="L16" i="7" s="1"/>
  <c r="L21" i="23"/>
  <c r="L23" i="24" s="1"/>
  <c r="L27" i="26" s="1"/>
  <c r="L35" i="23"/>
  <c r="L45" i="24" s="1"/>
  <c r="L14" i="26" s="1"/>
  <c r="L9" i="25"/>
  <c r="L47" i="24" s="1"/>
  <c r="L16" i="26" s="1"/>
  <c r="L9" i="23"/>
  <c r="L12" i="24" s="1"/>
  <c r="L37" i="23"/>
  <c r="L46" i="24" s="1"/>
  <c r="L15" i="26" s="1"/>
  <c r="L29" i="23"/>
  <c r="L39" i="24" s="1"/>
  <c r="L42" i="26" s="1"/>
  <c r="L23" i="23"/>
  <c r="L24" i="24" s="1"/>
  <c r="L28" i="26" s="1"/>
  <c r="L27" i="23"/>
  <c r="L8" i="25"/>
  <c r="L10" i="22"/>
  <c r="K51" i="24"/>
  <c r="G9" i="6"/>
  <c r="I27" i="9"/>
  <c r="L22" i="19"/>
  <c r="L13" i="7"/>
  <c r="L34" i="26" s="1"/>
  <c r="K11" i="26"/>
  <c r="L25" i="10"/>
  <c r="F23" i="10"/>
  <c r="F28" i="10" s="1"/>
  <c r="F30" i="10" s="1"/>
  <c r="G23" i="10"/>
  <c r="G24" i="10" s="1"/>
  <c r="G28" i="10" s="1"/>
  <c r="G30" i="10" s="1"/>
  <c r="H23" i="10"/>
  <c r="H24" i="10" s="1"/>
  <c r="H28" i="10" s="1"/>
  <c r="H30" i="10" s="1"/>
  <c r="J41" i="26"/>
  <c r="J41" i="24"/>
  <c r="G15" i="6"/>
  <c r="J8" i="7"/>
  <c r="J10" i="19"/>
  <c r="J16" i="19"/>
  <c r="J11" i="7" s="1"/>
  <c r="J13" i="19"/>
  <c r="J10" i="7" s="1"/>
  <c r="L21" i="26" l="1"/>
  <c r="L32" i="26"/>
  <c r="K38" i="26"/>
  <c r="J9" i="7"/>
  <c r="J12" i="7" s="1"/>
  <c r="H14" i="7"/>
  <c r="H9" i="9"/>
  <c r="F12" i="6"/>
  <c r="L8" i="19"/>
  <c r="L11" i="22"/>
  <c r="K41" i="24"/>
  <c r="K41" i="26"/>
  <c r="J26" i="9"/>
  <c r="J28" i="19"/>
  <c r="I28" i="9"/>
  <c r="L51" i="24"/>
  <c r="K8" i="7"/>
  <c r="K10" i="19"/>
  <c r="K16" i="19"/>
  <c r="K11" i="7" s="1"/>
  <c r="K13" i="19"/>
  <c r="K10" i="7" s="1"/>
  <c r="K12" i="26"/>
  <c r="L10" i="25"/>
  <c r="L20" i="24"/>
  <c r="L25" i="26" s="1"/>
  <c r="M27" i="10" s="1"/>
  <c r="L11" i="26"/>
  <c r="M25" i="10"/>
  <c r="M26" i="10"/>
  <c r="L38" i="24"/>
  <c r="L19" i="19"/>
  <c r="L15" i="7" s="1"/>
  <c r="L48" i="26" s="1"/>
  <c r="L35" i="26"/>
  <c r="L15" i="24"/>
  <c r="K9" i="7" l="1"/>
  <c r="K27" i="9" s="1"/>
  <c r="J27" i="9"/>
  <c r="F14" i="6"/>
  <c r="I22" i="10"/>
  <c r="H17" i="7"/>
  <c r="H20" i="9"/>
  <c r="H10" i="9"/>
  <c r="L38" i="26"/>
  <c r="L12" i="26"/>
  <c r="J9" i="9"/>
  <c r="J14" i="7"/>
  <c r="L16" i="19"/>
  <c r="L11" i="7" s="1"/>
  <c r="L13" i="19"/>
  <c r="L10" i="7" s="1"/>
  <c r="L8" i="7"/>
  <c r="L10" i="19"/>
  <c r="L41" i="24"/>
  <c r="L41" i="26"/>
  <c r="K26" i="9"/>
  <c r="G12" i="6"/>
  <c r="I14" i="7"/>
  <c r="I9" i="9"/>
  <c r="J28" i="9"/>
  <c r="K28" i="19"/>
  <c r="L9" i="7" l="1"/>
  <c r="L27" i="9" s="1"/>
  <c r="K12" i="7"/>
  <c r="K14" i="7" s="1"/>
  <c r="J10" i="9"/>
  <c r="K22" i="10"/>
  <c r="J17" i="7"/>
  <c r="J20" i="9"/>
  <c r="H9" i="26"/>
  <c r="F17" i="6"/>
  <c r="H18" i="7"/>
  <c r="H11" i="9"/>
  <c r="L26" i="9"/>
  <c r="I23" i="10"/>
  <c r="I24" i="10" s="1"/>
  <c r="L28" i="19"/>
  <c r="L28" i="9" s="1"/>
  <c r="K28" i="9"/>
  <c r="G14" i="6"/>
  <c r="I10" i="9"/>
  <c r="I17" i="7"/>
  <c r="I20" i="9"/>
  <c r="J22" i="10"/>
  <c r="H19" i="7" l="1"/>
  <c r="H22" i="26"/>
  <c r="H29" i="26" s="1"/>
  <c r="L12" i="7"/>
  <c r="K9" i="9"/>
  <c r="K17" i="7"/>
  <c r="K10" i="9"/>
  <c r="L22" i="10"/>
  <c r="K20" i="9"/>
  <c r="J9" i="26"/>
  <c r="J18" i="7"/>
  <c r="J22" i="26" s="1"/>
  <c r="J11" i="9"/>
  <c r="J23" i="10"/>
  <c r="J24" i="10" s="1"/>
  <c r="H13" i="9"/>
  <c r="H21" i="7"/>
  <c r="H32" i="24" s="1"/>
  <c r="H31" i="9"/>
  <c r="F19" i="6"/>
  <c r="H27" i="19"/>
  <c r="K23" i="10"/>
  <c r="K24" i="10" s="1"/>
  <c r="L14" i="7"/>
  <c r="L9" i="9"/>
  <c r="I11" i="9"/>
  <c r="G17" i="6"/>
  <c r="I9" i="26"/>
  <c r="I18" i="7"/>
  <c r="I22" i="26" s="1"/>
  <c r="I28" i="10"/>
  <c r="I30" i="10" s="1"/>
  <c r="H12" i="9"/>
  <c r="F18" i="6"/>
  <c r="I29" i="26" l="1"/>
  <c r="J29" i="26"/>
  <c r="J19" i="7"/>
  <c r="J13" i="9" s="1"/>
  <c r="K28" i="10"/>
  <c r="K30" i="10" s="1"/>
  <c r="I19" i="7"/>
  <c r="I31" i="9" s="1"/>
  <c r="J28" i="10"/>
  <c r="J30" i="10" s="1"/>
  <c r="H34" i="24"/>
  <c r="H44" i="26"/>
  <c r="H49" i="26" s="1"/>
  <c r="H51" i="26" s="1"/>
  <c r="H53" i="26" s="1"/>
  <c r="L17" i="7"/>
  <c r="M22" i="10"/>
  <c r="L20" i="9"/>
  <c r="L10" i="9"/>
  <c r="I21" i="7"/>
  <c r="I32" i="24" s="1"/>
  <c r="I13" i="9"/>
  <c r="L23" i="10"/>
  <c r="L24" i="10" s="1"/>
  <c r="G18" i="6"/>
  <c r="I12" i="9"/>
  <c r="J12" i="9"/>
  <c r="K11" i="9"/>
  <c r="K9" i="26"/>
  <c r="K18" i="7"/>
  <c r="K22" i="26" s="1"/>
  <c r="J27" i="19" l="1"/>
  <c r="J31" i="9"/>
  <c r="J21" i="7"/>
  <c r="G19" i="6"/>
  <c r="K29" i="26"/>
  <c r="I27" i="19"/>
  <c r="K19" i="7"/>
  <c r="K13" i="9" s="1"/>
  <c r="I52" i="26"/>
  <c r="I44" i="26"/>
  <c r="I49" i="26" s="1"/>
  <c r="I51" i="26" s="1"/>
  <c r="J32" i="24"/>
  <c r="I34" i="24"/>
  <c r="R23" i="10"/>
  <c r="M23" i="10"/>
  <c r="M24" i="10" s="1"/>
  <c r="K12" i="9"/>
  <c r="L28" i="10"/>
  <c r="L30" i="10" s="1"/>
  <c r="L18" i="7"/>
  <c r="L22" i="26" s="1"/>
  <c r="L11" i="9"/>
  <c r="L9" i="26"/>
  <c r="H21" i="9"/>
  <c r="H53" i="24"/>
  <c r="H21" i="24" s="1"/>
  <c r="H55" i="26" s="1"/>
  <c r="K27" i="19" l="1"/>
  <c r="K21" i="7"/>
  <c r="L29" i="26"/>
  <c r="K31" i="9"/>
  <c r="I53" i="26"/>
  <c r="J52" i="26" s="1"/>
  <c r="M28" i="10"/>
  <c r="L12" i="9"/>
  <c r="I21" i="9"/>
  <c r="I53" i="24"/>
  <c r="I21" i="24" s="1"/>
  <c r="H18" i="9"/>
  <c r="H25" i="24"/>
  <c r="L19" i="7"/>
  <c r="J44" i="26"/>
  <c r="J49" i="26" s="1"/>
  <c r="J51" i="26" s="1"/>
  <c r="K32" i="24"/>
  <c r="J34" i="24"/>
  <c r="R24" i="10" l="1"/>
  <c r="R25" i="10" s="1"/>
  <c r="N28" i="10" s="1"/>
  <c r="N30" i="10" s="1"/>
  <c r="M30" i="10"/>
  <c r="J53" i="26"/>
  <c r="K52" i="26" s="1"/>
  <c r="I18" i="9"/>
  <c r="I25" i="24"/>
  <c r="I55" i="26"/>
  <c r="J21" i="9"/>
  <c r="J53" i="24"/>
  <c r="J21" i="24" s="1"/>
  <c r="L27" i="19"/>
  <c r="L31" i="9"/>
  <c r="L21" i="7"/>
  <c r="L32" i="24" s="1"/>
  <c r="L13" i="9"/>
  <c r="K44" i="26"/>
  <c r="K49" i="26" s="1"/>
  <c r="K51" i="26" s="1"/>
  <c r="K34" i="24"/>
  <c r="H16" i="9"/>
  <c r="H17" i="9"/>
  <c r="H27" i="24"/>
  <c r="E34" i="10" l="1"/>
  <c r="E38" i="10" s="1"/>
  <c r="E40" i="10" s="1"/>
  <c r="N35" i="10" s="1"/>
  <c r="N36" i="10" s="1"/>
  <c r="J55" i="26"/>
  <c r="K53" i="26"/>
  <c r="L44" i="26"/>
  <c r="L49" i="26" s="1"/>
  <c r="L51" i="26" s="1"/>
  <c r="L34" i="24"/>
  <c r="K21" i="9"/>
  <c r="K53" i="24"/>
  <c r="K21" i="24" s="1"/>
  <c r="H33" i="9"/>
  <c r="H55" i="24"/>
  <c r="H22" i="9"/>
  <c r="H32" i="9"/>
  <c r="H23" i="9"/>
  <c r="J18" i="9"/>
  <c r="J25" i="24"/>
  <c r="I17" i="9"/>
  <c r="I16" i="9"/>
  <c r="I27" i="24"/>
  <c r="H64" i="10" l="1"/>
  <c r="H51" i="10"/>
  <c r="K55" i="26"/>
  <c r="L52" i="26"/>
  <c r="L53" i="26" s="1"/>
  <c r="J17" i="9"/>
  <c r="J16" i="9"/>
  <c r="J27" i="24"/>
  <c r="I33" i="9"/>
  <c r="I55" i="24"/>
  <c r="I22" i="9"/>
  <c r="I32" i="9"/>
  <c r="I23" i="9"/>
  <c r="L21" i="9"/>
  <c r="L53" i="24"/>
  <c r="L21" i="24" s="1"/>
  <c r="H34" i="9"/>
  <c r="K18" i="9"/>
  <c r="K25" i="24"/>
  <c r="L55" i="26" l="1"/>
  <c r="L18" i="9"/>
  <c r="L25" i="24"/>
  <c r="I34" i="9"/>
  <c r="J55" i="24"/>
  <c r="J33" i="9"/>
  <c r="J22" i="9"/>
  <c r="J32" i="9"/>
  <c r="J34" i="9" s="1"/>
  <c r="J23" i="9"/>
  <c r="K16" i="9"/>
  <c r="K17" i="9"/>
  <c r="K27" i="24"/>
  <c r="K22" i="9" l="1"/>
  <c r="K33" i="9"/>
  <c r="K55" i="24"/>
  <c r="K32" i="9"/>
  <c r="K34" i="9" s="1"/>
  <c r="K23" i="9"/>
  <c r="L16" i="9"/>
  <c r="L17" i="9"/>
  <c r="L27" i="24"/>
  <c r="L55" i="24" l="1"/>
  <c r="L33" i="9"/>
  <c r="L22" i="9"/>
  <c r="L32" i="9"/>
  <c r="L34" i="9" s="1"/>
  <c r="L23" i="9"/>
</calcChain>
</file>

<file path=xl/sharedStrings.xml><?xml version="1.0" encoding="utf-8"?>
<sst xmlns="http://schemas.openxmlformats.org/spreadsheetml/2006/main" count="766" uniqueCount="402">
  <si>
    <t>Revenue</t>
  </si>
  <si>
    <t>Particulars</t>
  </si>
  <si>
    <t>Revenue from operations</t>
  </si>
  <si>
    <t>Other income</t>
  </si>
  <si>
    <t>Total income</t>
  </si>
  <si>
    <t>Expenses:</t>
  </si>
  <si>
    <t>Other expenses</t>
  </si>
  <si>
    <t>Assets</t>
  </si>
  <si>
    <t>Non-Current Assets</t>
  </si>
  <si>
    <t>Current Assets</t>
  </si>
  <si>
    <t>EQUITY AND LIABILITIES</t>
  </si>
  <si>
    <t>Equity</t>
  </si>
  <si>
    <t>Equity share capital</t>
  </si>
  <si>
    <t>Other equity</t>
  </si>
  <si>
    <t>Non-current liabilities</t>
  </si>
  <si>
    <t>Financial liabilities</t>
  </si>
  <si>
    <t>Current liabilities</t>
  </si>
  <si>
    <t>TOTAL</t>
  </si>
  <si>
    <t>Total</t>
  </si>
  <si>
    <t>Master Check</t>
  </si>
  <si>
    <t>Revenue Buildup</t>
  </si>
  <si>
    <t>Audited</t>
  </si>
  <si>
    <t>Projected</t>
  </si>
  <si>
    <t>Other Income</t>
  </si>
  <si>
    <t>Scenario</t>
  </si>
  <si>
    <t>Case</t>
  </si>
  <si>
    <t>Company data</t>
  </si>
  <si>
    <t>Amount</t>
  </si>
  <si>
    <t>No of Outstanding shares</t>
  </si>
  <si>
    <t>Nos</t>
  </si>
  <si>
    <t>Face Value per share</t>
  </si>
  <si>
    <t>Rs.</t>
  </si>
  <si>
    <t>Current Market Price</t>
  </si>
  <si>
    <t>Market Capitalisation</t>
  </si>
  <si>
    <t>Assumptions</t>
  </si>
  <si>
    <t>Increase in Industry  Growth rate</t>
  </si>
  <si>
    <t>%</t>
  </si>
  <si>
    <t>Perpetual Growth rate</t>
  </si>
  <si>
    <t>India 10-year Rupee Bond YTM</t>
  </si>
  <si>
    <t>Interest rate on borrowings</t>
  </si>
  <si>
    <t>Annual growth tapering</t>
  </si>
  <si>
    <t>Company Name</t>
  </si>
  <si>
    <t>ISIN Code</t>
  </si>
  <si>
    <t>Sector Name</t>
  </si>
  <si>
    <t>Industry</t>
  </si>
  <si>
    <t>Exchange Name</t>
  </si>
  <si>
    <t>Website</t>
  </si>
  <si>
    <t>Company Description</t>
  </si>
  <si>
    <t>Cost Buildup</t>
  </si>
  <si>
    <t>Revenue From Operations</t>
  </si>
  <si>
    <t>(% on Revenue)</t>
  </si>
  <si>
    <t>Employee Benefit Expenses</t>
  </si>
  <si>
    <t>Finance Costs</t>
  </si>
  <si>
    <t>(on PY end borrowings)</t>
  </si>
  <si>
    <t>Tax rate</t>
  </si>
  <si>
    <t>Income Statement</t>
  </si>
  <si>
    <t>Revenue from Operation</t>
  </si>
  <si>
    <t>EBITDA</t>
  </si>
  <si>
    <t>Depreciation</t>
  </si>
  <si>
    <t>EBIT</t>
  </si>
  <si>
    <t>Earning Before Profit Tax</t>
  </si>
  <si>
    <t>Tax</t>
  </si>
  <si>
    <t>Net Profit</t>
  </si>
  <si>
    <t>Balance Sheet</t>
  </si>
  <si>
    <t>Cash</t>
  </si>
  <si>
    <t>Trade Receivable</t>
  </si>
  <si>
    <t>Other Current Assets</t>
  </si>
  <si>
    <t>Financial Assets</t>
  </si>
  <si>
    <t>Other Non-Current Assets</t>
  </si>
  <si>
    <t>Total Assets</t>
  </si>
  <si>
    <t>Debt</t>
  </si>
  <si>
    <t>Cash Flow Statement</t>
  </si>
  <si>
    <t>Ratio Analysis</t>
  </si>
  <si>
    <t>Cash From Operating</t>
  </si>
  <si>
    <t>Dividend Payout Ratio</t>
  </si>
  <si>
    <t>Interest (Expenses)</t>
  </si>
  <si>
    <t>Common Sizing Statement</t>
  </si>
  <si>
    <t>Market Returns</t>
  </si>
  <si>
    <t>Date</t>
  </si>
  <si>
    <t>Closing</t>
  </si>
  <si>
    <t>Index Price</t>
  </si>
  <si>
    <t>Index</t>
  </si>
  <si>
    <t>NIFTY 50 TRI</t>
  </si>
  <si>
    <t>Yearfrac</t>
  </si>
  <si>
    <t>Comps Data</t>
  </si>
  <si>
    <t>(INR in Crs)</t>
  </si>
  <si>
    <t>Profitability Ratios</t>
  </si>
  <si>
    <t>EBITDA Margin</t>
  </si>
  <si>
    <t>Operating Margin</t>
  </si>
  <si>
    <t>Pretax Margin</t>
  </si>
  <si>
    <t>Effective Tax rate</t>
  </si>
  <si>
    <t>Net Margin</t>
  </si>
  <si>
    <t>ROE</t>
  </si>
  <si>
    <t>Liquidity Ratio</t>
  </si>
  <si>
    <t>Quick ratio</t>
  </si>
  <si>
    <t>Current ratio</t>
  </si>
  <si>
    <t>Debt/Equity</t>
  </si>
  <si>
    <t>A/R Turnover</t>
  </si>
  <si>
    <t>A/P Turnover</t>
  </si>
  <si>
    <t>Trends</t>
  </si>
  <si>
    <t>DCF Valuation</t>
  </si>
  <si>
    <t>Transaction Date</t>
  </si>
  <si>
    <t>Fiscal Year End</t>
  </si>
  <si>
    <t>Tax Rate</t>
  </si>
  <si>
    <t>EV/EBITDA Multiple</t>
  </si>
  <si>
    <t>Perpetual Growth Rate</t>
  </si>
  <si>
    <t>Discount Rate</t>
  </si>
  <si>
    <t>Shares Outstanding</t>
  </si>
  <si>
    <t>Current Price</t>
  </si>
  <si>
    <t>Discounted Cash Flow</t>
  </si>
  <si>
    <t>Time Periods</t>
  </si>
  <si>
    <t>Year Frac.</t>
  </si>
  <si>
    <t>Less. Cash Taxes</t>
  </si>
  <si>
    <t>Plus: Depreciation &amp; Amortization</t>
  </si>
  <si>
    <t>Less. Capex</t>
  </si>
  <si>
    <t>Less. Changes in Working Capital</t>
  </si>
  <si>
    <t>Unlevered FCFF</t>
  </si>
  <si>
    <t>Transaction FCFF</t>
  </si>
  <si>
    <t>Net Operating Profit After Tax</t>
  </si>
  <si>
    <t>Exit</t>
  </si>
  <si>
    <t>Intrinsic Value</t>
  </si>
  <si>
    <t>Market Value</t>
  </si>
  <si>
    <t>Rate of Return</t>
  </si>
  <si>
    <t>Enterprise Value</t>
  </si>
  <si>
    <t>Market Cap</t>
  </si>
  <si>
    <t>Plus: Cash &amp; Equivalents</t>
  </si>
  <si>
    <t>Plus: Debt</t>
  </si>
  <si>
    <t>Target Price</t>
  </si>
  <si>
    <t>Less: Debt</t>
  </si>
  <si>
    <t>TP Upside</t>
  </si>
  <si>
    <t>Equity Value</t>
  </si>
  <si>
    <t>Equity Value/Share</t>
  </si>
  <si>
    <t>Sensitivity Analysis</t>
  </si>
  <si>
    <t>Sensitivities - Intrinsic Value (Rs./Shares)</t>
  </si>
  <si>
    <t>Beta</t>
  </si>
  <si>
    <t>Equity Beta</t>
  </si>
  <si>
    <t>Weekly Returns of Nifty &amp; Stocks</t>
  </si>
  <si>
    <t>Weighted Average Cost of Capital (WACC)</t>
  </si>
  <si>
    <t>Companies Comparable</t>
  </si>
  <si>
    <t>Debt/</t>
  </si>
  <si>
    <t>Levered</t>
  </si>
  <si>
    <t>Unlevered</t>
  </si>
  <si>
    <t>Value</t>
  </si>
  <si>
    <t>Capital</t>
  </si>
  <si>
    <t>Rate %</t>
  </si>
  <si>
    <t>Price</t>
  </si>
  <si>
    <t>Returns</t>
  </si>
  <si>
    <t>Companies</t>
  </si>
  <si>
    <t>Name</t>
  </si>
  <si>
    <t>P/E</t>
  </si>
  <si>
    <t>CMP Rs.</t>
  </si>
  <si>
    <t>Market Data</t>
  </si>
  <si>
    <t>Financial   Data</t>
  </si>
  <si>
    <t>Valuation</t>
  </si>
  <si>
    <t>Shares</t>
  </si>
  <si>
    <t>EV</t>
  </si>
  <si>
    <t>Sales</t>
  </si>
  <si>
    <t>Earnings</t>
  </si>
  <si>
    <t>EV/Sales</t>
  </si>
  <si>
    <t>EV/EBITDA</t>
  </si>
  <si>
    <t>Ticker</t>
  </si>
  <si>
    <t>&amp; Equivalents</t>
  </si>
  <si>
    <t>x</t>
  </si>
  <si>
    <t>₹/Shares</t>
  </si>
  <si>
    <t>Average</t>
  </si>
  <si>
    <t>Median</t>
  </si>
  <si>
    <t>Metrics</t>
  </si>
  <si>
    <t>Comps</t>
  </si>
  <si>
    <t>Net Debt</t>
  </si>
  <si>
    <t>Shares Price</t>
  </si>
  <si>
    <t>EV/Revenue</t>
  </si>
  <si>
    <t>WACC Calculation</t>
  </si>
  <si>
    <t>Target Capital Structure</t>
  </si>
  <si>
    <t>Proportion of Debt</t>
  </si>
  <si>
    <t>Propertion of Equity</t>
  </si>
  <si>
    <t>Current Capital Structure</t>
  </si>
  <si>
    <t>Total Debt</t>
  </si>
  <si>
    <t>Debt / Equity</t>
  </si>
  <si>
    <t>Cost of Debt</t>
  </si>
  <si>
    <t>Pre-Tax Cost of Debt</t>
  </si>
  <si>
    <t>After-Tax Cost of Debt</t>
  </si>
  <si>
    <t>Cost of Equity</t>
  </si>
  <si>
    <t>Risk Free Rate</t>
  </si>
  <si>
    <t>Equity Market Return</t>
  </si>
  <si>
    <t>Equity Risk Premium</t>
  </si>
  <si>
    <t>Levered Equity Beta</t>
  </si>
  <si>
    <t>WACC</t>
  </si>
  <si>
    <t>(India 10-Year Bond Yield Historical Data)</t>
  </si>
  <si>
    <t>Balance Sheet Inputs</t>
  </si>
  <si>
    <t>Profit &amp; loss Statement Inputs</t>
  </si>
  <si>
    <t>Terminal Value</t>
  </si>
  <si>
    <t>P&amp;L Inputs</t>
  </si>
  <si>
    <t>BS Inputs</t>
  </si>
  <si>
    <t>Market Return</t>
  </si>
  <si>
    <t>Summary</t>
  </si>
  <si>
    <t>Sheets</t>
  </si>
  <si>
    <t>References</t>
  </si>
  <si>
    <t>(As Per RBI Data)</t>
  </si>
  <si>
    <t>Interpretations</t>
  </si>
  <si>
    <t>(As per IBEF Data)</t>
  </si>
  <si>
    <t>b)   Other current liabilities</t>
  </si>
  <si>
    <t>c)   Provisions</t>
  </si>
  <si>
    <t>(i)    Borrowings</t>
  </si>
  <si>
    <t>(ii)   Lease liabilities</t>
  </si>
  <si>
    <t>(iii)  Trade payables</t>
  </si>
  <si>
    <t>(iv)  Other financial liabilities</t>
  </si>
  <si>
    <t>Nifty 50</t>
  </si>
  <si>
    <t>Tax Rate is estimated at 1% increase for every 3 years.</t>
  </si>
  <si>
    <t>COGS, Employee Benefit Expenses, and Other Expenses are projected as a percentage of revenue based on historical trends and the company's cost structure.</t>
  </si>
  <si>
    <t>Common size analysis assumes that presenting all financial line items as a percentage of a base figure, such as total revenue or assets, allows for easy comparison between companies and over different time periods. It also assumes that consistent accounting practices are followed to ensure accurate and meaningful comparisons</t>
  </si>
  <si>
    <t>Comparable companies are selected based on similar industry, size, geography, and business model, ensuring relevant financial metrics.</t>
  </si>
  <si>
    <t xml:space="preserve">Valuation Summary </t>
  </si>
  <si>
    <t>Football Field Data</t>
  </si>
  <si>
    <t>Market</t>
  </si>
  <si>
    <t>DCF</t>
  </si>
  <si>
    <t>52 week hi/lo</t>
  </si>
  <si>
    <t>Consensus</t>
  </si>
  <si>
    <t xml:space="preserve">High </t>
  </si>
  <si>
    <t>Low</t>
  </si>
  <si>
    <t>Valuation Summary</t>
  </si>
  <si>
    <t>Cash Ratio</t>
  </si>
  <si>
    <t>Solvency Ratio</t>
  </si>
  <si>
    <t>Interest coverage Ratio</t>
  </si>
  <si>
    <t>Debt Ratio</t>
  </si>
  <si>
    <t>Equity Ratio</t>
  </si>
  <si>
    <t>Operating</t>
  </si>
  <si>
    <t>Divident Payout Ratio</t>
  </si>
  <si>
    <t>DuPont analysis</t>
  </si>
  <si>
    <t>Net Profit Margin</t>
  </si>
  <si>
    <t>Assets Turnover Ratio</t>
  </si>
  <si>
    <t>Equity Multipler</t>
  </si>
  <si>
    <t>I10:N34</t>
  </si>
  <si>
    <t>On the Football Field Chart, DLF's valuation range is displayed according to analyst consensus, 52-week high/low, trading comps, and DCF. In a variety of situations, it offers a graphic representation of both intrinsic and market-based valuation techniques.</t>
  </si>
  <si>
    <t>The market return has been calculated using the ten-year index stock exchange price (i.e., the Nifty 50 Index).</t>
  </si>
  <si>
    <t>The stock exchange rate and the company's exchange rate for the previous five years were used to calculate equity. utilizing the Slope function.</t>
  </si>
  <si>
    <t>Cash Flow</t>
  </si>
  <si>
    <t>Cash flow is calculated using information from the balance sheet and income statements. To anticipate cash flow, we use the difference between the amounts from the two years, i.e., the current year and the previous year.</t>
  </si>
  <si>
    <t>In the balance sheet, cash and cash equivalents are used as the balancing figures.</t>
  </si>
  <si>
    <t>Projected retained earnings, which represent the company's policy for retaining and distributing earnings, are calculated by adding the anticipated net profit and deducting the annual dividend.</t>
  </si>
  <si>
    <t>It is expected that the income statement records revenue and expenses in accordance with the business's standard procedure. Current trends and industry norms are used to anticipate future revenue and expenses.</t>
  </si>
  <si>
    <t>Working Schedules</t>
  </si>
  <si>
    <t>(As Per Company Data)</t>
  </si>
  <si>
    <t>Cost of Services</t>
  </si>
  <si>
    <t>Finance Cost</t>
  </si>
  <si>
    <t>Depreciation &amp; Amortization</t>
  </si>
  <si>
    <t>Other Expenses</t>
  </si>
  <si>
    <t>Total Expenses</t>
  </si>
  <si>
    <t>Profit/loss Before Tax</t>
  </si>
  <si>
    <t>Tax Expenses</t>
  </si>
  <si>
    <t>Current Tax</t>
  </si>
  <si>
    <t>Tax Expenses related to earlier years</t>
  </si>
  <si>
    <t>Deferred Tax</t>
  </si>
  <si>
    <t>Total Tax Expenses</t>
  </si>
  <si>
    <t>Profit/loss after tax of the Year</t>
  </si>
  <si>
    <t>Property Plant &amp; Machinery</t>
  </si>
  <si>
    <t>Capital Work in Progress</t>
  </si>
  <si>
    <t>Intangible Assets</t>
  </si>
  <si>
    <t>Right of use assets</t>
  </si>
  <si>
    <t>Investment Property</t>
  </si>
  <si>
    <t>Other Financial Assets</t>
  </si>
  <si>
    <t>Deffered Tax Assets</t>
  </si>
  <si>
    <t>Total Non-Current Assets</t>
  </si>
  <si>
    <t>Investments</t>
  </si>
  <si>
    <t>Cash and Cash Equivalents</t>
  </si>
  <si>
    <t>Other Bank Balances</t>
  </si>
  <si>
    <t>Current tax assets</t>
  </si>
  <si>
    <t>a)  Provisions</t>
  </si>
  <si>
    <t>Total  micro and macro enterprises</t>
  </si>
  <si>
    <t>Total  micro and macro enterprises of creditors</t>
  </si>
  <si>
    <t>Total Current Assets</t>
  </si>
  <si>
    <t>Intangible Assets under development</t>
  </si>
  <si>
    <t>Cash Flow From Operating Activities</t>
  </si>
  <si>
    <t>Cost Of Services</t>
  </si>
  <si>
    <t>Base Case</t>
  </si>
  <si>
    <t>Best Case</t>
  </si>
  <si>
    <t>Worst Case</t>
  </si>
  <si>
    <t>Scenarios</t>
  </si>
  <si>
    <t>Eco Recyc.</t>
  </si>
  <si>
    <t>Oriental Rail</t>
  </si>
  <si>
    <t>Signpost India</t>
  </si>
  <si>
    <t>Revenue from Operations</t>
  </si>
  <si>
    <t>Y-O-Y Growth</t>
  </si>
  <si>
    <t>Company Sales</t>
  </si>
  <si>
    <t>Within India</t>
  </si>
  <si>
    <t>Outside India</t>
  </si>
  <si>
    <t>Sale of Services</t>
  </si>
  <si>
    <t>Y-O-Y</t>
  </si>
  <si>
    <t>Dreamfolks Service</t>
  </si>
  <si>
    <t>Dreamfolks</t>
  </si>
  <si>
    <t>Oriental Rai.</t>
  </si>
  <si>
    <t>Eco Recy.</t>
  </si>
  <si>
    <t>Signpost</t>
  </si>
  <si>
    <t>Debt Rs.M.</t>
  </si>
  <si>
    <t xml:space="preserve">Mar Cap Rs.M. </t>
  </si>
  <si>
    <t>No. Eq. Shares M.</t>
  </si>
  <si>
    <t>Cash End Rs.M.</t>
  </si>
  <si>
    <t>Sales Rs.M.</t>
  </si>
  <si>
    <t>Net Profit.M.</t>
  </si>
  <si>
    <t>M</t>
  </si>
  <si>
    <t>₹M</t>
  </si>
  <si>
    <t>DreamFolks</t>
  </si>
  <si>
    <t>Perpetual Growth</t>
  </si>
  <si>
    <t>INE0JS101016</t>
  </si>
  <si>
    <t>NSE - Dreamfolks, BSE - 543591</t>
  </si>
  <si>
    <t>Airport &amp; Airport Services</t>
  </si>
  <si>
    <r>
      <t>Tourism &amp; Hospitali</t>
    </r>
    <r>
      <rPr>
        <i/>
        <sz val="11"/>
        <color rgb="FF22222F"/>
        <rFont val="Cambria"/>
        <family val="1"/>
      </rPr>
      <t>ty</t>
    </r>
  </si>
  <si>
    <t>DreamFolks Services Limited is India’s largest airport service aggregator platform, offering a wide range of travel services including airport lounge access, F&amp;B, spa, meet and assist, baggage transfer, and transit hotel bookings. Operating through a tech-enabled platform, the company partners with major banks, card networks, and corporates, covering over 54 Indian airports and expanding to 121 countries globally. It enjoys over 95% market share in India’s card-based airport lounge access.</t>
  </si>
  <si>
    <t>Dreamfolks Services  Ltd.</t>
  </si>
  <si>
    <t>Dreamfolks Services</t>
  </si>
  <si>
    <t>Comps Valuation -Dreamfolks Services</t>
  </si>
  <si>
    <t>(INR in MM)</t>
  </si>
  <si>
    <t>H13:L13</t>
  </si>
  <si>
    <t>H30:L30</t>
  </si>
  <si>
    <t>H10:L10, H15:L15, H18:L18</t>
  </si>
  <si>
    <t>E8:G54</t>
  </si>
  <si>
    <t>E8:L20</t>
  </si>
  <si>
    <t>H9:L38</t>
  </si>
  <si>
    <t>D10:E42</t>
  </si>
  <si>
    <t>D10:K23</t>
  </si>
  <si>
    <t>D11:X12</t>
  </si>
  <si>
    <t>D9:F9</t>
  </si>
  <si>
    <t>Capex of the year 2025 has been forecasted by increasing 1% every year to the latest audited year i.e 2024</t>
  </si>
  <si>
    <t>H10:L10</t>
  </si>
  <si>
    <t>H34:L34</t>
  </si>
  <si>
    <t>INR in MM</t>
  </si>
  <si>
    <t xml:space="preserve">The revenue is calculated using the tourism sector’s growth rate from IBEF, which is 15% per year. The base case uses 15%, the best case assumes 20%, and the worst case assumes 10%, showing different possible growth situations. </t>
  </si>
  <si>
    <t>H23:L23</t>
  </si>
  <si>
    <t>less: Cash &amp; Equivalents</t>
  </si>
  <si>
    <t>BS Items</t>
  </si>
  <si>
    <t>PPE, ROU &amp; Other Intangible Assets</t>
  </si>
  <si>
    <t>Depreciation Schedule</t>
  </si>
  <si>
    <t>Capital Expenditure on PPE, ROU &amp; Intangibles</t>
  </si>
  <si>
    <t>Trade  Receiva. %</t>
  </si>
  <si>
    <t>Trade Payab. %</t>
  </si>
  <si>
    <t>Profit Before Tax</t>
  </si>
  <si>
    <t>Add.</t>
  </si>
  <si>
    <t>Increase/(decrease) in Current Liabilities</t>
  </si>
  <si>
    <t>Less:</t>
  </si>
  <si>
    <t>Tax Paid</t>
  </si>
  <si>
    <t>Increase/(decrease) in Current Assets</t>
  </si>
  <si>
    <t>Cash Flow From Investing Activities</t>
  </si>
  <si>
    <t>Cash Flow From Financing Activities</t>
  </si>
  <si>
    <t>Changes In Other Equity</t>
  </si>
  <si>
    <t>Issues of Equity Shares</t>
  </si>
  <si>
    <t>Less.</t>
  </si>
  <si>
    <t>Interest Paid</t>
  </si>
  <si>
    <t xml:space="preserve">Cash From Investing </t>
  </si>
  <si>
    <t>Cash From Financing</t>
  </si>
  <si>
    <t>Net Cashflows during the year</t>
  </si>
  <si>
    <t>Opening Cash &amp; Cash equivalents</t>
  </si>
  <si>
    <t>Closing Cash &amp; Cash equivalents</t>
  </si>
  <si>
    <t>Total Equity Liabilities</t>
  </si>
  <si>
    <t>Check-</t>
  </si>
  <si>
    <t>Trade  Receivable</t>
  </si>
  <si>
    <t>Trade Payable</t>
  </si>
  <si>
    <r>
      <t xml:space="preserve">The company paid no dividends in FY2022 and FY2023 but introduced a 3.80% payout in FY2024. A constant 3.80% dividend payout is assumed for the forecast period.
The company paid no dividends in FY2022 and FY2023 but introduced a 3.80% payout in FY2024. A constant 3.80% dividend payout is assumed for the forecast period.
The company paid no dividends in FY2022 and FY2023 but introduced a 3.80% payout in FY2024. A constant 3.80% dividend payout is assumed for the forecast period.
</t>
    </r>
    <r>
      <rPr>
        <sz val="11"/>
        <rFont val="Cambria"/>
        <family val="1"/>
      </rPr>
      <t xml:space="preserve">
</t>
    </r>
    <r>
      <rPr>
        <sz val="11"/>
        <color theme="1"/>
        <rFont val="Cambria"/>
        <family val="1"/>
      </rPr>
      <t xml:space="preserve">
</t>
    </r>
  </si>
  <si>
    <t>H12:L13</t>
  </si>
  <si>
    <t>Working Capital</t>
  </si>
  <si>
    <t>Depreciation is projected to increase by 1% every three years, reflecting a gradual rise in asset base and capital expenditure over time.</t>
  </si>
  <si>
    <t>H22:L22</t>
  </si>
  <si>
    <t>All Balance Sheet items have been projected as a percentage of revenue. For the forecasted years, the percentage values have been held constant based on the last audited year to ensure consistency and simplify projections.</t>
  </si>
  <si>
    <t>E9:L46</t>
  </si>
  <si>
    <t>Other income for the forecasted period is assumed to be 0.3% of total revenue, based on the historical trend of non-core income sources such as interest earned on surplus cash, rental income, and miscellaneous receipts</t>
  </si>
  <si>
    <r>
      <t xml:space="preserve">Trade Receivables and Trade Payables have been projected as a percentage of revenue, based on historical trends, to maintain consistency in working capital estimation.
</t>
    </r>
    <r>
      <rPr>
        <sz val="11"/>
        <rFont val="Cambria"/>
        <family val="1"/>
      </rPr>
      <t xml:space="preserve">
</t>
    </r>
  </si>
  <si>
    <t>Ratio analysis, including profitability, leverage, DuPont, operating, and solvency ratios, is based on historical trends and projected financials, assuming stable business operations, consistent cost structures, and no major changes in capital structure or financing policies during the forecast period.</t>
  </si>
  <si>
    <t>E9:L35</t>
  </si>
  <si>
    <t>H32:L32</t>
  </si>
  <si>
    <t>Capex</t>
  </si>
  <si>
    <t>Opening PPE&amp; Intangible</t>
  </si>
  <si>
    <t>Less. Depreciation</t>
  </si>
  <si>
    <t>Closing PPE&amp; Intangible</t>
  </si>
  <si>
    <t>(on PPE)</t>
  </si>
  <si>
    <t>Dividend</t>
  </si>
  <si>
    <t>Goodwill</t>
  </si>
  <si>
    <t>Non-controlling interest</t>
  </si>
  <si>
    <t>Controlling Interest</t>
  </si>
  <si>
    <t>Changes IN NCI</t>
  </si>
  <si>
    <t>Less: Non-Controlling Interest</t>
  </si>
  <si>
    <t>Non-Controlling Interest</t>
  </si>
  <si>
    <t>(% on Net Profit)</t>
  </si>
  <si>
    <t>EBITDA Margin improved significantly from 7.99% in FY22 to 12.79% in FY23, indicating stronger operational efficiency and better cost management. However, it declined to 8.40% in FY24, suggesting increased operating expenses or reduced pricing flexibility. From FY25 to FY29, the margin is projected to remain stable at 8.40%, reflecting a cautious outlook. This flat trend may limit EBITDA growth in the future. The company should work on optimizing SG&amp;A costs and improving scale efficiencies to enhance margins.</t>
  </si>
  <si>
    <t>The effective tax rate increased from 20.63% in FY22 to 25.56% in FY23, and slightly rose again to 25.66% in FY24, indicating reduced tax efficiency or lower tax benefits. From FY25 to FY27, it remains stable at 26.66%, and further increases to 27.66% in FY28 and FY29. This gradual rise suggests higher tax liabilities or fewer exemptions in the forecast period. A rising tax rate could reduce net profitability, so the business may need to explore tax planning strategies to optimize post-tax earnings.</t>
  </si>
  <si>
    <t>Debt-to-Equity Ratio declined from 0.10 in FY22 to 0.05 in FY23, and remained stable at 0.03 in FY24, indicating low financial leverage. From FY25 onward, it enters a gradual downtrend from 0.02 to 0.01 by FY29, reflecting a shift toward a near debt-free capital structure. This trend enhances financial safety and reduces interest obligations. However, continued deleveraging could limit the company’s ability to take advantage of low-cost debt for growth. A balanced capital mix is key to optimizing risk and return.</t>
  </si>
  <si>
    <t>Debt Ratio declined from 0.05 in FY22 to 0.02 in FY23, and further to 0.01 in FY24, indicating a significant reduction in the proportion of assets financed through debt. From FY25 to FY29, the ratio remains constant at 0.01, reflecting a consistently low debt level. This stable trend highlights a conservative financial approach and strong solvency position. While low debt reduces financial risk, it may also mean the company is not fully leveraging external capital for expansion. Maintaining an optimal debt level can enhance capital efficiency.</t>
  </si>
  <si>
    <t>The Dividend Payout Ratio was 0.00% in FY22 and FY23, indicating that the company did not distribute any profits to shareholders during those years, possibly to reinvest in growth. In FY24, it initiated a payout at 3.80%, which is projected to continue consistently through FY29. This marks a shift toward shareholder returns while maintaining a conservative payout policy. A steady but low payout suggests the company is balancing between rewarding investors and retaining earnings for future expansion. Sustaining or gradually increasing this ratio could enhance investor appeal.</t>
  </si>
  <si>
    <t>H22:L23</t>
  </si>
  <si>
    <t>Link</t>
  </si>
  <si>
    <t>WACC is assumed to be 7.049 based on the company’s capital structure and industry standards.</t>
  </si>
  <si>
    <t>Operating Margin improved from 7.24% in FY22 to 12.34% in FY23, reflecting strong operational leverage and effective cost control. However, it declined to 8.07% in FY24, indicating rising operating expenses or lower pricing power. From FY25 to FY29, the margin is projected to improve gradually from 8.18% to 8.29%, suggesting a slow but steady recovery in operating efficiency. This upward trend is positive, but the margin remains below FY23 levels. Continued focus on cost discipline and revenue quality will be key to margin expansion.</t>
  </si>
  <si>
    <t>Pre-tax Margin improved sharply from 7.25% in FY22 to 12.60% in FY23, indicating strong profitability before taxes and efficient cost management. However, it declined to 8.26% in FY24, reflecting pressure on margins due to higher costs or lower other income. In FY25, it slightly dipped to 7.99%, but from FY26 to FY29, it is projected to recover to 8.10% gradually. While the margin shows a stabilizing trend, it remains below the FY23 peak. The business must focus on maintaining operating efficiency and controlling finance or non-core expenses to improve profitability.</t>
  </si>
  <si>
    <t>Quick Ratio improved from 1.65 in FY22 to 1.93 in FY23, indicating stronger short-term liquidity. It further rose to 2.30 in FY24, and is projected to steadily increase to 3.43 by FY29. This consistent upward trend reflects a strong ability to meet short-term liabilities without relying on inventory. While improving liquidity is positive, excessively high levels may suggest underutilized current assets. The company should balance liquidity with optimal working capital deployment for better efficiency.</t>
  </si>
  <si>
    <t>Current Ratio increased from 1.65 in FY22 to 1.93 in FY23, and further to 2.30 in FY24, indicating improving short-term financial health. It is projected to rise steadily to 3.43 by FY29, showing strong liquidity and an increasing cushion to cover current liabilities. While this trend reflects financial stability, consistently high ratios may suggest excess idle assets or inefficient use of working capital. The company should ensure that excess liquidity is strategically deployed for growth or returns.</t>
  </si>
  <si>
    <t>Cash Ratio increased from 0.19 in FY22 to 0.24 in FY23, and further to 0.33 in FY24, reflecting gradual improvement in immediate liquidity. It is projected to rise significantly to 1.47 by FY29, indicating a strong build-up of cash and cash equivalents relative to current liabilities. While higher ratios enhance the company's ability to cover short-term obligations instantly, an overly high cash ratio may point to underutilized funds. The company should consider redeploying excess cash into growth, investment, or debt reduction.</t>
  </si>
  <si>
    <t>Interest Coverage Ratio jumped from 13.94 in FY22 to 74.20 in FY23 and further to 78.75 in FY24, showing excellent ability to service debt due to strong earnings. It then declined sharply to 17.10 in FY25, indicating a drop in operating profit or rise in interest costs. From FY26 onward, the ratio shows a gradual uptrend from 17.10 to 17.33 by FY29, reflecting improving earnings or better cost control. Although lower than FY23–FY24 peaks, the ratio remains strong. Maintaining this upward momentum will support long-term financial stability and borrowing capacity.</t>
  </si>
  <si>
    <t>Equity Ratio remained stable at 0.49 in FY22 and FY23, then increased to 0.56 in FY24, indicating rising shareholder contribution in total assets. From FY25 to FY29, it continues to improve gradually from 0.60 to 0.70, reflecting stronger reliance on equity funding and reduced dependence on debt. This upward trend enhances financial stability and investor confidence. A higher equity ratio also reduces financial risk, but the company must ensure that return on equity remains attractive. Efficient capital allocation will be key to maintaining profitability.</t>
  </si>
  <si>
    <t>A/R Turnover decreased from 5.29 in FY23 to 4.86 in FY24, indicating a slowdown in receivables collection. From FY25 onward, the ratio enters a gradual downtrend—from 4.58 to 4.42 by FY29—suggesting continued weakening in collection efficiency. This may be due to lenient credit terms or delays in customer payments. A lower turnover ratio ties up more capital in receivables and may strain cash flows. To preserve liquidity and minimize credit risk, the company should enhance its collection efforts and review credit policies.</t>
  </si>
  <si>
    <t>A/P Turnover improved from 6.13 in FY23 to 6.60 in FY24, suggesting quicker payments to suppliers or reduced credit period. From FY25 onward, the ratio shows a gradual decline to 6.31 by FY29, indicating the company is slowly extending its payment cycle. While a slightly lower turnover can help conserve cash in the short term, it may also strain supplier relationships if not managed carefully. The company should maintain a balanced approach to optimize working capital without affecting vendor trust.</t>
  </si>
  <si>
    <t>Net Margin improved from 5.75% in FY22 to 9.38% in FY23, reflecting strong overall profitability and better cost control. However, it declined to 6.14% in FY24, and further to 5.86% in FY25, indicating rising costs or tax impact. From FY26 to FY29, the margin remains relatively flat around 5.86% to 5.92%, suggesting stabilization but no significant recovery. This consistent low margin could limit net earnings growth. To improve long-term profitability, the business should focus on boosting gross and operating margins while managing tax and interest expenses.</t>
  </si>
  <si>
    <t>Asset Turnover Ratio improved significantly from 167.47% in FY22 to 239.46% in FY23, and further to 271.12% in FY24, indicating more efficient use of assets to generate revenue. However, from FY25 onward, the ratio enters a downtrend, declining from 251.19% to 187.91% by FY29. This suggests that asset growth is outpacing revenue growth, possibly due to higher capital investments or underutilized assets. While still efficient, the decreasing trend signals a need to optimize asset productivity. Monitoring capital allocation and improving asset utilization will be essential for sustaining returns.</t>
  </si>
  <si>
    <t>Equity Multiplier remained stable at around 205.30% in FY22 and FY23, indicating moderate financial leverage. It declined to 177.07% in FY24 and continues a downward trend to 143.20% by FY29. This consistent decrease reflects reduced reliance on debt financing and a stronger equity base. While a lower multiplier improves financial stability and reduces risk, it also means less leverage to amplify returns. The company appears to be following a conservative capital structure strategy. Maintaining the right balance between debt and equity will be key to maximizing shareholder value.</t>
  </si>
  <si>
    <t>ROE increased sharply from 19.78% in FY22 to a peak of 46.16% in FY23, reflecting exceptional profitability and efficient use of shareholder funds. However, it declined to 29.48% in FY24 and continues a downward trend to 15.77% by FY29. This consistent decline is driven by falling asset efficiency and reduced financial leverage, as seen in lower asset turnover and equity multiplier. While still healthy, the decreasing ROE suggests pressure on returns to equity holders. The company should focus on improving operational margins and asset utilization to sustain long-term shareholder value.</t>
  </si>
  <si>
    <t>Net Margin improved from 5.75% in FY22 to 9.38% in FY23, reflecting strong overall profitability and better cost control. However, it declined to 6.14% in FY24, and further to 5.85% in FY25, indicating rising costs or tax impact. From FY26 to FY29, the margin remains relatively flat around 5.86% to 5.92%, suggesting stabilization but no significant recovery. This consistent low margin could limit net earnings growth. To improve long-term profitability, the business should focus on boosting gross and operating margins while managing tax and interest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</si>
</sst>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quot;₹&quot;\-#,##0"/>
    <numFmt numFmtId="43" formatCode="_ * #,##0.00_ ;_ * \-#,##0.00_ ;_ * &quot;-&quot;??_ ;_ @_ "/>
    <numFmt numFmtId="164" formatCode="#,##0.0"/>
    <numFmt numFmtId="165" formatCode="0.0%"/>
    <numFmt numFmtId="166" formatCode="_ * #,##0.0_ ;_ * \-#,##0.0_ ;_ * &quot;-&quot;??_ ;_ @_ "/>
    <numFmt numFmtId="167" formatCode="0.00_ "/>
    <numFmt numFmtId="168" formatCode="0.0"/>
    <numFmt numFmtId="169" formatCode="0.0_ "/>
    <numFmt numFmtId="170" formatCode="0.0&quot;x&quot;"/>
    <numFmt numFmtId="171" formatCode="0.000%"/>
    <numFmt numFmtId="172" formatCode="0.00&quot;x&quot;"/>
    <numFmt numFmtId="173" formatCode="[$₹-4009]\ #,##0.00"/>
    <numFmt numFmtId="174" formatCode="#,##0.0;\-#,##0.0"/>
    <numFmt numFmtId="175" formatCode="0.000000"/>
    <numFmt numFmtId="176" formatCode="dd/mm/yyyy;@"/>
    <numFmt numFmtId="177" formatCode="0.0000%"/>
  </numFmts>
  <fonts count="64" x14ac:knownFonts="1">
    <font>
      <sz val="11"/>
      <color theme="1"/>
      <name val="Calibri"/>
      <family val="2"/>
      <charset val="1"/>
    </font>
    <font>
      <sz val="11"/>
      <color theme="1"/>
      <name val="Cambria"/>
      <family val="1"/>
    </font>
    <font>
      <sz val="12"/>
      <color theme="1"/>
      <name val="Cambria"/>
      <family val="1"/>
    </font>
    <font>
      <b/>
      <sz val="13"/>
      <color theme="0"/>
      <name val="Cambria"/>
      <family val="1"/>
    </font>
    <font>
      <i/>
      <sz val="11"/>
      <color theme="1"/>
      <name val="Cambria"/>
      <family val="1"/>
    </font>
    <font>
      <b/>
      <sz val="11"/>
      <color theme="1"/>
      <name val="Cambria"/>
      <family val="1"/>
    </font>
    <font>
      <sz val="11"/>
      <color rgb="FF0070C0"/>
      <name val="Cambria"/>
      <family val="1"/>
    </font>
    <font>
      <sz val="11"/>
      <color rgb="FF00B050"/>
      <name val="Cambria"/>
      <family val="1"/>
    </font>
    <font>
      <sz val="11"/>
      <color indexed="8"/>
      <name val="Cambria"/>
      <family val="1"/>
    </font>
    <font>
      <b/>
      <sz val="13"/>
      <color indexed="9"/>
      <name val="Cambria"/>
      <family val="1"/>
    </font>
    <font>
      <sz val="11"/>
      <name val="Cambria"/>
      <family val="1"/>
    </font>
    <font>
      <i/>
      <sz val="11"/>
      <name val="Cambria"/>
      <family val="1"/>
    </font>
    <font>
      <b/>
      <sz val="11"/>
      <name val="Cambria"/>
      <family val="1"/>
    </font>
    <font>
      <i/>
      <u/>
      <sz val="11"/>
      <color theme="1"/>
      <name val="Cambria"/>
      <family val="1"/>
    </font>
    <font>
      <sz val="10"/>
      <name val="Cambria"/>
      <family val="1"/>
    </font>
    <font>
      <b/>
      <sz val="11"/>
      <color indexed="9"/>
      <name val="Cambria"/>
      <family val="1"/>
    </font>
    <font>
      <b/>
      <sz val="11"/>
      <color indexed="8"/>
      <name val="Cambria"/>
      <family val="1"/>
    </font>
    <font>
      <i/>
      <sz val="11"/>
      <color theme="0" tint="-0.14999847407452621"/>
      <name val="Cambria"/>
      <family val="1"/>
    </font>
    <font>
      <sz val="11"/>
      <color rgb="FF22222F"/>
      <name val="Cambria"/>
      <family val="1"/>
    </font>
    <font>
      <sz val="11"/>
      <color rgb="FF00B0F0"/>
      <name val="Cambria"/>
      <family val="1"/>
    </font>
    <font>
      <b/>
      <sz val="11"/>
      <color theme="1"/>
      <name val="Cambria"/>
      <family val="1"/>
      <charset val="1"/>
    </font>
    <font>
      <b/>
      <sz val="11"/>
      <color theme="0"/>
      <name val="Cambria"/>
      <family val="1"/>
    </font>
    <font>
      <sz val="11"/>
      <color rgb="FF000000"/>
      <name val="Book Antiqua"/>
      <family val="1"/>
    </font>
    <font>
      <sz val="9"/>
      <color theme="1"/>
      <name val="Cambria"/>
      <family val="1"/>
    </font>
    <font>
      <b/>
      <sz val="12"/>
      <color theme="0"/>
      <name val="Cambria"/>
      <family val="1"/>
    </font>
    <font>
      <sz val="11"/>
      <color theme="0"/>
      <name val="Cambria"/>
      <family val="1"/>
    </font>
    <font>
      <b/>
      <sz val="11"/>
      <color rgb="FFFFFFFF"/>
      <name val="Cambria"/>
      <family val="1"/>
    </font>
    <font>
      <b/>
      <u/>
      <sz val="11"/>
      <color rgb="FFFFFFFF"/>
      <name val="Cambria"/>
      <family val="1"/>
    </font>
    <font>
      <sz val="11"/>
      <color rgb="FF000000"/>
      <name val="Cambria"/>
      <family val="1"/>
    </font>
    <font>
      <b/>
      <i/>
      <sz val="11"/>
      <color rgb="FFFFFFFF"/>
      <name val="Cambria"/>
      <family val="1"/>
    </font>
    <font>
      <i/>
      <sz val="11"/>
      <color rgb="FFFFFFFF"/>
      <name val="Cambria"/>
      <family val="1"/>
    </font>
    <font>
      <sz val="11"/>
      <color theme="0"/>
      <name val="Calibri"/>
      <family val="2"/>
      <charset val="1"/>
    </font>
    <font>
      <b/>
      <sz val="11"/>
      <color rgb="FF0070C0"/>
      <name val="Cambria"/>
      <family val="1"/>
    </font>
    <font>
      <b/>
      <sz val="11"/>
      <color rgb="FF00B050"/>
      <name val="Cambria"/>
      <family val="1"/>
    </font>
    <font>
      <b/>
      <sz val="12"/>
      <color rgb="FFFFFFFF"/>
      <name val="Cambria"/>
      <family val="1"/>
    </font>
    <font>
      <i/>
      <sz val="11"/>
      <color rgb="FF232526"/>
      <name val="Cambria"/>
      <family val="1"/>
    </font>
    <font>
      <u/>
      <sz val="11"/>
      <color theme="10"/>
      <name val="Calibri"/>
      <family val="2"/>
      <charset val="1"/>
    </font>
    <font>
      <b/>
      <sz val="11"/>
      <color theme="1"/>
      <name val="Calibri"/>
      <family val="2"/>
      <charset val="1"/>
    </font>
    <font>
      <sz val="9"/>
      <name val="Book Antiqua"/>
      <family val="1"/>
    </font>
    <font>
      <sz val="10"/>
      <color indexed="63"/>
      <name val="Cambria"/>
      <family val="1"/>
    </font>
    <font>
      <sz val="9"/>
      <name val="Cambria"/>
      <family val="1"/>
    </font>
    <font>
      <sz val="11"/>
      <color theme="4"/>
      <name val="Cambria"/>
      <family val="1"/>
    </font>
    <font>
      <b/>
      <sz val="13"/>
      <color rgb="FFFFFFFF"/>
      <name val="Cambria"/>
      <family val="1"/>
    </font>
    <font>
      <sz val="12"/>
      <color rgb="FFFFFFFF"/>
      <name val="Cambria"/>
      <family val="1"/>
    </font>
    <font>
      <sz val="14"/>
      <color rgb="FFFFFFFF"/>
      <name val="Cambria"/>
      <family val="1"/>
    </font>
    <font>
      <b/>
      <sz val="11"/>
      <color rgb="FF000000"/>
      <name val="Cambria"/>
      <family val="1"/>
    </font>
    <font>
      <b/>
      <sz val="10"/>
      <color rgb="FF000000"/>
      <name val="Cambria"/>
      <family val="1"/>
    </font>
    <font>
      <sz val="10"/>
      <color rgb="FF000000"/>
      <name val="Cambria"/>
      <family val="1"/>
    </font>
    <font>
      <b/>
      <sz val="10"/>
      <name val="Cambria"/>
      <family val="1"/>
    </font>
    <font>
      <b/>
      <sz val="12"/>
      <name val="Cambria"/>
      <family val="1"/>
    </font>
    <font>
      <b/>
      <sz val="11"/>
      <name val="Cambria"/>
      <family val="1"/>
      <charset val="1"/>
    </font>
    <font>
      <i/>
      <sz val="11"/>
      <name val="Cambria"/>
      <family val="1"/>
      <charset val="1"/>
    </font>
    <font>
      <sz val="11"/>
      <name val="Calibri"/>
      <family val="2"/>
      <charset val="1"/>
    </font>
    <font>
      <sz val="11"/>
      <name val="Cambria"/>
      <family val="1"/>
      <charset val="1"/>
    </font>
    <font>
      <sz val="11"/>
      <color indexed="8"/>
      <name val="Calibri"/>
      <family val="2"/>
    </font>
    <font>
      <sz val="11"/>
      <color indexed="30"/>
      <name val="Cambria"/>
      <family val="1"/>
    </font>
    <font>
      <i/>
      <sz val="11"/>
      <color indexed="8"/>
      <name val="Cambria"/>
      <family val="1"/>
    </font>
    <font>
      <b/>
      <sz val="12"/>
      <color rgb="FF000000"/>
      <name val="Cambria"/>
      <family val="1"/>
    </font>
    <font>
      <i/>
      <sz val="11"/>
      <color theme="9"/>
      <name val="Cambria"/>
      <family val="1"/>
    </font>
    <font>
      <i/>
      <sz val="11"/>
      <color rgb="FF22222F"/>
      <name val="Cambria"/>
      <family val="1"/>
    </font>
    <font>
      <sz val="11"/>
      <color rgb="FFFF0000"/>
      <name val="Cambria"/>
      <family val="1"/>
    </font>
    <font>
      <b/>
      <sz val="11"/>
      <color rgb="FFFF0000"/>
      <name val="Cambria"/>
      <family val="1"/>
    </font>
    <font>
      <i/>
      <sz val="11"/>
      <color theme="0" tint="-0.249977111117893"/>
      <name val="Cambria"/>
      <family val="1"/>
    </font>
    <font>
      <u/>
      <sz val="11"/>
      <color theme="10"/>
      <name val="Cambria"/>
      <family val="1"/>
    </font>
  </fonts>
  <fills count="19">
    <fill>
      <patternFill patternType="none"/>
    </fill>
    <fill>
      <patternFill patternType="gray125"/>
    </fill>
    <fill>
      <patternFill patternType="solid">
        <fgColor theme="4" tint="-0.499984740745262"/>
        <bgColor indexed="64"/>
      </patternFill>
    </fill>
    <fill>
      <patternFill patternType="solid">
        <fgColor theme="0" tint="-4.9989318521683403E-2"/>
        <bgColor indexed="64"/>
      </patternFill>
    </fill>
    <fill>
      <patternFill patternType="lightGray">
        <fgColor rgb="FF000000"/>
        <bgColor rgb="FFFFFFFF"/>
      </patternFill>
    </fill>
    <fill>
      <patternFill patternType="solid">
        <fgColor theme="7" tint="0.79998168889431442"/>
        <bgColor indexed="64"/>
      </patternFill>
    </fill>
    <fill>
      <patternFill patternType="solid">
        <fgColor rgb="FFD6DCE4"/>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rgb="FFFFFF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203764"/>
        <bgColor rgb="FF000000"/>
      </patternFill>
    </fill>
    <fill>
      <patternFill patternType="solid">
        <fgColor theme="0"/>
        <bgColor rgb="FF000000"/>
      </patternFill>
    </fill>
    <fill>
      <patternFill patternType="solid">
        <fgColor theme="0" tint="-0.34998626667073579"/>
        <bgColor indexed="64"/>
      </patternFill>
    </fill>
    <fill>
      <patternFill patternType="solid">
        <fgColor rgb="FFF2F2F2"/>
        <bgColor indexed="64"/>
      </patternFill>
    </fill>
    <fill>
      <patternFill patternType="solid">
        <fgColor rgb="FFFFF2CC"/>
        <bgColor indexed="64"/>
      </patternFill>
    </fill>
    <fill>
      <patternFill patternType="solid">
        <fgColor rgb="FF203764"/>
        <bgColor indexed="64"/>
      </patternFill>
    </fill>
  </fills>
  <borders count="87">
    <border>
      <left/>
      <right/>
      <top/>
      <bottom/>
      <diagonal/>
    </border>
    <border>
      <left/>
      <right/>
      <top/>
      <bottom style="thin">
        <color theme="4" tint="-0.499984740745262"/>
      </bottom>
      <diagonal/>
    </border>
    <border>
      <left/>
      <right/>
      <top style="thin">
        <color theme="4" tint="-0.499984740745262"/>
      </top>
      <bottom style="double">
        <color theme="4" tint="-0.499984740745262"/>
      </bottom>
      <diagonal/>
    </border>
    <border>
      <left/>
      <right/>
      <top style="thin">
        <color theme="4" tint="-0.499984740745262"/>
      </top>
      <bottom/>
      <diagonal/>
    </border>
    <border>
      <left/>
      <right/>
      <top style="thin">
        <color theme="4" tint="-0.499984740745262"/>
      </top>
      <bottom style="thin">
        <color theme="4" tint="-0.499984740745262"/>
      </bottom>
      <diagonal/>
    </border>
    <border>
      <left/>
      <right/>
      <top style="double">
        <color theme="4" tint="-0.499984740745262"/>
      </top>
      <bottom style="double">
        <color theme="4" tint="-0.499984740745262"/>
      </bottom>
      <diagonal/>
    </border>
    <border>
      <left style="thin">
        <color theme="4" tint="-0.499984740745262"/>
      </left>
      <right/>
      <top/>
      <bottom/>
      <diagonal/>
    </border>
    <border>
      <left style="thin">
        <color theme="4" tint="-0.499984740745262"/>
      </left>
      <right/>
      <top/>
      <bottom style="thin">
        <color theme="4"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double">
        <color theme="4" tint="-0.499984740745262"/>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hair">
        <color theme="4" tint="-0.499984740745262"/>
      </left>
      <right style="hair">
        <color theme="4" tint="-0.499984740745262"/>
      </right>
      <top style="hair">
        <color theme="4" tint="-0.499984740745262"/>
      </top>
      <bottom style="hair">
        <color theme="4" tint="-0.499984740745262"/>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hair">
        <color auto="1"/>
      </left>
      <right style="hair">
        <color auto="1"/>
      </right>
      <top style="hair">
        <color auto="1"/>
      </top>
      <bottom style="hair">
        <color auto="1"/>
      </bottom>
      <diagonal/>
    </border>
    <border>
      <left style="thin">
        <color theme="4" tint="-0.499984740745262"/>
      </left>
      <right/>
      <top style="thin">
        <color theme="4" tint="-0.499984740745262"/>
      </top>
      <bottom style="thin">
        <color theme="4" tint="-0.499984740745262"/>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theme="4" tint="-0.499984740745262"/>
      </left>
      <right/>
      <top style="double">
        <color theme="4" tint="-0.499984740745262"/>
      </top>
      <bottom style="double">
        <color theme="4" tint="-0.499984740745262"/>
      </bottom>
      <diagonal/>
    </border>
    <border>
      <left style="medium">
        <color auto="1"/>
      </left>
      <right style="medium">
        <color auto="1"/>
      </right>
      <top style="medium">
        <color auto="1"/>
      </top>
      <bottom style="medium">
        <color auto="1"/>
      </bottom>
      <diagonal/>
    </border>
    <border>
      <left/>
      <right/>
      <top/>
      <bottom style="medium">
        <color theme="4" tint="-0.249977111117893"/>
      </bottom>
      <diagonal/>
    </border>
    <border>
      <left style="thin">
        <color theme="4" tint="-0.499984740745262"/>
      </left>
      <right/>
      <top style="thin">
        <color auto="1"/>
      </top>
      <bottom/>
      <diagonal/>
    </border>
    <border>
      <left/>
      <right/>
      <top/>
      <bottom style="thin">
        <color rgb="FF376092"/>
      </bottom>
      <diagonal/>
    </border>
    <border>
      <left/>
      <right/>
      <top style="hair">
        <color theme="4" tint="-0.499984740745262"/>
      </top>
      <bottom style="hair">
        <color theme="4" tint="-0.499984740745262"/>
      </bottom>
      <diagonal/>
    </border>
    <border>
      <left/>
      <right/>
      <top/>
      <bottom style="thin">
        <color rgb="FFFFFFFF"/>
      </bottom>
      <diagonal/>
    </border>
    <border>
      <left/>
      <right/>
      <top style="thin">
        <color rgb="FFFFFFFF"/>
      </top>
      <bottom/>
      <diagonal/>
    </border>
    <border>
      <left style="hair">
        <color theme="4" tint="-0.499984740745262"/>
      </left>
      <right/>
      <top style="hair">
        <color theme="4" tint="-0.499984740745262"/>
      </top>
      <bottom style="hair">
        <color theme="4" tint="-0.499984740745262"/>
      </bottom>
      <diagonal/>
    </border>
    <border>
      <left/>
      <right/>
      <top style="hair">
        <color theme="4" tint="-0.499984740745262"/>
      </top>
      <bottom/>
      <diagonal/>
    </border>
    <border>
      <left style="hair">
        <color theme="4" tint="-0.499984740745262"/>
      </left>
      <right/>
      <top style="hair">
        <color theme="4" tint="-0.499984740745262"/>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theme="4" tint="-0.499984740745262"/>
      </right>
      <top/>
      <bottom/>
      <diagonal/>
    </border>
    <border>
      <left/>
      <right style="thin">
        <color theme="4" tint="-0.499984740745262"/>
      </right>
      <top style="thin">
        <color theme="4" tint="-0.499984740745262"/>
      </top>
      <bottom style="thin">
        <color theme="4" tint="-0.499984740745262"/>
      </bottom>
      <diagonal/>
    </border>
    <border>
      <left/>
      <right style="thin">
        <color theme="4" tint="-0.499984740745262"/>
      </right>
      <top style="thin">
        <color theme="4" tint="-0.499984740745262"/>
      </top>
      <bottom/>
      <diagonal/>
    </border>
    <border>
      <left/>
      <right/>
      <top style="double">
        <color auto="1"/>
      </top>
      <bottom style="double">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diagonal/>
    </border>
    <border>
      <left/>
      <right/>
      <top/>
      <bottom style="thin">
        <color rgb="FF203764"/>
      </bottom>
      <diagonal/>
    </border>
    <border>
      <left style="hair">
        <color auto="1"/>
      </left>
      <right style="hair">
        <color auto="1"/>
      </right>
      <top style="hair">
        <color auto="1"/>
      </top>
      <bottom style="hair">
        <color auto="1"/>
      </bottom>
      <diagonal/>
    </border>
    <border>
      <left/>
      <right/>
      <top style="thin">
        <color rgb="FF203764"/>
      </top>
      <bottom style="thin">
        <color rgb="FF203764"/>
      </bottom>
      <diagonal/>
    </border>
    <border>
      <left style="hair">
        <color auto="1"/>
      </left>
      <right/>
      <top style="hair">
        <color auto="1"/>
      </top>
      <bottom style="hair">
        <color auto="1"/>
      </bottom>
      <diagonal/>
    </border>
    <border>
      <left style="thin">
        <color theme="4" tint="-0.499984740745262"/>
      </left>
      <right/>
      <top/>
      <bottom style="thin">
        <color rgb="FF203764"/>
      </bottom>
      <diagonal/>
    </border>
    <border>
      <left style="thin">
        <color theme="4" tint="-0.499984740745262"/>
      </left>
      <right/>
      <top style="thin">
        <color rgb="FF203764"/>
      </top>
      <bottom style="thin">
        <color rgb="FF203764"/>
      </bottom>
      <diagonal/>
    </border>
    <border>
      <left/>
      <right/>
      <top style="thin">
        <color rgb="FF305496"/>
      </top>
      <bottom/>
      <diagonal/>
    </border>
    <border>
      <left/>
      <right/>
      <top/>
      <bottom style="thin">
        <color rgb="FF305496"/>
      </bottom>
      <diagonal/>
    </border>
    <border>
      <left/>
      <right/>
      <top style="thin">
        <color rgb="FF203764"/>
      </top>
      <bottom/>
      <diagonal/>
    </border>
    <border>
      <left style="thin">
        <color theme="4" tint="-0.499984740745262"/>
      </left>
      <right/>
      <top style="thin">
        <color auto="1"/>
      </top>
      <bottom style="thin">
        <color theme="4" tint="-0.499984740745262"/>
      </bottom>
      <diagonal/>
    </border>
    <border>
      <left/>
      <right/>
      <top style="thin">
        <color auto="1"/>
      </top>
      <bottom style="thin">
        <color theme="4" tint="-0.499984740745262"/>
      </bottom>
      <diagonal/>
    </border>
    <border>
      <left/>
      <right style="thin">
        <color theme="4" tint="-0.499984740745262"/>
      </right>
      <top style="thin">
        <color auto="1"/>
      </top>
      <bottom style="thin">
        <color theme="4" tint="-0.499984740745262"/>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style="thin">
        <color theme="4" tint="-0.499984740745262"/>
      </bottom>
      <diagonal/>
    </border>
    <border>
      <left style="thin">
        <color theme="4" tint="-0.24994659260841701"/>
      </left>
      <right style="thin">
        <color auto="1"/>
      </right>
      <top style="thin">
        <color auto="1"/>
      </top>
      <bottom/>
      <diagonal/>
    </border>
    <border>
      <left style="thin">
        <color theme="4" tint="-0.24994659260841701"/>
      </left>
      <right style="thin">
        <color auto="1"/>
      </right>
      <top/>
      <bottom/>
      <diagonal/>
    </border>
    <border>
      <left style="hair">
        <color theme="4" tint="-0.499984740745262"/>
      </left>
      <right style="hair">
        <color theme="4" tint="-0.499984740745262"/>
      </right>
      <top/>
      <bottom style="hair">
        <color theme="4" tint="-0.499984740745262"/>
      </bottom>
      <diagonal/>
    </border>
    <border>
      <left style="thin">
        <color theme="4" tint="-0.499984740745262"/>
      </left>
      <right/>
      <top/>
      <bottom style="double">
        <color theme="4" tint="-0.499984740745262"/>
      </bottom>
      <diagonal/>
    </border>
    <border>
      <left/>
      <right/>
      <top/>
      <bottom style="double">
        <color theme="4" tint="-0.499984740745262"/>
      </bottom>
      <diagonal/>
    </border>
    <border>
      <left style="thin">
        <color theme="4" tint="-0.499984740745262"/>
      </left>
      <right/>
      <top style="thin">
        <color theme="4" tint="-0.499984740745262"/>
      </top>
      <bottom style="hair">
        <color theme="4" tint="-0.499984740745262"/>
      </bottom>
      <diagonal/>
    </border>
    <border>
      <left/>
      <right/>
      <top style="thin">
        <color theme="4" tint="-0.499984740745262"/>
      </top>
      <bottom style="hair">
        <color theme="4" tint="-0.499984740745262"/>
      </bottom>
      <diagonal/>
    </border>
    <border>
      <left style="thin">
        <color theme="4" tint="-0.499984740745262"/>
      </left>
      <right/>
      <top style="thin">
        <color theme="4" tint="-0.499984740745262"/>
      </top>
      <bottom style="thin">
        <color auto="1"/>
      </bottom>
      <diagonal/>
    </border>
    <border>
      <left/>
      <right/>
      <top style="thin">
        <color theme="4" tint="-0.499984740745262"/>
      </top>
      <bottom style="thin">
        <color auto="1"/>
      </bottom>
      <diagonal/>
    </border>
    <border>
      <left/>
      <right style="thin">
        <color theme="4" tint="-0.499984740745262"/>
      </right>
      <top style="thin">
        <color theme="4" tint="-0.499984740745262"/>
      </top>
      <bottom style="thin">
        <color auto="1"/>
      </bottom>
      <diagonal/>
    </border>
    <border>
      <left/>
      <right style="thin">
        <color theme="4" tint="-0.499984740745262"/>
      </right>
      <top style="thin">
        <color theme="4" tint="-0.499984740745262"/>
      </top>
      <bottom style="hair">
        <color theme="4" tint="-0.499984740745262"/>
      </bottom>
      <diagonal/>
    </border>
    <border>
      <left/>
      <right style="thin">
        <color theme="4" tint="-0.499984740745262"/>
      </right>
      <top/>
      <bottom style="double">
        <color theme="4" tint="-0.499984740745262"/>
      </bottom>
      <diagonal/>
    </border>
    <border>
      <left style="thin">
        <color theme="4" tint="-0.499984740745262"/>
      </left>
      <right style="thin">
        <color auto="1"/>
      </right>
      <top style="thin">
        <color theme="4" tint="-0.499984740745262"/>
      </top>
      <bottom/>
      <diagonal/>
    </border>
    <border>
      <left style="thin">
        <color theme="4" tint="-0.499984740745262"/>
      </left>
      <right style="thin">
        <color auto="1"/>
      </right>
      <top/>
      <bottom/>
      <diagonal/>
    </border>
    <border>
      <left style="thin">
        <color theme="4" tint="-0.499984740745262"/>
      </left>
      <right style="thin">
        <color auto="1"/>
      </right>
      <top/>
      <bottom style="thin">
        <color theme="4" tint="-0.499984740745262"/>
      </bottom>
      <diagonal/>
    </border>
  </borders>
  <cellStyleXfs count="2">
    <xf numFmtId="0" fontId="0" fillId="0" borderId="0"/>
    <xf numFmtId="0" fontId="36" fillId="0" borderId="0" applyNumberFormat="0" applyFill="0" applyBorder="0" applyAlignment="0" applyProtection="0"/>
  </cellStyleXfs>
  <cellXfs count="531">
    <xf numFmtId="0" fontId="0" fillId="0" borderId="0" xfId="0"/>
    <xf numFmtId="0" fontId="1" fillId="0" borderId="0" xfId="0" applyFont="1"/>
    <xf numFmtId="0" fontId="5" fillId="0" borderId="0" xfId="0" applyFont="1"/>
    <xf numFmtId="0" fontId="5" fillId="0" borderId="1" xfId="0" applyFont="1" applyBorder="1"/>
    <xf numFmtId="0" fontId="4" fillId="0" borderId="1" xfId="0" applyFont="1" applyBorder="1" applyAlignment="1">
      <alignment horizontal="right"/>
    </xf>
    <xf numFmtId="0" fontId="5" fillId="0" borderId="6" xfId="0" applyFont="1" applyBorder="1"/>
    <xf numFmtId="0" fontId="4" fillId="0" borderId="7" xfId="0" applyFont="1" applyBorder="1" applyAlignment="1">
      <alignment horizontal="right"/>
    </xf>
    <xf numFmtId="0" fontId="8" fillId="0" borderId="0" xfId="0" applyFont="1"/>
    <xf numFmtId="43" fontId="8" fillId="0" borderId="0" xfId="0" applyNumberFormat="1" applyFont="1"/>
    <xf numFmtId="0" fontId="4" fillId="0" borderId="0" xfId="0" applyFont="1" applyAlignment="1">
      <alignment horizontal="right"/>
    </xf>
    <xf numFmtId="0" fontId="8" fillId="6" borderId="0" xfId="0" applyFont="1" applyFill="1" applyAlignment="1">
      <alignment horizontal="center"/>
    </xf>
    <xf numFmtId="0" fontId="8" fillId="0" borderId="0" xfId="0" applyFont="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8" fillId="0" borderId="11" xfId="0" applyFont="1" applyBorder="1"/>
    <xf numFmtId="0" fontId="8" fillId="0" borderId="17" xfId="0" applyFont="1" applyBorder="1"/>
    <xf numFmtId="0" fontId="8" fillId="0" borderId="18" xfId="0" applyFont="1" applyBorder="1" applyAlignment="1">
      <alignment horizontal="center"/>
    </xf>
    <xf numFmtId="0" fontId="8" fillId="6" borderId="0" xfId="0" applyFont="1" applyFill="1"/>
    <xf numFmtId="0" fontId="0" fillId="0" borderId="0" xfId="0" applyAlignment="1">
      <alignment vertical="center"/>
    </xf>
    <xf numFmtId="0" fontId="12" fillId="0" borderId="0" xfId="0" applyFont="1" applyAlignment="1">
      <alignment vertical="center"/>
    </xf>
    <xf numFmtId="0" fontId="5" fillId="0" borderId="1" xfId="0" applyFont="1" applyBorder="1" applyAlignment="1">
      <alignment vertical="center"/>
    </xf>
    <xf numFmtId="0" fontId="11" fillId="0" borderId="1" xfId="0" applyFont="1" applyBorder="1" applyAlignment="1">
      <alignment horizontal="right" vertical="center"/>
    </xf>
    <xf numFmtId="0" fontId="11" fillId="3" borderId="1" xfId="0" applyFont="1" applyFill="1" applyBorder="1" applyAlignment="1">
      <alignment horizontal="right" vertical="center"/>
    </xf>
    <xf numFmtId="0" fontId="15" fillId="2" borderId="0" xfId="0" applyFont="1" applyFill="1"/>
    <xf numFmtId="0" fontId="15" fillId="2" borderId="0" xfId="0" applyFont="1" applyFill="1" applyAlignment="1">
      <alignment horizontal="center"/>
    </xf>
    <xf numFmtId="0" fontId="0" fillId="3" borderId="0" xfId="0" applyFill="1"/>
    <xf numFmtId="0" fontId="4" fillId="3" borderId="1" xfId="0" applyFont="1" applyFill="1" applyBorder="1" applyAlignment="1">
      <alignment horizontal="right"/>
    </xf>
    <xf numFmtId="0" fontId="1" fillId="0" borderId="0" xfId="0" applyFont="1" applyAlignment="1">
      <alignment vertical="center"/>
    </xf>
    <xf numFmtId="0" fontId="5" fillId="0" borderId="0" xfId="0" applyFont="1" applyAlignment="1">
      <alignment vertical="center"/>
    </xf>
    <xf numFmtId="0" fontId="5" fillId="0" borderId="5" xfId="0" applyFont="1" applyBorder="1" applyAlignment="1">
      <alignment vertical="center"/>
    </xf>
    <xf numFmtId="0" fontId="15" fillId="2" borderId="10" xfId="0" applyFont="1" applyFill="1" applyBorder="1"/>
    <xf numFmtId="0" fontId="15" fillId="2" borderId="10" xfId="0" applyFont="1" applyFill="1" applyBorder="1" applyAlignment="1">
      <alignment vertical="center" wrapText="1"/>
    </xf>
    <xf numFmtId="0" fontId="0" fillId="0" borderId="6" xfId="0" applyBorder="1"/>
    <xf numFmtId="0" fontId="0" fillId="0" borderId="3" xfId="0" applyBorder="1"/>
    <xf numFmtId="0" fontId="21" fillId="0" borderId="0" xfId="0" applyFont="1" applyAlignment="1">
      <alignment horizontal="center" vertical="center"/>
    </xf>
    <xf numFmtId="14" fontId="22" fillId="0" borderId="0" xfId="0" applyNumberFormat="1" applyFont="1" applyAlignment="1">
      <alignment vertical="center"/>
    </xf>
    <xf numFmtId="14" fontId="8" fillId="0" borderId="0" xfId="0" applyNumberFormat="1" applyFont="1" applyAlignment="1">
      <alignment vertical="center"/>
    </xf>
    <xf numFmtId="164" fontId="6" fillId="0" borderId="0" xfId="0" applyNumberFormat="1" applyFont="1" applyAlignment="1">
      <alignment vertical="center"/>
    </xf>
    <xf numFmtId="0" fontId="4" fillId="0" borderId="0" xfId="0" applyFont="1" applyAlignment="1">
      <alignment vertical="center"/>
    </xf>
    <xf numFmtId="3" fontId="1" fillId="0" borderId="0" xfId="0" applyNumberFormat="1" applyFont="1" applyAlignment="1">
      <alignment vertical="center"/>
    </xf>
    <xf numFmtId="169" fontId="1" fillId="0" borderId="0" xfId="0" applyNumberFormat="1" applyFont="1" applyAlignment="1">
      <alignment vertical="center"/>
    </xf>
    <xf numFmtId="164" fontId="1" fillId="0" borderId="0" xfId="0" applyNumberFormat="1" applyFont="1" applyAlignment="1">
      <alignment vertical="center"/>
    </xf>
    <xf numFmtId="37" fontId="1" fillId="0" borderId="0" xfId="0" applyNumberFormat="1" applyFont="1" applyAlignment="1">
      <alignment vertical="center"/>
    </xf>
    <xf numFmtId="0" fontId="3" fillId="0" borderId="0" xfId="0" applyFont="1" applyAlignment="1">
      <alignment vertical="center"/>
    </xf>
    <xf numFmtId="0" fontId="21" fillId="0" borderId="0" xfId="0" applyFont="1" applyAlignment="1">
      <alignment vertical="center"/>
    </xf>
    <xf numFmtId="0" fontId="3" fillId="0" borderId="0" xfId="0" applyFont="1" applyAlignment="1">
      <alignment horizontal="center" vertical="center"/>
    </xf>
    <xf numFmtId="0" fontId="26" fillId="2" borderId="0" xfId="0" applyFont="1" applyFill="1" applyAlignment="1">
      <alignment horizontal="center" vertical="center"/>
    </xf>
    <xf numFmtId="0" fontId="26" fillId="2" borderId="36" xfId="0" applyFont="1" applyFill="1" applyBorder="1" applyAlignment="1">
      <alignment horizontal="center" vertical="center"/>
    </xf>
    <xf numFmtId="0" fontId="30" fillId="2" borderId="0" xfId="0" applyFont="1" applyFill="1" applyAlignment="1">
      <alignment horizontal="center" vertical="center"/>
    </xf>
    <xf numFmtId="0" fontId="26" fillId="2" borderId="0" xfId="0" applyFont="1" applyFill="1" applyAlignment="1">
      <alignment horizontal="right" vertical="center"/>
    </xf>
    <xf numFmtId="0" fontId="21" fillId="2" borderId="0" xfId="0" applyFont="1" applyFill="1" applyAlignment="1">
      <alignment vertical="center"/>
    </xf>
    <xf numFmtId="0" fontId="37" fillId="0" borderId="0" xfId="0" applyFont="1"/>
    <xf numFmtId="0" fontId="20" fillId="0" borderId="3" xfId="0" applyFont="1" applyBorder="1" applyAlignment="1">
      <alignment vertical="center"/>
    </xf>
    <xf numFmtId="0" fontId="1" fillId="0" borderId="4" xfId="0" applyFont="1" applyBorder="1" applyAlignment="1">
      <alignment vertical="center"/>
    </xf>
    <xf numFmtId="165" fontId="5" fillId="7" borderId="4" xfId="0" applyNumberFormat="1" applyFont="1" applyFill="1" applyBorder="1" applyAlignment="1">
      <alignment vertical="center"/>
    </xf>
    <xf numFmtId="0" fontId="5" fillId="0" borderId="4" xfId="0" applyFont="1" applyBorder="1" applyAlignment="1">
      <alignment vertical="center"/>
    </xf>
    <xf numFmtId="3" fontId="5" fillId="0" borderId="4" xfId="0" applyNumberFormat="1" applyFont="1" applyBorder="1" applyAlignment="1">
      <alignment vertical="center"/>
    </xf>
    <xf numFmtId="3" fontId="5" fillId="8" borderId="0" xfId="0" applyNumberFormat="1" applyFont="1" applyFill="1" applyAlignment="1">
      <alignment vertical="center"/>
    </xf>
    <xf numFmtId="0" fontId="0" fillId="0" borderId="21" xfId="0" applyBorder="1"/>
    <xf numFmtId="0" fontId="1" fillId="0" borderId="42" xfId="0" applyFont="1" applyBorder="1" applyAlignment="1">
      <alignment vertical="center"/>
    </xf>
    <xf numFmtId="10" fontId="6" fillId="0" borderId="16" xfId="0" applyNumberFormat="1" applyFont="1" applyBorder="1"/>
    <xf numFmtId="165" fontId="6" fillId="0" borderId="16" xfId="0" applyNumberFormat="1" applyFont="1" applyBorder="1"/>
    <xf numFmtId="165" fontId="7" fillId="0" borderId="16" xfId="0" applyNumberFormat="1" applyFont="1" applyBorder="1"/>
    <xf numFmtId="0" fontId="16" fillId="0" borderId="10" xfId="0" applyFont="1" applyBorder="1" applyAlignment="1">
      <alignment horizontal="left" vertical="center"/>
    </xf>
    <xf numFmtId="0" fontId="16" fillId="0" borderId="25" xfId="0" applyFont="1" applyBorder="1" applyAlignment="1">
      <alignment horizontal="left" vertical="center"/>
    </xf>
    <xf numFmtId="0" fontId="38" fillId="0" borderId="0" xfId="0" applyFont="1" applyAlignment="1">
      <alignment vertical="center"/>
    </xf>
    <xf numFmtId="0" fontId="15" fillId="2" borderId="0" xfId="0" applyFont="1" applyFill="1" applyAlignment="1">
      <alignment horizontal="right"/>
    </xf>
    <xf numFmtId="0" fontId="21" fillId="2" borderId="0" xfId="0" applyFont="1" applyFill="1" applyAlignment="1">
      <alignment horizontal="center" vertical="center"/>
    </xf>
    <xf numFmtId="0" fontId="3" fillId="2" borderId="0" xfId="0" applyFont="1" applyFill="1" applyAlignment="1">
      <alignment vertical="center"/>
    </xf>
    <xf numFmtId="0" fontId="40" fillId="0" borderId="0" xfId="0" applyFont="1" applyAlignment="1">
      <alignment vertical="center"/>
    </xf>
    <xf numFmtId="0" fontId="1" fillId="0" borderId="42" xfId="0" applyFont="1" applyBorder="1"/>
    <xf numFmtId="0" fontId="21" fillId="2" borderId="0" xfId="0" applyFont="1" applyFill="1" applyAlignment="1">
      <alignment horizontal="center" vertical="center" wrapText="1"/>
    </xf>
    <xf numFmtId="0" fontId="21" fillId="2" borderId="24" xfId="0" applyFont="1" applyFill="1" applyBorder="1" applyAlignment="1">
      <alignment horizontal="center" vertical="center"/>
    </xf>
    <xf numFmtId="0" fontId="5" fillId="0" borderId="1" xfId="0" applyFont="1" applyBorder="1" applyAlignment="1">
      <alignment horizontal="center" vertical="center"/>
    </xf>
    <xf numFmtId="0" fontId="8" fillId="0" borderId="52" xfId="0" applyFont="1" applyBorder="1"/>
    <xf numFmtId="0" fontId="8" fillId="0" borderId="53" xfId="0" applyFont="1" applyBorder="1" applyAlignment="1">
      <alignment horizontal="center"/>
    </xf>
    <xf numFmtId="0" fontId="8" fillId="0" borderId="46" xfId="0" applyFont="1" applyBorder="1"/>
    <xf numFmtId="0" fontId="8" fillId="0" borderId="22" xfId="0" applyFont="1" applyBorder="1" applyAlignment="1">
      <alignment horizontal="center"/>
    </xf>
    <xf numFmtId="0" fontId="8" fillId="0" borderId="48" xfId="0" applyFont="1" applyBorder="1"/>
    <xf numFmtId="0" fontId="8" fillId="0" borderId="49" xfId="0" applyFont="1" applyBorder="1" applyAlignment="1">
      <alignment horizontal="center"/>
    </xf>
    <xf numFmtId="166" fontId="8" fillId="0" borderId="50" xfId="0" applyNumberFormat="1" applyFont="1" applyBorder="1"/>
    <xf numFmtId="166" fontId="1" fillId="0" borderId="47" xfId="0" applyNumberFormat="1" applyFont="1" applyBorder="1"/>
    <xf numFmtId="165" fontId="5" fillId="12" borderId="0" xfId="0" applyNumberFormat="1" applyFont="1" applyFill="1" applyAlignment="1">
      <alignment vertical="center"/>
    </xf>
    <xf numFmtId="0" fontId="16" fillId="0" borderId="10" xfId="0" applyFont="1" applyBorder="1" applyAlignment="1">
      <alignment horizontal="left" vertical="center" wrapText="1"/>
    </xf>
    <xf numFmtId="0" fontId="12" fillId="0" borderId="55" xfId="0" applyFont="1" applyBorder="1" applyAlignment="1">
      <alignment horizontal="left" vertical="center"/>
    </xf>
    <xf numFmtId="0" fontId="28" fillId="0" borderId="0" xfId="0" applyFont="1"/>
    <xf numFmtId="0" fontId="34" fillId="13" borderId="0" xfId="0" applyFont="1" applyFill="1" applyAlignment="1">
      <alignment vertical="center"/>
    </xf>
    <xf numFmtId="0" fontId="43" fillId="13" borderId="0" xfId="0" applyFont="1" applyFill="1"/>
    <xf numFmtId="0" fontId="44" fillId="13" borderId="0" xfId="0" applyFont="1" applyFill="1"/>
    <xf numFmtId="0" fontId="28" fillId="0" borderId="0" xfId="0" applyFont="1" applyAlignment="1">
      <alignment horizontal="center"/>
    </xf>
    <xf numFmtId="0" fontId="45" fillId="0" borderId="0" xfId="0" applyFont="1" applyAlignment="1">
      <alignment horizontal="center"/>
    </xf>
    <xf numFmtId="37" fontId="28" fillId="0" borderId="0" xfId="0" applyNumberFormat="1" applyFont="1"/>
    <xf numFmtId="1" fontId="28" fillId="0" borderId="0" xfId="0" applyNumberFormat="1" applyFont="1"/>
    <xf numFmtId="10" fontId="1" fillId="0" borderId="19" xfId="0" applyNumberFormat="1" applyFont="1" applyBorder="1" applyAlignment="1">
      <alignment vertical="center"/>
    </xf>
    <xf numFmtId="10" fontId="1" fillId="0" borderId="21" xfId="0" applyNumberFormat="1" applyFont="1" applyBorder="1" applyAlignment="1">
      <alignment vertical="center"/>
    </xf>
    <xf numFmtId="0" fontId="0" fillId="0" borderId="44" xfId="0" applyBorder="1"/>
    <xf numFmtId="0" fontId="5" fillId="0" borderId="42" xfId="0" applyFont="1" applyBorder="1"/>
    <xf numFmtId="0" fontId="46" fillId="0" borderId="42" xfId="0" applyFont="1" applyBorder="1" applyAlignment="1">
      <alignment vertical="center"/>
    </xf>
    <xf numFmtId="0" fontId="47" fillId="0" borderId="42" xfId="0" applyFont="1" applyBorder="1" applyAlignment="1">
      <alignment vertical="center"/>
    </xf>
    <xf numFmtId="0" fontId="14" fillId="0" borderId="42" xfId="0" applyFont="1" applyBorder="1" applyAlignment="1">
      <alignment vertical="center"/>
    </xf>
    <xf numFmtId="0" fontId="14" fillId="0" borderId="16" xfId="0" applyFont="1" applyBorder="1" applyAlignment="1">
      <alignment vertical="center"/>
    </xf>
    <xf numFmtId="0" fontId="1" fillId="0" borderId="16" xfId="0" applyFont="1" applyBorder="1"/>
    <xf numFmtId="0" fontId="48" fillId="0" borderId="16" xfId="0" applyFont="1" applyBorder="1" applyAlignment="1">
      <alignment vertical="center"/>
    </xf>
    <xf numFmtId="0" fontId="0" fillId="0" borderId="42" xfId="0" applyBorder="1"/>
    <xf numFmtId="0" fontId="10" fillId="0" borderId="0" xfId="0" applyFont="1" applyAlignment="1">
      <alignment vertical="center" wrapText="1"/>
    </xf>
    <xf numFmtId="0" fontId="12" fillId="0" borderId="56" xfId="0" applyFont="1" applyBorder="1" applyAlignment="1">
      <alignment horizontal="left" vertical="center"/>
    </xf>
    <xf numFmtId="0" fontId="3" fillId="12" borderId="0" xfId="0" applyFont="1" applyFill="1" applyAlignment="1">
      <alignment vertical="center"/>
    </xf>
    <xf numFmtId="2" fontId="1" fillId="0" borderId="0" xfId="0" applyNumberFormat="1" applyFont="1" applyAlignment="1">
      <alignment vertical="center"/>
    </xf>
    <xf numFmtId="2" fontId="1" fillId="3" borderId="0" xfId="0" applyNumberFormat="1" applyFont="1" applyFill="1" applyAlignment="1">
      <alignment vertical="center"/>
    </xf>
    <xf numFmtId="37" fontId="1" fillId="3" borderId="0" xfId="0" applyNumberFormat="1" applyFont="1" applyFill="1" applyAlignment="1">
      <alignment vertical="center"/>
    </xf>
    <xf numFmtId="165" fontId="8" fillId="6" borderId="0" xfId="0" applyNumberFormat="1" applyFont="1" applyFill="1" applyAlignment="1">
      <alignment horizontal="right" vertical="center"/>
    </xf>
    <xf numFmtId="0" fontId="1" fillId="0" borderId="17" xfId="0" applyFont="1" applyBorder="1" applyAlignment="1">
      <alignment horizontal="center" vertical="center"/>
    </xf>
    <xf numFmtId="0" fontId="1" fillId="12" borderId="17" xfId="0" applyFont="1" applyFill="1" applyBorder="1" applyAlignment="1">
      <alignment horizontal="center" vertical="center"/>
    </xf>
    <xf numFmtId="0" fontId="5" fillId="10" borderId="1" xfId="0" applyFont="1" applyFill="1" applyBorder="1" applyAlignment="1">
      <alignment vertical="center"/>
    </xf>
    <xf numFmtId="170" fontId="8" fillId="0" borderId="32" xfId="0" applyNumberFormat="1" applyFont="1" applyBorder="1" applyAlignment="1">
      <alignment vertical="center"/>
    </xf>
    <xf numFmtId="170" fontId="8" fillId="0" borderId="21" xfId="0" applyNumberFormat="1" applyFont="1" applyBorder="1" applyAlignment="1">
      <alignment vertical="center"/>
    </xf>
    <xf numFmtId="10" fontId="1" fillId="0" borderId="0" xfId="0" applyNumberFormat="1" applyFont="1" applyAlignment="1">
      <alignment vertical="center"/>
    </xf>
    <xf numFmtId="10" fontId="1" fillId="3" borderId="0" xfId="0" applyNumberFormat="1" applyFont="1" applyFill="1" applyAlignment="1">
      <alignment vertical="center"/>
    </xf>
    <xf numFmtId="10" fontId="0" fillId="0" borderId="0" xfId="0" applyNumberFormat="1"/>
    <xf numFmtId="3" fontId="8" fillId="0" borderId="6" xfId="0" applyNumberFormat="1" applyFont="1" applyBorder="1" applyAlignment="1">
      <alignment vertical="center"/>
    </xf>
    <xf numFmtId="3" fontId="8" fillId="0" borderId="0" xfId="0" applyNumberFormat="1" applyFont="1" applyAlignment="1">
      <alignment vertical="center"/>
    </xf>
    <xf numFmtId="3" fontId="8" fillId="3" borderId="0" xfId="0" applyNumberFormat="1" applyFont="1" applyFill="1" applyAlignment="1">
      <alignment vertical="center"/>
    </xf>
    <xf numFmtId="3" fontId="8" fillId="15" borderId="0" xfId="0" applyNumberFormat="1" applyFont="1" applyFill="1" applyAlignment="1">
      <alignment vertical="center"/>
    </xf>
    <xf numFmtId="3" fontId="10" fillId="3" borderId="0" xfId="0" applyNumberFormat="1" applyFont="1" applyFill="1" applyAlignment="1">
      <alignment vertical="center"/>
    </xf>
    <xf numFmtId="0" fontId="50" fillId="0" borderId="0" xfId="0" applyFont="1" applyAlignment="1">
      <alignment vertical="center"/>
    </xf>
    <xf numFmtId="0" fontId="51" fillId="0" borderId="0" xfId="0" applyFont="1" applyAlignment="1">
      <alignment horizontal="right" vertical="center"/>
    </xf>
    <xf numFmtId="3" fontId="7" fillId="0" borderId="0" xfId="0" applyNumberFormat="1" applyFont="1" applyAlignment="1">
      <alignment vertical="center"/>
    </xf>
    <xf numFmtId="0" fontId="4" fillId="0" borderId="42" xfId="0" applyFont="1" applyBorder="1" applyAlignment="1">
      <alignment horizontal="right" vertical="center"/>
    </xf>
    <xf numFmtId="9" fontId="6" fillId="0" borderId="28" xfId="0" applyNumberFormat="1" applyFont="1" applyBorder="1"/>
    <xf numFmtId="0" fontId="21" fillId="0" borderId="0" xfId="0" applyFont="1" applyAlignment="1">
      <alignment horizontal="right" vertical="center" wrapText="1"/>
    </xf>
    <xf numFmtId="0" fontId="21" fillId="0" borderId="0" xfId="0" applyFont="1" applyAlignment="1">
      <alignment horizontal="right" vertical="center"/>
    </xf>
    <xf numFmtId="0" fontId="18" fillId="9" borderId="15" xfId="0" applyFont="1" applyFill="1" applyBorder="1" applyAlignment="1">
      <alignment vertical="center" wrapText="1"/>
    </xf>
    <xf numFmtId="0" fontId="18" fillId="9" borderId="34" xfId="0" applyFont="1" applyFill="1" applyBorder="1" applyAlignment="1">
      <alignment vertical="center"/>
    </xf>
    <xf numFmtId="0" fontId="12" fillId="12" borderId="10" xfId="0" applyFont="1" applyFill="1" applyBorder="1" applyAlignment="1">
      <alignment horizontal="left" vertical="center"/>
    </xf>
    <xf numFmtId="0" fontId="21" fillId="2" borderId="0" xfId="0" applyFont="1" applyFill="1" applyAlignment="1">
      <alignment horizontal="left" vertical="center"/>
    </xf>
    <xf numFmtId="164" fontId="18" fillId="9" borderId="15" xfId="0" applyNumberFormat="1" applyFont="1" applyFill="1" applyBorder="1" applyAlignment="1">
      <alignment horizontal="right" vertical="center" wrapText="1"/>
    </xf>
    <xf numFmtId="0" fontId="24" fillId="2" borderId="31" xfId="0" applyFont="1" applyFill="1" applyBorder="1" applyAlignment="1">
      <alignment vertical="center"/>
    </xf>
    <xf numFmtId="0" fontId="8" fillId="0" borderId="0" xfId="0" applyFont="1" applyAlignment="1">
      <alignment vertical="center"/>
    </xf>
    <xf numFmtId="0" fontId="16" fillId="0" borderId="63" xfId="0" applyFont="1" applyBorder="1" applyAlignment="1">
      <alignment vertical="center"/>
    </xf>
    <xf numFmtId="0" fontId="15" fillId="18" borderId="64" xfId="0" applyFont="1" applyFill="1" applyBorder="1" applyAlignment="1">
      <alignment vertical="center"/>
    </xf>
    <xf numFmtId="0" fontId="23" fillId="0" borderId="0" xfId="0" applyFont="1" applyAlignment="1">
      <alignment vertical="center"/>
    </xf>
    <xf numFmtId="0" fontId="26" fillId="2" borderId="0" xfId="0" applyFont="1" applyFill="1" applyAlignment="1">
      <alignment horizontal="left" vertical="center"/>
    </xf>
    <xf numFmtId="0" fontId="27" fillId="2" borderId="35" xfId="0" applyFont="1" applyFill="1" applyBorder="1" applyAlignment="1">
      <alignment horizontal="left" vertical="center"/>
    </xf>
    <xf numFmtId="0" fontId="28" fillId="0" borderId="0" xfId="0" applyFont="1" applyAlignment="1">
      <alignment horizontal="left" vertical="center"/>
    </xf>
    <xf numFmtId="0" fontId="29" fillId="2" borderId="0" xfId="0" applyFont="1" applyFill="1" applyAlignment="1">
      <alignment horizontal="center" vertical="center"/>
    </xf>
    <xf numFmtId="0" fontId="6" fillId="0" borderId="0" xfId="0" applyFont="1" applyAlignment="1">
      <alignment vertical="center"/>
    </xf>
    <xf numFmtId="164" fontId="7" fillId="0" borderId="0" xfId="0" applyNumberFormat="1" applyFont="1" applyAlignment="1">
      <alignment vertical="center"/>
    </xf>
    <xf numFmtId="170" fontId="1" fillId="0" borderId="0" xfId="0" applyNumberFormat="1" applyFont="1" applyAlignment="1">
      <alignment vertical="center"/>
    </xf>
    <xf numFmtId="170" fontId="7" fillId="0" borderId="0" xfId="0" applyNumberFormat="1" applyFont="1" applyAlignment="1">
      <alignment vertical="center"/>
    </xf>
    <xf numFmtId="0" fontId="31" fillId="2" borderId="0" xfId="0" applyFont="1" applyFill="1" applyAlignment="1">
      <alignment vertical="center"/>
    </xf>
    <xf numFmtId="170" fontId="21" fillId="2" borderId="0" xfId="0" applyNumberFormat="1" applyFont="1" applyFill="1" applyAlignment="1">
      <alignment vertical="center"/>
    </xf>
    <xf numFmtId="0" fontId="5" fillId="10" borderId="0" xfId="0" applyFont="1" applyFill="1" applyAlignment="1">
      <alignment vertical="center"/>
    </xf>
    <xf numFmtId="0" fontId="32" fillId="10" borderId="0" xfId="0" applyFont="1" applyFill="1" applyAlignment="1">
      <alignment vertical="center"/>
    </xf>
    <xf numFmtId="168" fontId="33" fillId="10" borderId="0" xfId="0" applyNumberFormat="1" applyFont="1" applyFill="1" applyAlignment="1">
      <alignment vertical="center"/>
    </xf>
    <xf numFmtId="164" fontId="5" fillId="10" borderId="0" xfId="0" applyNumberFormat="1" applyFont="1" applyFill="1" applyAlignment="1">
      <alignment vertical="center"/>
    </xf>
    <xf numFmtId="164" fontId="33" fillId="10" borderId="0" xfId="0" applyNumberFormat="1" applyFont="1" applyFill="1" applyAlignment="1">
      <alignment vertical="center"/>
    </xf>
    <xf numFmtId="170" fontId="5" fillId="10" borderId="0" xfId="0" applyNumberFormat="1" applyFont="1" applyFill="1" applyAlignment="1">
      <alignment vertical="center"/>
    </xf>
    <xf numFmtId="170" fontId="33" fillId="10" borderId="0" xfId="0" applyNumberFormat="1" applyFont="1" applyFill="1" applyAlignment="1">
      <alignment vertical="center"/>
    </xf>
    <xf numFmtId="0" fontId="34" fillId="2" borderId="0" xfId="0" applyFont="1" applyFill="1" applyAlignment="1">
      <alignment horizontal="left" vertical="center"/>
    </xf>
    <xf numFmtId="0" fontId="34" fillId="2" borderId="0" xfId="0" applyFont="1" applyFill="1" applyAlignment="1">
      <alignment horizontal="center" vertical="center"/>
    </xf>
    <xf numFmtId="168" fontId="1" fillId="0" borderId="0" xfId="0" applyNumberFormat="1" applyFont="1" applyAlignment="1">
      <alignment vertical="center"/>
    </xf>
    <xf numFmtId="5" fontId="1" fillId="0" borderId="0" xfId="0" applyNumberFormat="1" applyFont="1" applyAlignment="1">
      <alignment vertical="center"/>
    </xf>
    <xf numFmtId="0" fontId="0" fillId="0" borderId="5" xfId="0" applyBorder="1" applyAlignment="1">
      <alignment vertical="center"/>
    </xf>
    <xf numFmtId="166" fontId="7" fillId="0" borderId="47" xfId="0" applyNumberFormat="1" applyFont="1" applyBorder="1"/>
    <xf numFmtId="164" fontId="7" fillId="0" borderId="54" xfId="0" applyNumberFormat="1" applyFont="1" applyBorder="1"/>
    <xf numFmtId="0" fontId="1" fillId="0" borderId="25" xfId="0" applyFont="1" applyBorder="1" applyAlignment="1">
      <alignment horizontal="center" vertical="center"/>
    </xf>
    <xf numFmtId="0" fontId="5" fillId="0" borderId="6" xfId="0" applyFont="1" applyBorder="1" applyAlignment="1">
      <alignment vertical="center"/>
    </xf>
    <xf numFmtId="0" fontId="4" fillId="0" borderId="7" xfId="0" applyFont="1" applyBorder="1" applyAlignment="1">
      <alignment horizontal="right" vertical="center"/>
    </xf>
    <xf numFmtId="0" fontId="4" fillId="0" borderId="1" xfId="0" applyFont="1" applyBorder="1" applyAlignment="1">
      <alignment horizontal="right" vertical="center"/>
    </xf>
    <xf numFmtId="0" fontId="1" fillId="0" borderId="6" xfId="0" applyFont="1" applyBorder="1" applyAlignment="1">
      <alignment vertical="center"/>
    </xf>
    <xf numFmtId="9" fontId="6" fillId="0" borderId="6" xfId="0" applyNumberFormat="1" applyFont="1" applyBorder="1" applyAlignment="1">
      <alignment vertical="center"/>
    </xf>
    <xf numFmtId="9" fontId="6" fillId="0" borderId="0" xfId="0" applyNumberFormat="1" applyFont="1" applyAlignment="1">
      <alignment vertical="center"/>
    </xf>
    <xf numFmtId="0" fontId="5" fillId="0" borderId="3" xfId="0" applyFont="1" applyBorder="1" applyAlignment="1">
      <alignment vertical="center"/>
    </xf>
    <xf numFmtId="9" fontId="5" fillId="0" borderId="32" xfId="0" applyNumberFormat="1" applyFont="1" applyBorder="1" applyAlignment="1">
      <alignment vertical="center"/>
    </xf>
    <xf numFmtId="9" fontId="5" fillId="0" borderId="21" xfId="0" applyNumberFormat="1" applyFont="1" applyBorder="1" applyAlignment="1">
      <alignment vertical="center"/>
    </xf>
    <xf numFmtId="9" fontId="5" fillId="0" borderId="3" xfId="0" applyNumberFormat="1" applyFont="1" applyBorder="1" applyAlignment="1">
      <alignment vertical="center"/>
    </xf>
    <xf numFmtId="0" fontId="1" fillId="0" borderId="1" xfId="0" applyFont="1" applyBorder="1" applyAlignment="1">
      <alignment vertical="center"/>
    </xf>
    <xf numFmtId="9" fontId="5" fillId="0" borderId="8" xfId="0" applyNumberFormat="1" applyFont="1" applyBorder="1" applyAlignment="1">
      <alignment vertical="center"/>
    </xf>
    <xf numFmtId="0" fontId="5" fillId="0" borderId="44" xfId="0" applyFont="1" applyBorder="1" applyAlignment="1">
      <alignment vertical="center"/>
    </xf>
    <xf numFmtId="165" fontId="5" fillId="0" borderId="3" xfId="0" applyNumberFormat="1" applyFont="1" applyBorder="1" applyAlignment="1">
      <alignment vertical="center"/>
    </xf>
    <xf numFmtId="9" fontId="1" fillId="0" borderId="0" xfId="0" applyNumberFormat="1" applyFont="1" applyAlignment="1">
      <alignment vertical="center"/>
    </xf>
    <xf numFmtId="0" fontId="0" fillId="0" borderId="42" xfId="0" applyBorder="1" applyAlignment="1">
      <alignment vertical="center"/>
    </xf>
    <xf numFmtId="0" fontId="4" fillId="3" borderId="1" xfId="0" applyFont="1" applyFill="1" applyBorder="1" applyAlignment="1">
      <alignment horizontal="right" vertical="center"/>
    </xf>
    <xf numFmtId="0" fontId="4" fillId="0" borderId="0" xfId="0" applyFont="1" applyAlignment="1">
      <alignment horizontal="right" vertical="center"/>
    </xf>
    <xf numFmtId="0" fontId="0" fillId="0" borderId="6" xfId="0" applyBorder="1" applyAlignment="1">
      <alignment vertical="center"/>
    </xf>
    <xf numFmtId="0" fontId="0" fillId="3" borderId="0" xfId="0" applyFill="1" applyAlignment="1">
      <alignment vertical="center"/>
    </xf>
    <xf numFmtId="37" fontId="7" fillId="0" borderId="6" xfId="0" applyNumberFormat="1" applyFont="1" applyBorder="1" applyAlignment="1">
      <alignment vertical="center"/>
    </xf>
    <xf numFmtId="37" fontId="7" fillId="0" borderId="0" xfId="0" applyNumberFormat="1" applyFont="1" applyAlignment="1">
      <alignment vertical="center"/>
    </xf>
    <xf numFmtId="37" fontId="10" fillId="0" borderId="0" xfId="0" applyNumberFormat="1" applyFont="1" applyAlignment="1">
      <alignment vertical="center"/>
    </xf>
    <xf numFmtId="0" fontId="54" fillId="0" borderId="0" xfId="0" applyFont="1" applyAlignment="1">
      <alignment vertical="center"/>
    </xf>
    <xf numFmtId="0" fontId="12" fillId="0" borderId="6" xfId="0" applyFont="1" applyBorder="1" applyAlignment="1">
      <alignment vertical="center"/>
    </xf>
    <xf numFmtId="0" fontId="16" fillId="0" borderId="57" xfId="0" applyFont="1" applyBorder="1" applyAlignment="1">
      <alignment vertical="center"/>
    </xf>
    <xf numFmtId="0" fontId="11" fillId="0" borderId="61" xfId="0" applyFont="1" applyBorder="1" applyAlignment="1">
      <alignment horizontal="right" vertical="center"/>
    </xf>
    <xf numFmtId="0" fontId="11" fillId="0" borderId="57" xfId="0" applyFont="1" applyBorder="1" applyAlignment="1">
      <alignment horizontal="right" vertical="center"/>
    </xf>
    <xf numFmtId="0" fontId="11" fillId="16" borderId="57" xfId="0" applyFont="1" applyFill="1" applyBorder="1" applyAlignment="1">
      <alignment horizontal="right" vertical="center"/>
    </xf>
    <xf numFmtId="0" fontId="11" fillId="0" borderId="0" xfId="0" applyFont="1" applyAlignment="1">
      <alignment horizontal="right" vertical="center"/>
    </xf>
    <xf numFmtId="0" fontId="8" fillId="0" borderId="6" xfId="0" applyFont="1" applyBorder="1" applyAlignment="1">
      <alignment vertical="center"/>
    </xf>
    <xf numFmtId="0" fontId="8" fillId="16" borderId="0" xfId="0" applyFont="1" applyFill="1" applyAlignment="1">
      <alignment vertical="center"/>
    </xf>
    <xf numFmtId="3" fontId="55" fillId="0" borderId="6" xfId="0" applyNumberFormat="1" applyFont="1" applyBorder="1" applyAlignment="1">
      <alignment vertical="center"/>
    </xf>
    <xf numFmtId="3" fontId="55" fillId="0" borderId="0" xfId="0" applyNumberFormat="1" applyFont="1" applyAlignment="1">
      <alignment vertical="center"/>
    </xf>
    <xf numFmtId="3" fontId="8" fillId="16" borderId="0" xfId="0" applyNumberFormat="1" applyFont="1" applyFill="1" applyAlignment="1">
      <alignment vertical="center"/>
    </xf>
    <xf numFmtId="0" fontId="16" fillId="0" borderId="0" xfId="0" applyFont="1" applyAlignment="1">
      <alignment vertical="center"/>
    </xf>
    <xf numFmtId="3" fontId="16" fillId="0" borderId="62" xfId="0" applyNumberFormat="1" applyFont="1" applyBorder="1" applyAlignment="1">
      <alignment vertical="center"/>
    </xf>
    <xf numFmtId="3" fontId="16" fillId="0" borderId="59" xfId="0" applyNumberFormat="1" applyFont="1" applyBorder="1" applyAlignment="1">
      <alignment vertical="center"/>
    </xf>
    <xf numFmtId="3" fontId="16" fillId="16" borderId="59" xfId="0" applyNumberFormat="1" applyFont="1" applyFill="1" applyBorder="1" applyAlignment="1">
      <alignment vertical="center"/>
    </xf>
    <xf numFmtId="3" fontId="16" fillId="0" borderId="0" xfId="0" applyNumberFormat="1" applyFont="1" applyAlignment="1">
      <alignment vertical="center"/>
    </xf>
    <xf numFmtId="0" fontId="56" fillId="0" borderId="0" xfId="0" applyFont="1" applyAlignment="1">
      <alignment horizontal="right" vertical="center"/>
    </xf>
    <xf numFmtId="175" fontId="8" fillId="0" borderId="0" xfId="0" applyNumberFormat="1" applyFont="1" applyAlignment="1">
      <alignment vertical="center"/>
    </xf>
    <xf numFmtId="9" fontId="8" fillId="0" borderId="0" xfId="0" applyNumberFormat="1" applyFont="1" applyAlignment="1">
      <alignment vertical="center"/>
    </xf>
    <xf numFmtId="1" fontId="6" fillId="0" borderId="6" xfId="0" applyNumberFormat="1" applyFont="1" applyBorder="1" applyAlignment="1">
      <alignment vertical="center"/>
    </xf>
    <xf numFmtId="1" fontId="6" fillId="0" borderId="0" xfId="0" applyNumberFormat="1" applyFont="1" applyAlignment="1">
      <alignment vertical="center"/>
    </xf>
    <xf numFmtId="3" fontId="8" fillId="0" borderId="62" xfId="0" applyNumberFormat="1" applyFont="1" applyBorder="1" applyAlignment="1">
      <alignment vertical="center"/>
    </xf>
    <xf numFmtId="3" fontId="8" fillId="0" borderId="59" xfId="0" applyNumberFormat="1" applyFont="1" applyBorder="1" applyAlignment="1">
      <alignment vertical="center"/>
    </xf>
    <xf numFmtId="3" fontId="8" fillId="16" borderId="59" xfId="0" applyNumberFormat="1" applyFont="1" applyFill="1" applyBorder="1" applyAlignment="1">
      <alignment vertical="center"/>
    </xf>
    <xf numFmtId="0" fontId="8" fillId="0" borderId="0" xfId="0" applyFont="1" applyAlignment="1">
      <alignment horizontal="right" vertical="center"/>
    </xf>
    <xf numFmtId="0" fontId="13" fillId="0" borderId="42" xfId="0" applyFont="1" applyBorder="1" applyAlignment="1">
      <alignment vertical="center"/>
    </xf>
    <xf numFmtId="165" fontId="10" fillId="4" borderId="0" xfId="0" applyNumberFormat="1" applyFont="1" applyFill="1" applyAlignment="1">
      <alignment horizontal="center" vertical="center" wrapText="1"/>
    </xf>
    <xf numFmtId="165" fontId="4" fillId="5" borderId="15" xfId="0" applyNumberFormat="1" applyFont="1" applyFill="1" applyBorder="1" applyAlignment="1">
      <alignment vertical="center"/>
    </xf>
    <xf numFmtId="0" fontId="2" fillId="0" borderId="0" xfId="0" applyFont="1" applyAlignment="1">
      <alignment vertical="center"/>
    </xf>
    <xf numFmtId="0" fontId="10" fillId="0" borderId="0" xfId="0" applyFont="1" applyAlignment="1">
      <alignment vertical="center"/>
    </xf>
    <xf numFmtId="1" fontId="1" fillId="0" borderId="0" xfId="0" applyNumberFormat="1" applyFont="1" applyAlignment="1">
      <alignment vertical="center"/>
    </xf>
    <xf numFmtId="3" fontId="10" fillId="0" borderId="0" xfId="0" applyNumberFormat="1" applyFont="1" applyAlignment="1">
      <alignment vertical="center"/>
    </xf>
    <xf numFmtId="1" fontId="10" fillId="0" borderId="0" xfId="0" applyNumberFormat="1" applyFont="1" applyAlignment="1">
      <alignment vertical="center"/>
    </xf>
    <xf numFmtId="0" fontId="10" fillId="0" borderId="6" xfId="0" applyFont="1" applyBorder="1" applyAlignment="1">
      <alignment vertical="center"/>
    </xf>
    <xf numFmtId="4" fontId="1" fillId="0" borderId="0" xfId="0" applyNumberFormat="1" applyFont="1" applyAlignment="1">
      <alignment vertical="center"/>
    </xf>
    <xf numFmtId="1" fontId="10" fillId="0" borderId="6" xfId="0" applyNumberFormat="1" applyFont="1" applyBorder="1" applyAlignment="1">
      <alignment vertical="center"/>
    </xf>
    <xf numFmtId="2" fontId="39" fillId="0" borderId="0" xfId="0" applyNumberFormat="1" applyFont="1" applyAlignment="1">
      <alignment horizontal="right" vertical="center" shrinkToFit="1"/>
    </xf>
    <xf numFmtId="4" fontId="39" fillId="0" borderId="0" xfId="0" applyNumberFormat="1" applyFont="1" applyAlignment="1">
      <alignment horizontal="right" vertical="center" shrinkToFit="1"/>
    </xf>
    <xf numFmtId="1" fontId="4" fillId="0" borderId="0" xfId="0" applyNumberFormat="1" applyFont="1" applyAlignment="1">
      <alignment horizontal="right" vertical="center"/>
    </xf>
    <xf numFmtId="0" fontId="5" fillId="0" borderId="1" xfId="0" applyFont="1" applyBorder="1" applyAlignment="1">
      <alignment horizontal="left" vertical="center"/>
    </xf>
    <xf numFmtId="0" fontId="1" fillId="0" borderId="8" xfId="0" applyFont="1" applyBorder="1" applyAlignment="1">
      <alignment vertical="center"/>
    </xf>
    <xf numFmtId="3" fontId="19" fillId="0" borderId="6" xfId="0" applyNumberFormat="1" applyFont="1" applyBorder="1" applyAlignment="1">
      <alignment vertical="center"/>
    </xf>
    <xf numFmtId="3" fontId="19" fillId="0" borderId="0" xfId="0" applyNumberFormat="1" applyFont="1" applyAlignment="1">
      <alignment vertical="center"/>
    </xf>
    <xf numFmtId="3" fontId="12" fillId="0" borderId="8" xfId="0" applyNumberFormat="1" applyFont="1" applyBorder="1" applyAlignment="1">
      <alignment vertical="center"/>
    </xf>
    <xf numFmtId="3" fontId="12" fillId="0" borderId="3" xfId="0" applyNumberFormat="1" applyFont="1" applyBorder="1" applyAlignment="1">
      <alignment vertical="center"/>
    </xf>
    <xf numFmtId="3" fontId="10" fillId="0" borderId="6" xfId="0" applyNumberFormat="1" applyFont="1" applyBorder="1" applyAlignment="1">
      <alignment vertical="center"/>
    </xf>
    <xf numFmtId="3" fontId="2" fillId="0" borderId="0" xfId="0" applyNumberFormat="1" applyFont="1" applyAlignment="1">
      <alignment vertical="center"/>
    </xf>
    <xf numFmtId="0" fontId="1" fillId="0" borderId="0" xfId="0" applyFont="1" applyAlignment="1">
      <alignment vertical="center" wrapText="1"/>
    </xf>
    <xf numFmtId="3" fontId="12" fillId="0" borderId="6" xfId="0" applyNumberFormat="1" applyFont="1" applyBorder="1" applyAlignment="1">
      <alignment vertical="center"/>
    </xf>
    <xf numFmtId="3" fontId="12" fillId="0" borderId="0" xfId="0" applyNumberFormat="1" applyFont="1" applyAlignment="1">
      <alignment vertical="center"/>
    </xf>
    <xf numFmtId="3" fontId="49" fillId="0" borderId="23" xfId="0" applyNumberFormat="1" applyFont="1" applyBorder="1" applyAlignment="1">
      <alignment vertical="center"/>
    </xf>
    <xf numFmtId="3" fontId="12" fillId="0" borderId="4" xfId="0" applyNumberFormat="1" applyFont="1" applyBorder="1" applyAlignment="1">
      <alignment vertical="center"/>
    </xf>
    <xf numFmtId="0" fontId="5" fillId="0" borderId="2" xfId="0" applyFont="1" applyBorder="1" applyAlignment="1">
      <alignment vertical="center"/>
    </xf>
    <xf numFmtId="3" fontId="12" fillId="0" borderId="9" xfId="0" applyNumberFormat="1" applyFont="1" applyBorder="1" applyAlignment="1">
      <alignment vertical="center"/>
    </xf>
    <xf numFmtId="3" fontId="12" fillId="0" borderId="2" xfId="0" applyNumberFormat="1" applyFont="1" applyBorder="1" applyAlignment="1">
      <alignment vertical="center"/>
    </xf>
    <xf numFmtId="3" fontId="5" fillId="0" borderId="0" xfId="0" applyNumberFormat="1" applyFont="1" applyAlignment="1">
      <alignment vertical="center"/>
    </xf>
    <xf numFmtId="3" fontId="6" fillId="0" borderId="0" xfId="0" applyNumberFormat="1" applyFont="1" applyAlignment="1">
      <alignment vertical="center"/>
    </xf>
    <xf numFmtId="0" fontId="9" fillId="0" borderId="0" xfId="0" applyFont="1" applyAlignment="1">
      <alignment vertical="center"/>
    </xf>
    <xf numFmtId="0" fontId="52" fillId="0" borderId="0" xfId="0" applyFont="1" applyAlignment="1">
      <alignment vertical="center"/>
    </xf>
    <xf numFmtId="3" fontId="5" fillId="3" borderId="4" xfId="0" applyNumberFormat="1" applyFont="1" applyFill="1" applyBorder="1" applyAlignment="1">
      <alignment vertical="center"/>
    </xf>
    <xf numFmtId="3" fontId="50" fillId="0" borderId="0" xfId="0" applyNumberFormat="1" applyFont="1" applyAlignment="1">
      <alignment vertical="center"/>
    </xf>
    <xf numFmtId="0" fontId="1" fillId="3" borderId="0" xfId="0" applyFont="1" applyFill="1" applyAlignment="1">
      <alignment vertical="center"/>
    </xf>
    <xf numFmtId="0" fontId="53" fillId="0" borderId="0" xfId="0" applyFont="1" applyAlignment="1">
      <alignment vertical="center"/>
    </xf>
    <xf numFmtId="3" fontId="1" fillId="3" borderId="0" xfId="0" applyNumberFormat="1" applyFont="1" applyFill="1" applyAlignment="1">
      <alignment vertical="center"/>
    </xf>
    <xf numFmtId="3" fontId="53" fillId="0" borderId="0" xfId="0" applyNumberFormat="1" applyFont="1" applyAlignment="1">
      <alignment vertical="center"/>
    </xf>
    <xf numFmtId="0" fontId="17" fillId="0" borderId="0" xfId="0" applyFont="1" applyAlignment="1">
      <alignment vertical="center"/>
    </xf>
    <xf numFmtId="9" fontId="51" fillId="0" borderId="0" xfId="0" applyNumberFormat="1" applyFont="1" applyAlignment="1">
      <alignment vertical="center"/>
    </xf>
    <xf numFmtId="9" fontId="11" fillId="0" borderId="0" xfId="0" applyNumberFormat="1" applyFont="1" applyAlignment="1">
      <alignment vertical="center"/>
    </xf>
    <xf numFmtId="0" fontId="7" fillId="0" borderId="0" xfId="0" applyFont="1" applyAlignment="1">
      <alignment vertical="center"/>
    </xf>
    <xf numFmtId="9" fontId="4" fillId="3" borderId="0" xfId="0" applyNumberFormat="1" applyFont="1" applyFill="1" applyAlignment="1">
      <alignment vertical="center"/>
    </xf>
    <xf numFmtId="1" fontId="1" fillId="3" borderId="0" xfId="0" applyNumberFormat="1" applyFont="1" applyFill="1" applyAlignment="1">
      <alignment vertical="center"/>
    </xf>
    <xf numFmtId="37" fontId="53" fillId="0" borderId="0" xfId="0" applyNumberFormat="1" applyFont="1" applyAlignment="1">
      <alignment vertical="center"/>
    </xf>
    <xf numFmtId="165" fontId="1" fillId="0" borderId="0" xfId="0" applyNumberFormat="1" applyFont="1" applyAlignment="1">
      <alignment vertical="center"/>
    </xf>
    <xf numFmtId="165" fontId="4" fillId="5" borderId="22" xfId="0" applyNumberFormat="1" applyFont="1" applyFill="1" applyBorder="1" applyAlignment="1">
      <alignment vertical="center"/>
    </xf>
    <xf numFmtId="165" fontId="4" fillId="5" borderId="51" xfId="0" applyNumberFormat="1" applyFont="1" applyFill="1" applyBorder="1" applyAlignment="1">
      <alignment vertical="center"/>
    </xf>
    <xf numFmtId="165" fontId="14" fillId="0" borderId="0" xfId="0" applyNumberFormat="1" applyFont="1" applyAlignment="1">
      <alignment horizontal="center" vertical="center" wrapText="1"/>
    </xf>
    <xf numFmtId="3" fontId="7" fillId="0" borderId="6" xfId="0" applyNumberFormat="1" applyFont="1" applyBorder="1" applyAlignment="1">
      <alignment vertical="center"/>
    </xf>
    <xf numFmtId="37" fontId="10" fillId="3" borderId="0" xfId="0" applyNumberFormat="1" applyFont="1" applyFill="1" applyAlignment="1">
      <alignment vertical="center"/>
    </xf>
    <xf numFmtId="3" fontId="5" fillId="0" borderId="8" xfId="0" applyNumberFormat="1" applyFont="1" applyBorder="1" applyAlignment="1">
      <alignment vertical="center"/>
    </xf>
    <xf numFmtId="3" fontId="5" fillId="0" borderId="3" xfId="0" applyNumberFormat="1" applyFont="1" applyBorder="1" applyAlignment="1">
      <alignment vertical="center"/>
    </xf>
    <xf numFmtId="3" fontId="5" fillId="3" borderId="3" xfId="0" applyNumberFormat="1" applyFont="1" applyFill="1" applyBorder="1" applyAlignment="1">
      <alignment vertical="center"/>
    </xf>
    <xf numFmtId="174" fontId="10" fillId="0" borderId="0" xfId="0" applyNumberFormat="1" applyFont="1" applyAlignment="1">
      <alignment vertical="center"/>
    </xf>
    <xf numFmtId="37" fontId="7" fillId="0" borderId="7" xfId="0" applyNumberFormat="1" applyFont="1" applyBorder="1" applyAlignment="1">
      <alignment vertical="center"/>
    </xf>
    <xf numFmtId="37" fontId="7" fillId="0" borderId="1" xfId="0" applyNumberFormat="1" applyFont="1" applyBorder="1" applyAlignment="1">
      <alignment vertical="center"/>
    </xf>
    <xf numFmtId="37" fontId="10" fillId="3" borderId="1" xfId="0" applyNumberFormat="1" applyFont="1" applyFill="1" applyBorder="1" applyAlignment="1">
      <alignment vertical="center"/>
    </xf>
    <xf numFmtId="3" fontId="5" fillId="0" borderId="9" xfId="0" applyNumberFormat="1" applyFont="1" applyBorder="1" applyAlignment="1">
      <alignment vertical="center"/>
    </xf>
    <xf numFmtId="3" fontId="5" fillId="0" borderId="2" xfId="0" applyNumberFormat="1" applyFont="1" applyBorder="1" applyAlignment="1">
      <alignment vertical="center"/>
    </xf>
    <xf numFmtId="3" fontId="5" fillId="3" borderId="2" xfId="0" applyNumberFormat="1" applyFont="1" applyFill="1" applyBorder="1" applyAlignment="1">
      <alignment vertical="center"/>
    </xf>
    <xf numFmtId="3" fontId="5" fillId="0" borderId="23" xfId="0" applyNumberFormat="1" applyFont="1" applyBorder="1" applyAlignment="1">
      <alignment vertical="center"/>
    </xf>
    <xf numFmtId="3" fontId="1" fillId="3" borderId="0" xfId="0" applyNumberFormat="1" applyFont="1" applyFill="1" applyAlignment="1">
      <alignment horizontal="right" vertical="center"/>
    </xf>
    <xf numFmtId="0" fontId="1" fillId="10" borderId="0" xfId="0" applyFont="1" applyFill="1" applyAlignment="1">
      <alignment vertical="center"/>
    </xf>
    <xf numFmtId="14" fontId="1" fillId="0" borderId="3" xfId="0" applyNumberFormat="1" applyFont="1" applyBorder="1" applyAlignment="1">
      <alignment vertical="center"/>
    </xf>
    <xf numFmtId="14" fontId="1" fillId="0" borderId="0" xfId="0" applyNumberFormat="1" applyFont="1" applyAlignment="1">
      <alignment vertical="center"/>
    </xf>
    <xf numFmtId="165" fontId="7" fillId="0" borderId="0" xfId="0" applyNumberFormat="1" applyFont="1" applyAlignment="1">
      <alignment vertical="center"/>
    </xf>
    <xf numFmtId="172" fontId="1" fillId="0" borderId="0" xfId="0" applyNumberFormat="1" applyFont="1" applyAlignment="1">
      <alignment vertical="center"/>
    </xf>
    <xf numFmtId="168" fontId="7" fillId="0" borderId="0" xfId="0" applyNumberFormat="1" applyFont="1" applyAlignment="1">
      <alignment vertical="center"/>
    </xf>
    <xf numFmtId="168" fontId="19" fillId="0" borderId="0" xfId="0" applyNumberFormat="1" applyFont="1" applyAlignment="1">
      <alignment vertical="center"/>
    </xf>
    <xf numFmtId="0" fontId="5" fillId="12" borderId="0" xfId="0" applyFont="1" applyFill="1" applyAlignment="1">
      <alignment vertical="center"/>
    </xf>
    <xf numFmtId="0" fontId="0" fillId="12" borderId="0" xfId="0" applyFill="1" applyAlignment="1">
      <alignment vertical="center"/>
    </xf>
    <xf numFmtId="0" fontId="4" fillId="12" borderId="0" xfId="0" applyFont="1" applyFill="1" applyAlignment="1">
      <alignment horizontal="right" vertical="center"/>
    </xf>
    <xf numFmtId="0" fontId="1" fillId="12" borderId="0" xfId="0" applyFont="1" applyFill="1" applyAlignment="1">
      <alignment horizontal="right" vertical="center"/>
    </xf>
    <xf numFmtId="0" fontId="1" fillId="0" borderId="3" xfId="0" applyFont="1" applyBorder="1" applyAlignment="1">
      <alignment vertical="center"/>
    </xf>
    <xf numFmtId="14" fontId="4" fillId="0" borderId="3" xfId="0" applyNumberFormat="1" applyFont="1" applyBorder="1" applyAlignment="1">
      <alignment vertical="center"/>
    </xf>
    <xf numFmtId="14" fontId="4" fillId="12" borderId="3" xfId="0" applyNumberFormat="1" applyFont="1" applyFill="1" applyBorder="1" applyAlignment="1">
      <alignment vertical="center"/>
    </xf>
    <xf numFmtId="14" fontId="0" fillId="12" borderId="3" xfId="0" applyNumberFormat="1" applyFill="1" applyBorder="1" applyAlignment="1">
      <alignment vertical="center"/>
    </xf>
    <xf numFmtId="1" fontId="4" fillId="12" borderId="0" xfId="0" applyNumberFormat="1" applyFont="1" applyFill="1" applyAlignment="1">
      <alignment vertical="center"/>
    </xf>
    <xf numFmtId="1" fontId="4" fillId="0" borderId="0" xfId="0" applyNumberFormat="1" applyFont="1" applyAlignment="1">
      <alignment vertical="center"/>
    </xf>
    <xf numFmtId="2" fontId="4" fillId="12" borderId="0" xfId="0" applyNumberFormat="1" applyFont="1" applyFill="1" applyAlignment="1">
      <alignment vertical="center"/>
    </xf>
    <xf numFmtId="0" fontId="4" fillId="12" borderId="0" xfId="0" applyFont="1" applyFill="1" applyAlignment="1">
      <alignment vertical="center"/>
    </xf>
    <xf numFmtId="0" fontId="58" fillId="12" borderId="0" xfId="0" applyFont="1" applyFill="1" applyAlignment="1">
      <alignment vertical="center"/>
    </xf>
    <xf numFmtId="3" fontId="20" fillId="0" borderId="3" xfId="0" applyNumberFormat="1" applyFont="1" applyBorder="1" applyAlignment="1">
      <alignment vertical="center"/>
    </xf>
    <xf numFmtId="0" fontId="37" fillId="0" borderId="0" xfId="0" applyFont="1" applyAlignment="1">
      <alignment vertical="center"/>
    </xf>
    <xf numFmtId="0" fontId="56" fillId="0" borderId="65" xfId="0" applyFont="1" applyBorder="1" applyAlignment="1">
      <alignment vertical="center"/>
    </xf>
    <xf numFmtId="3" fontId="8" fillId="0" borderId="65" xfId="0" applyNumberFormat="1" applyFont="1" applyBorder="1" applyAlignment="1">
      <alignment vertical="center"/>
    </xf>
    <xf numFmtId="3" fontId="5" fillId="12" borderId="0" xfId="0" applyNumberFormat="1" applyFont="1" applyFill="1" applyAlignment="1">
      <alignment vertical="center"/>
    </xf>
    <xf numFmtId="0" fontId="0" fillId="0" borderId="3" xfId="0" applyBorder="1" applyAlignment="1">
      <alignment vertical="center"/>
    </xf>
    <xf numFmtId="3" fontId="25" fillId="12" borderId="0" xfId="0" applyNumberFormat="1" applyFont="1" applyFill="1" applyAlignment="1">
      <alignment vertical="center"/>
    </xf>
    <xf numFmtId="3" fontId="31" fillId="12" borderId="0" xfId="0" applyNumberFormat="1" applyFont="1" applyFill="1" applyAlignment="1">
      <alignment vertical="center"/>
    </xf>
    <xf numFmtId="0" fontId="21" fillId="0" borderId="0" xfId="0" applyFont="1" applyAlignment="1">
      <alignment horizontal="left" vertical="center"/>
    </xf>
    <xf numFmtId="164" fontId="1" fillId="0" borderId="15" xfId="0" applyNumberFormat="1" applyFont="1" applyBorder="1" applyAlignment="1">
      <alignment vertical="center"/>
    </xf>
    <xf numFmtId="9" fontId="1" fillId="0" borderId="15" xfId="0" applyNumberFormat="1" applyFont="1" applyBorder="1" applyAlignment="1">
      <alignment vertical="center"/>
    </xf>
    <xf numFmtId="0" fontId="1" fillId="0" borderId="15" xfId="0" applyFont="1" applyBorder="1" applyAlignment="1">
      <alignment vertical="center"/>
    </xf>
    <xf numFmtId="164" fontId="0" fillId="0" borderId="15" xfId="0" applyNumberFormat="1" applyBorder="1" applyAlignment="1">
      <alignment vertical="center"/>
    </xf>
    <xf numFmtId="0" fontId="1" fillId="0" borderId="0" xfId="0" applyFont="1" applyAlignment="1">
      <alignment horizontal="center" vertical="center"/>
    </xf>
    <xf numFmtId="0" fontId="25" fillId="0" borderId="0" xfId="0" applyFont="1" applyAlignment="1">
      <alignment vertical="center"/>
    </xf>
    <xf numFmtId="168" fontId="6" fillId="0" borderId="0" xfId="0" applyNumberFormat="1" applyFont="1" applyAlignment="1">
      <alignment vertical="center"/>
    </xf>
    <xf numFmtId="0" fontId="1" fillId="0" borderId="34" xfId="0" applyFont="1" applyBorder="1" applyAlignment="1">
      <alignment vertical="center"/>
    </xf>
    <xf numFmtId="2" fontId="1" fillId="0" borderId="34" xfId="0" applyNumberFormat="1" applyFont="1" applyBorder="1" applyAlignment="1">
      <alignment vertical="center"/>
    </xf>
    <xf numFmtId="0" fontId="5" fillId="0" borderId="34" xfId="0" applyFont="1" applyBorder="1" applyAlignment="1">
      <alignment vertical="center"/>
    </xf>
    <xf numFmtId="14" fontId="8" fillId="0" borderId="0" xfId="0" applyNumberFormat="1" applyFont="1" applyAlignment="1">
      <alignment horizontal="left" vertical="center"/>
    </xf>
    <xf numFmtId="0" fontId="45" fillId="0" borderId="0" xfId="0" applyFont="1" applyAlignment="1">
      <alignment horizontal="right" vertical="center"/>
    </xf>
    <xf numFmtId="0" fontId="45" fillId="0" borderId="33" xfId="0" applyFont="1" applyBorder="1" applyAlignment="1">
      <alignment horizontal="left" vertical="center"/>
    </xf>
    <xf numFmtId="0" fontId="28" fillId="0" borderId="33" xfId="0" applyFont="1" applyBorder="1" applyAlignment="1">
      <alignment horizontal="left" vertical="center"/>
    </xf>
    <xf numFmtId="0" fontId="45" fillId="0" borderId="33" xfId="0" applyFont="1" applyBorder="1" applyAlignment="1">
      <alignment horizontal="right" vertical="center"/>
    </xf>
    <xf numFmtId="10" fontId="6" fillId="0" borderId="0" xfId="0" applyNumberFormat="1" applyFont="1" applyAlignment="1">
      <alignment vertical="center"/>
    </xf>
    <xf numFmtId="2" fontId="7" fillId="0" borderId="0" xfId="0" applyNumberFormat="1" applyFont="1" applyAlignment="1">
      <alignment vertical="center"/>
    </xf>
    <xf numFmtId="10" fontId="21" fillId="2" borderId="0" xfId="0" applyNumberFormat="1" applyFont="1" applyFill="1" applyAlignment="1">
      <alignment vertical="center"/>
    </xf>
    <xf numFmtId="2" fontId="21" fillId="2" borderId="0" xfId="0" applyNumberFormat="1" applyFont="1" applyFill="1" applyAlignment="1">
      <alignment vertical="center"/>
    </xf>
    <xf numFmtId="2" fontId="5" fillId="10" borderId="0" xfId="0" applyNumberFormat="1" applyFont="1" applyFill="1" applyAlignment="1">
      <alignment vertical="center"/>
    </xf>
    <xf numFmtId="10" fontId="32" fillId="10" borderId="0" xfId="0" applyNumberFormat="1" applyFont="1" applyFill="1" applyAlignment="1">
      <alignment vertical="center"/>
    </xf>
    <xf numFmtId="2" fontId="33" fillId="10" borderId="0" xfId="0" applyNumberFormat="1" applyFont="1" applyFill="1" applyAlignment="1">
      <alignment vertical="center"/>
    </xf>
    <xf numFmtId="0" fontId="5" fillId="11" borderId="0" xfId="0" applyFont="1" applyFill="1" applyAlignment="1">
      <alignment horizontal="left" vertical="center"/>
    </xf>
    <xf numFmtId="0" fontId="5" fillId="11" borderId="0" xfId="0" applyFont="1" applyFill="1" applyAlignment="1">
      <alignment vertical="center"/>
    </xf>
    <xf numFmtId="10" fontId="10" fillId="0" borderId="0" xfId="0" applyNumberFormat="1" applyFont="1" applyAlignment="1">
      <alignment vertical="center"/>
    </xf>
    <xf numFmtId="0" fontId="45" fillId="0" borderId="4" xfId="0" applyFont="1" applyBorder="1" applyAlignment="1">
      <alignment horizontal="left" vertical="center"/>
    </xf>
    <xf numFmtId="171" fontId="5" fillId="0" borderId="4" xfId="0" applyNumberFormat="1" applyFont="1" applyBorder="1" applyAlignment="1">
      <alignment vertical="center"/>
    </xf>
    <xf numFmtId="10" fontId="7" fillId="0" borderId="0" xfId="0" applyNumberFormat="1" applyFont="1" applyAlignment="1">
      <alignment vertical="center"/>
    </xf>
    <xf numFmtId="10" fontId="5" fillId="0" borderId="4" xfId="0" applyNumberFormat="1" applyFont="1" applyBorder="1" applyAlignment="1">
      <alignment vertical="center"/>
    </xf>
    <xf numFmtId="10" fontId="19" fillId="0" borderId="0" xfId="0" applyNumberFormat="1" applyFont="1" applyAlignment="1">
      <alignment vertical="center"/>
    </xf>
    <xf numFmtId="0" fontId="35" fillId="0" borderId="0" xfId="0" applyFont="1" applyAlignment="1">
      <alignment vertical="center"/>
    </xf>
    <xf numFmtId="0" fontId="45" fillId="0" borderId="5" xfId="0" applyFont="1" applyBorder="1" applyAlignment="1">
      <alignment horizontal="left" vertical="center"/>
    </xf>
    <xf numFmtId="0" fontId="5" fillId="0" borderId="0" xfId="0" applyFont="1" applyAlignment="1">
      <alignment horizontal="center" vertical="center"/>
    </xf>
    <xf numFmtId="0" fontId="57" fillId="0" borderId="30" xfId="0" applyFont="1" applyBorder="1" applyAlignment="1">
      <alignment horizontal="left" vertical="center"/>
    </xf>
    <xf numFmtId="0" fontId="24" fillId="2" borderId="30" xfId="0" applyFont="1" applyFill="1" applyBorder="1" applyAlignment="1">
      <alignment horizontal="right" vertical="center"/>
    </xf>
    <xf numFmtId="0" fontId="57" fillId="0" borderId="0" xfId="0" applyFont="1" applyAlignment="1">
      <alignment horizontal="left" vertical="center"/>
    </xf>
    <xf numFmtId="167" fontId="24" fillId="2" borderId="30" xfId="0" applyNumberFormat="1" applyFont="1" applyFill="1" applyBorder="1" applyAlignment="1">
      <alignment horizontal="right" vertical="center"/>
    </xf>
    <xf numFmtId="0" fontId="57" fillId="0" borderId="0" xfId="0" applyFont="1" applyAlignment="1">
      <alignment horizontal="right" vertical="center"/>
    </xf>
    <xf numFmtId="10" fontId="24" fillId="2" borderId="30" xfId="0" applyNumberFormat="1" applyFont="1" applyFill="1" applyBorder="1" applyAlignment="1">
      <alignment horizontal="right" vertical="center"/>
    </xf>
    <xf numFmtId="176" fontId="1" fillId="0" borderId="0" xfId="0" applyNumberFormat="1" applyFont="1" applyAlignment="1">
      <alignment vertical="center"/>
    </xf>
    <xf numFmtId="164" fontId="41" fillId="0" borderId="0" xfId="0" applyNumberFormat="1" applyFont="1" applyAlignment="1">
      <alignment vertical="center"/>
    </xf>
    <xf numFmtId="0" fontId="43" fillId="13" borderId="0" xfId="0" applyFont="1" applyFill="1" applyAlignment="1">
      <alignment vertical="center"/>
    </xf>
    <xf numFmtId="0" fontId="11" fillId="0" borderId="7" xfId="0" applyFont="1" applyBorder="1" applyAlignment="1">
      <alignment horizontal="right" vertical="center"/>
    </xf>
    <xf numFmtId="9" fontId="11" fillId="0" borderId="6" xfId="0" applyNumberFormat="1" applyFont="1" applyBorder="1" applyAlignment="1">
      <alignment vertical="center"/>
    </xf>
    <xf numFmtId="0" fontId="7" fillId="0" borderId="6" xfId="0" applyFont="1" applyBorder="1" applyAlignment="1">
      <alignment vertical="center"/>
    </xf>
    <xf numFmtId="165" fontId="1" fillId="0" borderId="6" xfId="0" applyNumberFormat="1" applyFont="1" applyBorder="1" applyAlignment="1">
      <alignment vertical="center"/>
    </xf>
    <xf numFmtId="5" fontId="0" fillId="0" borderId="0" xfId="0" applyNumberFormat="1" applyAlignment="1">
      <alignment vertical="center"/>
    </xf>
    <xf numFmtId="0" fontId="1" fillId="0" borderId="69" xfId="0" applyFont="1" applyBorder="1" applyAlignment="1">
      <alignment horizontal="center" vertical="center"/>
    </xf>
    <xf numFmtId="3" fontId="12" fillId="0" borderId="23" xfId="0" applyNumberFormat="1" applyFont="1" applyBorder="1" applyAlignment="1">
      <alignment vertical="center"/>
    </xf>
    <xf numFmtId="3" fontId="12" fillId="0" borderId="29" xfId="0" applyNumberFormat="1" applyFont="1" applyBorder="1" applyAlignment="1">
      <alignment vertical="center"/>
    </xf>
    <xf numFmtId="3" fontId="12" fillId="0" borderId="5" xfId="0" applyNumberFormat="1" applyFont="1" applyBorder="1" applyAlignment="1">
      <alignment vertical="center"/>
    </xf>
    <xf numFmtId="165" fontId="56" fillId="0" borderId="0" xfId="0" applyNumberFormat="1" applyFont="1" applyAlignment="1">
      <alignment vertical="center"/>
    </xf>
    <xf numFmtId="165" fontId="56" fillId="16" borderId="0" xfId="0" applyNumberFormat="1" applyFont="1" applyFill="1" applyAlignment="1">
      <alignment vertical="center"/>
    </xf>
    <xf numFmtId="165" fontId="56" fillId="0" borderId="6" xfId="0" applyNumberFormat="1" applyFont="1" applyBorder="1" applyAlignment="1">
      <alignment vertical="center"/>
    </xf>
    <xf numFmtId="165" fontId="4" fillId="0" borderId="6" xfId="0" applyNumberFormat="1" applyFont="1" applyBorder="1" applyAlignment="1">
      <alignment vertical="center"/>
    </xf>
    <xf numFmtId="165" fontId="4" fillId="0" borderId="0" xfId="0" applyNumberFormat="1" applyFont="1" applyAlignment="1">
      <alignment vertical="center"/>
    </xf>
    <xf numFmtId="165" fontId="11" fillId="0" borderId="6" xfId="0" applyNumberFormat="1" applyFont="1" applyBorder="1" applyAlignment="1">
      <alignment vertical="center"/>
    </xf>
    <xf numFmtId="165" fontId="11" fillId="0" borderId="0" xfId="0" applyNumberFormat="1" applyFont="1" applyAlignment="1">
      <alignment vertical="center"/>
    </xf>
    <xf numFmtId="165" fontId="11" fillId="5" borderId="22" xfId="0" applyNumberFormat="1" applyFont="1" applyFill="1" applyBorder="1" applyAlignment="1">
      <alignment vertical="center"/>
    </xf>
    <xf numFmtId="165" fontId="11" fillId="5" borderId="51" xfId="0" applyNumberFormat="1" applyFont="1" applyFill="1" applyBorder="1" applyAlignment="1">
      <alignment vertical="center"/>
    </xf>
    <xf numFmtId="3" fontId="1" fillId="0" borderId="0" xfId="0" applyNumberFormat="1" applyFont="1" applyAlignment="1">
      <alignment horizontal="right" vertical="center"/>
    </xf>
    <xf numFmtId="0" fontId="16" fillId="0" borderId="40" xfId="0" applyFont="1" applyBorder="1" applyAlignment="1">
      <alignment horizontal="left" vertical="center"/>
    </xf>
    <xf numFmtId="168" fontId="1" fillId="12" borderId="0" xfId="0" applyNumberFormat="1" applyFont="1" applyFill="1" applyAlignment="1">
      <alignment horizontal="left" vertical="center" wrapText="1"/>
    </xf>
    <xf numFmtId="0" fontId="1" fillId="3" borderId="0" xfId="0" applyFont="1" applyFill="1"/>
    <xf numFmtId="1" fontId="1" fillId="0" borderId="0" xfId="0" applyNumberFormat="1" applyFont="1"/>
    <xf numFmtId="1" fontId="1" fillId="3" borderId="0" xfId="0" applyNumberFormat="1" applyFont="1" applyFill="1"/>
    <xf numFmtId="9" fontId="1" fillId="0" borderId="0" xfId="0" applyNumberFormat="1" applyFont="1"/>
    <xf numFmtId="3" fontId="1" fillId="0" borderId="0" xfId="0" applyNumberFormat="1" applyFont="1"/>
    <xf numFmtId="9" fontId="4" fillId="0" borderId="0" xfId="0" applyNumberFormat="1" applyFont="1"/>
    <xf numFmtId="9" fontId="4" fillId="5" borderId="15" xfId="0" applyNumberFormat="1" applyFont="1" applyFill="1" applyBorder="1"/>
    <xf numFmtId="0" fontId="1" fillId="0" borderId="6" xfId="0" applyFont="1" applyBorder="1"/>
    <xf numFmtId="0" fontId="1" fillId="0" borderId="8" xfId="0" applyFont="1" applyBorder="1"/>
    <xf numFmtId="0" fontId="1" fillId="0" borderId="1" xfId="0" applyFont="1" applyBorder="1"/>
    <xf numFmtId="3" fontId="1" fillId="0" borderId="6" xfId="0" applyNumberFormat="1" applyFont="1" applyBorder="1"/>
    <xf numFmtId="3" fontId="1" fillId="3" borderId="0" xfId="0" applyNumberFormat="1" applyFont="1" applyFill="1"/>
    <xf numFmtId="0" fontId="60" fillId="0" borderId="0" xfId="0" applyFont="1"/>
    <xf numFmtId="0" fontId="61" fillId="0" borderId="0" xfId="0" applyFont="1"/>
    <xf numFmtId="1" fontId="5" fillId="0" borderId="4" xfId="0" applyNumberFormat="1" applyFont="1" applyBorder="1"/>
    <xf numFmtId="3" fontId="5" fillId="0" borderId="23" xfId="0" applyNumberFormat="1" applyFont="1" applyBorder="1"/>
    <xf numFmtId="3" fontId="5" fillId="0" borderId="4" xfId="0" applyNumberFormat="1" applyFont="1" applyBorder="1"/>
    <xf numFmtId="0" fontId="32" fillId="0" borderId="0" xfId="0" applyFont="1"/>
    <xf numFmtId="37" fontId="1" fillId="0" borderId="0" xfId="0" applyNumberFormat="1" applyFont="1"/>
    <xf numFmtId="0" fontId="5" fillId="0" borderId="5" xfId="0" applyFont="1" applyBorder="1"/>
    <xf numFmtId="0" fontId="13" fillId="0" borderId="0" xfId="0" applyFont="1"/>
    <xf numFmtId="3" fontId="5" fillId="3" borderId="4" xfId="0" applyNumberFormat="1" applyFont="1" applyFill="1" applyBorder="1"/>
    <xf numFmtId="3" fontId="5" fillId="0" borderId="29" xfId="0" applyNumberFormat="1" applyFont="1" applyBorder="1"/>
    <xf numFmtId="3" fontId="5" fillId="0" borderId="5" xfId="0" applyNumberFormat="1" applyFont="1" applyBorder="1"/>
    <xf numFmtId="0" fontId="5" fillId="0" borderId="4" xfId="0" applyFont="1" applyBorder="1"/>
    <xf numFmtId="0" fontId="5" fillId="0" borderId="23" xfId="0" applyFont="1" applyBorder="1"/>
    <xf numFmtId="0" fontId="5" fillId="0" borderId="43" xfId="0" applyFont="1" applyBorder="1"/>
    <xf numFmtId="0" fontId="5" fillId="3" borderId="0" xfId="0" applyFont="1" applyFill="1"/>
    <xf numFmtId="9" fontId="4" fillId="5" borderId="74" xfId="0" applyNumberFormat="1" applyFont="1" applyFill="1" applyBorder="1"/>
    <xf numFmtId="4" fontId="60" fillId="0" borderId="0" xfId="0" applyNumberFormat="1" applyFont="1"/>
    <xf numFmtId="0" fontId="1" fillId="0" borderId="77" xfId="0" applyFont="1" applyBorder="1"/>
    <xf numFmtId="1" fontId="1" fillId="0" borderId="78" xfId="0" applyNumberFormat="1" applyFont="1" applyBorder="1"/>
    <xf numFmtId="3" fontId="1" fillId="0" borderId="78" xfId="0" applyNumberFormat="1" applyFont="1" applyBorder="1"/>
    <xf numFmtId="0" fontId="5" fillId="0" borderId="75" xfId="0" applyFont="1" applyBorder="1"/>
    <xf numFmtId="3" fontId="5" fillId="0" borderId="76" xfId="0" applyNumberFormat="1" applyFont="1" applyBorder="1"/>
    <xf numFmtId="0" fontId="4" fillId="0" borderId="0" xfId="0" applyFont="1"/>
    <xf numFmtId="4" fontId="1" fillId="0" borderId="0" xfId="0" applyNumberFormat="1" applyFont="1"/>
    <xf numFmtId="1" fontId="7" fillId="0" borderId="0" xfId="0" applyNumberFormat="1" applyFont="1"/>
    <xf numFmtId="3" fontId="7" fillId="0" borderId="0" xfId="0" applyNumberFormat="1" applyFont="1"/>
    <xf numFmtId="165" fontId="56" fillId="17" borderId="58" xfId="0" applyNumberFormat="1" applyFont="1" applyFill="1" applyBorder="1" applyAlignment="1">
      <alignment vertical="center"/>
    </xf>
    <xf numFmtId="165" fontId="56" fillId="17" borderId="60" xfId="0" applyNumberFormat="1" applyFont="1" applyFill="1" applyBorder="1" applyAlignment="1">
      <alignment vertical="center"/>
    </xf>
    <xf numFmtId="3" fontId="1" fillId="0" borderId="4" xfId="0" applyNumberFormat="1" applyFont="1" applyBorder="1" applyAlignment="1">
      <alignment vertical="center"/>
    </xf>
    <xf numFmtId="165" fontId="14" fillId="0" borderId="0" xfId="0" applyNumberFormat="1" applyFont="1" applyAlignment="1">
      <alignment horizontal="right" vertical="center" wrapText="1"/>
    </xf>
    <xf numFmtId="0" fontId="17" fillId="0" borderId="42" xfId="0" applyFont="1" applyBorder="1" applyAlignment="1">
      <alignment vertical="center"/>
    </xf>
    <xf numFmtId="9" fontId="5" fillId="0" borderId="0" xfId="0" applyNumberFormat="1" applyFont="1" applyAlignment="1">
      <alignment vertical="center"/>
    </xf>
    <xf numFmtId="9" fontId="5" fillId="0" borderId="6" xfId="0" applyNumberFormat="1" applyFont="1" applyBorder="1" applyAlignment="1">
      <alignment vertical="center"/>
    </xf>
    <xf numFmtId="9" fontId="12" fillId="0" borderId="4" xfId="0" applyNumberFormat="1" applyFont="1" applyBorder="1" applyAlignment="1">
      <alignment vertical="center"/>
    </xf>
    <xf numFmtId="9" fontId="12" fillId="0" borderId="23" xfId="0" applyNumberFormat="1" applyFont="1" applyBorder="1" applyAlignment="1">
      <alignment vertical="center"/>
    </xf>
    <xf numFmtId="0" fontId="5" fillId="0" borderId="43" xfId="0" applyFont="1" applyBorder="1" applyAlignment="1">
      <alignment vertical="center"/>
    </xf>
    <xf numFmtId="1" fontId="7" fillId="0" borderId="6" xfId="0" applyNumberFormat="1" applyFont="1" applyBorder="1"/>
    <xf numFmtId="9" fontId="4" fillId="0" borderId="6" xfId="0" applyNumberFormat="1" applyFont="1" applyBorder="1"/>
    <xf numFmtId="3" fontId="7" fillId="0" borderId="6" xfId="0" applyNumberFormat="1" applyFont="1" applyBorder="1"/>
    <xf numFmtId="2" fontId="1" fillId="0" borderId="0" xfId="0" applyNumberFormat="1" applyFont="1"/>
    <xf numFmtId="0" fontId="5" fillId="0" borderId="44" xfId="0" applyFont="1" applyBorder="1"/>
    <xf numFmtId="0" fontId="1" fillId="0" borderId="82" xfId="0" applyFont="1" applyBorder="1"/>
    <xf numFmtId="0" fontId="5" fillId="0" borderId="83" xfId="0" applyFont="1" applyBorder="1"/>
    <xf numFmtId="3" fontId="5" fillId="0" borderId="3" xfId="0" applyNumberFormat="1" applyFont="1" applyBorder="1"/>
    <xf numFmtId="165" fontId="11" fillId="5" borderId="0" xfId="0" applyNumberFormat="1" applyFont="1" applyFill="1" applyAlignment="1">
      <alignment vertical="center"/>
    </xf>
    <xf numFmtId="9" fontId="1" fillId="0" borderId="6" xfId="0" applyNumberFormat="1" applyFont="1" applyBorder="1" applyAlignment="1">
      <alignment vertical="center"/>
    </xf>
    <xf numFmtId="165" fontId="11" fillId="3" borderId="0" xfId="0" applyNumberFormat="1" applyFont="1" applyFill="1" applyAlignment="1">
      <alignment vertical="center"/>
    </xf>
    <xf numFmtId="0" fontId="7" fillId="0" borderId="6" xfId="0" applyFont="1" applyBorder="1"/>
    <xf numFmtId="1" fontId="5" fillId="0" borderId="23" xfId="0" applyNumberFormat="1" applyFont="1" applyBorder="1"/>
    <xf numFmtId="1" fontId="5" fillId="3" borderId="4" xfId="0" applyNumberFormat="1" applyFont="1" applyFill="1" applyBorder="1"/>
    <xf numFmtId="165" fontId="5" fillId="0" borderId="0" xfId="0" applyNumberFormat="1" applyFont="1" applyAlignment="1">
      <alignment vertical="center"/>
    </xf>
    <xf numFmtId="3" fontId="19" fillId="0" borderId="6" xfId="0" applyNumberFormat="1" applyFont="1" applyBorder="1" applyAlignment="1">
      <alignment horizontal="right" vertical="center"/>
    </xf>
    <xf numFmtId="0" fontId="62" fillId="0" borderId="0" xfId="0" applyFont="1" applyAlignment="1">
      <alignment vertical="center"/>
    </xf>
    <xf numFmtId="9" fontId="4" fillId="0" borderId="0" xfId="0" applyNumberFormat="1" applyFont="1" applyAlignment="1">
      <alignment vertical="center"/>
    </xf>
    <xf numFmtId="10" fontId="4" fillId="0" borderId="0" xfId="0" applyNumberFormat="1" applyFont="1" applyAlignment="1">
      <alignment vertical="center"/>
    </xf>
    <xf numFmtId="164" fontId="5" fillId="10" borderId="0" xfId="0" applyNumberFormat="1" applyFont="1" applyFill="1" applyAlignment="1">
      <alignment horizontal="right" vertical="center"/>
    </xf>
    <xf numFmtId="0" fontId="12" fillId="0" borderId="72" xfId="0" applyFont="1" applyBorder="1" applyAlignment="1">
      <alignment vertical="center"/>
    </xf>
    <xf numFmtId="0" fontId="12" fillId="0" borderId="73" xfId="0" applyFont="1" applyBorder="1" applyAlignment="1">
      <alignment vertical="center"/>
    </xf>
    <xf numFmtId="177" fontId="5" fillId="0" borderId="0" xfId="0" applyNumberFormat="1" applyFont="1" applyAlignment="1">
      <alignment vertical="center"/>
    </xf>
    <xf numFmtId="10" fontId="4" fillId="0" borderId="0" xfId="0" applyNumberFormat="1" applyFont="1" applyAlignment="1">
      <alignment horizontal="right" vertical="center"/>
    </xf>
    <xf numFmtId="165" fontId="5" fillId="0" borderId="45" xfId="0" applyNumberFormat="1" applyFont="1" applyBorder="1" applyAlignment="1">
      <alignment vertical="center"/>
    </xf>
    <xf numFmtId="0" fontId="63" fillId="0" borderId="0" xfId="1" applyFont="1"/>
    <xf numFmtId="0" fontId="63" fillId="0" borderId="0" xfId="1" quotePrefix="1" applyFont="1"/>
    <xf numFmtId="0" fontId="1" fillId="0" borderId="37" xfId="0" applyFont="1" applyBorder="1" applyAlignment="1">
      <alignment horizontal="left"/>
    </xf>
    <xf numFmtId="0" fontId="1" fillId="0" borderId="34" xfId="0" applyFont="1" applyBorder="1" applyAlignment="1">
      <alignment horizontal="left"/>
    </xf>
    <xf numFmtId="0" fontId="1" fillId="0" borderId="39" xfId="0" applyFont="1" applyBorder="1" applyAlignment="1">
      <alignment horizontal="left"/>
    </xf>
    <xf numFmtId="0" fontId="1" fillId="0" borderId="38" xfId="0" applyFont="1" applyBorder="1" applyAlignment="1">
      <alignment horizontal="left"/>
    </xf>
    <xf numFmtId="0" fontId="3" fillId="2" borderId="0" xfId="0" applyFont="1" applyFill="1" applyAlignment="1">
      <alignment horizontal="center" vertical="center"/>
    </xf>
    <xf numFmtId="0" fontId="12" fillId="12" borderId="41" xfId="0" applyFont="1" applyFill="1" applyBorder="1" applyAlignment="1">
      <alignment horizontal="left" vertical="center"/>
    </xf>
    <xf numFmtId="0" fontId="12" fillId="12" borderId="40" xfId="0" applyFont="1" applyFill="1" applyBorder="1" applyAlignment="1">
      <alignment horizontal="left" vertical="center"/>
    </xf>
    <xf numFmtId="0" fontId="1" fillId="0" borderId="23" xfId="0" applyFont="1" applyBorder="1" applyAlignment="1">
      <alignment horizontal="left" vertical="center" wrapText="1"/>
    </xf>
    <xf numFmtId="0" fontId="1" fillId="0" borderId="4" xfId="0" applyFont="1" applyBorder="1" applyAlignment="1">
      <alignment horizontal="left" vertical="center" wrapText="1"/>
    </xf>
    <xf numFmtId="0" fontId="1" fillId="0" borderId="43" xfId="0" applyFont="1" applyBorder="1" applyAlignment="1">
      <alignment horizontal="left" vertical="center" wrapText="1"/>
    </xf>
    <xf numFmtId="0" fontId="1" fillId="0" borderId="23" xfId="0" applyFont="1" applyBorder="1" applyAlignment="1">
      <alignment horizontal="left" vertical="top" wrapText="1"/>
    </xf>
    <xf numFmtId="0" fontId="1" fillId="0" borderId="4" xfId="0" applyFont="1" applyBorder="1" applyAlignment="1">
      <alignment horizontal="left" vertical="top" wrapText="1"/>
    </xf>
    <xf numFmtId="0" fontId="1" fillId="0" borderId="43" xfId="0" applyFont="1" applyBorder="1" applyAlignment="1">
      <alignment horizontal="left" vertical="top" wrapText="1"/>
    </xf>
    <xf numFmtId="173" fontId="18" fillId="0" borderId="0" xfId="0" applyNumberFormat="1" applyFont="1" applyAlignment="1">
      <alignment horizontal="center" vertical="center"/>
    </xf>
    <xf numFmtId="0" fontId="16" fillId="0" borderId="70" xfId="0" applyFont="1" applyBorder="1" applyAlignment="1">
      <alignment horizontal="left" vertical="center"/>
    </xf>
    <xf numFmtId="0" fontId="16" fillId="0" borderId="71" xfId="0" applyFont="1" applyBorder="1" applyAlignment="1">
      <alignment horizontal="left" vertical="center"/>
    </xf>
    <xf numFmtId="0" fontId="1" fillId="0" borderId="69" xfId="0" applyFont="1" applyBorder="1" applyAlignment="1">
      <alignment horizontal="left" vertical="center" wrapText="1"/>
    </xf>
    <xf numFmtId="0" fontId="10" fillId="0" borderId="69" xfId="0" applyFont="1" applyBorder="1" applyAlignment="1">
      <alignment horizontal="left" vertical="center" wrapText="1"/>
    </xf>
    <xf numFmtId="0" fontId="16" fillId="0" borderId="84" xfId="0" applyFont="1" applyBorder="1" applyAlignment="1">
      <alignment horizontal="left" vertical="center"/>
    </xf>
    <xf numFmtId="0" fontId="16" fillId="0" borderId="85" xfId="0" applyFont="1" applyBorder="1" applyAlignment="1">
      <alignment horizontal="left" vertical="center"/>
    </xf>
    <xf numFmtId="0" fontId="16" fillId="0" borderId="86" xfId="0" applyFont="1" applyBorder="1" applyAlignment="1">
      <alignment horizontal="left" vertical="center"/>
    </xf>
    <xf numFmtId="0" fontId="36" fillId="0" borderId="25" xfId="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173" fontId="1" fillId="0" borderId="25" xfId="0" applyNumberFormat="1" applyFont="1" applyBorder="1" applyAlignment="1">
      <alignment horizontal="center"/>
    </xf>
    <xf numFmtId="173" fontId="1" fillId="0" borderId="26" xfId="0" applyNumberFormat="1" applyFont="1" applyBorder="1" applyAlignment="1">
      <alignment horizontal="center"/>
    </xf>
    <xf numFmtId="173" fontId="1" fillId="0" borderId="27" xfId="0" applyNumberFormat="1" applyFont="1" applyBorder="1" applyAlignment="1">
      <alignment horizontal="center"/>
    </xf>
    <xf numFmtId="0" fontId="15" fillId="2" borderId="19" xfId="0" applyFont="1" applyFill="1" applyBorder="1" applyAlignment="1">
      <alignment horizontal="center"/>
    </xf>
    <xf numFmtId="0" fontId="15" fillId="2" borderId="21" xfId="0" applyFont="1" applyFill="1" applyBorder="1" applyAlignment="1">
      <alignment horizontal="center"/>
    </xf>
    <xf numFmtId="0" fontId="15" fillId="2" borderId="20" xfId="0" applyFont="1" applyFill="1" applyBorder="1" applyAlignment="1">
      <alignment horizontal="center"/>
    </xf>
    <xf numFmtId="0" fontId="15" fillId="2" borderId="12" xfId="0" applyFont="1" applyFill="1" applyBorder="1" applyAlignment="1">
      <alignment horizontal="center"/>
    </xf>
    <xf numFmtId="0" fontId="15" fillId="2" borderId="14" xfId="0" applyFont="1" applyFill="1" applyBorder="1" applyAlignment="1">
      <alignment horizontal="center"/>
    </xf>
    <xf numFmtId="0" fontId="15" fillId="2" borderId="13" xfId="0" applyFont="1" applyFill="1" applyBorder="1" applyAlignment="1">
      <alignment horizontal="center"/>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5" xfId="0" applyFont="1" applyBorder="1" applyAlignment="1">
      <alignment horizontal="center" vertical="center"/>
    </xf>
    <xf numFmtId="0" fontId="18" fillId="0" borderId="26" xfId="0" applyFont="1" applyBorder="1" applyAlignment="1">
      <alignment horizontal="center" vertical="center"/>
    </xf>
    <xf numFmtId="0" fontId="18" fillId="0" borderId="27" xfId="0" applyFont="1" applyBorder="1" applyAlignment="1">
      <alignment horizontal="center" vertical="center"/>
    </xf>
    <xf numFmtId="0" fontId="10" fillId="0" borderId="23" xfId="0" applyFont="1" applyBorder="1" applyAlignment="1">
      <alignment horizontal="left" vertical="center" wrapText="1"/>
    </xf>
    <xf numFmtId="0" fontId="10" fillId="0" borderId="4" xfId="0" applyFont="1" applyBorder="1" applyAlignment="1">
      <alignment horizontal="left" vertical="center" wrapText="1"/>
    </xf>
    <xf numFmtId="0" fontId="10" fillId="0" borderId="43" xfId="0" applyFont="1" applyBorder="1" applyAlignment="1">
      <alignment horizontal="left" vertical="center" wrapText="1"/>
    </xf>
    <xf numFmtId="0" fontId="1" fillId="0" borderId="79" xfId="0" applyFont="1" applyBorder="1" applyAlignment="1">
      <alignment horizontal="left" vertical="center" wrapText="1"/>
    </xf>
    <xf numFmtId="0" fontId="1" fillId="0" borderId="80" xfId="0" applyFont="1" applyBorder="1" applyAlignment="1">
      <alignment horizontal="left" vertical="center" wrapText="1"/>
    </xf>
    <xf numFmtId="0" fontId="1" fillId="0" borderId="81" xfId="0" applyFont="1" applyBorder="1" applyAlignment="1">
      <alignment horizontal="left" vertical="center" wrapText="1"/>
    </xf>
    <xf numFmtId="0" fontId="1" fillId="0" borderId="66" xfId="0" applyFont="1" applyBorder="1" applyAlignment="1">
      <alignment horizontal="left" vertical="center"/>
    </xf>
    <xf numFmtId="0" fontId="1" fillId="0" borderId="67" xfId="0" applyFont="1" applyBorder="1" applyAlignment="1">
      <alignment horizontal="left" vertical="center"/>
    </xf>
    <xf numFmtId="0" fontId="1" fillId="0" borderId="68" xfId="0" applyFont="1" applyBorder="1" applyAlignment="1">
      <alignment horizontal="left" vertical="center"/>
    </xf>
    <xf numFmtId="0" fontId="1" fillId="0" borderId="23" xfId="0" applyFont="1" applyBorder="1" applyAlignment="1">
      <alignment horizontal="left" vertical="center"/>
    </xf>
    <xf numFmtId="0" fontId="1" fillId="0" borderId="4" xfId="0" applyFont="1" applyBorder="1" applyAlignment="1">
      <alignment horizontal="left" vertical="center"/>
    </xf>
    <xf numFmtId="0" fontId="1" fillId="0" borderId="43" xfId="0" applyFont="1" applyBorder="1" applyAlignment="1">
      <alignment horizontal="left" vertical="center"/>
    </xf>
    <xf numFmtId="0" fontId="1" fillId="0" borderId="23" xfId="0" applyFont="1" applyBorder="1" applyAlignment="1">
      <alignment vertical="center" wrapText="1"/>
    </xf>
    <xf numFmtId="0" fontId="1" fillId="0" borderId="4" xfId="0" applyFont="1" applyBorder="1" applyAlignment="1">
      <alignment vertical="center" wrapText="1"/>
    </xf>
    <xf numFmtId="0" fontId="1" fillId="0" borderId="43" xfId="0" applyFont="1" applyBorder="1" applyAlignment="1">
      <alignment vertical="center" wrapText="1"/>
    </xf>
    <xf numFmtId="0" fontId="1" fillId="0" borderId="10" xfId="0" applyFont="1" applyBorder="1" applyAlignment="1">
      <alignment horizontal="left" vertical="center" wrapText="1"/>
    </xf>
    <xf numFmtId="0" fontId="1" fillId="0" borderId="4" xfId="0" applyFont="1" applyBorder="1" applyAlignment="1">
      <alignment horizontal="left" vertical="top"/>
    </xf>
    <xf numFmtId="0" fontId="1" fillId="0" borderId="43" xfId="0" applyFont="1" applyBorder="1" applyAlignment="1">
      <alignment horizontal="left" vertical="top"/>
    </xf>
    <xf numFmtId="0" fontId="10" fillId="0" borderId="0" xfId="0" applyFont="1" applyAlignment="1">
      <alignment horizontal="left" vertical="center" wrapText="1"/>
    </xf>
    <xf numFmtId="0" fontId="1" fillId="0" borderId="0" xfId="0" applyFont="1" applyAlignment="1">
      <alignment horizontal="left" vertical="center" wrapText="1"/>
    </xf>
    <xf numFmtId="168" fontId="1" fillId="12" borderId="0" xfId="0" applyNumberFormat="1" applyFont="1" applyFill="1" applyAlignment="1">
      <alignment horizontal="left" vertical="center" wrapText="1"/>
    </xf>
    <xf numFmtId="0" fontId="1" fillId="0" borderId="10" xfId="0" applyFont="1" applyBorder="1" applyAlignment="1">
      <alignment horizontal="left" wrapText="1"/>
    </xf>
    <xf numFmtId="0" fontId="1" fillId="0" borderId="23" xfId="0" applyFont="1" applyBorder="1" applyAlignment="1">
      <alignment horizontal="left" wrapText="1"/>
    </xf>
    <xf numFmtId="0" fontId="1" fillId="0" borderId="4" xfId="0" applyFont="1" applyBorder="1" applyAlignment="1">
      <alignment horizontal="left" wrapText="1"/>
    </xf>
    <xf numFmtId="0" fontId="1" fillId="0" borderId="43" xfId="0" applyFont="1" applyBorder="1" applyAlignment="1">
      <alignment horizontal="left" wrapText="1"/>
    </xf>
    <xf numFmtId="0" fontId="9" fillId="2" borderId="24" xfId="0" applyFont="1" applyFill="1" applyBorder="1" applyAlignment="1">
      <alignment horizontal="center" vertical="center"/>
    </xf>
    <xf numFmtId="0" fontId="9" fillId="2" borderId="0" xfId="0" applyFont="1" applyFill="1" applyAlignment="1">
      <alignment horizontal="center" vertical="center"/>
    </xf>
    <xf numFmtId="0" fontId="3" fillId="2" borderId="0" xfId="0" applyFont="1" applyFill="1" applyAlignment="1">
      <alignment horizontal="center"/>
    </xf>
    <xf numFmtId="0" fontId="45" fillId="0" borderId="0" xfId="0" applyFont="1" applyAlignment="1">
      <alignment horizontal="center" vertical="center" textRotation="180"/>
    </xf>
    <xf numFmtId="0" fontId="24" fillId="2" borderId="31" xfId="0" applyFont="1" applyFill="1" applyBorder="1" applyAlignment="1">
      <alignment horizontal="center" vertical="center"/>
    </xf>
    <xf numFmtId="0" fontId="24" fillId="2" borderId="0" xfId="0" applyFont="1" applyFill="1" applyAlignment="1">
      <alignment horizontal="center" vertical="center"/>
    </xf>
    <xf numFmtId="0" fontId="26" fillId="2" borderId="35" xfId="0" applyFont="1" applyFill="1" applyBorder="1" applyAlignment="1">
      <alignment horizontal="center" vertical="center"/>
    </xf>
    <xf numFmtId="0" fontId="26" fillId="2" borderId="0" xfId="0" applyFont="1" applyFill="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left" vertical="top" wrapText="1"/>
    </xf>
    <xf numFmtId="0" fontId="10" fillId="0" borderId="10" xfId="0" applyFont="1" applyBorder="1" applyAlignment="1">
      <alignment horizontal="left" vertical="center" wrapText="1"/>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8" xfId="0" applyFont="1" applyBorder="1" applyAlignment="1">
      <alignment horizontal="center" vertical="center"/>
    </xf>
    <xf numFmtId="0" fontId="21" fillId="2" borderId="0" xfId="0" applyFont="1" applyFill="1" applyAlignment="1">
      <alignment horizontal="center" vertical="center"/>
    </xf>
    <xf numFmtId="0" fontId="21" fillId="2" borderId="0" xfId="0" applyFont="1" applyFill="1" applyAlignment="1">
      <alignment horizontal="left" vertical="center"/>
    </xf>
    <xf numFmtId="0" fontId="42" fillId="13" borderId="0" xfId="0" applyFont="1" applyFill="1" applyAlignment="1">
      <alignment horizontal="center" vertical="center"/>
    </xf>
    <xf numFmtId="0" fontId="42" fillId="1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Valuation Summary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900481189851273E-2"/>
          <c:y val="0.17171296296296298"/>
          <c:w val="0.88454396325459317"/>
          <c:h val="0.61498432487605714"/>
        </c:manualLayout>
      </c:layout>
      <c:stockChart>
        <c:ser>
          <c:idx val="0"/>
          <c:order val="0"/>
          <c:tx>
            <c:strRef>
              <c:f>Summary!$I$10</c:f>
              <c:strCache>
                <c:ptCount val="1"/>
                <c:pt idx="0">
                  <c:v>High </c:v>
                </c:pt>
              </c:strCache>
            </c:strRef>
          </c:tx>
          <c:spPr>
            <a:ln w="25400" cap="rnd">
              <a:noFill/>
              <a:round/>
            </a:ln>
            <a:effectLst>
              <a:outerShdw blurRad="57150" dist="19050" dir="5400000" algn="ctr" rotWithShape="0">
                <a:srgbClr val="000000">
                  <a:alpha val="63000"/>
                </a:srgbClr>
              </a:outerShdw>
            </a:effectLst>
          </c:spPr>
          <c:marker>
            <c:symbol val="none"/>
          </c:marker>
          <c:dLbls>
            <c:delete val="1"/>
          </c:dLbls>
          <c:cat>
            <c:strRef>
              <c:f>Summary!$J$9:$M$9</c:f>
              <c:strCache>
                <c:ptCount val="4"/>
                <c:pt idx="0">
                  <c:v>Comps</c:v>
                </c:pt>
                <c:pt idx="1">
                  <c:v>DCF</c:v>
                </c:pt>
                <c:pt idx="2">
                  <c:v>52 week hi/lo</c:v>
                </c:pt>
                <c:pt idx="3">
                  <c:v>Consensus</c:v>
                </c:pt>
              </c:strCache>
            </c:strRef>
          </c:cat>
          <c:val>
            <c:numRef>
              <c:f>Summary!$J$10:$M$10</c:f>
              <c:numCache>
                <c:formatCode>0</c:formatCode>
                <c:ptCount val="4"/>
                <c:pt idx="0" formatCode="#,##0_);\(#,##0\)">
                  <c:v>689.95670230879784</c:v>
                </c:pt>
                <c:pt idx="1">
                  <c:v>53</c:v>
                </c:pt>
                <c:pt idx="2">
                  <c:v>528</c:v>
                </c:pt>
                <c:pt idx="3" formatCode="#,##0_);\(#,##0\)">
                  <c:v>507</c:v>
                </c:pt>
              </c:numCache>
            </c:numRef>
          </c:val>
          <c:smooth val="0"/>
          <c:extLst>
            <c:ext xmlns:c16="http://schemas.microsoft.com/office/drawing/2014/chart" uri="{C3380CC4-5D6E-409C-BE32-E72D297353CC}">
              <c16:uniqueId val="{00000000-394B-4227-A9C8-DD754481DD3F}"/>
            </c:ext>
          </c:extLst>
        </c:ser>
        <c:ser>
          <c:idx val="1"/>
          <c:order val="1"/>
          <c:tx>
            <c:strRef>
              <c:f>Summary!$I$11</c:f>
              <c:strCache>
                <c:ptCount val="1"/>
                <c:pt idx="0">
                  <c:v>High </c:v>
                </c:pt>
              </c:strCache>
            </c:strRef>
          </c:tx>
          <c:spPr>
            <a:ln w="25400" cap="rnd">
              <a:no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Summary!$J$9:$M$9</c:f>
              <c:strCache>
                <c:ptCount val="4"/>
                <c:pt idx="0">
                  <c:v>Comps</c:v>
                </c:pt>
                <c:pt idx="1">
                  <c:v>DCF</c:v>
                </c:pt>
                <c:pt idx="2">
                  <c:v>52 week hi/lo</c:v>
                </c:pt>
                <c:pt idx="3">
                  <c:v>Consensus</c:v>
                </c:pt>
              </c:strCache>
            </c:strRef>
          </c:cat>
          <c:val>
            <c:numRef>
              <c:f>Summary!$J$11:$M$11</c:f>
              <c:numCache>
                <c:formatCode>0</c:formatCode>
                <c:ptCount val="4"/>
                <c:pt idx="0" formatCode="#,##0_);\(#,##0\)">
                  <c:v>689.95670230879784</c:v>
                </c:pt>
                <c:pt idx="1">
                  <c:v>53</c:v>
                </c:pt>
                <c:pt idx="2">
                  <c:v>528</c:v>
                </c:pt>
                <c:pt idx="3" formatCode="#,##0_);\(#,##0\)">
                  <c:v>507</c:v>
                </c:pt>
              </c:numCache>
            </c:numRef>
          </c:val>
          <c:smooth val="0"/>
          <c:extLst>
            <c:ext xmlns:c16="http://schemas.microsoft.com/office/drawing/2014/chart" uri="{C3380CC4-5D6E-409C-BE32-E72D297353CC}">
              <c16:uniqueId val="{00000001-394B-4227-A9C8-DD754481DD3F}"/>
            </c:ext>
          </c:extLst>
        </c:ser>
        <c:ser>
          <c:idx val="2"/>
          <c:order val="2"/>
          <c:tx>
            <c:strRef>
              <c:f>Summary!$I$12</c:f>
              <c:strCache>
                <c:ptCount val="1"/>
                <c:pt idx="0">
                  <c:v>Low</c:v>
                </c:pt>
              </c:strCache>
            </c:strRef>
          </c:tx>
          <c:spPr>
            <a:ln w="25400" cap="rnd">
              <a:noFill/>
              <a:round/>
            </a:ln>
            <a:effectLst>
              <a:outerShdw blurRad="57150" dist="19050" dir="5400000" algn="ctr" rotWithShape="0">
                <a:srgbClr val="000000">
                  <a:alpha val="63000"/>
                </a:srgbClr>
              </a:outerShdw>
            </a:effectLst>
          </c:spPr>
          <c:marker>
            <c:symbol val="none"/>
          </c:marker>
          <c:dLbls>
            <c:delete val="1"/>
          </c:dLbls>
          <c:cat>
            <c:strRef>
              <c:f>Summary!$J$9:$M$9</c:f>
              <c:strCache>
                <c:ptCount val="4"/>
                <c:pt idx="0">
                  <c:v>Comps</c:v>
                </c:pt>
                <c:pt idx="1">
                  <c:v>DCF</c:v>
                </c:pt>
                <c:pt idx="2">
                  <c:v>52 week hi/lo</c:v>
                </c:pt>
                <c:pt idx="3">
                  <c:v>Consensus</c:v>
                </c:pt>
              </c:strCache>
            </c:strRef>
          </c:cat>
          <c:val>
            <c:numRef>
              <c:f>Summary!$J$12:$M$12</c:f>
              <c:numCache>
                <c:formatCode>0</c:formatCode>
                <c:ptCount val="4"/>
                <c:pt idx="0" formatCode="#,##0_);\(#,##0\)">
                  <c:v>49.696735459662293</c:v>
                </c:pt>
                <c:pt idx="1">
                  <c:v>46</c:v>
                </c:pt>
                <c:pt idx="2">
                  <c:v>209</c:v>
                </c:pt>
                <c:pt idx="3" formatCode="#,##0_);\(#,##0\)">
                  <c:v>361</c:v>
                </c:pt>
              </c:numCache>
            </c:numRef>
          </c:val>
          <c:smooth val="0"/>
          <c:extLst>
            <c:ext xmlns:c16="http://schemas.microsoft.com/office/drawing/2014/chart" uri="{C3380CC4-5D6E-409C-BE32-E72D297353CC}">
              <c16:uniqueId val="{00000002-394B-4227-A9C8-DD754481DD3F}"/>
            </c:ext>
          </c:extLst>
        </c:ser>
        <c:ser>
          <c:idx val="3"/>
          <c:order val="3"/>
          <c:tx>
            <c:strRef>
              <c:f>Summary!$I$13</c:f>
              <c:strCache>
                <c:ptCount val="1"/>
                <c:pt idx="0">
                  <c:v>Low</c:v>
                </c:pt>
              </c:strCache>
            </c:strRef>
          </c:tx>
          <c:spPr>
            <a:ln w="25400" cap="rnd">
              <a:noFill/>
              <a:round/>
            </a:ln>
            <a:effectLst>
              <a:outerShdw blurRad="57150" dist="19050" dir="5400000" algn="ctr" rotWithShape="0">
                <a:srgbClr val="000000">
                  <a:alpha val="63000"/>
                </a:srgbClr>
              </a:outerShdw>
            </a:effectLst>
          </c:spPr>
          <c:marker>
            <c:symbol val="none"/>
          </c:marker>
          <c:dLbls>
            <c:dLbl>
              <c:idx val="1"/>
              <c:layout>
                <c:manualLayout>
                  <c:x val="-2.3998529952223447E-2"/>
                  <c:y val="2.29986527985808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3C1-4B08-874D-7C065E3312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1"/>
                      </a:solidFill>
                    </a:ln>
                    <a:solidFill>
                      <a:sysClr val="windowText" lastClr="000000"/>
                    </a:solidFill>
                    <a:latin typeface="Cambria" panose="02040503050406030204" pitchFamily="18" charset="0"/>
                    <a:ea typeface="Cambria" panose="02040503050406030204" pitchFamily="18" charset="0"/>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Summary!$J$9:$M$9</c:f>
              <c:strCache>
                <c:ptCount val="4"/>
                <c:pt idx="0">
                  <c:v>Comps</c:v>
                </c:pt>
                <c:pt idx="1">
                  <c:v>DCF</c:v>
                </c:pt>
                <c:pt idx="2">
                  <c:v>52 week hi/lo</c:v>
                </c:pt>
                <c:pt idx="3">
                  <c:v>Consensus</c:v>
                </c:pt>
              </c:strCache>
            </c:strRef>
          </c:cat>
          <c:val>
            <c:numRef>
              <c:f>Summary!$J$13:$M$13</c:f>
              <c:numCache>
                <c:formatCode>0</c:formatCode>
                <c:ptCount val="4"/>
                <c:pt idx="0" formatCode="#,##0_);\(#,##0\)">
                  <c:v>49.696735459662293</c:v>
                </c:pt>
                <c:pt idx="1">
                  <c:v>46</c:v>
                </c:pt>
                <c:pt idx="2">
                  <c:v>209</c:v>
                </c:pt>
                <c:pt idx="3" formatCode="#,##0_);\(#,##0\)">
                  <c:v>361</c:v>
                </c:pt>
              </c:numCache>
            </c:numRef>
          </c:val>
          <c:smooth val="0"/>
          <c:extLst>
            <c:ext xmlns:c16="http://schemas.microsoft.com/office/drawing/2014/chart" uri="{C3380CC4-5D6E-409C-BE32-E72D297353CC}">
              <c16:uniqueId val="{00000003-394B-4227-A9C8-DD754481DD3F}"/>
            </c:ext>
          </c:extLst>
        </c:ser>
        <c:dLbls>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a:solidFill>
                  <a:schemeClr val="tx1">
                    <a:lumMod val="15000"/>
                    <a:lumOff val="85000"/>
                  </a:schemeClr>
                </a:solidFill>
              </a:ln>
              <a:effectLst/>
            </c:spPr>
          </c:upBars>
          <c:downBars>
            <c:spPr>
              <a:solidFill>
                <a:schemeClr val="accent1">
                  <a:lumMod val="50000"/>
                </a:schemeClr>
              </a:solidFill>
              <a:ln w="9525">
                <a:solidFill>
                  <a:schemeClr val="tx1">
                    <a:lumMod val="65000"/>
                    <a:lumOff val="35000"/>
                  </a:schemeClr>
                </a:solidFill>
              </a:ln>
              <a:effectLst/>
            </c:spPr>
          </c:downBars>
        </c:upDownBars>
        <c:axId val="91490959"/>
        <c:axId val="91487119"/>
      </c:stockChart>
      <c:dateAx>
        <c:axId val="914909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91487119"/>
        <c:crosses val="autoZero"/>
        <c:auto val="0"/>
        <c:lblOffset val="100"/>
        <c:baseTimeUnit val="days"/>
      </c:dateAx>
      <c:valAx>
        <c:axId val="91487119"/>
        <c:scaling>
          <c:orientation val="minMax"/>
          <c:max val="850"/>
          <c:min val="50"/>
        </c:scaling>
        <c:delete val="0"/>
        <c:axPos val="l"/>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90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79514</xdr:colOff>
      <xdr:row>0</xdr:row>
      <xdr:rowOff>0</xdr:rowOff>
    </xdr:from>
    <xdr:to>
      <xdr:col>4</xdr:col>
      <xdr:colOff>352508</xdr:colOff>
      <xdr:row>5</xdr:row>
      <xdr:rowOff>21203</xdr:rowOff>
    </xdr:to>
    <xdr:pic>
      <xdr:nvPicPr>
        <xdr:cNvPr id="2" name="Picture 1">
          <a:extLst>
            <a:ext uri="{FF2B5EF4-FFF2-40B4-BE49-F238E27FC236}">
              <a16:creationId xmlns:a16="http://schemas.microsoft.com/office/drawing/2014/main" id="{FCB57031-AFF4-4A43-88CC-09390410B6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044"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601980</xdr:colOff>
      <xdr:row>0</xdr:row>
      <xdr:rowOff>0</xdr:rowOff>
    </xdr:from>
    <xdr:to>
      <xdr:col>1</xdr:col>
      <xdr:colOff>967740</xdr:colOff>
      <xdr:row>5</xdr:row>
      <xdr:rowOff>60960</xdr:rowOff>
    </xdr:to>
    <xdr:pic>
      <xdr:nvPicPr>
        <xdr:cNvPr id="2" name="Picture 1">
          <a:extLst>
            <a:ext uri="{FF2B5EF4-FFF2-40B4-BE49-F238E27FC236}">
              <a16:creationId xmlns:a16="http://schemas.microsoft.com/office/drawing/2014/main" id="{0EFF6D02-59DA-47A0-A114-785B75EC42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198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101135</xdr:colOff>
      <xdr:row>2</xdr:row>
      <xdr:rowOff>137160</xdr:rowOff>
    </xdr:from>
    <xdr:to>
      <xdr:col>16</xdr:col>
      <xdr:colOff>385179</xdr:colOff>
      <xdr:row>11</xdr:row>
      <xdr:rowOff>144780</xdr:rowOff>
    </xdr:to>
    <xdr:pic>
      <xdr:nvPicPr>
        <xdr:cNvPr id="4" name="Picture 3">
          <a:extLst>
            <a:ext uri="{FF2B5EF4-FFF2-40B4-BE49-F238E27FC236}">
              <a16:creationId xmlns:a16="http://schemas.microsoft.com/office/drawing/2014/main" id="{BD4474BC-B0D0-258D-A19D-F6377CE67C9A}"/>
            </a:ext>
          </a:extLst>
        </xdr:cNvPr>
        <xdr:cNvPicPr>
          <a:picLocks noChangeAspect="1"/>
        </xdr:cNvPicPr>
      </xdr:nvPicPr>
      <xdr:blipFill>
        <a:blip xmlns:r="http://schemas.openxmlformats.org/officeDocument/2006/relationships" r:embed="rId2"/>
        <a:stretch>
          <a:fillRect/>
        </a:stretch>
      </xdr:blipFill>
      <xdr:spPr>
        <a:xfrm>
          <a:off x="7683035" y="502920"/>
          <a:ext cx="6105724" cy="27432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79375</xdr:colOff>
      <xdr:row>0</xdr:row>
      <xdr:rowOff>0</xdr:rowOff>
    </xdr:from>
    <xdr:to>
      <xdr:col>3</xdr:col>
      <xdr:colOff>959485</xdr:colOff>
      <xdr:row>5</xdr:row>
      <xdr:rowOff>30797</xdr:rowOff>
    </xdr:to>
    <xdr:pic>
      <xdr:nvPicPr>
        <xdr:cNvPr id="2" name="Picture 1">
          <a:extLst>
            <a:ext uri="{FF2B5EF4-FFF2-40B4-BE49-F238E27FC236}">
              <a16:creationId xmlns:a16="http://schemas.microsoft.com/office/drawing/2014/main" id="{C8E31D95-0BF7-4DA5-A3FF-EB2FDBB5E5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875"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30480</xdr:rowOff>
    </xdr:to>
    <xdr:pic>
      <xdr:nvPicPr>
        <xdr:cNvPr id="2" name="Picture 1">
          <a:extLst>
            <a:ext uri="{FF2B5EF4-FFF2-40B4-BE49-F238E27FC236}">
              <a16:creationId xmlns:a16="http://schemas.microsoft.com/office/drawing/2014/main" id="{C7CE34EC-FFEB-4E2C-8096-E5582BCAAE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83820</xdr:colOff>
      <xdr:row>0</xdr:row>
      <xdr:rowOff>0</xdr:rowOff>
    </xdr:from>
    <xdr:to>
      <xdr:col>3</xdr:col>
      <xdr:colOff>967740</xdr:colOff>
      <xdr:row>5</xdr:row>
      <xdr:rowOff>30480</xdr:rowOff>
    </xdr:to>
    <xdr:pic>
      <xdr:nvPicPr>
        <xdr:cNvPr id="2" name="Picture 1">
          <a:extLst>
            <a:ext uri="{FF2B5EF4-FFF2-40B4-BE49-F238E27FC236}">
              <a16:creationId xmlns:a16="http://schemas.microsoft.com/office/drawing/2014/main" id="{79E3E195-0065-5642-7A5D-8E056D4020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670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30480</xdr:rowOff>
    </xdr:to>
    <xdr:pic>
      <xdr:nvPicPr>
        <xdr:cNvPr id="5" name="Picture 4">
          <a:extLst>
            <a:ext uri="{FF2B5EF4-FFF2-40B4-BE49-F238E27FC236}">
              <a16:creationId xmlns:a16="http://schemas.microsoft.com/office/drawing/2014/main" id="{86B60963-C037-47FF-B4FB-F84D1A947A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60960</xdr:rowOff>
    </xdr:to>
    <xdr:pic>
      <xdr:nvPicPr>
        <xdr:cNvPr id="2" name="Picture 1">
          <a:extLst>
            <a:ext uri="{FF2B5EF4-FFF2-40B4-BE49-F238E27FC236}">
              <a16:creationId xmlns:a16="http://schemas.microsoft.com/office/drawing/2014/main" id="{108FFA49-0E1F-4B78-B4FA-C561EBB9DD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60960</xdr:rowOff>
    </xdr:to>
    <xdr:pic>
      <xdr:nvPicPr>
        <xdr:cNvPr id="2" name="Picture 1">
          <a:extLst>
            <a:ext uri="{FF2B5EF4-FFF2-40B4-BE49-F238E27FC236}">
              <a16:creationId xmlns:a16="http://schemas.microsoft.com/office/drawing/2014/main" id="{F406A690-6129-4C9B-878A-B05E0437CC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3</xdr:col>
      <xdr:colOff>960120</xdr:colOff>
      <xdr:row>5</xdr:row>
      <xdr:rowOff>30480</xdr:rowOff>
    </xdr:to>
    <xdr:pic>
      <xdr:nvPicPr>
        <xdr:cNvPr id="2" name="Picture 1">
          <a:extLst>
            <a:ext uri="{FF2B5EF4-FFF2-40B4-BE49-F238E27FC236}">
              <a16:creationId xmlns:a16="http://schemas.microsoft.com/office/drawing/2014/main" id="{2B4D1B5E-B4BD-42BB-803E-06474BD90A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84667</xdr:colOff>
      <xdr:row>0</xdr:row>
      <xdr:rowOff>1</xdr:rowOff>
    </xdr:from>
    <xdr:to>
      <xdr:col>3</xdr:col>
      <xdr:colOff>967663</xdr:colOff>
      <xdr:row>5</xdr:row>
      <xdr:rowOff>20937</xdr:rowOff>
    </xdr:to>
    <xdr:pic>
      <xdr:nvPicPr>
        <xdr:cNvPr id="3" name="Picture 2">
          <a:extLst>
            <a:ext uri="{FF2B5EF4-FFF2-40B4-BE49-F238E27FC236}">
              <a16:creationId xmlns:a16="http://schemas.microsoft.com/office/drawing/2014/main" id="{2AFA34DA-37D7-45AD-919B-EFABA26DEA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9394" y="1"/>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60960</xdr:rowOff>
    </xdr:to>
    <xdr:pic>
      <xdr:nvPicPr>
        <xdr:cNvPr id="2" name="Picture 1">
          <a:extLst>
            <a:ext uri="{FF2B5EF4-FFF2-40B4-BE49-F238E27FC236}">
              <a16:creationId xmlns:a16="http://schemas.microsoft.com/office/drawing/2014/main" id="{74491CD2-168A-4A4E-816D-2AC14842F0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60960</xdr:rowOff>
    </xdr:to>
    <xdr:pic>
      <xdr:nvPicPr>
        <xdr:cNvPr id="2" name="Picture 1">
          <a:extLst>
            <a:ext uri="{FF2B5EF4-FFF2-40B4-BE49-F238E27FC236}">
              <a16:creationId xmlns:a16="http://schemas.microsoft.com/office/drawing/2014/main" id="{A8E9C6A7-0A15-4046-9E31-9851D966B4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3</xdr:col>
      <xdr:colOff>960120</xdr:colOff>
      <xdr:row>5</xdr:row>
      <xdr:rowOff>30480</xdr:rowOff>
    </xdr:to>
    <xdr:pic>
      <xdr:nvPicPr>
        <xdr:cNvPr id="2" name="Picture 1">
          <a:extLst>
            <a:ext uri="{FF2B5EF4-FFF2-40B4-BE49-F238E27FC236}">
              <a16:creationId xmlns:a16="http://schemas.microsoft.com/office/drawing/2014/main" id="{62A58531-599B-4C0C-ADE9-20A166A921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30480</xdr:rowOff>
    </xdr:to>
    <xdr:pic>
      <xdr:nvPicPr>
        <xdr:cNvPr id="2" name="Picture 1">
          <a:extLst>
            <a:ext uri="{FF2B5EF4-FFF2-40B4-BE49-F238E27FC236}">
              <a16:creationId xmlns:a16="http://schemas.microsoft.com/office/drawing/2014/main" id="{4F321F00-75D2-4A5F-BF4D-B9E618F839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30480</xdr:rowOff>
    </xdr:to>
    <xdr:pic>
      <xdr:nvPicPr>
        <xdr:cNvPr id="2" name="Picture 1">
          <a:extLst>
            <a:ext uri="{FF2B5EF4-FFF2-40B4-BE49-F238E27FC236}">
              <a16:creationId xmlns:a16="http://schemas.microsoft.com/office/drawing/2014/main" id="{F87573D0-91C6-48C5-97FB-C8A60118463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3</xdr:col>
      <xdr:colOff>960120</xdr:colOff>
      <xdr:row>5</xdr:row>
      <xdr:rowOff>30480</xdr:rowOff>
    </xdr:to>
    <xdr:pic>
      <xdr:nvPicPr>
        <xdr:cNvPr id="2" name="Picture 1">
          <a:extLst>
            <a:ext uri="{FF2B5EF4-FFF2-40B4-BE49-F238E27FC236}">
              <a16:creationId xmlns:a16="http://schemas.microsoft.com/office/drawing/2014/main" id="{C8ED3B3D-6533-4E67-AD8F-E127448FD15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5</xdr:col>
      <xdr:colOff>0</xdr:colOff>
      <xdr:row>5</xdr:row>
      <xdr:rowOff>45720</xdr:rowOff>
    </xdr:to>
    <xdr:pic>
      <xdr:nvPicPr>
        <xdr:cNvPr id="2" name="Picture 1">
          <a:extLst>
            <a:ext uri="{FF2B5EF4-FFF2-40B4-BE49-F238E27FC236}">
              <a16:creationId xmlns:a16="http://schemas.microsoft.com/office/drawing/2014/main" id="{12291E82-9DA4-4B06-BE05-2B7893BE87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68580</xdr:colOff>
      <xdr:row>0</xdr:row>
      <xdr:rowOff>0</xdr:rowOff>
    </xdr:from>
    <xdr:to>
      <xdr:col>3</xdr:col>
      <xdr:colOff>952500</xdr:colOff>
      <xdr:row>5</xdr:row>
      <xdr:rowOff>30480</xdr:rowOff>
    </xdr:to>
    <xdr:pic>
      <xdr:nvPicPr>
        <xdr:cNvPr id="2" name="Picture 1">
          <a:extLst>
            <a:ext uri="{FF2B5EF4-FFF2-40B4-BE49-F238E27FC236}">
              <a16:creationId xmlns:a16="http://schemas.microsoft.com/office/drawing/2014/main" id="{01BCCC62-87A0-4A36-A0BA-629E4A103E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1460" y="0"/>
          <a:ext cx="975360" cy="975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76200</xdr:colOff>
      <xdr:row>0</xdr:row>
      <xdr:rowOff>0</xdr:rowOff>
    </xdr:from>
    <xdr:to>
      <xdr:col>4</xdr:col>
      <xdr:colOff>91440</xdr:colOff>
      <xdr:row>4</xdr:row>
      <xdr:rowOff>182880</xdr:rowOff>
    </xdr:to>
    <xdr:pic>
      <xdr:nvPicPr>
        <xdr:cNvPr id="2" name="Picture 1">
          <a:extLst>
            <a:ext uri="{FF2B5EF4-FFF2-40B4-BE49-F238E27FC236}">
              <a16:creationId xmlns:a16="http://schemas.microsoft.com/office/drawing/2014/main" id="{204EF25E-83CA-47D0-B210-47D7FC1ECA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9080" y="0"/>
          <a:ext cx="922020" cy="92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xdr:col>
      <xdr:colOff>190500</xdr:colOff>
      <xdr:row>17</xdr:row>
      <xdr:rowOff>41910</xdr:rowOff>
    </xdr:from>
    <xdr:to>
      <xdr:col>14</xdr:col>
      <xdr:colOff>525780</xdr:colOff>
      <xdr:row>37</xdr:row>
      <xdr:rowOff>121920</xdr:rowOff>
    </xdr:to>
    <xdr:graphicFrame macro="">
      <xdr:nvGraphicFramePr>
        <xdr:cNvPr id="3" name="Chart 2">
          <a:extLst>
            <a:ext uri="{FF2B5EF4-FFF2-40B4-BE49-F238E27FC236}">
              <a16:creationId xmlns:a16="http://schemas.microsoft.com/office/drawing/2014/main" id="{8BAADF30-81ED-B07A-2CC5-CDB0CA20B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0</xdr:row>
      <xdr:rowOff>7620</xdr:rowOff>
    </xdr:from>
    <xdr:to>
      <xdr:col>4</xdr:col>
      <xdr:colOff>281940</xdr:colOff>
      <xdr:row>5</xdr:row>
      <xdr:rowOff>0</xdr:rowOff>
    </xdr:to>
    <xdr:pic>
      <xdr:nvPicPr>
        <xdr:cNvPr id="4" name="Picture 3">
          <a:extLst>
            <a:ext uri="{FF2B5EF4-FFF2-40B4-BE49-F238E27FC236}">
              <a16:creationId xmlns:a16="http://schemas.microsoft.com/office/drawing/2014/main" id="{44DB8B46-4297-47D3-BAB4-9E4389C31AE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9080" y="7620"/>
          <a:ext cx="906780" cy="906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c:userShapes xmlns:c="http://schemas.openxmlformats.org/drawingml/2006/chart">
  <cdr:relSizeAnchor xmlns:cdr="http://schemas.openxmlformats.org/drawingml/2006/chartDrawing">
    <cdr:from>
      <cdr:x>0.00221</cdr:x>
      <cdr:y>0.59618</cdr:y>
    </cdr:from>
    <cdr:to>
      <cdr:x>1</cdr:x>
      <cdr:y>0.60681</cdr:y>
    </cdr:to>
    <cdr:cxnSp macro="">
      <cdr:nvCxnSpPr>
        <cdr:cNvPr id="3" name="Straight Connector 2">
          <a:extLst xmlns:a="http://schemas.openxmlformats.org/drawingml/2006/main">
            <a:ext uri="{FF2B5EF4-FFF2-40B4-BE49-F238E27FC236}">
              <a16:creationId xmlns:a16="http://schemas.microsoft.com/office/drawing/2014/main" id="{EEA4192E-024A-FFB9-CA05-E3146330D790}"/>
            </a:ext>
          </a:extLst>
        </cdr:cNvPr>
        <cdr:cNvCxnSpPr/>
      </cdr:nvCxnSpPr>
      <cdr:spPr>
        <a:xfrm xmlns:a="http://schemas.openxmlformats.org/drawingml/2006/main" flipV="1">
          <a:off x="15274" y="2137414"/>
          <a:ext cx="6896066" cy="38111"/>
        </a:xfrm>
        <a:prstGeom xmlns:a="http://schemas.openxmlformats.org/drawingml/2006/main" prst="line">
          <a:avLst/>
        </a:prstGeom>
      </cdr:spPr>
      <cdr:style>
        <a:lnRef xmlns:a="http://schemas.openxmlformats.org/drawingml/2006/main" idx="1">
          <a:schemeClr val="accent4"/>
        </a:lnRef>
        <a:fillRef xmlns:a="http://schemas.openxmlformats.org/drawingml/2006/main" idx="0">
          <a:schemeClr val="accent4"/>
        </a:fillRef>
        <a:effectRef xmlns:a="http://schemas.openxmlformats.org/drawingml/2006/main" idx="0">
          <a:schemeClr val="accent4"/>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E9CCF-2A8C-44F4-A06F-656A00A0B50E}">
  <dimension ref="D4:I27"/>
  <sheetViews>
    <sheetView showGridLines="0" tabSelected="1" zoomScale="115" zoomScaleNormal="115" workbookViewId="0">
      <selection activeCell="I20" sqref="I20"/>
    </sheetView>
  </sheetViews>
  <sheetFormatPr defaultRowHeight="14.4" customHeight="1" x14ac:dyDescent="0.3"/>
  <cols>
    <col min="1" max="3" width="1.33203125" customWidth="1"/>
    <col min="9" max="9" width="8.88671875" style="1"/>
  </cols>
  <sheetData>
    <row r="4" spans="4:9" ht="16.95" customHeight="1" x14ac:dyDescent="0.3">
      <c r="D4" s="453" t="s">
        <v>81</v>
      </c>
      <c r="E4" s="453"/>
      <c r="F4" s="453"/>
      <c r="G4" s="453"/>
      <c r="H4" s="453"/>
    </row>
    <row r="5" spans="4:9" ht="14.4" customHeight="1" x14ac:dyDescent="0.3">
      <c r="D5" s="1"/>
      <c r="E5" s="1"/>
      <c r="F5" s="1"/>
      <c r="G5" s="1"/>
      <c r="H5" s="1"/>
    </row>
    <row r="6" spans="4:9" ht="14.4" customHeight="1" x14ac:dyDescent="0.3">
      <c r="D6" s="1"/>
      <c r="E6">
        <v>1</v>
      </c>
      <c r="F6" s="449" t="s">
        <v>34</v>
      </c>
      <c r="G6" s="450"/>
      <c r="H6" s="450"/>
      <c r="I6" s="447" t="s">
        <v>386</v>
      </c>
    </row>
    <row r="7" spans="4:9" ht="14.4" customHeight="1" x14ac:dyDescent="0.3">
      <c r="D7" s="1"/>
      <c r="E7" s="1">
        <f t="shared" ref="E7:E24" si="0">E6+1</f>
        <v>2</v>
      </c>
      <c r="F7" s="449" t="s">
        <v>191</v>
      </c>
      <c r="G7" s="450"/>
      <c r="H7" s="450"/>
      <c r="I7" s="447" t="s">
        <v>386</v>
      </c>
    </row>
    <row r="8" spans="4:9" ht="14.4" customHeight="1" x14ac:dyDescent="0.3">
      <c r="D8" s="1"/>
      <c r="E8" s="1">
        <f t="shared" si="0"/>
        <v>3</v>
      </c>
      <c r="F8" s="449" t="s">
        <v>192</v>
      </c>
      <c r="G8" s="450"/>
      <c r="H8" s="450"/>
      <c r="I8" s="447" t="s">
        <v>386</v>
      </c>
    </row>
    <row r="9" spans="4:9" ht="14.4" customHeight="1" x14ac:dyDescent="0.3">
      <c r="D9" s="1"/>
      <c r="E9" s="1">
        <f t="shared" si="0"/>
        <v>4</v>
      </c>
      <c r="F9" s="449" t="s">
        <v>20</v>
      </c>
      <c r="G9" s="450"/>
      <c r="H9" s="450"/>
      <c r="I9" s="447" t="s">
        <v>386</v>
      </c>
    </row>
    <row r="10" spans="4:9" ht="14.4" customHeight="1" x14ac:dyDescent="0.3">
      <c r="D10" s="1"/>
      <c r="E10" s="1">
        <f t="shared" si="0"/>
        <v>5</v>
      </c>
      <c r="F10" s="449" t="s">
        <v>48</v>
      </c>
      <c r="G10" s="450"/>
      <c r="H10" s="450"/>
      <c r="I10" s="447" t="s">
        <v>386</v>
      </c>
    </row>
    <row r="11" spans="4:9" ht="14.4" customHeight="1" x14ac:dyDescent="0.3">
      <c r="D11" s="1"/>
      <c r="E11" s="1">
        <f t="shared" si="0"/>
        <v>6</v>
      </c>
      <c r="F11" s="449" t="s">
        <v>328</v>
      </c>
      <c r="G11" s="450"/>
      <c r="H11" s="450"/>
      <c r="I11" s="447" t="s">
        <v>386</v>
      </c>
    </row>
    <row r="12" spans="4:9" ht="14.4" customHeight="1" x14ac:dyDescent="0.3">
      <c r="D12" s="1"/>
      <c r="E12" s="1">
        <f t="shared" si="0"/>
        <v>7</v>
      </c>
      <c r="F12" s="449" t="s">
        <v>240</v>
      </c>
      <c r="G12" s="450"/>
      <c r="H12" s="450"/>
      <c r="I12" s="447" t="s">
        <v>386</v>
      </c>
    </row>
    <row r="13" spans="4:9" ht="14.4" customHeight="1" x14ac:dyDescent="0.3">
      <c r="D13" s="1"/>
      <c r="E13" s="1">
        <f t="shared" si="0"/>
        <v>8</v>
      </c>
      <c r="F13" s="449" t="s">
        <v>76</v>
      </c>
      <c r="G13" s="450"/>
      <c r="H13" s="450"/>
      <c r="I13" s="447" t="s">
        <v>386</v>
      </c>
    </row>
    <row r="14" spans="4:9" ht="14.4" customHeight="1" x14ac:dyDescent="0.3">
      <c r="D14" s="1"/>
      <c r="E14" s="1">
        <f t="shared" si="0"/>
        <v>9</v>
      </c>
      <c r="F14" s="449" t="s">
        <v>55</v>
      </c>
      <c r="G14" s="450"/>
      <c r="H14" s="450"/>
      <c r="I14" s="447" t="s">
        <v>386</v>
      </c>
    </row>
    <row r="15" spans="4:9" ht="14.4" customHeight="1" x14ac:dyDescent="0.3">
      <c r="D15" s="1"/>
      <c r="E15" s="1">
        <f t="shared" si="0"/>
        <v>10</v>
      </c>
      <c r="F15" s="449" t="s">
        <v>63</v>
      </c>
      <c r="G15" s="450"/>
      <c r="H15" s="450"/>
      <c r="I15" s="447" t="s">
        <v>386</v>
      </c>
    </row>
    <row r="16" spans="4:9" ht="14.4" customHeight="1" x14ac:dyDescent="0.3">
      <c r="D16" s="1"/>
      <c r="E16" s="1">
        <f t="shared" si="0"/>
        <v>11</v>
      </c>
      <c r="F16" s="449" t="s">
        <v>71</v>
      </c>
      <c r="G16" s="450"/>
      <c r="H16" s="450"/>
      <c r="I16" s="448" t="s">
        <v>386</v>
      </c>
    </row>
    <row r="17" spans="4:9" ht="14.4" customHeight="1" x14ac:dyDescent="0.3">
      <c r="D17" s="1"/>
      <c r="E17" s="1">
        <f t="shared" si="0"/>
        <v>12</v>
      </c>
      <c r="F17" s="449" t="s">
        <v>100</v>
      </c>
      <c r="G17" s="450"/>
      <c r="H17" s="450"/>
      <c r="I17" s="447" t="s">
        <v>386</v>
      </c>
    </row>
    <row r="18" spans="4:9" ht="14.4" customHeight="1" x14ac:dyDescent="0.3">
      <c r="D18" s="1"/>
      <c r="E18" s="1">
        <f t="shared" si="0"/>
        <v>13</v>
      </c>
      <c r="F18" s="449" t="s">
        <v>167</v>
      </c>
      <c r="G18" s="450"/>
      <c r="H18" s="450"/>
      <c r="I18" s="447" t="s">
        <v>386</v>
      </c>
    </row>
    <row r="19" spans="4:9" x14ac:dyDescent="0.3">
      <c r="D19" s="1"/>
      <c r="E19" s="1">
        <f t="shared" si="0"/>
        <v>14</v>
      </c>
      <c r="F19" s="449" t="s">
        <v>84</v>
      </c>
      <c r="G19" s="450"/>
      <c r="H19" s="450"/>
      <c r="I19" s="447" t="s">
        <v>386</v>
      </c>
    </row>
    <row r="20" spans="4:9" x14ac:dyDescent="0.3">
      <c r="D20" s="1"/>
      <c r="E20" s="1">
        <f t="shared" si="0"/>
        <v>15</v>
      </c>
      <c r="F20" s="449" t="s">
        <v>72</v>
      </c>
      <c r="G20" s="450"/>
      <c r="H20" s="450"/>
      <c r="I20" s="447" t="s">
        <v>386</v>
      </c>
    </row>
    <row r="21" spans="4:9" x14ac:dyDescent="0.3">
      <c r="D21" s="1"/>
      <c r="E21" s="1">
        <f t="shared" si="0"/>
        <v>16</v>
      </c>
      <c r="F21" s="449" t="s">
        <v>135</v>
      </c>
      <c r="G21" s="450"/>
      <c r="H21" s="450"/>
      <c r="I21" s="447" t="s">
        <v>386</v>
      </c>
    </row>
    <row r="22" spans="4:9" x14ac:dyDescent="0.3">
      <c r="D22" s="1"/>
      <c r="E22" s="1">
        <f t="shared" si="0"/>
        <v>17</v>
      </c>
      <c r="F22" s="449" t="s">
        <v>186</v>
      </c>
      <c r="G22" s="450"/>
      <c r="H22" s="450"/>
      <c r="I22" s="447" t="s">
        <v>386</v>
      </c>
    </row>
    <row r="23" spans="4:9" x14ac:dyDescent="0.3">
      <c r="D23" s="1"/>
      <c r="E23" s="1">
        <f t="shared" si="0"/>
        <v>18</v>
      </c>
      <c r="F23" s="451" t="s">
        <v>193</v>
      </c>
      <c r="G23" s="452"/>
      <c r="H23" s="452"/>
      <c r="I23" s="447" t="s">
        <v>386</v>
      </c>
    </row>
    <row r="24" spans="4:9" x14ac:dyDescent="0.3">
      <c r="D24" s="1"/>
      <c r="E24" s="1">
        <f t="shared" si="0"/>
        <v>19</v>
      </c>
      <c r="F24" s="451" t="s">
        <v>194</v>
      </c>
      <c r="G24" s="452"/>
      <c r="H24" s="452"/>
      <c r="I24" s="447" t="s">
        <v>386</v>
      </c>
    </row>
    <row r="25" spans="4:9" ht="14.4" customHeight="1" x14ac:dyDescent="0.3">
      <c r="D25" s="1"/>
      <c r="E25" s="1"/>
      <c r="F25" s="1"/>
      <c r="G25" s="1"/>
      <c r="H25" s="1"/>
    </row>
    <row r="26" spans="4:9" ht="14.4" customHeight="1" x14ac:dyDescent="0.3">
      <c r="D26" s="1"/>
      <c r="E26" s="1"/>
      <c r="F26" s="1"/>
      <c r="G26" s="1"/>
      <c r="H26" s="1"/>
    </row>
    <row r="27" spans="4:9" ht="14.4" customHeight="1" x14ac:dyDescent="0.3">
      <c r="D27" s="1"/>
      <c r="E27" s="1"/>
      <c r="F27" s="1"/>
      <c r="G27" s="1"/>
      <c r="H27" s="1"/>
    </row>
  </sheetData>
  <mergeCells count="20">
    <mergeCell ref="F13:H13"/>
    <mergeCell ref="F19:H19"/>
    <mergeCell ref="F14:H14"/>
    <mergeCell ref="F15:H15"/>
    <mergeCell ref="F16:H16"/>
    <mergeCell ref="F17:H17"/>
    <mergeCell ref="F18:H18"/>
    <mergeCell ref="F12:H12"/>
    <mergeCell ref="D4:H4"/>
    <mergeCell ref="F6:H6"/>
    <mergeCell ref="F7:H7"/>
    <mergeCell ref="F8:H8"/>
    <mergeCell ref="F9:H9"/>
    <mergeCell ref="F10:H10"/>
    <mergeCell ref="F11:H11"/>
    <mergeCell ref="F20:H20"/>
    <mergeCell ref="F21:H21"/>
    <mergeCell ref="F22:H22"/>
    <mergeCell ref="F23:H23"/>
    <mergeCell ref="F24:H24"/>
  </mergeCells>
  <hyperlinks>
    <hyperlink ref="I7" location="'P&amp;L Inputs'!A1" display="Link" xr:uid="{C1393D84-A163-47BC-897B-0F9199459728}"/>
    <hyperlink ref="I8" location="'BS Inputs'!A1" display="Link" xr:uid="{545283D5-3157-4A5C-95EA-D9125050AF3D}"/>
    <hyperlink ref="I9" location="'Revenue Buildup'!A1" display="Link" xr:uid="{F15FCE3B-D4F6-4B78-AE06-03DA38E64E02}"/>
    <hyperlink ref="I10" location="'Cost Buildup'!A1" display="Link" xr:uid="{C714D0E4-0330-4479-BFBA-EFA61641CA83}"/>
    <hyperlink ref="I11" location="'BS Items'!A1" display="Link" xr:uid="{8F986E01-72D1-493E-B3AC-AEC1E95D6231}"/>
    <hyperlink ref="I12" location="'Working Schedule'!A1" display="Link" xr:uid="{62A6D298-FFAC-43EE-99CF-A0A7FB57FEB6}"/>
    <hyperlink ref="I13" location="'Common Sizing Statement'!A1" display="Link" xr:uid="{C87E7C0E-2AB5-4ED4-8337-28BDEA9BC39D}"/>
    <hyperlink ref="I14" location="'Income Statement'!A1" display="Link" xr:uid="{8BAA7C6D-128C-43D4-890D-E810D209B909}"/>
    <hyperlink ref="I15" location="'Balance Sheet'!A1" display="Link" xr:uid="{68FBE134-EA5F-42C6-9524-DB41A4A9206E}"/>
    <hyperlink ref="I16" location="'Cash Flow'!A1" display="Link" xr:uid="{8045C10F-E5DC-4CBA-9A54-7E2E527CAAF6}"/>
    <hyperlink ref="I17" location="'DCF Valuation'!A1" display="Link" xr:uid="{FB7ADFCA-D65A-47E7-8D4B-73119A53F1F9}"/>
    <hyperlink ref="I18" location="Comps!A1" display="Link" xr:uid="{8FA629E8-7395-434A-8C84-44F7241F93EE}"/>
    <hyperlink ref="I19" location="'Comps Data'!A1" display="Link" xr:uid="{E907865E-0A91-408C-A773-0D41D4366AB3}"/>
    <hyperlink ref="I20" location="'Ratio Analysis'!A1" display="Link" xr:uid="{B9705C8D-DBF0-4AD4-8981-6E544CC1B65E}"/>
    <hyperlink ref="I21" location="'Equity Beta'!A1" display="Link" xr:uid="{D7772179-F7E1-492B-9BDD-88664D3F4AB4}"/>
    <hyperlink ref="I22" location="WACC!A1" display="Link" xr:uid="{BFE895AA-AF4B-49DA-A3AB-0C24916A114B}"/>
    <hyperlink ref="I23" location="'Market Return'!A1" display="Link" xr:uid="{CD4625C7-E93C-42BD-8BE4-89CF83890999}"/>
    <hyperlink ref="I24" location="Summary!A1" display="Link" xr:uid="{7FD2C56B-92A1-4AA2-A4CC-3F049AD15039}"/>
    <hyperlink ref="I6" location="Assumptions!A1" display="Link" xr:uid="{2FD1EACA-8663-4D40-A377-2CDC12A4B09D}"/>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57CF9-E98F-49A4-ACEF-697559F5C572}">
  <dimension ref="B4:V54"/>
  <sheetViews>
    <sheetView showGridLines="0" workbookViewId="0">
      <selection activeCell="B15" sqref="B15"/>
    </sheetView>
  </sheetViews>
  <sheetFormatPr defaultRowHeight="14.4" customHeight="1" x14ac:dyDescent="0.3"/>
  <cols>
    <col min="2" max="2" width="30.77734375" customWidth="1"/>
    <col min="3" max="3" width="25.5546875" bestFit="1" customWidth="1"/>
    <col min="4" max="4" width="14.88671875" customWidth="1"/>
    <col min="7" max="7" width="16.6640625" customWidth="1"/>
    <col min="14" max="14" width="13.6640625" customWidth="1"/>
  </cols>
  <sheetData>
    <row r="4" spans="2:13" ht="14.4" customHeight="1" x14ac:dyDescent="0.3">
      <c r="B4" s="31" t="s">
        <v>41</v>
      </c>
      <c r="C4" s="485" t="s">
        <v>307</v>
      </c>
      <c r="D4" s="486"/>
      <c r="E4" s="486"/>
      <c r="F4" s="486"/>
      <c r="G4" s="487"/>
    </row>
    <row r="5" spans="2:13" ht="14.4" customHeight="1" x14ac:dyDescent="0.3">
      <c r="B5" s="31" t="s">
        <v>42</v>
      </c>
      <c r="C5" s="485" t="s">
        <v>302</v>
      </c>
      <c r="D5" s="486"/>
      <c r="E5" s="486"/>
      <c r="F5" s="486"/>
      <c r="G5" s="487"/>
    </row>
    <row r="6" spans="2:13" ht="14.4" customHeight="1" x14ac:dyDescent="0.3">
      <c r="B6" s="31" t="s">
        <v>43</v>
      </c>
      <c r="C6" s="485" t="s">
        <v>304</v>
      </c>
      <c r="D6" s="486"/>
      <c r="E6" s="486"/>
      <c r="F6" s="486"/>
      <c r="G6" s="487"/>
    </row>
    <row r="7" spans="2:13" ht="14.4" customHeight="1" x14ac:dyDescent="0.3">
      <c r="B7" s="31" t="s">
        <v>44</v>
      </c>
      <c r="C7" s="485" t="s">
        <v>305</v>
      </c>
      <c r="D7" s="486"/>
      <c r="E7" s="486"/>
      <c r="F7" s="486"/>
      <c r="G7" s="487"/>
    </row>
    <row r="8" spans="2:13" ht="14.4" customHeight="1" x14ac:dyDescent="0.3">
      <c r="B8" s="31" t="s">
        <v>45</v>
      </c>
      <c r="C8" s="485" t="s">
        <v>303</v>
      </c>
      <c r="D8" s="486"/>
      <c r="E8" s="486"/>
      <c r="F8" s="486"/>
      <c r="G8" s="487"/>
    </row>
    <row r="9" spans="2:13" ht="14.4" customHeight="1" x14ac:dyDescent="0.3">
      <c r="B9" s="31" t="s">
        <v>46</v>
      </c>
      <c r="C9" s="470" t="str">
        <f t="shared" ref="C9" si="0">HYPERLINK("https://www.dreamfolks.com/","Dreamfolks")</f>
        <v>Dreamfolks</v>
      </c>
      <c r="D9" s="471"/>
      <c r="E9" s="471"/>
      <c r="F9" s="471"/>
      <c r="G9" s="472"/>
    </row>
    <row r="10" spans="2:13" ht="100.2" customHeight="1" x14ac:dyDescent="0.3">
      <c r="B10" s="32" t="s">
        <v>47</v>
      </c>
      <c r="C10" s="482" t="s">
        <v>306</v>
      </c>
      <c r="D10" s="483"/>
      <c r="E10" s="483"/>
      <c r="F10" s="483"/>
      <c r="G10" s="484"/>
      <c r="J10" s="52"/>
    </row>
    <row r="11" spans="2:13" ht="14.4" customHeight="1" x14ac:dyDescent="0.3">
      <c r="B11" s="31" t="s">
        <v>32</v>
      </c>
      <c r="C11" s="473">
        <f>'Comps Data'!E8</f>
        <v>255.59</v>
      </c>
      <c r="D11" s="474"/>
      <c r="E11" s="474"/>
      <c r="F11" s="474"/>
      <c r="G11" s="475"/>
      <c r="J11" s="462"/>
      <c r="K11" s="462"/>
      <c r="L11" s="462"/>
      <c r="M11" s="462"/>
    </row>
    <row r="14" spans="2:13" ht="14.4" customHeight="1" x14ac:dyDescent="0.3">
      <c r="B14" s="24" t="s">
        <v>24</v>
      </c>
      <c r="C14" s="25" t="s">
        <v>25</v>
      </c>
      <c r="D14" s="67" t="s">
        <v>36</v>
      </c>
    </row>
    <row r="15" spans="2:13" ht="14.4" customHeight="1" x14ac:dyDescent="0.3">
      <c r="B15" s="18" t="s">
        <v>273</v>
      </c>
      <c r="C15" s="10" t="str">
        <f>IF(B15='Revenue Buildup'!D23,"1",IF(Assumptions!B15='Revenue Buildup'!D24,"2",IF(Assumptions!B15='Revenue Buildup'!D25,"3")))</f>
        <v>2</v>
      </c>
      <c r="D15" s="111" t="str">
        <f>IF(B15='Revenue Buildup'!D25,"10.0",IF(Assumptions!B15='Revenue Buildup'!D24,"15.0",IF(Assumptions!B15='Revenue Buildup'!D23,"20.0")))</f>
        <v>15.0</v>
      </c>
    </row>
    <row r="16" spans="2:13" ht="14.4" customHeight="1" x14ac:dyDescent="0.3">
      <c r="B16" s="7"/>
      <c r="C16" s="11"/>
      <c r="D16" s="7"/>
    </row>
    <row r="17" spans="2:9" ht="14.4" customHeight="1" x14ac:dyDescent="0.3">
      <c r="B17" s="7"/>
      <c r="C17" s="11"/>
      <c r="D17" s="7"/>
    </row>
    <row r="18" spans="2:9" ht="14.4" customHeight="1" x14ac:dyDescent="0.3">
      <c r="B18" s="479" t="s">
        <v>26</v>
      </c>
      <c r="C18" s="480"/>
      <c r="D18" s="481"/>
    </row>
    <row r="19" spans="2:9" ht="14.4" customHeight="1" x14ac:dyDescent="0.3">
      <c r="B19" s="12" t="s">
        <v>1</v>
      </c>
      <c r="C19" s="13"/>
      <c r="D19" s="14" t="s">
        <v>27</v>
      </c>
    </row>
    <row r="20" spans="2:9" ht="14.4" customHeight="1" x14ac:dyDescent="0.3">
      <c r="B20" s="75" t="s">
        <v>28</v>
      </c>
      <c r="C20" s="76" t="s">
        <v>29</v>
      </c>
      <c r="D20" s="165">
        <f>'Comps Data'!H8</f>
        <v>533</v>
      </c>
    </row>
    <row r="21" spans="2:9" ht="14.4" customHeight="1" x14ac:dyDescent="0.3">
      <c r="B21" s="77" t="s">
        <v>30</v>
      </c>
      <c r="C21" s="78" t="s">
        <v>31</v>
      </c>
      <c r="D21" s="82">
        <v>1</v>
      </c>
    </row>
    <row r="22" spans="2:9" ht="14.4" customHeight="1" x14ac:dyDescent="0.3">
      <c r="B22" s="77" t="s">
        <v>32</v>
      </c>
      <c r="C22" s="78" t="s">
        <v>31</v>
      </c>
      <c r="D22" s="164">
        <f>C11</f>
        <v>255.59</v>
      </c>
    </row>
    <row r="23" spans="2:9" ht="14.4" customHeight="1" x14ac:dyDescent="0.3">
      <c r="B23" s="79" t="s">
        <v>33</v>
      </c>
      <c r="C23" s="80" t="s">
        <v>324</v>
      </c>
      <c r="D23" s="81">
        <f>D22*D20</f>
        <v>136229.47</v>
      </c>
    </row>
    <row r="24" spans="2:9" ht="14.4" customHeight="1" x14ac:dyDescent="0.3">
      <c r="B24" s="7"/>
      <c r="C24" s="11"/>
      <c r="D24" s="8"/>
    </row>
    <row r="25" spans="2:9" ht="14.4" customHeight="1" x14ac:dyDescent="0.3">
      <c r="B25" s="7"/>
      <c r="C25" s="11"/>
      <c r="D25" s="7"/>
    </row>
    <row r="26" spans="2:9" ht="14.4" customHeight="1" x14ac:dyDescent="0.3">
      <c r="B26" s="476" t="s">
        <v>34</v>
      </c>
      <c r="C26" s="477"/>
      <c r="D26" s="478"/>
      <c r="I26" s="1"/>
    </row>
    <row r="27" spans="2:9" ht="14.4" customHeight="1" x14ac:dyDescent="0.3">
      <c r="B27" s="15" t="s">
        <v>35</v>
      </c>
      <c r="C27" s="11" t="s">
        <v>36</v>
      </c>
      <c r="D27" s="61">
        <v>7.0000000000000007E-2</v>
      </c>
      <c r="E27" s="70" t="s">
        <v>199</v>
      </c>
    </row>
    <row r="28" spans="2:9" ht="14.4" customHeight="1" x14ac:dyDescent="0.3">
      <c r="B28" s="15" t="s">
        <v>37</v>
      </c>
      <c r="C28" s="11" t="s">
        <v>36</v>
      </c>
      <c r="D28" s="61">
        <v>6.4000000000000001E-2</v>
      </c>
      <c r="E28" s="70" t="s">
        <v>197</v>
      </c>
    </row>
    <row r="29" spans="2:9" ht="14.4" customHeight="1" x14ac:dyDescent="0.3">
      <c r="B29" s="15" t="s">
        <v>38</v>
      </c>
      <c r="C29" s="11" t="s">
        <v>36</v>
      </c>
      <c r="D29" s="62">
        <v>6.6699999999999995E-2</v>
      </c>
      <c r="E29" s="70" t="s">
        <v>197</v>
      </c>
    </row>
    <row r="30" spans="2:9" ht="14.4" customHeight="1" x14ac:dyDescent="0.3">
      <c r="B30" s="15" t="s">
        <v>39</v>
      </c>
      <c r="C30" s="11" t="s">
        <v>36</v>
      </c>
      <c r="D30" s="63">
        <f>'Cost Buildup'!G20</f>
        <v>0.19040602488539621</v>
      </c>
      <c r="E30" s="70" t="s">
        <v>241</v>
      </c>
    </row>
    <row r="31" spans="2:9" ht="14.4" customHeight="1" x14ac:dyDescent="0.3">
      <c r="B31" s="16" t="s">
        <v>40</v>
      </c>
      <c r="C31" s="17" t="s">
        <v>36</v>
      </c>
      <c r="D31" s="129">
        <v>0.19</v>
      </c>
      <c r="E31" s="66"/>
    </row>
    <row r="33" spans="2:22" ht="14.4" customHeight="1" x14ac:dyDescent="0.3">
      <c r="B33" s="69" t="s">
        <v>195</v>
      </c>
      <c r="C33" s="69" t="s">
        <v>196</v>
      </c>
      <c r="D33" s="453" t="s">
        <v>34</v>
      </c>
      <c r="E33" s="453"/>
      <c r="F33" s="453"/>
      <c r="G33" s="453"/>
      <c r="H33" s="453"/>
      <c r="I33" s="453"/>
      <c r="J33" s="453"/>
      <c r="K33" s="453"/>
      <c r="L33" s="453"/>
      <c r="M33" s="453"/>
      <c r="N33" s="453"/>
    </row>
    <row r="34" spans="2:22" ht="37.200000000000003" customHeight="1" x14ac:dyDescent="0.3">
      <c r="B34" s="463" t="s">
        <v>20</v>
      </c>
      <c r="C34" s="357" t="s">
        <v>326</v>
      </c>
      <c r="D34" s="466" t="s">
        <v>325</v>
      </c>
      <c r="E34" s="466"/>
      <c r="F34" s="466"/>
      <c r="G34" s="466"/>
      <c r="H34" s="466"/>
      <c r="I34" s="466"/>
      <c r="J34" s="466"/>
      <c r="K34" s="466"/>
      <c r="L34" s="466"/>
      <c r="M34" s="466"/>
      <c r="N34" s="466"/>
    </row>
    <row r="35" spans="2:22" ht="29.4" customHeight="1" x14ac:dyDescent="0.3">
      <c r="B35" s="464"/>
      <c r="C35" s="357" t="s">
        <v>311</v>
      </c>
      <c r="D35" s="465" t="s">
        <v>362</v>
      </c>
      <c r="E35" s="465"/>
      <c r="F35" s="465"/>
      <c r="G35" s="465"/>
      <c r="H35" s="465"/>
      <c r="I35" s="465"/>
      <c r="J35" s="465"/>
      <c r="K35" s="465"/>
      <c r="L35" s="465"/>
      <c r="M35" s="465"/>
      <c r="N35" s="465"/>
    </row>
    <row r="36" spans="2:22" ht="21.6" customHeight="1" x14ac:dyDescent="0.3">
      <c r="B36" s="467" t="s">
        <v>48</v>
      </c>
      <c r="C36" s="112" t="s">
        <v>312</v>
      </c>
      <c r="D36" s="497" t="s">
        <v>207</v>
      </c>
      <c r="E36" s="498"/>
      <c r="F36" s="498"/>
      <c r="G36" s="498"/>
      <c r="H36" s="498"/>
      <c r="I36" s="498"/>
      <c r="J36" s="498"/>
      <c r="K36" s="498"/>
      <c r="L36" s="498"/>
      <c r="M36" s="498"/>
      <c r="N36" s="499"/>
      <c r="P36" s="507"/>
      <c r="Q36" s="507"/>
      <c r="R36" s="507"/>
      <c r="S36" s="507"/>
      <c r="T36" s="507"/>
      <c r="U36" s="507"/>
      <c r="V36" s="507"/>
    </row>
    <row r="37" spans="2:22" ht="28.2" customHeight="1" x14ac:dyDescent="0.3">
      <c r="B37" s="468"/>
      <c r="C37" s="112" t="s">
        <v>313</v>
      </c>
      <c r="D37" s="510" t="s">
        <v>208</v>
      </c>
      <c r="E37" s="511"/>
      <c r="F37" s="511"/>
      <c r="G37" s="511"/>
      <c r="H37" s="511"/>
      <c r="I37" s="511"/>
      <c r="J37" s="511"/>
      <c r="K37" s="511"/>
      <c r="L37" s="511"/>
      <c r="M37" s="511"/>
      <c r="N37" s="512"/>
      <c r="P37" s="508"/>
      <c r="Q37" s="508"/>
      <c r="R37" s="508"/>
      <c r="S37" s="508"/>
      <c r="T37" s="508"/>
      <c r="U37" s="508"/>
      <c r="V37" s="508"/>
    </row>
    <row r="38" spans="2:22" ht="28.2" customHeight="1" x14ac:dyDescent="0.3">
      <c r="B38" s="469"/>
      <c r="C38" s="112" t="s">
        <v>359</v>
      </c>
      <c r="D38" s="491" t="s">
        <v>358</v>
      </c>
      <c r="E38" s="492"/>
      <c r="F38" s="492"/>
      <c r="G38" s="492"/>
      <c r="H38" s="492"/>
      <c r="I38" s="492"/>
      <c r="J38" s="492"/>
      <c r="K38" s="492"/>
      <c r="L38" s="492"/>
      <c r="M38" s="492"/>
      <c r="N38" s="493"/>
      <c r="P38" s="372"/>
      <c r="Q38" s="372"/>
      <c r="R38" s="372"/>
      <c r="S38" s="372"/>
      <c r="T38" s="372"/>
      <c r="U38" s="372"/>
      <c r="V38" s="372"/>
    </row>
    <row r="39" spans="2:22" ht="28.2" customHeight="1" x14ac:dyDescent="0.3">
      <c r="B39" s="371" t="s">
        <v>328</v>
      </c>
      <c r="C39" s="112" t="s">
        <v>361</v>
      </c>
      <c r="D39" s="456" t="s">
        <v>360</v>
      </c>
      <c r="E39" s="457"/>
      <c r="F39" s="457"/>
      <c r="G39" s="457"/>
      <c r="H39" s="457"/>
      <c r="I39" s="457"/>
      <c r="J39" s="457"/>
      <c r="K39" s="457"/>
      <c r="L39" s="457"/>
      <c r="M39" s="457"/>
      <c r="N39" s="458"/>
      <c r="P39" s="372"/>
      <c r="Q39" s="372"/>
      <c r="R39" s="372"/>
      <c r="S39" s="372"/>
      <c r="T39" s="372"/>
      <c r="U39" s="372"/>
      <c r="V39" s="372"/>
    </row>
    <row r="40" spans="2:22" ht="46.2" customHeight="1" x14ac:dyDescent="0.3">
      <c r="B40" s="64" t="s">
        <v>76</v>
      </c>
      <c r="C40" s="112" t="s">
        <v>314</v>
      </c>
      <c r="D40" s="456" t="s">
        <v>209</v>
      </c>
      <c r="E40" s="457"/>
      <c r="F40" s="457"/>
      <c r="G40" s="457"/>
      <c r="H40" s="457"/>
      <c r="I40" s="457"/>
      <c r="J40" s="457"/>
      <c r="K40" s="457"/>
      <c r="L40" s="457"/>
      <c r="M40" s="457"/>
      <c r="N40" s="458"/>
      <c r="P40" s="506"/>
      <c r="Q40" s="506"/>
      <c r="R40" s="506"/>
      <c r="S40" s="506"/>
      <c r="T40" s="506"/>
      <c r="U40" s="506"/>
      <c r="V40" s="506"/>
    </row>
    <row r="41" spans="2:22" ht="29.4" customHeight="1" x14ac:dyDescent="0.3">
      <c r="B41" s="442" t="s">
        <v>240</v>
      </c>
      <c r="C41" s="112" t="s">
        <v>356</v>
      </c>
      <c r="D41" s="459" t="s">
        <v>363</v>
      </c>
      <c r="E41" s="460"/>
      <c r="F41" s="460"/>
      <c r="G41" s="460"/>
      <c r="H41" s="460"/>
      <c r="I41" s="460"/>
      <c r="J41" s="460"/>
      <c r="K41" s="460"/>
      <c r="L41" s="460"/>
      <c r="M41" s="460"/>
      <c r="N41" s="461"/>
      <c r="P41" s="506"/>
      <c r="Q41" s="506"/>
      <c r="R41" s="506"/>
      <c r="S41" s="506"/>
      <c r="T41" s="506"/>
      <c r="U41" s="506"/>
      <c r="V41" s="506"/>
    </row>
    <row r="42" spans="2:22" ht="21.6" customHeight="1" x14ac:dyDescent="0.3">
      <c r="B42" s="443"/>
      <c r="C42" s="112" t="s">
        <v>366</v>
      </c>
      <c r="D42" s="497" t="s">
        <v>321</v>
      </c>
      <c r="E42" s="498"/>
      <c r="F42" s="498"/>
      <c r="G42" s="498"/>
      <c r="H42" s="498"/>
      <c r="I42" s="498"/>
      <c r="J42" s="498"/>
      <c r="K42" s="498"/>
      <c r="L42" s="498"/>
      <c r="M42" s="498"/>
      <c r="N42" s="499"/>
      <c r="P42" s="507"/>
      <c r="Q42" s="507"/>
      <c r="R42" s="507"/>
      <c r="S42" s="507"/>
      <c r="T42" s="507"/>
      <c r="U42" s="507"/>
      <c r="V42" s="507"/>
    </row>
    <row r="43" spans="2:22" ht="45" customHeight="1" x14ac:dyDescent="0.3">
      <c r="B43" s="106" t="s">
        <v>72</v>
      </c>
      <c r="C43" s="113" t="s">
        <v>365</v>
      </c>
      <c r="D43" s="509" t="s">
        <v>364</v>
      </c>
      <c r="E43" s="509"/>
      <c r="F43" s="509"/>
      <c r="G43" s="509"/>
      <c r="H43" s="509"/>
      <c r="I43" s="509"/>
      <c r="J43" s="509"/>
      <c r="K43" s="509"/>
      <c r="L43" s="509"/>
      <c r="M43" s="509"/>
      <c r="N43" s="509"/>
    </row>
    <row r="44" spans="2:22" ht="33.6" customHeight="1" x14ac:dyDescent="0.3">
      <c r="B44" s="463" t="s">
        <v>55</v>
      </c>
      <c r="C44" s="112" t="s">
        <v>385</v>
      </c>
      <c r="D44" s="459" t="s">
        <v>355</v>
      </c>
      <c r="E44" s="504"/>
      <c r="F44" s="504"/>
      <c r="G44" s="504"/>
      <c r="H44" s="504"/>
      <c r="I44" s="504"/>
      <c r="J44" s="504"/>
      <c r="K44" s="504"/>
      <c r="L44" s="504"/>
      <c r="M44" s="504"/>
      <c r="N44" s="505"/>
    </row>
    <row r="45" spans="2:22" ht="28.95" customHeight="1" x14ac:dyDescent="0.3">
      <c r="B45" s="464" t="s">
        <v>55</v>
      </c>
      <c r="C45" s="112" t="s">
        <v>315</v>
      </c>
      <c r="D45" s="509" t="s">
        <v>239</v>
      </c>
      <c r="E45" s="509"/>
      <c r="F45" s="509"/>
      <c r="G45" s="509"/>
      <c r="H45" s="509"/>
      <c r="I45" s="509"/>
      <c r="J45" s="509"/>
      <c r="K45" s="509"/>
      <c r="L45" s="509"/>
      <c r="M45" s="509"/>
      <c r="N45" s="509"/>
    </row>
    <row r="46" spans="2:22" ht="21.6" customHeight="1" x14ac:dyDescent="0.3">
      <c r="B46" s="454" t="s">
        <v>63</v>
      </c>
      <c r="C46" s="112" t="s">
        <v>322</v>
      </c>
      <c r="D46" s="503" t="s">
        <v>237</v>
      </c>
      <c r="E46" s="503"/>
      <c r="F46" s="503"/>
      <c r="G46" s="503"/>
      <c r="H46" s="503"/>
      <c r="I46" s="503"/>
      <c r="J46" s="503"/>
      <c r="K46" s="503"/>
      <c r="L46" s="503"/>
      <c r="M46" s="503"/>
      <c r="N46" s="503"/>
    </row>
    <row r="47" spans="2:22" ht="28.95" customHeight="1" x14ac:dyDescent="0.3">
      <c r="B47" s="455"/>
      <c r="C47" s="112" t="s">
        <v>323</v>
      </c>
      <c r="D47" s="509" t="s">
        <v>238</v>
      </c>
      <c r="E47" s="509"/>
      <c r="F47" s="509"/>
      <c r="G47" s="509"/>
      <c r="H47" s="509"/>
      <c r="I47" s="509"/>
      <c r="J47" s="509"/>
      <c r="K47" s="509"/>
      <c r="L47" s="509"/>
      <c r="M47" s="509"/>
      <c r="N47" s="509"/>
    </row>
    <row r="48" spans="2:22" ht="32.4" customHeight="1" x14ac:dyDescent="0.3">
      <c r="B48" s="134" t="s">
        <v>235</v>
      </c>
      <c r="C48" s="112" t="s">
        <v>316</v>
      </c>
      <c r="D48" s="503" t="s">
        <v>236</v>
      </c>
      <c r="E48" s="503"/>
      <c r="F48" s="503"/>
      <c r="G48" s="503"/>
      <c r="H48" s="503"/>
      <c r="I48" s="503"/>
      <c r="J48" s="503"/>
      <c r="K48" s="503"/>
      <c r="L48" s="503"/>
      <c r="M48" s="503"/>
      <c r="N48" s="503"/>
    </row>
    <row r="49" spans="2:22" ht="28.95" customHeight="1" x14ac:dyDescent="0.3">
      <c r="B49" s="84" t="s">
        <v>186</v>
      </c>
      <c r="C49" s="112" t="s">
        <v>317</v>
      </c>
      <c r="D49" s="494" t="s">
        <v>387</v>
      </c>
      <c r="E49" s="495"/>
      <c r="F49" s="495"/>
      <c r="G49" s="495"/>
      <c r="H49" s="495"/>
      <c r="I49" s="495"/>
      <c r="J49" s="495"/>
      <c r="K49" s="495"/>
      <c r="L49" s="495"/>
      <c r="M49" s="495"/>
      <c r="N49" s="496"/>
      <c r="P49" s="506"/>
      <c r="Q49" s="506"/>
      <c r="R49" s="506"/>
      <c r="S49" s="506"/>
      <c r="T49" s="506"/>
      <c r="U49" s="506"/>
      <c r="V49" s="506"/>
    </row>
    <row r="50" spans="2:22" ht="28.2" customHeight="1" x14ac:dyDescent="0.3">
      <c r="B50" s="64" t="s">
        <v>167</v>
      </c>
      <c r="C50" s="112" t="s">
        <v>318</v>
      </c>
      <c r="D50" s="500" t="s">
        <v>210</v>
      </c>
      <c r="E50" s="501"/>
      <c r="F50" s="501"/>
      <c r="G50" s="501"/>
      <c r="H50" s="501"/>
      <c r="I50" s="501"/>
      <c r="J50" s="501"/>
      <c r="K50" s="501"/>
      <c r="L50" s="501"/>
      <c r="M50" s="501"/>
      <c r="N50" s="502"/>
      <c r="P50" s="105"/>
      <c r="Q50" s="105"/>
      <c r="R50" s="105"/>
      <c r="S50" s="105"/>
      <c r="T50" s="105"/>
      <c r="U50" s="105"/>
      <c r="V50" s="105"/>
    </row>
    <row r="51" spans="2:22" ht="28.2" customHeight="1" x14ac:dyDescent="0.3">
      <c r="B51" s="85" t="s">
        <v>135</v>
      </c>
      <c r="C51" s="112" t="s">
        <v>319</v>
      </c>
      <c r="D51" s="488" t="s">
        <v>234</v>
      </c>
      <c r="E51" s="489"/>
      <c r="F51" s="489"/>
      <c r="G51" s="489"/>
      <c r="H51" s="489"/>
      <c r="I51" s="489"/>
      <c r="J51" s="489"/>
      <c r="K51" s="489"/>
      <c r="L51" s="489"/>
      <c r="M51" s="489"/>
      <c r="N51" s="490"/>
      <c r="P51" s="105"/>
      <c r="Q51" s="105"/>
      <c r="R51" s="105"/>
      <c r="S51" s="105"/>
      <c r="T51" s="105"/>
      <c r="U51" s="105"/>
      <c r="V51" s="105"/>
    </row>
    <row r="52" spans="2:22" ht="21.6" customHeight="1" x14ac:dyDescent="0.3">
      <c r="B52" s="64" t="s">
        <v>193</v>
      </c>
      <c r="C52" s="112" t="s">
        <v>320</v>
      </c>
      <c r="D52" s="497" t="s">
        <v>233</v>
      </c>
      <c r="E52" s="498"/>
      <c r="F52" s="498"/>
      <c r="G52" s="498"/>
      <c r="H52" s="498"/>
      <c r="I52" s="498"/>
      <c r="J52" s="498"/>
      <c r="K52" s="498"/>
      <c r="L52" s="498"/>
      <c r="M52" s="498"/>
      <c r="N52" s="499"/>
      <c r="P52" s="105"/>
      <c r="Q52" s="105"/>
      <c r="R52" s="105"/>
      <c r="S52" s="105"/>
      <c r="T52" s="105"/>
      <c r="U52" s="105"/>
      <c r="V52" s="105"/>
    </row>
    <row r="53" spans="2:22" ht="33" customHeight="1" x14ac:dyDescent="0.3">
      <c r="B53" s="65" t="s">
        <v>194</v>
      </c>
      <c r="C53" s="166" t="s">
        <v>231</v>
      </c>
      <c r="D53" s="488" t="s">
        <v>232</v>
      </c>
      <c r="E53" s="489"/>
      <c r="F53" s="489"/>
      <c r="G53" s="489"/>
      <c r="H53" s="489"/>
      <c r="I53" s="489"/>
      <c r="J53" s="489"/>
      <c r="K53" s="489"/>
      <c r="L53" s="489"/>
      <c r="M53" s="489"/>
      <c r="N53" s="490"/>
      <c r="P53" s="105"/>
      <c r="Q53" s="105"/>
      <c r="R53" s="105"/>
      <c r="S53" s="105"/>
      <c r="T53" s="105"/>
      <c r="U53" s="105"/>
      <c r="V53" s="105"/>
    </row>
    <row r="54" spans="2:22" ht="14.4" customHeight="1" x14ac:dyDescent="0.3">
      <c r="B54" s="59"/>
    </row>
  </sheetData>
  <mergeCells count="42">
    <mergeCell ref="P49:V49"/>
    <mergeCell ref="P36:V36"/>
    <mergeCell ref="D36:N36"/>
    <mergeCell ref="P37:V37"/>
    <mergeCell ref="P40:V40"/>
    <mergeCell ref="D47:N47"/>
    <mergeCell ref="D45:N45"/>
    <mergeCell ref="D43:N43"/>
    <mergeCell ref="P41:V41"/>
    <mergeCell ref="P42:V42"/>
    <mergeCell ref="D37:N37"/>
    <mergeCell ref="D53:N53"/>
    <mergeCell ref="D38:N38"/>
    <mergeCell ref="D49:N49"/>
    <mergeCell ref="D42:N42"/>
    <mergeCell ref="D50:N50"/>
    <mergeCell ref="D51:N51"/>
    <mergeCell ref="D52:N52"/>
    <mergeCell ref="D48:N48"/>
    <mergeCell ref="D46:N46"/>
    <mergeCell ref="D44:N44"/>
    <mergeCell ref="C4:G4"/>
    <mergeCell ref="C5:G5"/>
    <mergeCell ref="C6:G6"/>
    <mergeCell ref="C7:G7"/>
    <mergeCell ref="C8:G8"/>
    <mergeCell ref="C9:G9"/>
    <mergeCell ref="C11:G11"/>
    <mergeCell ref="B26:D26"/>
    <mergeCell ref="B18:D18"/>
    <mergeCell ref="C10:G10"/>
    <mergeCell ref="B46:B47"/>
    <mergeCell ref="D39:N39"/>
    <mergeCell ref="D40:N40"/>
    <mergeCell ref="D41:N41"/>
    <mergeCell ref="J11:M11"/>
    <mergeCell ref="B34:B35"/>
    <mergeCell ref="D33:N33"/>
    <mergeCell ref="D35:N35"/>
    <mergeCell ref="D34:N34"/>
    <mergeCell ref="B44:B45"/>
    <mergeCell ref="B36:B38"/>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FF56B3C-3F36-4497-88E0-5004F85867BF}">
          <x14:formula1>
            <xm:f>'Revenue Buildup'!$D$23:$D$25</xm:f>
          </x14:formula1>
          <xm:sqref>B15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3179-0982-4B31-ADE6-2088A93CB867}">
  <dimension ref="C2:V41"/>
  <sheetViews>
    <sheetView showGridLines="0" zoomScale="96" zoomScaleNormal="96" workbookViewId="0">
      <selection activeCell="F36" sqref="F36"/>
    </sheetView>
  </sheetViews>
  <sheetFormatPr defaultColWidth="8.88671875" defaultRowHeight="14.4" customHeight="1" x14ac:dyDescent="0.3"/>
  <cols>
    <col min="1" max="3" width="1.33203125" style="219" customWidth="1"/>
    <col min="4" max="4" width="36.5546875" style="219" customWidth="1"/>
    <col min="5" max="7" width="10.77734375" style="219" customWidth="1"/>
    <col min="8" max="9" width="8.88671875" style="219"/>
    <col min="10" max="10" width="12.88671875" style="219" bestFit="1" customWidth="1"/>
    <col min="11" max="12" width="9.33203125" style="219" bestFit="1" customWidth="1"/>
    <col min="13" max="16384" width="8.88671875" style="219"/>
  </cols>
  <sheetData>
    <row r="2" spans="3:9" ht="14.4" customHeight="1" x14ac:dyDescent="0.3">
      <c r="D2" s="19"/>
    </row>
    <row r="3" spans="3:9" ht="14.4" customHeight="1" x14ac:dyDescent="0.3">
      <c r="G3" s="141" t="s">
        <v>310</v>
      </c>
    </row>
    <row r="4" spans="3:9" ht="16.95" customHeight="1" x14ac:dyDescent="0.3">
      <c r="D4" s="453" t="s">
        <v>189</v>
      </c>
      <c r="E4" s="453"/>
      <c r="F4" s="453"/>
      <c r="G4" s="453"/>
    </row>
    <row r="5" spans="3:9" ht="14.4" customHeight="1" x14ac:dyDescent="0.3">
      <c r="D5" s="28"/>
      <c r="E5" s="167">
        <v>2022</v>
      </c>
      <c r="F5" s="29">
        <f>E5+1</f>
        <v>2023</v>
      </c>
      <c r="G5" s="29">
        <f>F5+1</f>
        <v>2024</v>
      </c>
    </row>
    <row r="6" spans="3:9" ht="14.4" customHeight="1" x14ac:dyDescent="0.3">
      <c r="D6" s="230" t="s">
        <v>1</v>
      </c>
      <c r="E6" s="168" t="s">
        <v>21</v>
      </c>
      <c r="F6" s="169" t="s">
        <v>21</v>
      </c>
      <c r="G6" s="169" t="s">
        <v>21</v>
      </c>
    </row>
    <row r="7" spans="3:9" ht="14.4" customHeight="1" x14ac:dyDescent="0.3">
      <c r="C7" s="29" t="s">
        <v>0</v>
      </c>
      <c r="D7" s="28"/>
      <c r="E7" s="231"/>
      <c r="F7" s="28"/>
      <c r="G7" s="28"/>
    </row>
    <row r="8" spans="3:9" ht="14.4" customHeight="1" x14ac:dyDescent="0.3">
      <c r="C8" s="28"/>
      <c r="D8" s="28" t="s">
        <v>2</v>
      </c>
      <c r="E8" s="232">
        <v>2824.98</v>
      </c>
      <c r="F8" s="233">
        <v>7732.52</v>
      </c>
      <c r="G8" s="233">
        <v>11349.46</v>
      </c>
    </row>
    <row r="9" spans="3:9" ht="14.4" customHeight="1" x14ac:dyDescent="0.3">
      <c r="C9" s="28"/>
      <c r="D9" s="28" t="s">
        <v>3</v>
      </c>
      <c r="E9" s="232">
        <v>14.91</v>
      </c>
      <c r="F9" s="233">
        <v>32.96</v>
      </c>
      <c r="G9" s="233">
        <v>33.17</v>
      </c>
    </row>
    <row r="10" spans="3:9" ht="14.4" customHeight="1" x14ac:dyDescent="0.3">
      <c r="C10" s="28"/>
      <c r="D10" s="173" t="s">
        <v>4</v>
      </c>
      <c r="E10" s="234">
        <f t="shared" ref="E10:G10" si="0">SUM(E8:E9)</f>
        <v>2839.89</v>
      </c>
      <c r="F10" s="235">
        <f t="shared" si="0"/>
        <v>7765.4800000000005</v>
      </c>
      <c r="G10" s="235">
        <f t="shared" si="0"/>
        <v>11382.63</v>
      </c>
    </row>
    <row r="11" spans="3:9" ht="14.4" customHeight="1" x14ac:dyDescent="0.3">
      <c r="C11" s="28"/>
      <c r="D11" s="28"/>
      <c r="E11" s="236"/>
      <c r="F11" s="222"/>
      <c r="G11" s="222"/>
    </row>
    <row r="12" spans="3:9" ht="14.4" customHeight="1" x14ac:dyDescent="0.3">
      <c r="C12" s="29" t="s">
        <v>5</v>
      </c>
      <c r="D12" s="28"/>
      <c r="E12" s="236"/>
      <c r="F12" s="222"/>
      <c r="G12" s="222"/>
    </row>
    <row r="13" spans="3:9" ht="14.4" customHeight="1" x14ac:dyDescent="0.3">
      <c r="C13" s="28"/>
      <c r="D13" s="28" t="s">
        <v>242</v>
      </c>
      <c r="E13" s="232">
        <v>2372.66</v>
      </c>
      <c r="F13" s="233">
        <v>6453.78</v>
      </c>
      <c r="G13" s="233">
        <v>9975.4599999999991</v>
      </c>
    </row>
    <row r="14" spans="3:9" ht="14.4" customHeight="1" x14ac:dyDescent="0.3">
      <c r="C14" s="28"/>
      <c r="D14" s="28" t="s">
        <v>51</v>
      </c>
      <c r="E14" s="232">
        <v>165.53</v>
      </c>
      <c r="F14" s="233">
        <v>174.41</v>
      </c>
      <c r="G14" s="233">
        <v>282.08999999999997</v>
      </c>
      <c r="I14" s="237"/>
    </row>
    <row r="15" spans="3:9" ht="14.4" customHeight="1" x14ac:dyDescent="0.3">
      <c r="C15" s="28"/>
      <c r="D15" s="238" t="s">
        <v>243</v>
      </c>
      <c r="E15" s="232">
        <v>14.67</v>
      </c>
      <c r="F15" s="233">
        <v>12.86</v>
      </c>
      <c r="G15" s="233">
        <v>11.63</v>
      </c>
    </row>
    <row r="16" spans="3:9" ht="14.4" customHeight="1" x14ac:dyDescent="0.3">
      <c r="C16" s="28"/>
      <c r="D16" s="28" t="s">
        <v>244</v>
      </c>
      <c r="E16" s="232">
        <v>21.29</v>
      </c>
      <c r="F16" s="233">
        <v>34.979999999999997</v>
      </c>
      <c r="G16" s="233">
        <v>37</v>
      </c>
    </row>
    <row r="17" spans="3:22" ht="14.4" customHeight="1" x14ac:dyDescent="0.3">
      <c r="C17" s="28"/>
      <c r="D17" s="28" t="s">
        <v>245</v>
      </c>
      <c r="E17" s="232">
        <v>60.98</v>
      </c>
      <c r="F17" s="233">
        <v>115.1</v>
      </c>
      <c r="G17" s="233">
        <v>139.1</v>
      </c>
    </row>
    <row r="18" spans="3:22" ht="14.4" customHeight="1" x14ac:dyDescent="0.3">
      <c r="C18" s="28"/>
      <c r="D18" s="173" t="s">
        <v>246</v>
      </c>
      <c r="E18" s="234">
        <f>SUM(E13:E17)</f>
        <v>2635.13</v>
      </c>
      <c r="F18" s="235">
        <f t="shared" ref="F18:G18" si="1">SUM(F13:F17)</f>
        <v>6791.1299999999992</v>
      </c>
      <c r="G18" s="235">
        <f t="shared" si="1"/>
        <v>10445.279999999999</v>
      </c>
    </row>
    <row r="19" spans="3:22" ht="14.4" customHeight="1" x14ac:dyDescent="0.3">
      <c r="C19" s="28"/>
      <c r="D19" s="28"/>
      <c r="E19" s="239"/>
      <c r="F19" s="240"/>
      <c r="G19" s="240"/>
    </row>
    <row r="20" spans="3:22" ht="14.4" customHeight="1" x14ac:dyDescent="0.3">
      <c r="C20" s="28"/>
      <c r="D20" s="56" t="s">
        <v>247</v>
      </c>
      <c r="E20" s="241">
        <f>E10-E18</f>
        <v>204.75999999999976</v>
      </c>
      <c r="F20" s="242">
        <f t="shared" ref="F20:G20" si="2">F10-F18</f>
        <v>974.35000000000127</v>
      </c>
      <c r="G20" s="242">
        <f t="shared" si="2"/>
        <v>937.35000000000036</v>
      </c>
    </row>
    <row r="21" spans="3:22" ht="14.4" customHeight="1" x14ac:dyDescent="0.3">
      <c r="C21" s="28"/>
      <c r="D21" s="28"/>
      <c r="E21" s="236"/>
      <c r="F21" s="222"/>
      <c r="G21" s="222"/>
    </row>
    <row r="22" spans="3:22" ht="14.4" customHeight="1" x14ac:dyDescent="0.3">
      <c r="C22" s="29" t="s">
        <v>248</v>
      </c>
      <c r="D22" s="29"/>
      <c r="E22" s="236"/>
      <c r="F22" s="222"/>
      <c r="G22" s="222"/>
    </row>
    <row r="23" spans="3:22" ht="14.4" customHeight="1" x14ac:dyDescent="0.3">
      <c r="C23" s="28"/>
      <c r="D23" s="28" t="s">
        <v>249</v>
      </c>
      <c r="E23" s="232">
        <v>47.82</v>
      </c>
      <c r="F23" s="233">
        <v>257.74</v>
      </c>
      <c r="G23" s="233">
        <v>258.02999999999997</v>
      </c>
    </row>
    <row r="24" spans="3:22" ht="14.4" customHeight="1" x14ac:dyDescent="0.3">
      <c r="C24" s="28"/>
      <c r="D24" s="28" t="s">
        <v>250</v>
      </c>
      <c r="E24" s="232">
        <v>0.23</v>
      </c>
      <c r="F24" s="233">
        <v>2.4500000000000002</v>
      </c>
      <c r="G24" s="233">
        <v>-0.56000000000000005</v>
      </c>
    </row>
    <row r="25" spans="3:22" ht="14.4" customHeight="1" x14ac:dyDescent="0.3">
      <c r="C25" s="28"/>
      <c r="D25" s="238" t="s">
        <v>251</v>
      </c>
      <c r="E25" s="232">
        <v>-5.81</v>
      </c>
      <c r="F25" s="233">
        <v>-11.11</v>
      </c>
      <c r="G25" s="233">
        <v>-16.95</v>
      </c>
    </row>
    <row r="26" spans="3:22" ht="14.4" customHeight="1" x14ac:dyDescent="0.3">
      <c r="C26" s="28"/>
      <c r="D26" s="173" t="s">
        <v>252</v>
      </c>
      <c r="E26" s="234">
        <f t="shared" ref="E26:G26" si="3">SUM(E23:E25)</f>
        <v>42.239999999999995</v>
      </c>
      <c r="F26" s="235">
        <f t="shared" si="3"/>
        <v>249.07999999999998</v>
      </c>
      <c r="G26" s="235">
        <f t="shared" si="3"/>
        <v>240.51999999999998</v>
      </c>
    </row>
    <row r="27" spans="3:22" ht="14.4" customHeight="1" x14ac:dyDescent="0.3">
      <c r="C27" s="28"/>
      <c r="D27" s="28"/>
      <c r="E27" s="239"/>
      <c r="F27" s="240"/>
      <c r="G27" s="240"/>
    </row>
    <row r="28" spans="3:22" ht="14.4" customHeight="1" thickBot="1" x14ac:dyDescent="0.35">
      <c r="C28" s="28"/>
      <c r="D28" s="243" t="s">
        <v>253</v>
      </c>
      <c r="E28" s="244">
        <f t="shared" ref="E28:G28" si="4">E20-E26</f>
        <v>162.51999999999975</v>
      </c>
      <c r="F28" s="245">
        <f t="shared" si="4"/>
        <v>725.27000000000135</v>
      </c>
      <c r="G28" s="245">
        <f t="shared" si="4"/>
        <v>696.83000000000038</v>
      </c>
    </row>
    <row r="29" spans="3:22" ht="14.4" customHeight="1" thickTop="1" x14ac:dyDescent="0.3">
      <c r="C29" s="28"/>
      <c r="D29" s="238"/>
      <c r="E29" s="246"/>
      <c r="F29" s="246"/>
      <c r="G29" s="246"/>
    </row>
    <row r="30" spans="3:22" ht="14.4" customHeight="1" x14ac:dyDescent="0.3">
      <c r="C30" s="28"/>
      <c r="D30" s="29"/>
      <c r="E30" s="246"/>
      <c r="F30" s="246"/>
      <c r="G30" s="246"/>
    </row>
    <row r="31" spans="3:22" ht="14.4" customHeight="1" x14ac:dyDescent="0.3">
      <c r="C31" s="28"/>
      <c r="D31" s="29"/>
      <c r="E31" s="40"/>
      <c r="F31" s="40"/>
      <c r="G31" s="40"/>
      <c r="H31" s="28"/>
      <c r="R31" s="28"/>
      <c r="S31" s="28"/>
      <c r="T31" s="28"/>
      <c r="U31" s="28"/>
      <c r="V31" s="28"/>
    </row>
    <row r="32" spans="3:22" ht="14.4" customHeight="1" x14ac:dyDescent="0.3">
      <c r="C32" s="29"/>
      <c r="D32" s="29"/>
      <c r="E32" s="247"/>
      <c r="F32" s="247"/>
      <c r="G32" s="247"/>
    </row>
    <row r="33" spans="3:7" ht="14.4" customHeight="1" x14ac:dyDescent="0.3">
      <c r="C33" s="28"/>
      <c r="D33" s="28"/>
      <c r="E33" s="247"/>
      <c r="F33" s="247"/>
      <c r="G33" s="247"/>
    </row>
    <row r="34" spans="3:7" ht="14.4" customHeight="1" x14ac:dyDescent="0.3">
      <c r="C34" s="28"/>
      <c r="D34" s="28"/>
      <c r="E34" s="240"/>
      <c r="F34" s="240"/>
      <c r="G34" s="240"/>
    </row>
    <row r="35" spans="3:7" ht="14.4" customHeight="1" x14ac:dyDescent="0.3">
      <c r="C35" s="28"/>
      <c r="D35" s="20"/>
      <c r="E35" s="222"/>
      <c r="F35" s="222"/>
      <c r="G35" s="222"/>
    </row>
    <row r="36" spans="3:7" ht="14.4" customHeight="1" x14ac:dyDescent="0.3">
      <c r="C36" s="28"/>
      <c r="D36" s="220"/>
      <c r="E36" s="240"/>
      <c r="F36" s="240"/>
      <c r="G36" s="240"/>
    </row>
    <row r="37" spans="3:7" ht="14.4" customHeight="1" x14ac:dyDescent="0.3">
      <c r="C37" s="28"/>
      <c r="D37" s="20"/>
      <c r="E37" s="246"/>
      <c r="F37" s="246"/>
      <c r="G37" s="246"/>
    </row>
    <row r="38" spans="3:7" ht="14.4" customHeight="1" x14ac:dyDescent="0.3">
      <c r="C38" s="28"/>
      <c r="D38" s="29"/>
      <c r="E38" s="40"/>
      <c r="F38" s="40"/>
      <c r="G38" s="40"/>
    </row>
    <row r="39" spans="3:7" ht="14.4" customHeight="1" x14ac:dyDescent="0.3">
      <c r="C39" s="28"/>
      <c r="D39" s="28"/>
      <c r="E39" s="246"/>
      <c r="F39" s="246"/>
      <c r="G39" s="246"/>
    </row>
    <row r="40" spans="3:7" ht="14.4" customHeight="1" x14ac:dyDescent="0.3">
      <c r="C40" s="28"/>
      <c r="D40" s="29"/>
      <c r="E40" s="246"/>
      <c r="F40" s="246"/>
      <c r="G40" s="246"/>
    </row>
    <row r="41" spans="3:7" ht="14.4" customHeight="1" x14ac:dyDescent="0.3">
      <c r="D41" s="29"/>
    </row>
  </sheetData>
  <mergeCells count="1">
    <mergeCell ref="D4:G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7DEA-212A-4547-981C-48109814B574}">
  <dimension ref="B3:L57"/>
  <sheetViews>
    <sheetView showGridLines="0" topLeftCell="A7" zoomScaleNormal="100" workbookViewId="0">
      <selection activeCell="H40" sqref="H40"/>
    </sheetView>
  </sheetViews>
  <sheetFormatPr defaultColWidth="8.88671875" defaultRowHeight="14.4" customHeight="1" x14ac:dyDescent="0.3"/>
  <cols>
    <col min="1" max="3" width="1.33203125" style="28" customWidth="1"/>
    <col min="4" max="4" width="36.5546875" style="28" customWidth="1"/>
    <col min="5" max="7" width="10.77734375" style="28" customWidth="1"/>
    <col min="8" max="16384" width="8.88671875" style="28"/>
  </cols>
  <sheetData>
    <row r="3" spans="2:7" ht="14.4" customHeight="1" x14ac:dyDescent="0.3">
      <c r="G3" s="141" t="s">
        <v>310</v>
      </c>
    </row>
    <row r="4" spans="2:7" ht="16.95" customHeight="1" x14ac:dyDescent="0.3">
      <c r="D4" s="453" t="s">
        <v>188</v>
      </c>
      <c r="E4" s="453"/>
      <c r="F4" s="453"/>
      <c r="G4" s="453"/>
    </row>
    <row r="5" spans="2:7" ht="14.4" customHeight="1" x14ac:dyDescent="0.3">
      <c r="E5" s="167">
        <v>2022</v>
      </c>
      <c r="F5" s="29">
        <f>E5+1</f>
        <v>2023</v>
      </c>
      <c r="G5" s="29">
        <f>F5+1</f>
        <v>2024</v>
      </c>
    </row>
    <row r="6" spans="2:7" ht="14.4" customHeight="1" x14ac:dyDescent="0.3">
      <c r="D6" s="21" t="s">
        <v>1</v>
      </c>
      <c r="E6" s="168" t="s">
        <v>21</v>
      </c>
      <c r="F6" s="169" t="s">
        <v>21</v>
      </c>
      <c r="G6" s="169" t="s">
        <v>21</v>
      </c>
    </row>
    <row r="7" spans="2:7" ht="14.4" customHeight="1" x14ac:dyDescent="0.3">
      <c r="B7" s="29" t="s">
        <v>7</v>
      </c>
      <c r="E7" s="224"/>
      <c r="F7" s="220"/>
      <c r="G7" s="220"/>
    </row>
    <row r="8" spans="2:7" ht="14.4" customHeight="1" x14ac:dyDescent="0.3">
      <c r="C8" s="29" t="s">
        <v>8</v>
      </c>
      <c r="E8" s="170"/>
    </row>
    <row r="9" spans="2:7" ht="14.4" customHeight="1" x14ac:dyDescent="0.3">
      <c r="D9" s="28" t="s">
        <v>254</v>
      </c>
      <c r="E9" s="232">
        <v>29.77</v>
      </c>
      <c r="F9" s="233">
        <v>30.48</v>
      </c>
      <c r="G9" s="233">
        <v>31.23</v>
      </c>
    </row>
    <row r="10" spans="2:7" ht="14.4" customHeight="1" x14ac:dyDescent="0.3">
      <c r="D10" s="28" t="s">
        <v>255</v>
      </c>
      <c r="E10" s="232">
        <v>0</v>
      </c>
      <c r="F10" s="233">
        <v>0.43</v>
      </c>
      <c r="G10" s="233">
        <v>0</v>
      </c>
    </row>
    <row r="11" spans="2:7" ht="14.4" customHeight="1" x14ac:dyDescent="0.3">
      <c r="D11" s="28" t="s">
        <v>256</v>
      </c>
      <c r="E11" s="232">
        <v>45.47</v>
      </c>
      <c r="F11" s="233">
        <v>30.85</v>
      </c>
      <c r="G11" s="233">
        <v>15.6</v>
      </c>
    </row>
    <row r="12" spans="2:7" ht="14.4" customHeight="1" x14ac:dyDescent="0.3">
      <c r="D12" s="28" t="s">
        <v>257</v>
      </c>
      <c r="E12" s="232">
        <v>64.17</v>
      </c>
      <c r="F12" s="233">
        <v>52.92</v>
      </c>
      <c r="G12" s="233">
        <v>43.71</v>
      </c>
    </row>
    <row r="13" spans="2:7" ht="14.4" customHeight="1" x14ac:dyDescent="0.3">
      <c r="D13" s="28" t="s">
        <v>258</v>
      </c>
      <c r="E13" s="232">
        <v>17.920000000000002</v>
      </c>
      <c r="F13" s="233">
        <v>17.05</v>
      </c>
      <c r="G13" s="233">
        <v>16.21</v>
      </c>
    </row>
    <row r="14" spans="2:7" ht="14.4" customHeight="1" x14ac:dyDescent="0.3">
      <c r="D14" s="28" t="s">
        <v>270</v>
      </c>
      <c r="E14" s="232">
        <v>0</v>
      </c>
      <c r="F14" s="233">
        <v>0</v>
      </c>
      <c r="G14" s="233">
        <v>2.99</v>
      </c>
    </row>
    <row r="15" spans="2:7" ht="14.4" customHeight="1" x14ac:dyDescent="0.3">
      <c r="D15" s="28" t="s">
        <v>373</v>
      </c>
      <c r="E15" s="437">
        <v>0</v>
      </c>
      <c r="F15" s="233">
        <v>8.8699999999999992</v>
      </c>
      <c r="G15" s="233">
        <v>8.8699999999999992</v>
      </c>
    </row>
    <row r="16" spans="2:7" ht="14.4" customHeight="1" x14ac:dyDescent="0.3">
      <c r="C16" s="29" t="s">
        <v>67</v>
      </c>
      <c r="E16" s="232"/>
      <c r="F16" s="233"/>
      <c r="G16" s="233"/>
    </row>
    <row r="17" spans="2:12" ht="14.4" customHeight="1" x14ac:dyDescent="0.3">
      <c r="D17" s="28" t="s">
        <v>259</v>
      </c>
      <c r="E17" s="232">
        <v>27.19</v>
      </c>
      <c r="F17" s="233">
        <v>39.01</v>
      </c>
      <c r="G17" s="233">
        <v>43.28</v>
      </c>
    </row>
    <row r="18" spans="2:12" ht="14.4" customHeight="1" x14ac:dyDescent="0.3">
      <c r="D18" s="28" t="s">
        <v>260</v>
      </c>
      <c r="E18" s="232">
        <v>12.38</v>
      </c>
      <c r="F18" s="233">
        <v>24.8</v>
      </c>
      <c r="G18" s="233">
        <v>45.17</v>
      </c>
    </row>
    <row r="19" spans="2:12" ht="14.4" customHeight="1" x14ac:dyDescent="0.3">
      <c r="D19" s="28" t="s">
        <v>68</v>
      </c>
      <c r="E19" s="232">
        <v>210.06</v>
      </c>
      <c r="F19" s="233">
        <v>5.93</v>
      </c>
      <c r="G19" s="233">
        <v>1.88</v>
      </c>
      <c r="H19" s="225"/>
    </row>
    <row r="20" spans="2:12" ht="14.4" customHeight="1" x14ac:dyDescent="0.3">
      <c r="E20" s="236"/>
      <c r="F20" s="222"/>
      <c r="G20" s="222"/>
    </row>
    <row r="21" spans="2:12" ht="14.4" customHeight="1" x14ac:dyDescent="0.3">
      <c r="B21" s="29" t="s">
        <v>9</v>
      </c>
      <c r="E21" s="236"/>
      <c r="F21" s="222"/>
      <c r="G21" s="222"/>
    </row>
    <row r="22" spans="2:12" ht="14.4" customHeight="1" x14ac:dyDescent="0.3">
      <c r="C22" s="29" t="s">
        <v>67</v>
      </c>
      <c r="E22" s="236"/>
      <c r="F22" s="222"/>
      <c r="G22" s="222"/>
    </row>
    <row r="23" spans="2:12" ht="14.4" customHeight="1" x14ac:dyDescent="0.3">
      <c r="D23" s="28" t="s">
        <v>262</v>
      </c>
      <c r="E23" s="232">
        <v>0</v>
      </c>
      <c r="F23" s="233">
        <v>444.12</v>
      </c>
      <c r="G23" s="233">
        <v>438.68</v>
      </c>
    </row>
    <row r="24" spans="2:12" ht="14.4" customHeight="1" x14ac:dyDescent="0.3">
      <c r="D24" s="28" t="s">
        <v>65</v>
      </c>
      <c r="E24" s="232">
        <v>906.56</v>
      </c>
      <c r="F24" s="233">
        <v>2018.89</v>
      </c>
      <c r="G24" s="233">
        <v>2649.92</v>
      </c>
    </row>
    <row r="25" spans="2:12" ht="14.4" customHeight="1" x14ac:dyDescent="0.3">
      <c r="D25" s="28" t="s">
        <v>263</v>
      </c>
      <c r="E25" s="232">
        <v>10.96</v>
      </c>
      <c r="F25" s="233">
        <v>189.65</v>
      </c>
      <c r="G25" s="233">
        <v>283.98</v>
      </c>
    </row>
    <row r="26" spans="2:12" ht="14.4" customHeight="1" x14ac:dyDescent="0.3">
      <c r="D26" s="28" t="s">
        <v>264</v>
      </c>
      <c r="E26" s="232">
        <v>134.62</v>
      </c>
      <c r="F26" s="233">
        <v>178.69</v>
      </c>
      <c r="G26" s="233">
        <v>292.33999999999997</v>
      </c>
      <c r="H26" s="221"/>
    </row>
    <row r="27" spans="2:12" ht="14.4" customHeight="1" x14ac:dyDescent="0.3">
      <c r="D27" s="28" t="s">
        <v>259</v>
      </c>
      <c r="E27" s="232">
        <v>82.84</v>
      </c>
      <c r="F27" s="233">
        <v>131.58000000000001</v>
      </c>
      <c r="G27" s="233">
        <v>105.59</v>
      </c>
    </row>
    <row r="28" spans="2:12" ht="14.4" customHeight="1" x14ac:dyDescent="0.3">
      <c r="D28" s="28" t="s">
        <v>66</v>
      </c>
      <c r="E28" s="232">
        <v>61.97</v>
      </c>
      <c r="F28" s="233">
        <v>42.01</v>
      </c>
      <c r="G28" s="233">
        <v>109.64</v>
      </c>
      <c r="L28" s="221"/>
    </row>
    <row r="29" spans="2:12" ht="14.4" customHeight="1" x14ac:dyDescent="0.3">
      <c r="D29" s="28" t="s">
        <v>265</v>
      </c>
      <c r="E29" s="232">
        <v>82.92</v>
      </c>
      <c r="F29" s="233">
        <v>13.89</v>
      </c>
      <c r="G29" s="233">
        <v>97.03</v>
      </c>
      <c r="L29" s="225"/>
    </row>
    <row r="30" spans="2:12" ht="14.4" customHeight="1" x14ac:dyDescent="0.3">
      <c r="E30" s="236"/>
      <c r="F30" s="222"/>
      <c r="G30" s="222"/>
      <c r="J30" s="225"/>
    </row>
    <row r="31" spans="2:12" ht="14.4" customHeight="1" x14ac:dyDescent="0.3">
      <c r="D31" s="56" t="s">
        <v>69</v>
      </c>
      <c r="E31" s="358">
        <f>SUM(E9:E29)</f>
        <v>1686.83</v>
      </c>
      <c r="F31" s="242">
        <f>SUM(F9:F29)</f>
        <v>3229.1700000000005</v>
      </c>
      <c r="G31" s="242">
        <f>SUM(G9:G29)</f>
        <v>4186.12</v>
      </c>
    </row>
    <row r="32" spans="2:12" ht="14.4" customHeight="1" x14ac:dyDescent="0.3">
      <c r="E32" s="236"/>
      <c r="F32" s="222"/>
      <c r="G32" s="222"/>
    </row>
    <row r="33" spans="2:11" ht="14.4" customHeight="1" x14ac:dyDescent="0.3">
      <c r="B33" s="29" t="s">
        <v>10</v>
      </c>
      <c r="E33" s="236"/>
      <c r="F33" s="222"/>
      <c r="G33" s="222"/>
    </row>
    <row r="34" spans="2:11" ht="14.4" customHeight="1" x14ac:dyDescent="0.3">
      <c r="C34" s="29" t="s">
        <v>11</v>
      </c>
      <c r="E34" s="236"/>
      <c r="F34" s="222"/>
      <c r="G34" s="222"/>
    </row>
    <row r="35" spans="2:11" ht="14.4" customHeight="1" x14ac:dyDescent="0.3">
      <c r="D35" s="28" t="s">
        <v>12</v>
      </c>
      <c r="E35" s="232">
        <v>104.5</v>
      </c>
      <c r="F35" s="233">
        <v>104.5</v>
      </c>
      <c r="G35" s="233">
        <v>106.05</v>
      </c>
    </row>
    <row r="36" spans="2:11" ht="14.4" customHeight="1" x14ac:dyDescent="0.3">
      <c r="D36" s="28" t="s">
        <v>13</v>
      </c>
      <c r="E36" s="232">
        <v>717.15</v>
      </c>
      <c r="F36" s="233">
        <v>1462.58</v>
      </c>
      <c r="G36" s="233">
        <v>2257.7399999999998</v>
      </c>
    </row>
    <row r="37" spans="2:11" ht="14.4" customHeight="1" x14ac:dyDescent="0.3">
      <c r="D37" s="28" t="s">
        <v>374</v>
      </c>
      <c r="E37" s="232">
        <v>0</v>
      </c>
      <c r="F37" s="233">
        <v>4.01</v>
      </c>
      <c r="G37" s="233">
        <v>0.34</v>
      </c>
    </row>
    <row r="38" spans="2:11" ht="14.4" customHeight="1" x14ac:dyDescent="0.3">
      <c r="C38" s="29" t="s">
        <v>14</v>
      </c>
      <c r="E38" s="236"/>
      <c r="F38" s="222"/>
      <c r="G38" s="222"/>
    </row>
    <row r="39" spans="2:11" ht="14.4" customHeight="1" x14ac:dyDescent="0.3">
      <c r="D39" s="29" t="s">
        <v>15</v>
      </c>
      <c r="E39" s="236"/>
      <c r="F39" s="222"/>
      <c r="G39" s="222"/>
    </row>
    <row r="40" spans="2:11" ht="14.4" customHeight="1" x14ac:dyDescent="0.3">
      <c r="D40" s="28" t="s">
        <v>202</v>
      </c>
      <c r="E40" s="232">
        <v>10.220000000000001</v>
      </c>
      <c r="F40" s="233">
        <v>8.83</v>
      </c>
      <c r="G40" s="233">
        <v>2.13</v>
      </c>
    </row>
    <row r="41" spans="2:11" ht="14.4" customHeight="1" x14ac:dyDescent="0.3">
      <c r="D41" s="28" t="s">
        <v>203</v>
      </c>
      <c r="E41" s="232">
        <v>64.3</v>
      </c>
      <c r="F41" s="233">
        <v>56.65</v>
      </c>
      <c r="G41" s="233">
        <v>48.25</v>
      </c>
    </row>
    <row r="42" spans="2:11" ht="14.4" customHeight="1" x14ac:dyDescent="0.3">
      <c r="D42" s="28" t="s">
        <v>266</v>
      </c>
      <c r="E42" s="232">
        <v>16.96</v>
      </c>
      <c r="F42" s="233">
        <v>29.39</v>
      </c>
      <c r="G42" s="233">
        <v>41.38</v>
      </c>
    </row>
    <row r="43" spans="2:11" ht="14.4" customHeight="1" x14ac:dyDescent="0.3">
      <c r="D43" s="29"/>
      <c r="E43" s="239"/>
      <c r="F43" s="240"/>
      <c r="G43" s="240"/>
    </row>
    <row r="44" spans="2:11" ht="14.4" customHeight="1" x14ac:dyDescent="0.3">
      <c r="C44" s="29" t="s">
        <v>16</v>
      </c>
      <c r="E44" s="236"/>
      <c r="F44" s="222"/>
      <c r="G44" s="222"/>
      <c r="J44" s="227"/>
    </row>
    <row r="45" spans="2:11" ht="14.4" customHeight="1" x14ac:dyDescent="0.3">
      <c r="D45" s="29" t="s">
        <v>15</v>
      </c>
      <c r="E45" s="236"/>
      <c r="F45" s="222"/>
      <c r="G45" s="222"/>
      <c r="J45" s="228"/>
    </row>
    <row r="46" spans="2:11" ht="14.4" customHeight="1" x14ac:dyDescent="0.3">
      <c r="D46" s="28" t="s">
        <v>202</v>
      </c>
      <c r="E46" s="232">
        <v>2.5299999999999998</v>
      </c>
      <c r="F46" s="233">
        <v>1.4</v>
      </c>
      <c r="G46" s="233">
        <v>2.2999999999999998</v>
      </c>
      <c r="J46" s="108"/>
      <c r="K46" s="221"/>
    </row>
    <row r="47" spans="2:11" ht="14.4" customHeight="1" x14ac:dyDescent="0.3">
      <c r="D47" s="28" t="s">
        <v>203</v>
      </c>
      <c r="E47" s="232">
        <v>5.46</v>
      </c>
      <c r="F47" s="233">
        <v>6.11</v>
      </c>
      <c r="G47" s="233">
        <v>8.4</v>
      </c>
      <c r="K47" s="225"/>
    </row>
    <row r="48" spans="2:11" ht="14.4" customHeight="1" x14ac:dyDescent="0.3">
      <c r="D48" s="29" t="s">
        <v>204</v>
      </c>
      <c r="E48" s="232"/>
      <c r="F48" s="233"/>
      <c r="G48" s="233"/>
      <c r="K48" s="225"/>
    </row>
    <row r="49" spans="4:7" ht="14.4" customHeight="1" x14ac:dyDescent="0.3">
      <c r="D49" s="28" t="s">
        <v>267</v>
      </c>
      <c r="E49" s="232">
        <v>339.54</v>
      </c>
      <c r="F49" s="233">
        <v>718.12</v>
      </c>
      <c r="G49" s="233">
        <v>77.06</v>
      </c>
    </row>
    <row r="50" spans="4:7" ht="14.4" customHeight="1" x14ac:dyDescent="0.3">
      <c r="D50" s="28" t="s">
        <v>268</v>
      </c>
      <c r="E50" s="232">
        <v>373.53</v>
      </c>
      <c r="F50" s="233">
        <v>675.1</v>
      </c>
      <c r="G50" s="233">
        <v>1552.53</v>
      </c>
    </row>
    <row r="51" spans="4:7" ht="14.4" customHeight="1" x14ac:dyDescent="0.3">
      <c r="D51" s="28" t="s">
        <v>205</v>
      </c>
      <c r="E51" s="232">
        <v>14.01</v>
      </c>
      <c r="F51" s="233">
        <v>89.51</v>
      </c>
      <c r="G51" s="233">
        <v>21.03</v>
      </c>
    </row>
    <row r="52" spans="4:7" ht="14.4" customHeight="1" x14ac:dyDescent="0.3">
      <c r="D52" s="28" t="s">
        <v>200</v>
      </c>
      <c r="E52" s="232">
        <v>35.840000000000003</v>
      </c>
      <c r="F52" s="233">
        <v>70.55</v>
      </c>
      <c r="G52" s="233">
        <v>64.930000000000007</v>
      </c>
    </row>
    <row r="53" spans="4:7" ht="14.4" customHeight="1" x14ac:dyDescent="0.3">
      <c r="D53" s="28" t="s">
        <v>201</v>
      </c>
      <c r="E53" s="232">
        <v>2.79</v>
      </c>
      <c r="F53" s="233">
        <v>2.42</v>
      </c>
      <c r="G53" s="233">
        <v>3.98</v>
      </c>
    </row>
    <row r="54" spans="4:7" ht="14.4" customHeight="1" thickBot="1" x14ac:dyDescent="0.35">
      <c r="E54" s="236"/>
      <c r="F54" s="222"/>
      <c r="G54" s="222"/>
    </row>
    <row r="55" spans="4:7" ht="14.4" customHeight="1" thickTop="1" thickBot="1" x14ac:dyDescent="0.35">
      <c r="D55" s="30" t="s">
        <v>17</v>
      </c>
      <c r="E55" s="359">
        <f t="shared" ref="E55:F55" si="0">SUM(E35:E53)</f>
        <v>1686.83</v>
      </c>
      <c r="F55" s="360">
        <f t="shared" si="0"/>
        <v>3229.1700000000005</v>
      </c>
      <c r="G55" s="360">
        <f>SUM(G35:G53)</f>
        <v>4186.12</v>
      </c>
    </row>
    <row r="56" spans="4:7" ht="14.4" customHeight="1" thickTop="1" x14ac:dyDescent="0.3">
      <c r="E56" s="221"/>
      <c r="F56" s="221"/>
      <c r="G56" s="221"/>
    </row>
    <row r="57" spans="4:7" ht="14.4" customHeight="1" x14ac:dyDescent="0.3">
      <c r="D57" s="39" t="s">
        <v>19</v>
      </c>
      <c r="E57" s="229" t="b">
        <f>E55=E31</f>
        <v>1</v>
      </c>
      <c r="F57" s="229" t="b">
        <f>F55=F31</f>
        <v>1</v>
      </c>
      <c r="G57" s="229" t="b">
        <f>G55=G31</f>
        <v>1</v>
      </c>
    </row>
  </sheetData>
  <mergeCells count="1">
    <mergeCell ref="D4:G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5F9C0-F000-4E27-A81C-5A5EEADF6418}">
  <dimension ref="D3:T28"/>
  <sheetViews>
    <sheetView showGridLines="0" workbookViewId="0">
      <selection activeCell="N17" sqref="N17"/>
    </sheetView>
  </sheetViews>
  <sheetFormatPr defaultColWidth="8.88671875" defaultRowHeight="14.4" x14ac:dyDescent="0.3"/>
  <cols>
    <col min="1" max="3" width="1.33203125" style="19" customWidth="1"/>
    <col min="4" max="4" width="36.44140625" style="19" customWidth="1"/>
    <col min="5" max="6" width="9" style="19" bestFit="1" customWidth="1"/>
    <col min="7" max="7" width="9.6640625" style="19" bestFit="1" customWidth="1"/>
    <col min="8" max="8" width="9.77734375" style="19" bestFit="1" customWidth="1"/>
    <col min="9" max="15" width="8.88671875" style="19"/>
    <col min="16" max="16" width="9.44140625" style="19" bestFit="1" customWidth="1"/>
    <col min="17" max="17" width="8.88671875" style="19"/>
    <col min="18" max="18" width="9.33203125" style="19" bestFit="1" customWidth="1"/>
    <col min="19" max="16384" width="8.88671875" style="19"/>
  </cols>
  <sheetData>
    <row r="3" spans="4:20" x14ac:dyDescent="0.3">
      <c r="L3" s="141" t="s">
        <v>310</v>
      </c>
    </row>
    <row r="4" spans="4:20" ht="16.95" customHeight="1" x14ac:dyDescent="0.3">
      <c r="D4" s="453" t="s">
        <v>20</v>
      </c>
      <c r="E4" s="453"/>
      <c r="F4" s="453"/>
      <c r="G4" s="453"/>
      <c r="H4" s="453"/>
      <c r="I4" s="453"/>
      <c r="J4" s="453"/>
      <c r="K4" s="453"/>
      <c r="L4" s="453"/>
    </row>
    <row r="5" spans="4:20" x14ac:dyDescent="0.3">
      <c r="D5" s="190"/>
      <c r="E5" s="191">
        <v>2022</v>
      </c>
      <c r="F5" s="20">
        <f t="shared" ref="F5:L5" si="0">E5+1</f>
        <v>2023</v>
      </c>
      <c r="G5" s="20">
        <f t="shared" si="0"/>
        <v>2024</v>
      </c>
      <c r="H5" s="20">
        <f t="shared" si="0"/>
        <v>2025</v>
      </c>
      <c r="I5" s="20">
        <f t="shared" si="0"/>
        <v>2026</v>
      </c>
      <c r="J5" s="20">
        <f t="shared" si="0"/>
        <v>2027</v>
      </c>
      <c r="K5" s="20">
        <f t="shared" si="0"/>
        <v>2028</v>
      </c>
      <c r="L5" s="20">
        <f t="shared" si="0"/>
        <v>2029</v>
      </c>
      <c r="M5" s="20"/>
      <c r="N5" s="20"/>
      <c r="O5" s="20"/>
      <c r="P5" s="20"/>
      <c r="Q5" s="20"/>
    </row>
    <row r="6" spans="4:20" x14ac:dyDescent="0.3">
      <c r="D6" s="192" t="s">
        <v>1</v>
      </c>
      <c r="E6" s="193" t="s">
        <v>21</v>
      </c>
      <c r="F6" s="194" t="s">
        <v>21</v>
      </c>
      <c r="G6" s="194" t="s">
        <v>21</v>
      </c>
      <c r="H6" s="195" t="s">
        <v>22</v>
      </c>
      <c r="I6" s="195" t="s">
        <v>22</v>
      </c>
      <c r="J6" s="195" t="s">
        <v>22</v>
      </c>
      <c r="K6" s="195" t="s">
        <v>22</v>
      </c>
      <c r="L6" s="195" t="s">
        <v>22</v>
      </c>
      <c r="M6" s="196"/>
      <c r="N6" s="196"/>
      <c r="O6" s="196"/>
      <c r="P6" s="196"/>
      <c r="Q6" s="196"/>
    </row>
    <row r="7" spans="4:20" x14ac:dyDescent="0.3">
      <c r="D7" s="138"/>
      <c r="E7" s="197"/>
      <c r="F7" s="138"/>
      <c r="G7" s="138"/>
      <c r="H7" s="198"/>
      <c r="I7" s="198"/>
      <c r="J7" s="198"/>
      <c r="K7" s="198"/>
      <c r="L7" s="198"/>
      <c r="M7" s="138"/>
      <c r="N7" s="138"/>
      <c r="O7" s="196"/>
      <c r="P7" s="138"/>
      <c r="Q7" s="138"/>
    </row>
    <row r="8" spans="4:20" x14ac:dyDescent="0.3">
      <c r="D8" s="138" t="s">
        <v>285</v>
      </c>
      <c r="E8" s="199">
        <f>'P&amp;L Inputs'!E8</f>
        <v>2824.98</v>
      </c>
      <c r="F8" s="200">
        <f>'P&amp;L Inputs'!F8</f>
        <v>7732.52</v>
      </c>
      <c r="G8" s="200">
        <f>'P&amp;L Inputs'!G8</f>
        <v>11349.46</v>
      </c>
      <c r="H8" s="201">
        <f>H19</f>
        <v>13047.339215999998</v>
      </c>
      <c r="I8" s="201">
        <f>I19</f>
        <v>14628.363592838014</v>
      </c>
      <c r="J8" s="201">
        <f>J19</f>
        <v>16064.174928085862</v>
      </c>
      <c r="K8" s="201">
        <f>K19</f>
        <v>17341.334241804212</v>
      </c>
      <c r="L8" s="201">
        <f>L19</f>
        <v>18458.079656808753</v>
      </c>
      <c r="M8" s="121"/>
      <c r="N8" s="121"/>
      <c r="O8" s="196"/>
      <c r="P8" s="121"/>
      <c r="Q8" s="121"/>
      <c r="R8" s="121"/>
      <c r="S8" s="121"/>
      <c r="T8" s="121"/>
    </row>
    <row r="9" spans="4:20" x14ac:dyDescent="0.3">
      <c r="D9" s="138"/>
      <c r="E9" s="197"/>
      <c r="F9" s="138"/>
      <c r="G9" s="138"/>
      <c r="H9" s="198"/>
      <c r="I9" s="198"/>
      <c r="J9" s="198"/>
      <c r="K9" s="198"/>
      <c r="L9" s="198"/>
      <c r="M9" s="138"/>
      <c r="N9" s="121"/>
      <c r="O9" s="196"/>
      <c r="P9" s="121"/>
      <c r="Q9" s="121"/>
      <c r="R9" s="121"/>
      <c r="S9" s="121"/>
      <c r="T9" s="121"/>
    </row>
    <row r="10" spans="4:20" x14ac:dyDescent="0.3">
      <c r="D10" s="202" t="s">
        <v>280</v>
      </c>
      <c r="E10" s="203">
        <f t="shared" ref="E10:L10" si="1">SUM(E8:E8)</f>
        <v>2824.98</v>
      </c>
      <c r="F10" s="204">
        <f t="shared" si="1"/>
        <v>7732.52</v>
      </c>
      <c r="G10" s="204">
        <f t="shared" si="1"/>
        <v>11349.46</v>
      </c>
      <c r="H10" s="205">
        <f t="shared" si="1"/>
        <v>13047.339215999998</v>
      </c>
      <c r="I10" s="205">
        <f t="shared" si="1"/>
        <v>14628.363592838014</v>
      </c>
      <c r="J10" s="205">
        <f t="shared" si="1"/>
        <v>16064.174928085862</v>
      </c>
      <c r="K10" s="205">
        <f t="shared" si="1"/>
        <v>17341.334241804212</v>
      </c>
      <c r="L10" s="205">
        <f t="shared" si="1"/>
        <v>18458.079656808753</v>
      </c>
      <c r="M10" s="206"/>
      <c r="N10" s="121"/>
      <c r="O10" s="196"/>
      <c r="P10" s="121"/>
      <c r="Q10" s="121"/>
      <c r="R10" s="121"/>
      <c r="S10" s="121"/>
      <c r="T10" s="121"/>
    </row>
    <row r="11" spans="4:20" x14ac:dyDescent="0.3">
      <c r="D11" s="207" t="s">
        <v>281</v>
      </c>
      <c r="E11" s="197"/>
      <c r="F11" s="361">
        <f t="shared" ref="F11:L11" si="2">F10/E10-1</f>
        <v>1.7371945996077849</v>
      </c>
      <c r="G11" s="361">
        <f t="shared" si="2"/>
        <v>0.46775695374858373</v>
      </c>
      <c r="H11" s="362">
        <f t="shared" si="2"/>
        <v>0.14959999999999996</v>
      </c>
      <c r="I11" s="362">
        <f t="shared" si="2"/>
        <v>0.12117599999999995</v>
      </c>
      <c r="J11" s="362">
        <f t="shared" si="2"/>
        <v>9.8152559999999944E-2</v>
      </c>
      <c r="K11" s="362">
        <f t="shared" si="2"/>
        <v>7.9503573600000044E-2</v>
      </c>
      <c r="L11" s="362">
        <f t="shared" si="2"/>
        <v>6.4397894615999984E-2</v>
      </c>
      <c r="M11" s="138"/>
      <c r="N11" s="121"/>
      <c r="O11" s="196"/>
      <c r="P11" s="121"/>
      <c r="Q11" s="121"/>
      <c r="R11" s="121"/>
      <c r="S11" s="121"/>
      <c r="T11" s="121"/>
    </row>
    <row r="12" spans="4:20" x14ac:dyDescent="0.3">
      <c r="D12" s="138"/>
      <c r="E12" s="197"/>
      <c r="F12" s="138"/>
      <c r="G12" s="208"/>
      <c r="H12" s="198"/>
      <c r="I12" s="198"/>
      <c r="J12" s="198"/>
      <c r="K12" s="198"/>
      <c r="L12" s="198"/>
      <c r="M12" s="138"/>
      <c r="N12" s="121"/>
      <c r="O12" s="196"/>
      <c r="P12" s="121"/>
      <c r="Q12" s="121"/>
      <c r="R12" s="121"/>
      <c r="S12" s="121"/>
      <c r="T12" s="121"/>
    </row>
    <row r="13" spans="4:20" x14ac:dyDescent="0.3">
      <c r="D13" s="138" t="s">
        <v>23</v>
      </c>
      <c r="E13" s="210">
        <f>'P&amp;L Inputs'!E9</f>
        <v>14.91</v>
      </c>
      <c r="F13" s="211">
        <f>'P&amp;L Inputs'!F9</f>
        <v>32.96</v>
      </c>
      <c r="G13" s="211">
        <f>'P&amp;L Inputs'!G9</f>
        <v>33.17</v>
      </c>
      <c r="H13" s="201">
        <f>H8*H14</f>
        <v>38.132232000000002</v>
      </c>
      <c r="I13" s="201">
        <f>I8*I14</f>
        <v>42.752943344831998</v>
      </c>
      <c r="J13" s="201">
        <f>J8*J14</f>
        <v>46.949254181662219</v>
      </c>
      <c r="K13" s="201">
        <f>K8*K14</f>
        <v>50.681887666959113</v>
      </c>
      <c r="L13" s="201">
        <f>L8*L14</f>
        <v>53.945694527875901</v>
      </c>
      <c r="M13" s="121"/>
      <c r="N13" s="121"/>
      <c r="O13" s="196"/>
      <c r="P13" s="121"/>
      <c r="Q13" s="121"/>
      <c r="R13" s="121"/>
      <c r="S13" s="121"/>
      <c r="T13" s="121"/>
    </row>
    <row r="14" spans="4:20" x14ac:dyDescent="0.3">
      <c r="D14" s="138"/>
      <c r="E14" s="363">
        <f t="shared" ref="E14:G14" si="3">E13/E8</f>
        <v>5.2779134719537837E-3</v>
      </c>
      <c r="F14" s="361">
        <f t="shared" si="3"/>
        <v>4.2625172647468091E-3</v>
      </c>
      <c r="G14" s="361">
        <f t="shared" si="3"/>
        <v>2.9226060094489081E-3</v>
      </c>
      <c r="H14" s="412">
        <f t="shared" ref="H14:L14" si="4">G14</f>
        <v>2.9226060094489081E-3</v>
      </c>
      <c r="I14" s="412">
        <f t="shared" si="4"/>
        <v>2.9226060094489081E-3</v>
      </c>
      <c r="J14" s="412">
        <f t="shared" si="4"/>
        <v>2.9226060094489081E-3</v>
      </c>
      <c r="K14" s="412">
        <f t="shared" si="4"/>
        <v>2.9226060094489081E-3</v>
      </c>
      <c r="L14" s="413">
        <f t="shared" si="4"/>
        <v>2.9226060094489081E-3</v>
      </c>
      <c r="M14" s="209"/>
      <c r="N14" s="121"/>
      <c r="O14" s="196"/>
      <c r="P14" s="121"/>
      <c r="Q14" s="121"/>
      <c r="R14" s="121"/>
      <c r="S14" s="121"/>
      <c r="T14" s="121"/>
    </row>
    <row r="15" spans="4:20" x14ac:dyDescent="0.3">
      <c r="D15" s="138"/>
      <c r="E15" s="197"/>
      <c r="F15" s="138"/>
      <c r="G15" s="138"/>
      <c r="H15" s="198"/>
      <c r="I15" s="198"/>
      <c r="J15" s="198"/>
      <c r="K15" s="198"/>
      <c r="L15" s="198"/>
      <c r="M15" s="138"/>
      <c r="N15" s="121"/>
      <c r="O15" s="196"/>
      <c r="P15" s="121"/>
      <c r="Q15" s="121"/>
      <c r="R15" s="121"/>
      <c r="S15" s="121"/>
      <c r="T15" s="121"/>
    </row>
    <row r="16" spans="4:20" x14ac:dyDescent="0.3">
      <c r="D16" s="202" t="s">
        <v>282</v>
      </c>
      <c r="E16" s="197"/>
      <c r="F16" s="138"/>
      <c r="G16" s="138"/>
      <c r="H16" s="198"/>
      <c r="I16" s="198"/>
      <c r="J16" s="198"/>
      <c r="K16" s="198"/>
      <c r="L16" s="198"/>
      <c r="M16" s="138"/>
      <c r="N16" s="121"/>
      <c r="O16" s="196"/>
      <c r="P16" s="121"/>
      <c r="Q16" s="121"/>
      <c r="R16" s="121"/>
      <c r="S16" s="121"/>
      <c r="T16" s="121"/>
    </row>
    <row r="17" spans="4:20" x14ac:dyDescent="0.3">
      <c r="D17" s="138" t="s">
        <v>283</v>
      </c>
      <c r="E17" s="199">
        <v>2683.7309999999998</v>
      </c>
      <c r="F17" s="200">
        <v>7345.8940000000002</v>
      </c>
      <c r="G17" s="200">
        <v>10781.986999999999</v>
      </c>
      <c r="H17" s="201">
        <f>(H19*G17)/G19</f>
        <v>12394.972255199998</v>
      </c>
      <c r="I17" s="201">
        <f t="shared" ref="I17:L17" si="5">(I19*H17)/H19</f>
        <v>13896.945413196114</v>
      </c>
      <c r="J17" s="201">
        <f t="shared" si="5"/>
        <v>15260.96618168157</v>
      </c>
      <c r="K17" s="201">
        <f t="shared" si="5"/>
        <v>16474.267529714001</v>
      </c>
      <c r="L17" s="201">
        <f t="shared" si="5"/>
        <v>17535.175673968315</v>
      </c>
      <c r="M17" s="121"/>
      <c r="N17" s="121"/>
      <c r="O17" s="196"/>
      <c r="P17" s="121"/>
      <c r="Q17" s="121"/>
      <c r="R17" s="121"/>
      <c r="S17" s="121"/>
      <c r="T17" s="121"/>
    </row>
    <row r="18" spans="4:20" x14ac:dyDescent="0.3">
      <c r="D18" s="138" t="s">
        <v>284</v>
      </c>
      <c r="E18" s="199">
        <v>141.249</v>
      </c>
      <c r="F18" s="200">
        <v>386.62600000000003</v>
      </c>
      <c r="G18" s="200">
        <v>567.47299999999996</v>
      </c>
      <c r="H18" s="201">
        <f t="shared" ref="H18:L18" si="6">H19-H17</f>
        <v>652.36696080000002</v>
      </c>
      <c r="I18" s="201">
        <f t="shared" si="6"/>
        <v>731.41817964189977</v>
      </c>
      <c r="J18" s="201">
        <f t="shared" si="6"/>
        <v>803.20874640429247</v>
      </c>
      <c r="K18" s="201">
        <f t="shared" si="6"/>
        <v>867.06671209021079</v>
      </c>
      <c r="L18" s="201">
        <f t="shared" si="6"/>
        <v>922.9039828404384</v>
      </c>
      <c r="M18" s="121"/>
      <c r="N18" s="121"/>
      <c r="O18" s="196"/>
      <c r="P18" s="121"/>
      <c r="Q18" s="121"/>
      <c r="R18" s="121"/>
      <c r="S18" s="121"/>
      <c r="T18" s="121"/>
    </row>
    <row r="19" spans="4:20" x14ac:dyDescent="0.3">
      <c r="D19" s="138"/>
      <c r="E19" s="212">
        <f>SUM(E17:E18)</f>
        <v>2824.9799999999996</v>
      </c>
      <c r="F19" s="213">
        <f>SUM(F17:F18)</f>
        <v>7732.52</v>
      </c>
      <c r="G19" s="213">
        <f>SUM(G17:G18)</f>
        <v>11349.46</v>
      </c>
      <c r="H19" s="214">
        <f>G19*(1+H20)</f>
        <v>13047.339215999998</v>
      </c>
      <c r="I19" s="214">
        <f t="shared" ref="I19:L19" si="7">H19*(1+I20)</f>
        <v>14628.363592838014</v>
      </c>
      <c r="J19" s="214">
        <f t="shared" si="7"/>
        <v>16064.174928085862</v>
      </c>
      <c r="K19" s="214">
        <f t="shared" si="7"/>
        <v>17341.334241804212</v>
      </c>
      <c r="L19" s="214">
        <f t="shared" si="7"/>
        <v>18458.079656808753</v>
      </c>
      <c r="M19" s="121"/>
      <c r="N19" s="121"/>
      <c r="O19" s="196"/>
      <c r="P19" s="121"/>
      <c r="Q19" s="121"/>
      <c r="R19" s="121"/>
      <c r="S19" s="121"/>
      <c r="T19" s="121"/>
    </row>
    <row r="20" spans="4:20" x14ac:dyDescent="0.3">
      <c r="D20" s="215" t="s">
        <v>286</v>
      </c>
      <c r="E20" s="197"/>
      <c r="F20" s="361">
        <f t="shared" ref="F20:G20" si="8">F19/E19-1</f>
        <v>1.7371945996077853</v>
      </c>
      <c r="G20" s="361">
        <f t="shared" si="8"/>
        <v>0.46775695374858373</v>
      </c>
      <c r="H20" s="362">
        <f t="array" ref="H20:L20">CHOOSE(Assumptions!C15,'Revenue Buildup'!H23:L23,'Revenue Buildup'!H24:L24,'Revenue Buildup'!H25:L25)</f>
        <v>0.14960000000000001</v>
      </c>
      <c r="I20" s="362">
        <v>0.12117600000000002</v>
      </c>
      <c r="J20" s="362">
        <v>9.8152560000000028E-2</v>
      </c>
      <c r="K20" s="362">
        <v>7.950357360000003E-2</v>
      </c>
      <c r="L20" s="362">
        <v>6.4397894616000026E-2</v>
      </c>
      <c r="M20" s="138"/>
      <c r="N20" s="121"/>
      <c r="O20" s="196"/>
      <c r="P20" s="121"/>
      <c r="Q20" s="121"/>
      <c r="R20" s="121"/>
      <c r="S20" s="121"/>
      <c r="T20" s="121"/>
    </row>
    <row r="21" spans="4:20" x14ac:dyDescent="0.3">
      <c r="D21" s="182"/>
      <c r="E21" s="28"/>
      <c r="F21" s="28"/>
      <c r="G21" s="28"/>
      <c r="H21" s="28"/>
      <c r="I21" s="28"/>
      <c r="J21" s="28"/>
      <c r="K21" s="28"/>
      <c r="L21" s="28"/>
      <c r="N21" s="121"/>
      <c r="O21" s="196"/>
      <c r="P21" s="121"/>
      <c r="Q21" s="121"/>
      <c r="R21" s="121"/>
      <c r="S21" s="121"/>
      <c r="T21" s="121"/>
    </row>
    <row r="22" spans="4:20" x14ac:dyDescent="0.3">
      <c r="D22" s="216" t="s">
        <v>276</v>
      </c>
      <c r="E22" s="28"/>
      <c r="F22" s="28"/>
      <c r="G22" s="28"/>
      <c r="H22" s="28"/>
      <c r="I22" s="28"/>
      <c r="J22" s="28"/>
      <c r="K22" s="28"/>
      <c r="L22" s="28"/>
      <c r="N22" s="121"/>
      <c r="O22" s="196"/>
      <c r="P22" s="121"/>
      <c r="Q22" s="121"/>
      <c r="R22" s="121"/>
      <c r="S22" s="121"/>
      <c r="T22" s="121"/>
    </row>
    <row r="23" spans="4:20" x14ac:dyDescent="0.3">
      <c r="D23" s="128" t="s">
        <v>274</v>
      </c>
      <c r="E23" s="217"/>
      <c r="F23" s="217"/>
      <c r="G23" s="217"/>
      <c r="H23" s="218">
        <f>H24+5%</f>
        <v>0.1996</v>
      </c>
      <c r="I23" s="218">
        <f>H23*(1-Assumptions!$D$31)</f>
        <v>0.16167600000000001</v>
      </c>
      <c r="J23" s="218">
        <f>I23*(1-Assumptions!$D$31)</f>
        <v>0.13095756000000003</v>
      </c>
      <c r="K23" s="218">
        <f>J23*(1-Assumptions!$D$31)</f>
        <v>0.10607562360000003</v>
      </c>
      <c r="L23" s="218">
        <f>K23*(1-Assumptions!$D$31)</f>
        <v>8.5921255116000031E-2</v>
      </c>
      <c r="N23" s="121"/>
      <c r="O23" s="196"/>
      <c r="P23" s="121"/>
      <c r="Q23" s="121"/>
      <c r="R23" s="121"/>
      <c r="S23" s="121"/>
      <c r="T23" s="121"/>
    </row>
    <row r="24" spans="4:20" x14ac:dyDescent="0.3">
      <c r="D24" s="128" t="s">
        <v>273</v>
      </c>
      <c r="E24" s="217"/>
      <c r="F24" s="217"/>
      <c r="G24" s="217"/>
      <c r="H24" s="218">
        <v>0.14960000000000001</v>
      </c>
      <c r="I24" s="218">
        <f>H24*(1-Assumptions!$D$31)</f>
        <v>0.12117600000000002</v>
      </c>
      <c r="J24" s="218">
        <f>I24*(1-Assumptions!$D$31)</f>
        <v>9.8152560000000028E-2</v>
      </c>
      <c r="K24" s="218">
        <f>J24*(1-Assumptions!$D$31)</f>
        <v>7.950357360000003E-2</v>
      </c>
      <c r="L24" s="218">
        <f>K24*(1-Assumptions!$D$31)</f>
        <v>6.4397894616000026E-2</v>
      </c>
      <c r="N24" s="121"/>
      <c r="O24" s="196"/>
      <c r="P24" s="121"/>
      <c r="Q24" s="121"/>
      <c r="R24" s="121"/>
      <c r="S24" s="121"/>
      <c r="T24" s="121"/>
    </row>
    <row r="25" spans="4:20" x14ac:dyDescent="0.3">
      <c r="D25" s="128" t="s">
        <v>275</v>
      </c>
      <c r="E25" s="217"/>
      <c r="F25" s="217"/>
      <c r="G25" s="217"/>
      <c r="H25" s="218">
        <f>H24-5%</f>
        <v>9.9600000000000008E-2</v>
      </c>
      <c r="I25" s="218">
        <f>H25*(1-Assumptions!$D$31)</f>
        <v>8.0676000000000012E-2</v>
      </c>
      <c r="J25" s="218">
        <f>I25*(1-Assumptions!$D$31)</f>
        <v>6.5347560000000013E-2</v>
      </c>
      <c r="K25" s="218">
        <f>J25*(1-Assumptions!$D$31)</f>
        <v>5.2931523600000016E-2</v>
      </c>
      <c r="L25" s="218">
        <f>K25*(1-Assumptions!$D$31)</f>
        <v>4.2874534116000014E-2</v>
      </c>
      <c r="N25" s="121"/>
      <c r="O25" s="196"/>
      <c r="P25" s="121"/>
      <c r="Q25" s="121"/>
      <c r="R25" s="121"/>
      <c r="S25" s="121"/>
      <c r="T25" s="121"/>
    </row>
    <row r="26" spans="4:20" x14ac:dyDescent="0.3">
      <c r="E26" s="28"/>
      <c r="F26" s="28"/>
      <c r="G26" s="28"/>
      <c r="H26" s="28"/>
      <c r="I26" s="28"/>
      <c r="J26" s="28"/>
      <c r="K26" s="28"/>
      <c r="L26" s="28"/>
      <c r="O26" s="196"/>
    </row>
    <row r="27" spans="4:20" x14ac:dyDescent="0.3">
      <c r="E27" s="28"/>
      <c r="F27" s="28"/>
      <c r="G27" s="28"/>
      <c r="H27" s="28"/>
      <c r="I27" s="28"/>
      <c r="J27" s="28"/>
      <c r="K27" s="28"/>
      <c r="L27" s="28"/>
    </row>
    <row r="28" spans="4:20" x14ac:dyDescent="0.3">
      <c r="E28" s="28"/>
      <c r="F28" s="28"/>
      <c r="G28" s="28"/>
      <c r="H28" s="28"/>
      <c r="I28" s="28"/>
      <c r="J28" s="28"/>
      <c r="K28" s="28"/>
      <c r="L28" s="28"/>
    </row>
  </sheetData>
  <mergeCells count="1">
    <mergeCell ref="D4:L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7023D-525E-4231-8BDD-5515F7D8F1F1}">
  <dimension ref="A1:R30"/>
  <sheetViews>
    <sheetView showGridLines="0" topLeftCell="A10" zoomScaleNormal="100" workbookViewId="0">
      <selection activeCell="O24" sqref="O24"/>
    </sheetView>
  </sheetViews>
  <sheetFormatPr defaultColWidth="8.88671875" defaultRowHeight="14.4" x14ac:dyDescent="0.3"/>
  <cols>
    <col min="1" max="3" width="1.33203125" style="19" customWidth="1"/>
    <col min="4" max="4" width="35.77734375" style="28" customWidth="1"/>
    <col min="5" max="17" width="10.77734375" style="28" customWidth="1"/>
    <col min="18" max="16384" width="8.88671875" style="28"/>
  </cols>
  <sheetData>
    <row r="1" spans="4:18" s="19" customFormat="1" x14ac:dyDescent="0.3"/>
    <row r="2" spans="4:18" s="19" customFormat="1" x14ac:dyDescent="0.3"/>
    <row r="3" spans="4:18" s="19" customFormat="1" x14ac:dyDescent="0.3">
      <c r="L3" s="141" t="s">
        <v>310</v>
      </c>
      <c r="P3" s="28"/>
      <c r="Q3" s="141"/>
    </row>
    <row r="4" spans="4:18" s="19" customFormat="1" ht="16.95" customHeight="1" x14ac:dyDescent="0.3">
      <c r="D4" s="513" t="s">
        <v>48</v>
      </c>
      <c r="E4" s="514"/>
      <c r="F4" s="514"/>
      <c r="G4" s="514"/>
      <c r="H4" s="514"/>
      <c r="I4" s="514"/>
      <c r="J4" s="514"/>
      <c r="K4" s="514"/>
      <c r="L4" s="514"/>
      <c r="M4" s="248"/>
      <c r="N4" s="248"/>
      <c r="O4" s="248"/>
      <c r="P4" s="248"/>
      <c r="Q4" s="248"/>
    </row>
    <row r="5" spans="4:18" s="19" customFormat="1" x14ac:dyDescent="0.3">
      <c r="E5" s="191">
        <v>2022</v>
      </c>
      <c r="F5" s="20">
        <f t="shared" ref="F5:L5" si="0">E5+1</f>
        <v>2023</v>
      </c>
      <c r="G5" s="20">
        <f t="shared" si="0"/>
        <v>2024</v>
      </c>
      <c r="H5" s="20">
        <f t="shared" si="0"/>
        <v>2025</v>
      </c>
      <c r="I5" s="20">
        <f t="shared" si="0"/>
        <v>2026</v>
      </c>
      <c r="J5" s="20">
        <f t="shared" si="0"/>
        <v>2027</v>
      </c>
      <c r="K5" s="20">
        <f t="shared" si="0"/>
        <v>2028</v>
      </c>
      <c r="L5" s="20">
        <f t="shared" si="0"/>
        <v>2029</v>
      </c>
      <c r="M5" s="125"/>
      <c r="N5" s="125"/>
      <c r="O5" s="125"/>
      <c r="P5" s="125"/>
      <c r="Q5" s="125"/>
    </row>
    <row r="6" spans="4:18" s="19" customFormat="1" x14ac:dyDescent="0.3">
      <c r="D6" s="21" t="s">
        <v>1</v>
      </c>
      <c r="E6" s="352" t="s">
        <v>21</v>
      </c>
      <c r="F6" s="22" t="s">
        <v>21</v>
      </c>
      <c r="G6" s="22" t="s">
        <v>21</v>
      </c>
      <c r="H6" s="23" t="s">
        <v>22</v>
      </c>
      <c r="I6" s="23" t="s">
        <v>22</v>
      </c>
      <c r="J6" s="23" t="s">
        <v>22</v>
      </c>
      <c r="K6" s="23" t="s">
        <v>22</v>
      </c>
      <c r="L6" s="23" t="s">
        <v>22</v>
      </c>
      <c r="M6" s="126"/>
      <c r="N6" s="126"/>
      <c r="O6" s="126"/>
      <c r="P6" s="126"/>
      <c r="Q6" s="126"/>
    </row>
    <row r="7" spans="4:18" s="19" customFormat="1" x14ac:dyDescent="0.3">
      <c r="E7" s="185"/>
      <c r="H7" s="186"/>
      <c r="I7" s="186"/>
      <c r="J7" s="186"/>
      <c r="K7" s="186"/>
      <c r="L7" s="186"/>
      <c r="M7" s="249"/>
      <c r="N7" s="249"/>
      <c r="O7" s="126"/>
      <c r="P7" s="126"/>
      <c r="Q7" s="126"/>
    </row>
    <row r="8" spans="4:18" x14ac:dyDescent="0.3">
      <c r="D8" s="56" t="s">
        <v>49</v>
      </c>
      <c r="E8" s="279">
        <f>'P&amp;L Inputs'!E8</f>
        <v>2824.98</v>
      </c>
      <c r="F8" s="57">
        <f>'P&amp;L Inputs'!F8</f>
        <v>7732.52</v>
      </c>
      <c r="G8" s="57">
        <f>'P&amp;L Inputs'!G8</f>
        <v>11349.46</v>
      </c>
      <c r="H8" s="250">
        <f>'Revenue Buildup'!H10</f>
        <v>13047.339215999998</v>
      </c>
      <c r="I8" s="250">
        <f>'Revenue Buildup'!I10</f>
        <v>14628.363592838014</v>
      </c>
      <c r="J8" s="250">
        <f>'Revenue Buildup'!J10</f>
        <v>16064.174928085862</v>
      </c>
      <c r="K8" s="250">
        <f>'Revenue Buildup'!K10</f>
        <v>17341.334241804212</v>
      </c>
      <c r="L8" s="250">
        <f>'Revenue Buildup'!L10</f>
        <v>18458.079656808753</v>
      </c>
      <c r="M8" s="251"/>
      <c r="N8" s="251"/>
      <c r="O8" s="126"/>
      <c r="P8" s="126"/>
      <c r="Q8" s="126"/>
      <c r="R8" s="126"/>
    </row>
    <row r="9" spans="4:18" x14ac:dyDescent="0.3">
      <c r="E9" s="170"/>
      <c r="F9" s="181"/>
      <c r="G9" s="181"/>
      <c r="H9" s="252"/>
      <c r="I9" s="252"/>
      <c r="J9" s="252"/>
      <c r="K9" s="252"/>
      <c r="L9" s="252"/>
      <c r="M9" s="253"/>
      <c r="N9" s="253"/>
      <c r="O9" s="126"/>
      <c r="P9" s="126"/>
      <c r="Q9" s="126"/>
      <c r="R9" s="126"/>
    </row>
    <row r="10" spans="4:18" x14ac:dyDescent="0.3">
      <c r="D10" s="28" t="s">
        <v>272</v>
      </c>
      <c r="E10" s="267">
        <f>'P&amp;L Inputs'!E13</f>
        <v>2372.66</v>
      </c>
      <c r="F10" s="127">
        <f>'P&amp;L Inputs'!F13</f>
        <v>6453.78</v>
      </c>
      <c r="G10" s="127">
        <f>'P&amp;L Inputs'!G13</f>
        <v>9975.4599999999991</v>
      </c>
      <c r="H10" s="254">
        <f>H8*H11</f>
        <v>11467.788815999998</v>
      </c>
      <c r="I10" s="254">
        <f t="shared" ref="I10:L10" si="1">I8*I11</f>
        <v>12857.409593567614</v>
      </c>
      <c r="J10" s="254">
        <f t="shared" si="1"/>
        <v>14119.397260144835</v>
      </c>
      <c r="K10" s="254">
        <f t="shared" si="1"/>
        <v>15241.939799404399</v>
      </c>
      <c r="L10" s="254">
        <f t="shared" si="1"/>
        <v>16223.488632349861</v>
      </c>
      <c r="M10" s="255"/>
      <c r="N10" s="255"/>
      <c r="O10" s="126"/>
      <c r="P10" s="126"/>
      <c r="Q10" s="126"/>
      <c r="R10" s="126"/>
    </row>
    <row r="11" spans="4:18" x14ac:dyDescent="0.3">
      <c r="D11" s="256" t="s">
        <v>50</v>
      </c>
      <c r="E11" s="364">
        <f>E10/E8</f>
        <v>0.8398855921103866</v>
      </c>
      <c r="F11" s="365">
        <f>F10/F8</f>
        <v>0.83462829711400677</v>
      </c>
      <c r="G11" s="365">
        <f>G10/G8</f>
        <v>0.8789369714506241</v>
      </c>
      <c r="H11" s="264">
        <f t="shared" ref="H11:L11" si="2">G11</f>
        <v>0.8789369714506241</v>
      </c>
      <c r="I11" s="264">
        <f t="shared" si="2"/>
        <v>0.8789369714506241</v>
      </c>
      <c r="J11" s="264">
        <f t="shared" si="2"/>
        <v>0.8789369714506241</v>
      </c>
      <c r="K11" s="264">
        <f t="shared" si="2"/>
        <v>0.8789369714506241</v>
      </c>
      <c r="L11" s="265">
        <f t="shared" si="2"/>
        <v>0.8789369714506241</v>
      </c>
      <c r="M11" s="257"/>
      <c r="N11" s="257"/>
      <c r="O11" s="126"/>
      <c r="P11" s="126"/>
      <c r="Q11" s="126"/>
      <c r="R11" s="126"/>
    </row>
    <row r="12" spans="4:18" x14ac:dyDescent="0.3">
      <c r="E12" s="170"/>
      <c r="H12" s="252"/>
      <c r="I12" s="252"/>
      <c r="J12" s="252"/>
      <c r="K12" s="252"/>
      <c r="L12" s="252"/>
      <c r="M12" s="253"/>
      <c r="N12" s="253"/>
      <c r="O12" s="126"/>
      <c r="P12" s="126"/>
      <c r="Q12" s="126"/>
      <c r="R12" s="126"/>
    </row>
    <row r="13" spans="4:18" x14ac:dyDescent="0.3">
      <c r="D13" s="28" t="s">
        <v>51</v>
      </c>
      <c r="E13" s="267">
        <f>'P&amp;L Inputs'!E14</f>
        <v>165.53</v>
      </c>
      <c r="F13" s="127">
        <f>'P&amp;L Inputs'!F14</f>
        <v>174.41</v>
      </c>
      <c r="G13" s="127">
        <f>'P&amp;L Inputs'!G14</f>
        <v>282.08999999999997</v>
      </c>
      <c r="H13" s="254">
        <f>H8*H14</f>
        <v>324.29066399999994</v>
      </c>
      <c r="I13" s="254">
        <f>I8*I14</f>
        <v>363.5869095008639</v>
      </c>
      <c r="J13" s="254">
        <f>J8*J14</f>
        <v>399.27389545086203</v>
      </c>
      <c r="K13" s="254">
        <f>K8*K14</f>
        <v>431.01759698439838</v>
      </c>
      <c r="L13" s="254">
        <f>L8*L14</f>
        <v>458.77422277264122</v>
      </c>
      <c r="M13" s="255"/>
      <c r="N13" s="255"/>
      <c r="O13" s="126"/>
      <c r="P13" s="126"/>
      <c r="Q13" s="126"/>
      <c r="R13" s="126"/>
    </row>
    <row r="14" spans="4:18" x14ac:dyDescent="0.3">
      <c r="D14" s="256" t="s">
        <v>50</v>
      </c>
      <c r="E14" s="366">
        <f>E13/E8</f>
        <v>5.8595105098089191E-2</v>
      </c>
      <c r="F14" s="367">
        <f>F13/F8</f>
        <v>2.2555389446131401E-2</v>
      </c>
      <c r="G14" s="367">
        <f>G13/G8</f>
        <v>2.4854927018554185E-2</v>
      </c>
      <c r="H14" s="264">
        <f>G14</f>
        <v>2.4854927018554185E-2</v>
      </c>
      <c r="I14" s="264">
        <f t="shared" ref="I14:L14" si="3">H14</f>
        <v>2.4854927018554185E-2</v>
      </c>
      <c r="J14" s="264">
        <f t="shared" si="3"/>
        <v>2.4854927018554185E-2</v>
      </c>
      <c r="K14" s="264">
        <f t="shared" si="3"/>
        <v>2.4854927018554185E-2</v>
      </c>
      <c r="L14" s="265">
        <f t="shared" si="3"/>
        <v>2.4854927018554185E-2</v>
      </c>
      <c r="M14" s="257"/>
      <c r="N14" s="257"/>
      <c r="O14" s="126"/>
      <c r="P14" s="126"/>
      <c r="Q14" s="126"/>
      <c r="R14" s="126"/>
    </row>
    <row r="15" spans="4:18" x14ac:dyDescent="0.3">
      <c r="E15" s="354"/>
      <c r="F15" s="259"/>
      <c r="G15" s="259"/>
      <c r="H15" s="252"/>
      <c r="I15" s="252"/>
      <c r="J15" s="252"/>
      <c r="K15" s="252"/>
      <c r="L15" s="252"/>
      <c r="M15" s="257"/>
      <c r="N15" s="253"/>
      <c r="O15" s="126"/>
      <c r="P15" s="126"/>
      <c r="Q15" s="126"/>
      <c r="R15" s="126"/>
    </row>
    <row r="16" spans="4:18" x14ac:dyDescent="0.3">
      <c r="D16" s="28" t="s">
        <v>6</v>
      </c>
      <c r="E16" s="267">
        <f>'P&amp;L Inputs'!E17</f>
        <v>60.98</v>
      </c>
      <c r="F16" s="127">
        <f>'P&amp;L Inputs'!F17</f>
        <v>115.1</v>
      </c>
      <c r="G16" s="127">
        <f>'P&amp;L Inputs'!G17</f>
        <v>139.1</v>
      </c>
      <c r="H16" s="254">
        <f>H8*H17</f>
        <v>159.90935999999999</v>
      </c>
      <c r="I16" s="254">
        <f>I8*I17</f>
        <v>179.28653660735998</v>
      </c>
      <c r="J16" s="254">
        <f>J8*J17</f>
        <v>196.88396914890609</v>
      </c>
      <c r="K16" s="254">
        <f>K8*K17</f>
        <v>212.53694828079628</v>
      </c>
      <c r="L16" s="254">
        <f>L8*L17</f>
        <v>226.22388027818926</v>
      </c>
      <c r="M16" s="257"/>
      <c r="N16" s="255"/>
      <c r="O16" s="126"/>
      <c r="P16" s="126"/>
      <c r="Q16" s="126"/>
      <c r="R16" s="126"/>
    </row>
    <row r="17" spans="4:18" x14ac:dyDescent="0.3">
      <c r="D17" s="256" t="s">
        <v>50</v>
      </c>
      <c r="E17" s="366">
        <f>E16/E8</f>
        <v>2.1585993529157726E-2</v>
      </c>
      <c r="F17" s="367">
        <f>F16/F8</f>
        <v>1.4885186200617649E-2</v>
      </c>
      <c r="G17" s="367">
        <f>G16/G8</f>
        <v>1.2256089717043808E-2</v>
      </c>
      <c r="H17" s="264">
        <f>G17</f>
        <v>1.2256089717043808E-2</v>
      </c>
      <c r="I17" s="264">
        <f t="shared" ref="I17:L17" si="4">H17</f>
        <v>1.2256089717043808E-2</v>
      </c>
      <c r="J17" s="264">
        <f t="shared" si="4"/>
        <v>1.2256089717043808E-2</v>
      </c>
      <c r="K17" s="264">
        <f t="shared" si="4"/>
        <v>1.2256089717043808E-2</v>
      </c>
      <c r="L17" s="265">
        <f t="shared" si="4"/>
        <v>1.2256089717043808E-2</v>
      </c>
      <c r="M17" s="257"/>
      <c r="N17" s="257"/>
      <c r="O17" s="126"/>
      <c r="P17" s="126"/>
      <c r="Q17" s="126"/>
      <c r="R17" s="126"/>
    </row>
    <row r="18" spans="4:18" x14ac:dyDescent="0.3">
      <c r="D18" s="256"/>
      <c r="E18" s="353"/>
      <c r="F18" s="258"/>
      <c r="G18" s="258"/>
      <c r="H18" s="260"/>
      <c r="I18" s="260"/>
      <c r="J18" s="260"/>
      <c r="K18" s="260"/>
      <c r="L18" s="260"/>
      <c r="M18" s="257"/>
      <c r="N18" s="257"/>
      <c r="O18" s="126"/>
      <c r="P18" s="126"/>
      <c r="Q18" s="126"/>
      <c r="R18" s="126"/>
    </row>
    <row r="19" spans="4:18" x14ac:dyDescent="0.3">
      <c r="D19" s="28" t="s">
        <v>52</v>
      </c>
      <c r="E19" s="267">
        <f>'P&amp;L Inputs'!E15</f>
        <v>14.67</v>
      </c>
      <c r="F19" s="127">
        <f>'P&amp;L Inputs'!F15</f>
        <v>12.86</v>
      </c>
      <c r="G19" s="127">
        <f>'P&amp;L Inputs'!G15</f>
        <v>11.63</v>
      </c>
      <c r="H19" s="110">
        <f>'BS Items'!H27+'BS Items'!H29+'BS Items'!H35+'BS Items'!H37*'Cost Buildup'!H20</f>
        <v>62.39961043614931</v>
      </c>
      <c r="I19" s="110">
        <f>'BS Items'!I27+'BS Items'!I29+'BS Items'!I35+'BS Items'!I37*'Cost Buildup'!I20</f>
        <v>69.960945630360143</v>
      </c>
      <c r="J19" s="110">
        <f>'BS Items'!J27+'BS Items'!J29+'BS Items'!J35+'BS Items'!J37*'Cost Buildup'!J20</f>
        <v>76.827791544000789</v>
      </c>
      <c r="K19" s="110">
        <f>'BS Items'!K27+'BS Items'!K29+'BS Items'!K35+'BS Items'!K37*'Cost Buildup'!K20</f>
        <v>82.935875523544723</v>
      </c>
      <c r="L19" s="110">
        <f>'BS Items'!L27+'BS Items'!L29+'BS Items'!L35+'BS Items'!L37*'Cost Buildup'!L20</f>
        <v>88.276771295395662</v>
      </c>
      <c r="M19" s="257"/>
      <c r="N19" s="262"/>
      <c r="O19" s="262"/>
      <c r="P19" s="262"/>
      <c r="Q19" s="262"/>
      <c r="R19" s="262"/>
    </row>
    <row r="20" spans="4:18" x14ac:dyDescent="0.3">
      <c r="D20" s="256" t="s">
        <v>53</v>
      </c>
      <c r="E20" s="366">
        <f>E19/SUM('BS Items'!E27,'BS Items'!E29,'BS Items'!E35,'BS Items'!E37)</f>
        <v>0.17779663071142893</v>
      </c>
      <c r="F20" s="367">
        <f>F19/SUM('BS Items'!F27,'BS Items'!F29,'BS Items'!F35,'BS Items'!F37)</f>
        <v>0.17618851897520205</v>
      </c>
      <c r="G20" s="367">
        <f>G19/SUM('BS Items'!G27,'BS Items'!G29,'BS Items'!G35,'BS Items'!G37)</f>
        <v>0.19040602488539621</v>
      </c>
      <c r="H20" s="368">
        <f t="shared" ref="H20:L20" si="5">G20</f>
        <v>0.19040602488539621</v>
      </c>
      <c r="I20" s="368">
        <f t="shared" si="5"/>
        <v>0.19040602488539621</v>
      </c>
      <c r="J20" s="368">
        <f t="shared" si="5"/>
        <v>0.19040602488539621</v>
      </c>
      <c r="K20" s="368">
        <f t="shared" si="5"/>
        <v>0.19040602488539621</v>
      </c>
      <c r="L20" s="369">
        <f t="shared" si="5"/>
        <v>0.19040602488539621</v>
      </c>
      <c r="M20" s="257"/>
      <c r="N20" s="262"/>
      <c r="O20" s="262"/>
      <c r="P20" s="262"/>
      <c r="Q20" s="262"/>
      <c r="R20" s="262"/>
    </row>
    <row r="21" spans="4:18" x14ac:dyDescent="0.3">
      <c r="D21" s="256"/>
      <c r="E21" s="366"/>
      <c r="F21" s="367"/>
      <c r="G21" s="367"/>
      <c r="H21" s="432"/>
      <c r="I21" s="432"/>
      <c r="J21" s="432"/>
      <c r="K21" s="432"/>
      <c r="L21" s="432"/>
      <c r="M21" s="257"/>
      <c r="N21" s="262"/>
      <c r="O21" s="262"/>
      <c r="P21" s="262"/>
      <c r="Q21" s="262"/>
      <c r="R21" s="262"/>
    </row>
    <row r="22" spans="4:18" x14ac:dyDescent="0.3">
      <c r="D22" s="28" t="s">
        <v>58</v>
      </c>
      <c r="E22" s="226">
        <f>'P&amp;L Inputs'!E16</f>
        <v>21.29</v>
      </c>
      <c r="F22" s="223">
        <f>'P&amp;L Inputs'!F16</f>
        <v>34.979999999999997</v>
      </c>
      <c r="G22" s="223">
        <f>'P&amp;L Inputs'!G16</f>
        <v>37</v>
      </c>
      <c r="H22" s="261">
        <f>-'Working Schedule'!H21</f>
        <v>28.484388535441166</v>
      </c>
      <c r="I22" s="261">
        <f>-'Working Schedule'!I21</f>
        <v>25.28453850928965</v>
      </c>
      <c r="J22" s="261">
        <f>-'Working Schedule'!J21</f>
        <v>22.889545014513253</v>
      </c>
      <c r="K22" s="261">
        <f>-'Working Schedule'!K21</f>
        <v>21.317549335294931</v>
      </c>
      <c r="L22" s="261">
        <f>-'Working Schedule'!L21</f>
        <v>19.935461160966195</v>
      </c>
      <c r="M22" s="257"/>
      <c r="N22" s="262"/>
      <c r="O22" s="262"/>
      <c r="P22" s="262"/>
      <c r="Q22" s="262"/>
      <c r="R22" s="262"/>
    </row>
    <row r="23" spans="4:18" x14ac:dyDescent="0.3">
      <c r="D23" s="256" t="s">
        <v>371</v>
      </c>
      <c r="E23" s="431">
        <f>E22/('Working Schedule'!E22+'Cost Buildup'!E22)</f>
        <v>0.11919157989026986</v>
      </c>
      <c r="F23" s="181">
        <f>F22/('Working Schedule'!F22+'Cost Buildup'!F22)</f>
        <v>0.19922542430800771</v>
      </c>
      <c r="G23" s="181">
        <f>G22/('Working Schedule'!G22+'Cost Buildup'!G22)</f>
        <v>0.23777392198444827</v>
      </c>
      <c r="H23" s="430">
        <f>G23*(1+1%)</f>
        <v>0.24015166120429277</v>
      </c>
      <c r="I23" s="430">
        <f t="shared" ref="I23:J23" si="6">H23</f>
        <v>0.24015166120429277</v>
      </c>
      <c r="J23" s="430">
        <f t="shared" si="6"/>
        <v>0.24015166120429277</v>
      </c>
      <c r="K23" s="430">
        <f>J23*(1+1%)</f>
        <v>0.2425531778163357</v>
      </c>
      <c r="L23" s="430">
        <f>K23</f>
        <v>0.2425531778163357</v>
      </c>
      <c r="M23" s="257"/>
      <c r="N23" s="262"/>
      <c r="O23" s="262"/>
      <c r="P23" s="262"/>
      <c r="Q23" s="262"/>
      <c r="R23" s="262"/>
    </row>
    <row r="24" spans="4:18" x14ac:dyDescent="0.3">
      <c r="E24" s="170"/>
      <c r="H24" s="252"/>
      <c r="I24" s="252"/>
      <c r="J24" s="252"/>
      <c r="K24" s="252"/>
      <c r="L24" s="252"/>
      <c r="M24" s="257"/>
      <c r="N24" s="262"/>
      <c r="O24" s="262"/>
      <c r="P24" s="262"/>
      <c r="Q24" s="262"/>
      <c r="R24" s="262"/>
    </row>
    <row r="25" spans="4:18" x14ac:dyDescent="0.3">
      <c r="D25" s="28" t="s">
        <v>54</v>
      </c>
      <c r="E25" s="355">
        <f>-'Income Statement'!E18/'Income Statement'!E17</f>
        <v>0.20629029107247485</v>
      </c>
      <c r="F25" s="263">
        <f>-'Income Statement'!F18/'Income Statement'!F17</f>
        <v>0.25563709139426266</v>
      </c>
      <c r="G25" s="263">
        <f>-'Income Statement'!G18/'Income Statement'!G17</f>
        <v>0.25659572198218378</v>
      </c>
      <c r="H25" s="264">
        <f>G25+1%</f>
        <v>0.26659572198218379</v>
      </c>
      <c r="I25" s="264">
        <f t="shared" ref="I25:J25" si="7">H25</f>
        <v>0.26659572198218379</v>
      </c>
      <c r="J25" s="264">
        <f t="shared" si="7"/>
        <v>0.26659572198218379</v>
      </c>
      <c r="K25" s="264">
        <f>J25+1%</f>
        <v>0.2765957219821838</v>
      </c>
      <c r="L25" s="265">
        <f>K25</f>
        <v>0.2765957219821838</v>
      </c>
      <c r="M25" s="257"/>
      <c r="N25" s="262"/>
      <c r="O25" s="262"/>
      <c r="P25" s="262"/>
      <c r="Q25" s="262"/>
      <c r="R25" s="262"/>
    </row>
    <row r="26" spans="4:18" x14ac:dyDescent="0.3">
      <c r="E26" s="170"/>
      <c r="H26" s="252"/>
      <c r="I26" s="252"/>
      <c r="J26" s="252"/>
      <c r="K26" s="252"/>
      <c r="L26" s="252"/>
      <c r="M26" s="257"/>
      <c r="N26" s="262"/>
      <c r="O26" s="262"/>
      <c r="P26" s="262"/>
      <c r="Q26" s="262"/>
      <c r="R26" s="262"/>
    </row>
    <row r="27" spans="4:18" x14ac:dyDescent="0.3">
      <c r="D27" s="60" t="s">
        <v>74</v>
      </c>
      <c r="E27" s="146">
        <v>0</v>
      </c>
      <c r="F27" s="146">
        <v>0</v>
      </c>
      <c r="G27" s="211">
        <v>26.51</v>
      </c>
      <c r="H27" s="261">
        <f>'Income Statement'!H19*'Cost Buildup'!H28</f>
        <v>29.089983045933678</v>
      </c>
      <c r="I27" s="261">
        <f>'Income Statement'!I19*'Cost Buildup'!I28</f>
        <v>32.800576418031127</v>
      </c>
      <c r="J27" s="261">
        <f>'Income Statement'!J19*'Cost Buildup'!J28</f>
        <v>36.156104819694228</v>
      </c>
      <c r="K27" s="261">
        <f>'Income Statement'!K19*'Cost Buildup'!K28</f>
        <v>38.591805358355124</v>
      </c>
      <c r="L27" s="261">
        <f>'Income Statement'!L19*'Cost Buildup'!L28</f>
        <v>41.152853752482429</v>
      </c>
      <c r="M27" s="257"/>
      <c r="N27" s="262"/>
      <c r="O27" s="262"/>
      <c r="P27" s="262"/>
      <c r="Q27" s="262"/>
      <c r="R27" s="262"/>
    </row>
    <row r="28" spans="4:18" x14ac:dyDescent="0.3">
      <c r="D28" s="416" t="s">
        <v>50</v>
      </c>
      <c r="E28" s="415">
        <f>E27/'Income Statement'!E19</f>
        <v>0</v>
      </c>
      <c r="F28" s="415">
        <f>F27/'Income Statement'!F19</f>
        <v>0</v>
      </c>
      <c r="G28" s="415">
        <f>G27/'Income Statement'!G19</f>
        <v>3.8043712239714131E-2</v>
      </c>
      <c r="H28" s="264">
        <f t="shared" ref="H28:L28" si="8">G28</f>
        <v>3.8043712239714131E-2</v>
      </c>
      <c r="I28" s="264">
        <f t="shared" si="8"/>
        <v>3.8043712239714131E-2</v>
      </c>
      <c r="J28" s="264">
        <f t="shared" si="8"/>
        <v>3.8043712239714131E-2</v>
      </c>
      <c r="K28" s="264">
        <f t="shared" si="8"/>
        <v>3.8043712239714131E-2</v>
      </c>
      <c r="L28" s="265">
        <f t="shared" si="8"/>
        <v>3.8043712239714131E-2</v>
      </c>
      <c r="M28" s="257"/>
      <c r="N28" s="262"/>
      <c r="O28" s="262"/>
      <c r="P28" s="262"/>
      <c r="Q28" s="262"/>
      <c r="R28" s="262"/>
    </row>
    <row r="29" spans="4:18" x14ac:dyDescent="0.3">
      <c r="D29" s="184"/>
      <c r="E29" s="266"/>
      <c r="F29" s="266"/>
      <c r="G29" s="266"/>
      <c r="H29" s="39"/>
      <c r="I29" s="39"/>
      <c r="J29" s="39"/>
      <c r="K29" s="39"/>
      <c r="L29" s="39"/>
    </row>
    <row r="30" spans="4:18" x14ac:dyDescent="0.3">
      <c r="D30" s="184"/>
      <c r="E30" s="266"/>
      <c r="F30" s="266"/>
      <c r="G30" s="266"/>
      <c r="H30" s="39"/>
      <c r="I30" s="39"/>
      <c r="J30" s="39"/>
      <c r="K30" s="39"/>
      <c r="L30" s="39"/>
    </row>
  </sheetData>
  <mergeCells count="1">
    <mergeCell ref="D4:L4"/>
  </mergeCells>
  <pageMargins left="0.7" right="0.7" top="0.75" bottom="0.75" header="0.3" footer="0.3"/>
  <ignoredErrors>
    <ignoredError sqref="K25 K23" formula="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F480-E6A8-4C52-91C3-5D2EEB159F47}">
  <dimension ref="B3:M44"/>
  <sheetViews>
    <sheetView showGridLines="0" zoomScaleNormal="100" workbookViewId="0">
      <selection activeCell="Q14" sqref="Q14"/>
    </sheetView>
  </sheetViews>
  <sheetFormatPr defaultColWidth="8.88671875" defaultRowHeight="13.8" x14ac:dyDescent="0.25"/>
  <cols>
    <col min="1" max="3" width="1.33203125" style="1" customWidth="1"/>
    <col min="4" max="4" width="35.77734375" style="1" customWidth="1"/>
    <col min="5" max="12" width="10.77734375" style="1" customWidth="1"/>
    <col min="13" max="16384" width="8.88671875" style="1"/>
  </cols>
  <sheetData>
    <row r="3" spans="2:12" x14ac:dyDescent="0.25">
      <c r="L3" s="141" t="s">
        <v>310</v>
      </c>
    </row>
    <row r="4" spans="2:12" ht="16.8" x14ac:dyDescent="0.25">
      <c r="B4" s="28"/>
      <c r="C4" s="28"/>
      <c r="D4" s="453" t="s">
        <v>328</v>
      </c>
      <c r="E4" s="453"/>
      <c r="F4" s="453"/>
      <c r="G4" s="453"/>
      <c r="H4" s="453"/>
      <c r="I4" s="453"/>
      <c r="J4" s="453"/>
      <c r="K4" s="453"/>
      <c r="L4" s="453"/>
    </row>
    <row r="5" spans="2:12" x14ac:dyDescent="0.25">
      <c r="B5" s="28"/>
      <c r="C5" s="28"/>
      <c r="D5" s="28"/>
      <c r="E5" s="167">
        <v>2022</v>
      </c>
      <c r="F5" s="29">
        <f t="shared" ref="F5:L5" si="0">E5+1</f>
        <v>2023</v>
      </c>
      <c r="G5" s="29">
        <f t="shared" si="0"/>
        <v>2024</v>
      </c>
      <c r="H5" s="29">
        <f t="shared" si="0"/>
        <v>2025</v>
      </c>
      <c r="I5" s="29">
        <f t="shared" si="0"/>
        <v>2026</v>
      </c>
      <c r="J5" s="29">
        <f t="shared" si="0"/>
        <v>2027</v>
      </c>
      <c r="K5" s="29">
        <f t="shared" si="0"/>
        <v>2028</v>
      </c>
      <c r="L5" s="29">
        <f t="shared" si="0"/>
        <v>2029</v>
      </c>
    </row>
    <row r="6" spans="2:12" x14ac:dyDescent="0.25">
      <c r="B6" s="28"/>
      <c r="C6" s="28"/>
      <c r="D6" s="21" t="s">
        <v>1</v>
      </c>
      <c r="E6" s="168" t="s">
        <v>21</v>
      </c>
      <c r="F6" s="169" t="s">
        <v>21</v>
      </c>
      <c r="G6" s="169" t="s">
        <v>21</v>
      </c>
      <c r="H6" s="183" t="s">
        <v>22</v>
      </c>
      <c r="I6" s="183" t="s">
        <v>22</v>
      </c>
      <c r="J6" s="183" t="s">
        <v>22</v>
      </c>
      <c r="K6" s="183" t="s">
        <v>22</v>
      </c>
      <c r="L6" s="183" t="s">
        <v>22</v>
      </c>
    </row>
    <row r="7" spans="2:12" x14ac:dyDescent="0.25">
      <c r="E7" s="380"/>
      <c r="H7" s="373"/>
      <c r="I7" s="373"/>
      <c r="J7" s="373"/>
      <c r="K7" s="373"/>
      <c r="L7" s="373"/>
    </row>
    <row r="8" spans="2:12" x14ac:dyDescent="0.25">
      <c r="B8" s="28"/>
      <c r="C8" s="29" t="s">
        <v>67</v>
      </c>
      <c r="D8" s="28"/>
      <c r="E8" s="380"/>
      <c r="H8" s="373"/>
      <c r="I8" s="373"/>
      <c r="J8" s="373"/>
      <c r="K8" s="373"/>
      <c r="L8" s="373"/>
    </row>
    <row r="9" spans="2:12" x14ac:dyDescent="0.25">
      <c r="B9" s="28"/>
      <c r="C9" s="28"/>
      <c r="D9" s="28" t="s">
        <v>259</v>
      </c>
      <c r="E9" s="422">
        <f>'BS Inputs'!E17</f>
        <v>27.19</v>
      </c>
      <c r="F9" s="410">
        <f>'BS Inputs'!F17</f>
        <v>39.01</v>
      </c>
      <c r="G9" s="410">
        <f>'BS Inputs'!G17</f>
        <v>43.28</v>
      </c>
      <c r="H9" s="375">
        <f>'Revenue Buildup'!H$8*'BS Items'!H10</f>
        <v>49.754688000000002</v>
      </c>
      <c r="I9" s="375">
        <f>'Revenue Buildup'!I$8*'BS Items'!I10</f>
        <v>55.783762073087999</v>
      </c>
      <c r="J9" s="375">
        <f>'Revenue Buildup'!J$8*'BS Items'!J10</f>
        <v>61.259081126992491</v>
      </c>
      <c r="K9" s="375">
        <f>'Revenue Buildup'!K$8*'BS Items'!K10</f>
        <v>66.129396992040711</v>
      </c>
      <c r="L9" s="375">
        <f>'Revenue Buildup'!L$8*'BS Items'!L10</f>
        <v>70.387990930553784</v>
      </c>
    </row>
    <row r="10" spans="2:12" x14ac:dyDescent="0.25">
      <c r="B10" s="28"/>
      <c r="C10" s="28"/>
      <c r="D10" s="28"/>
      <c r="E10" s="423">
        <f>E9/'Revenue Buildup'!E$8</f>
        <v>9.6248469015709857E-3</v>
      </c>
      <c r="F10" s="378">
        <f>F9/'Revenue Buildup'!F$8</f>
        <v>5.0449271388887445E-3</v>
      </c>
      <c r="G10" s="378">
        <f>G9/'Revenue Buildup'!G$8</f>
        <v>3.8133972893864558E-3</v>
      </c>
      <c r="H10" s="379">
        <f t="shared" ref="H10:L10" si="1">G10</f>
        <v>3.8133972893864558E-3</v>
      </c>
      <c r="I10" s="379">
        <f t="shared" si="1"/>
        <v>3.8133972893864558E-3</v>
      </c>
      <c r="J10" s="379">
        <f t="shared" si="1"/>
        <v>3.8133972893864558E-3</v>
      </c>
      <c r="K10" s="379">
        <f t="shared" si="1"/>
        <v>3.8133972893864558E-3</v>
      </c>
      <c r="L10" s="379">
        <f t="shared" si="1"/>
        <v>3.8133972893864558E-3</v>
      </c>
    </row>
    <row r="11" spans="2:12" x14ac:dyDescent="0.25">
      <c r="B11" s="28"/>
      <c r="C11" s="28"/>
      <c r="D11" s="28" t="s">
        <v>260</v>
      </c>
      <c r="E11" s="422">
        <f>'BS Inputs'!E18</f>
        <v>12.38</v>
      </c>
      <c r="F11" s="410">
        <f>'BS Inputs'!F18</f>
        <v>24.8</v>
      </c>
      <c r="G11" s="410">
        <f>'BS Inputs'!G18</f>
        <v>45.17</v>
      </c>
      <c r="H11" s="375">
        <f>'Revenue Buildup'!H$8*'BS Items'!H12</f>
        <v>51.927431999999996</v>
      </c>
      <c r="I11" s="375">
        <f>'Revenue Buildup'!I$8*'BS Items'!I12</f>
        <v>58.219790500031991</v>
      </c>
      <c r="J11" s="375">
        <f>'Revenue Buildup'!J$8*'BS Items'!J12</f>
        <v>63.934211980273815</v>
      </c>
      <c r="K11" s="375">
        <f>'Revenue Buildup'!K$8*'BS Items'!K12</f>
        <v>69.017210308005517</v>
      </c>
      <c r="L11" s="375">
        <f>'Revenue Buildup'!L$8*'BS Items'!L12</f>
        <v>73.461773344110767</v>
      </c>
    </row>
    <row r="12" spans="2:12" x14ac:dyDescent="0.25">
      <c r="B12" s="28"/>
      <c r="C12" s="28"/>
      <c r="D12" s="28"/>
      <c r="E12" s="423">
        <f>E11/'Revenue Buildup'!E$8</f>
        <v>4.3823319103144095E-3</v>
      </c>
      <c r="F12" s="378">
        <f>F11/'Revenue Buildup'!F$8</f>
        <v>3.2072338642512403E-3</v>
      </c>
      <c r="G12" s="378">
        <f>G11/'Revenue Buildup'!G$8</f>
        <v>3.9799250360810119E-3</v>
      </c>
      <c r="H12" s="379">
        <f t="shared" ref="H12:L12" si="2">G12</f>
        <v>3.9799250360810119E-3</v>
      </c>
      <c r="I12" s="379">
        <f t="shared" si="2"/>
        <v>3.9799250360810119E-3</v>
      </c>
      <c r="J12" s="379">
        <f t="shared" si="2"/>
        <v>3.9799250360810119E-3</v>
      </c>
      <c r="K12" s="379">
        <f t="shared" si="2"/>
        <v>3.9799250360810119E-3</v>
      </c>
      <c r="L12" s="379">
        <f t="shared" si="2"/>
        <v>3.9799250360810119E-3</v>
      </c>
    </row>
    <row r="13" spans="2:12" x14ac:dyDescent="0.25">
      <c r="B13" s="28"/>
      <c r="C13" s="28"/>
      <c r="D13" s="28" t="s">
        <v>68</v>
      </c>
      <c r="E13" s="422">
        <f>'BS Inputs'!E19</f>
        <v>210.06</v>
      </c>
      <c r="F13" s="410">
        <f>'BS Inputs'!F19</f>
        <v>5.93</v>
      </c>
      <c r="G13" s="410">
        <f>'BS Inputs'!G19</f>
        <v>1.88</v>
      </c>
      <c r="H13" s="375">
        <f>'Revenue Buildup'!H$8*'BS Items'!H14</f>
        <v>2.1612479999999996</v>
      </c>
      <c r="I13" s="375">
        <f>'Revenue Buildup'!I$8*'BS Items'!I14</f>
        <v>2.4231393876479999</v>
      </c>
      <c r="J13" s="375">
        <f>'Revenue Buildup'!J$8*'BS Items'!J14</f>
        <v>2.6609767217824833</v>
      </c>
      <c r="K13" s="375">
        <f>'Revenue Buildup'!K$8*'BS Items'!K14</f>
        <v>2.8725338804306038</v>
      </c>
      <c r="L13" s="375">
        <f>'Revenue Buildup'!L$8*'BS Items'!L14</f>
        <v>3.0575190145434634</v>
      </c>
    </row>
    <row r="14" spans="2:12" x14ac:dyDescent="0.25">
      <c r="B14" s="28"/>
      <c r="C14" s="28"/>
      <c r="D14" s="28"/>
      <c r="E14" s="423">
        <f>E13/'Revenue Buildup'!E$8</f>
        <v>7.4358048552556122E-2</v>
      </c>
      <c r="F14" s="378">
        <f>F13/'Revenue Buildup'!F$8</f>
        <v>7.6689100060523604E-4</v>
      </c>
      <c r="G14" s="378">
        <f>G13/'Revenue Buildup'!G$8</f>
        <v>1.6564664750569631E-4</v>
      </c>
      <c r="H14" s="379">
        <f t="shared" ref="H14:L14" si="3">G14</f>
        <v>1.6564664750569631E-4</v>
      </c>
      <c r="I14" s="379">
        <f t="shared" si="3"/>
        <v>1.6564664750569631E-4</v>
      </c>
      <c r="J14" s="379">
        <f t="shared" si="3"/>
        <v>1.6564664750569631E-4</v>
      </c>
      <c r="K14" s="379">
        <f t="shared" si="3"/>
        <v>1.6564664750569631E-4</v>
      </c>
      <c r="L14" s="379">
        <f t="shared" si="3"/>
        <v>1.6564664750569631E-4</v>
      </c>
    </row>
    <row r="15" spans="2:12" x14ac:dyDescent="0.25">
      <c r="B15" s="29" t="s">
        <v>9</v>
      </c>
      <c r="C15" s="28"/>
      <c r="D15" s="28"/>
      <c r="E15" s="380"/>
      <c r="H15" s="373"/>
      <c r="I15" s="373"/>
      <c r="J15" s="373"/>
      <c r="K15" s="373"/>
      <c r="L15" s="373"/>
    </row>
    <row r="16" spans="2:12" x14ac:dyDescent="0.25">
      <c r="B16" s="28"/>
      <c r="C16" s="29" t="s">
        <v>67</v>
      </c>
      <c r="D16" s="28"/>
      <c r="E16" s="380"/>
      <c r="H16" s="373"/>
      <c r="I16" s="373"/>
      <c r="J16" s="373"/>
      <c r="K16" s="373"/>
      <c r="L16" s="373"/>
    </row>
    <row r="17" spans="2:13" x14ac:dyDescent="0.25">
      <c r="B17" s="28"/>
      <c r="C17" s="28"/>
      <c r="D17" s="28" t="s">
        <v>262</v>
      </c>
      <c r="E17" s="422">
        <f>'BS Inputs'!E23</f>
        <v>0</v>
      </c>
      <c r="F17" s="410">
        <f>'BS Inputs'!F23</f>
        <v>444.12</v>
      </c>
      <c r="G17" s="410">
        <f>'BS Inputs'!G23</f>
        <v>438.68</v>
      </c>
      <c r="H17" s="375">
        <f>'Revenue Buildup'!H$8*'BS Items'!H18</f>
        <v>504.30652799999996</v>
      </c>
      <c r="I17" s="375">
        <f>'Revenue Buildup'!I$8*'BS Items'!I18</f>
        <v>565.41637583692795</v>
      </c>
      <c r="J17" s="375">
        <f>'Revenue Buildup'!J$8*'BS Items'!J18</f>
        <v>620.91344059124458</v>
      </c>
      <c r="K17" s="375">
        <f>'Revenue Buildup'!K$8*'BS Items'!K18</f>
        <v>670.27827801451986</v>
      </c>
      <c r="L17" s="375">
        <f>'Revenue Buildup'!L$8*'BS Items'!L18</f>
        <v>713.44278792549289</v>
      </c>
    </row>
    <row r="18" spans="2:13" x14ac:dyDescent="0.25">
      <c r="B18" s="28"/>
      <c r="C18" s="28"/>
      <c r="D18" s="28"/>
      <c r="E18" s="423">
        <f>E17/'Revenue Buildup'!E$8</f>
        <v>0</v>
      </c>
      <c r="F18" s="378">
        <f>F17/'Revenue Buildup'!F$8</f>
        <v>5.7435350959325032E-2</v>
      </c>
      <c r="G18" s="378">
        <f>G17/'Revenue Buildup'!G$8</f>
        <v>3.8652059216914288E-2</v>
      </c>
      <c r="H18" s="401">
        <f t="shared" ref="H18:L18" si="4">G18</f>
        <v>3.8652059216914288E-2</v>
      </c>
      <c r="I18" s="401">
        <f t="shared" si="4"/>
        <v>3.8652059216914288E-2</v>
      </c>
      <c r="J18" s="401">
        <f t="shared" si="4"/>
        <v>3.8652059216914288E-2</v>
      </c>
      <c r="K18" s="401">
        <f t="shared" si="4"/>
        <v>3.8652059216914288E-2</v>
      </c>
      <c r="L18" s="401">
        <f t="shared" si="4"/>
        <v>3.8652059216914288E-2</v>
      </c>
    </row>
    <row r="19" spans="2:13" x14ac:dyDescent="0.25">
      <c r="B19" s="28"/>
      <c r="C19" s="28"/>
      <c r="D19" s="28" t="s">
        <v>259</v>
      </c>
      <c r="E19" s="422">
        <f>'BS Inputs'!E27</f>
        <v>82.84</v>
      </c>
      <c r="F19" s="410">
        <f>'BS Inputs'!F27</f>
        <v>131.58000000000001</v>
      </c>
      <c r="G19" s="410">
        <f>'BS Inputs'!G27</f>
        <v>105.59</v>
      </c>
      <c r="H19" s="375">
        <f>'Revenue Buildup'!H$8*'BS Items'!H20</f>
        <v>121.38626400000001</v>
      </c>
      <c r="I19" s="375">
        <f>'Revenue Buildup'!I$8*'BS Items'!I20</f>
        <v>136.09536592646401</v>
      </c>
      <c r="J19" s="375">
        <f>'Revenue Buildup'!J$8*'BS Items'!J20</f>
        <v>149.45347449628321</v>
      </c>
      <c r="K19" s="375">
        <f>'Revenue Buildup'!K$8*'BS Items'!K20</f>
        <v>161.33555980567419</v>
      </c>
      <c r="L19" s="375">
        <f>'Revenue Buildup'!L$8*'BS Items'!L20</f>
        <v>171.72523018385337</v>
      </c>
    </row>
    <row r="20" spans="2:13" x14ac:dyDescent="0.25">
      <c r="B20" s="28"/>
      <c r="C20" s="28"/>
      <c r="D20" s="28"/>
      <c r="E20" s="423">
        <f>E19/'Revenue Buildup'!E$8</f>
        <v>2.9324101409567503E-2</v>
      </c>
      <c r="F20" s="378">
        <f>F19/'Revenue Buildup'!F$8</f>
        <v>1.7016444832991057E-2</v>
      </c>
      <c r="G20" s="378">
        <f>G19/'Revenue Buildup'!G$8</f>
        <v>9.3035263351736574E-3</v>
      </c>
      <c r="H20" s="379">
        <f t="shared" ref="H20:L20" si="5">G20</f>
        <v>9.3035263351736574E-3</v>
      </c>
      <c r="I20" s="379">
        <f t="shared" si="5"/>
        <v>9.3035263351736574E-3</v>
      </c>
      <c r="J20" s="379">
        <f t="shared" si="5"/>
        <v>9.3035263351736574E-3</v>
      </c>
      <c r="K20" s="379">
        <f t="shared" si="5"/>
        <v>9.3035263351736574E-3</v>
      </c>
      <c r="L20" s="379">
        <f t="shared" si="5"/>
        <v>9.3035263351736574E-3</v>
      </c>
      <c r="M20" s="376"/>
    </row>
    <row r="21" spans="2:13" x14ac:dyDescent="0.25">
      <c r="B21" s="28"/>
      <c r="C21" s="28"/>
      <c r="D21" s="28" t="s">
        <v>66</v>
      </c>
      <c r="E21" s="422">
        <f>'BS Inputs'!E28</f>
        <v>61.97</v>
      </c>
      <c r="F21" s="410">
        <f>'BS Inputs'!F28</f>
        <v>42.01</v>
      </c>
      <c r="G21" s="410">
        <f>'BS Inputs'!G28</f>
        <v>109.64</v>
      </c>
      <c r="H21" s="375">
        <f>'Revenue Buildup'!H$8*'BS Items'!H22</f>
        <v>126.04214399999999</v>
      </c>
      <c r="I21" s="375">
        <f>'Revenue Buildup'!I$8*'BS Items'!I22</f>
        <v>141.31542684134399</v>
      </c>
      <c r="J21" s="375">
        <f>'Revenue Buildup'!J$8*'BS Items'!J22</f>
        <v>155.18589775331461</v>
      </c>
      <c r="K21" s="375">
        <f>'Revenue Buildup'!K$8*'BS Items'!K22</f>
        <v>167.52373119702733</v>
      </c>
      <c r="L21" s="375">
        <f>'Revenue Buildup'!L$8*'BS Items'!L22</f>
        <v>178.31190678433262</v>
      </c>
    </row>
    <row r="22" spans="2:13" x14ac:dyDescent="0.25">
      <c r="B22" s="28"/>
      <c r="C22" s="28"/>
      <c r="D22" s="28"/>
      <c r="E22" s="423">
        <f>E21/'Revenue Buildup'!E$8</f>
        <v>2.1936438488060091E-2</v>
      </c>
      <c r="F22" s="378">
        <f>F21/'Revenue Buildup'!F$8</f>
        <v>5.4328989773062336E-3</v>
      </c>
      <c r="G22" s="378">
        <f>G21/'Revenue Buildup'!G$8</f>
        <v>9.6603715066619911E-3</v>
      </c>
      <c r="H22" s="379">
        <f t="shared" ref="H22:L22" si="6">G22</f>
        <v>9.6603715066619911E-3</v>
      </c>
      <c r="I22" s="379">
        <f t="shared" si="6"/>
        <v>9.6603715066619911E-3</v>
      </c>
      <c r="J22" s="379">
        <f t="shared" si="6"/>
        <v>9.6603715066619911E-3</v>
      </c>
      <c r="K22" s="379">
        <f t="shared" si="6"/>
        <v>9.6603715066619911E-3</v>
      </c>
      <c r="L22" s="379">
        <f t="shared" si="6"/>
        <v>9.6603715066619911E-3</v>
      </c>
    </row>
    <row r="23" spans="2:13" x14ac:dyDescent="0.25">
      <c r="B23" s="28"/>
      <c r="C23" s="28"/>
      <c r="D23" s="28" t="s">
        <v>265</v>
      </c>
      <c r="E23" s="422">
        <f>'BS Inputs'!E29</f>
        <v>82.92</v>
      </c>
      <c r="F23" s="410">
        <f>'BS Inputs'!F29</f>
        <v>13.89</v>
      </c>
      <c r="G23" s="410">
        <f>'BS Inputs'!G29</f>
        <v>97.03</v>
      </c>
      <c r="H23" s="375">
        <f>'Revenue Buildup'!H$8*'BS Items'!H24</f>
        <v>111.545688</v>
      </c>
      <c r="I23" s="375">
        <f>'Revenue Buildup'!I$8*'BS Items'!I24</f>
        <v>125.06234828908799</v>
      </c>
      <c r="J23" s="375">
        <f>'Revenue Buildup'!J$8*'BS Items'!J24</f>
        <v>137.33753793327361</v>
      </c>
      <c r="K23" s="375">
        <f>'Revenue Buildup'!K$8*'BS Items'!K24</f>
        <v>148.25636298839441</v>
      </c>
      <c r="L23" s="375">
        <f>'Revenue Buildup'!L$8*'BS Items'!L24</f>
        <v>157.8037606282725</v>
      </c>
    </row>
    <row r="24" spans="2:13" x14ac:dyDescent="0.25">
      <c r="B24" s="28"/>
      <c r="C24" s="28"/>
      <c r="D24" s="28"/>
      <c r="E24" s="423">
        <f>E23/'Revenue Buildup'!E$8</f>
        <v>2.9352420194125269E-2</v>
      </c>
      <c r="F24" s="378">
        <f>F23/'Revenue Buildup'!F$8</f>
        <v>1.7963096118729729E-3</v>
      </c>
      <c r="G24" s="378">
        <f>G23/'Revenue Buildup'!G$8</f>
        <v>8.5493054295094229E-3</v>
      </c>
      <c r="H24" s="379">
        <f t="shared" ref="H24:L24" si="7">G24</f>
        <v>8.5493054295094229E-3</v>
      </c>
      <c r="I24" s="379">
        <f t="shared" si="7"/>
        <v>8.5493054295094229E-3</v>
      </c>
      <c r="J24" s="379">
        <f t="shared" si="7"/>
        <v>8.5493054295094229E-3</v>
      </c>
      <c r="K24" s="379">
        <f t="shared" si="7"/>
        <v>8.5493054295094229E-3</v>
      </c>
      <c r="L24" s="379">
        <f t="shared" si="7"/>
        <v>8.5493054295094229E-3</v>
      </c>
    </row>
    <row r="25" spans="2:13" x14ac:dyDescent="0.25">
      <c r="B25" s="28"/>
      <c r="C25" s="29" t="s">
        <v>14</v>
      </c>
      <c r="D25" s="28"/>
      <c r="E25" s="380"/>
      <c r="H25" s="375"/>
      <c r="I25" s="375"/>
      <c r="J25" s="375"/>
      <c r="K25" s="375"/>
      <c r="L25" s="375"/>
    </row>
    <row r="26" spans="2:13" x14ac:dyDescent="0.25">
      <c r="B26" s="28"/>
      <c r="C26" s="28"/>
      <c r="D26" s="29" t="s">
        <v>15</v>
      </c>
      <c r="E26" s="380"/>
      <c r="H26" s="373"/>
      <c r="I26" s="373"/>
      <c r="J26" s="373"/>
      <c r="K26" s="373"/>
      <c r="L26" s="373"/>
    </row>
    <row r="27" spans="2:13" x14ac:dyDescent="0.25">
      <c r="B27" s="28"/>
      <c r="C27" s="28"/>
      <c r="D27" s="28" t="s">
        <v>202</v>
      </c>
      <c r="E27" s="422">
        <f>'BS Inputs'!E40</f>
        <v>10.220000000000001</v>
      </c>
      <c r="F27" s="410">
        <f>'BS Inputs'!F40</f>
        <v>8.83</v>
      </c>
      <c r="G27" s="410">
        <f>'BS Inputs'!G40</f>
        <v>2.13</v>
      </c>
      <c r="H27" s="375">
        <f>'Revenue Buildup'!H$8*'BS Items'!H28</f>
        <v>2.4486479999999999</v>
      </c>
      <c r="I27" s="375">
        <f>'Revenue Buildup'!I$8*'BS Items'!I28</f>
        <v>2.7453653700479999</v>
      </c>
      <c r="J27" s="375">
        <f>'Revenue Buildup'!J$8*'BS Items'!J28</f>
        <v>3.0148300092535583</v>
      </c>
      <c r="K27" s="375">
        <f>'Revenue Buildup'!K$8*'BS Items'!K28</f>
        <v>3.254519768785737</v>
      </c>
      <c r="L27" s="375">
        <f>'Revenue Buildup'!L$8*'BS Items'!L28</f>
        <v>3.4641039898816901</v>
      </c>
    </row>
    <row r="28" spans="2:13" x14ac:dyDescent="0.25">
      <c r="B28" s="28"/>
      <c r="C28" s="28"/>
      <c r="D28" s="28"/>
      <c r="E28" s="423">
        <f>E27/'Revenue Buildup'!E$8</f>
        <v>3.6177247272547062E-3</v>
      </c>
      <c r="F28" s="378">
        <f>F27/'Revenue Buildup'!F$8</f>
        <v>1.1419304444088083E-3</v>
      </c>
      <c r="G28" s="378">
        <f>G27/'Revenue Buildup'!G$8</f>
        <v>1.8767412722719848E-4</v>
      </c>
      <c r="H28" s="379">
        <f t="shared" ref="H28:L28" si="8">G28</f>
        <v>1.8767412722719848E-4</v>
      </c>
      <c r="I28" s="379">
        <f t="shared" si="8"/>
        <v>1.8767412722719848E-4</v>
      </c>
      <c r="J28" s="379">
        <f t="shared" si="8"/>
        <v>1.8767412722719848E-4</v>
      </c>
      <c r="K28" s="379">
        <f t="shared" si="8"/>
        <v>1.8767412722719848E-4</v>
      </c>
      <c r="L28" s="379">
        <f t="shared" si="8"/>
        <v>1.8767412722719848E-4</v>
      </c>
    </row>
    <row r="29" spans="2:13" x14ac:dyDescent="0.25">
      <c r="B29" s="28"/>
      <c r="C29" s="28"/>
      <c r="D29" s="28" t="s">
        <v>203</v>
      </c>
      <c r="E29" s="422">
        <f>'BS Inputs'!E41</f>
        <v>64.3</v>
      </c>
      <c r="F29" s="410">
        <f>'BS Inputs'!F41</f>
        <v>56.65</v>
      </c>
      <c r="G29" s="410">
        <f>'BS Inputs'!G41</f>
        <v>48.25</v>
      </c>
      <c r="H29" s="375">
        <f>'Revenue Buildup'!H$8*'BS Items'!H30</f>
        <v>55.468199999999996</v>
      </c>
      <c r="I29" s="375">
        <f>'Revenue Buildup'!I$8*'BS Items'!I30</f>
        <v>62.189614603199999</v>
      </c>
      <c r="J29" s="375">
        <f>'Revenue Buildup'!J$8*'BS Items'!J30</f>
        <v>68.293684481917452</v>
      </c>
      <c r="K29" s="375">
        <f>'Revenue Buildup'!K$8*'BS Items'!K30</f>
        <v>73.723276452540759</v>
      </c>
      <c r="L29" s="375">
        <f>'Revenue Buildup'!L$8*'BS Items'!L30</f>
        <v>78.470900240277729</v>
      </c>
    </row>
    <row r="30" spans="2:13" x14ac:dyDescent="0.25">
      <c r="B30" s="28"/>
      <c r="C30" s="28"/>
      <c r="D30" s="28"/>
      <c r="E30" s="423">
        <f>E29/'Revenue Buildup'!E$8</f>
        <v>2.2761223088305048E-2</v>
      </c>
      <c r="F30" s="378">
        <f>F29/'Revenue Buildup'!F$8</f>
        <v>7.3262015487835785E-3</v>
      </c>
      <c r="G30" s="378">
        <f>G29/'Revenue Buildup'!G$8</f>
        <v>4.2513035862499189E-3</v>
      </c>
      <c r="H30" s="379">
        <f t="shared" ref="H30:L30" si="9">G30</f>
        <v>4.2513035862499189E-3</v>
      </c>
      <c r="I30" s="379">
        <f t="shared" si="9"/>
        <v>4.2513035862499189E-3</v>
      </c>
      <c r="J30" s="379">
        <f t="shared" si="9"/>
        <v>4.2513035862499189E-3</v>
      </c>
      <c r="K30" s="379">
        <f t="shared" si="9"/>
        <v>4.2513035862499189E-3</v>
      </c>
      <c r="L30" s="379">
        <f t="shared" si="9"/>
        <v>4.2513035862499189E-3</v>
      </c>
    </row>
    <row r="31" spans="2:13" x14ac:dyDescent="0.25">
      <c r="B31" s="28"/>
      <c r="C31" s="28"/>
      <c r="D31" s="28" t="s">
        <v>266</v>
      </c>
      <c r="E31" s="422">
        <f>'BS Inputs'!E42</f>
        <v>16.96</v>
      </c>
      <c r="F31" s="410">
        <f>'BS Inputs'!F42</f>
        <v>29.39</v>
      </c>
      <c r="G31" s="410">
        <f>'BS Inputs'!G42</f>
        <v>41.38</v>
      </c>
      <c r="H31" s="375">
        <f>'Revenue Buildup'!H$8*'BS Items'!H32</f>
        <v>47.570448000000006</v>
      </c>
      <c r="I31" s="375">
        <f>'Revenue Buildup'!I$8*'BS Items'!I32</f>
        <v>53.334844606848002</v>
      </c>
      <c r="J31" s="375">
        <f>'Revenue Buildup'!J$8*'BS Items'!J32</f>
        <v>58.569796142212326</v>
      </c>
      <c r="K31" s="375">
        <f>'Revenue Buildup'!K$8*'BS Items'!K32</f>
        <v>63.226304240541701</v>
      </c>
      <c r="L31" s="375">
        <f>'Revenue Buildup'!L$8*'BS Items'!L32</f>
        <v>67.297945117983261</v>
      </c>
    </row>
    <row r="32" spans="2:13" x14ac:dyDescent="0.25">
      <c r="B32" s="28"/>
      <c r="C32" s="28"/>
      <c r="D32" s="29"/>
      <c r="E32" s="423">
        <f>E31/'Revenue Buildup'!E$8</f>
        <v>6.0035823262465579E-3</v>
      </c>
      <c r="F32" s="378">
        <f>F31/'Revenue Buildup'!F$8</f>
        <v>3.8008307770299979E-3</v>
      </c>
      <c r="G32" s="378">
        <f>G31/'Revenue Buildup'!G$8</f>
        <v>3.6459884435030396E-3</v>
      </c>
      <c r="H32" s="379">
        <f t="shared" ref="H32:L32" si="10">G32</f>
        <v>3.6459884435030396E-3</v>
      </c>
      <c r="I32" s="379">
        <f t="shared" si="10"/>
        <v>3.6459884435030396E-3</v>
      </c>
      <c r="J32" s="379">
        <f t="shared" si="10"/>
        <v>3.6459884435030396E-3</v>
      </c>
      <c r="K32" s="379">
        <f t="shared" si="10"/>
        <v>3.6459884435030396E-3</v>
      </c>
      <c r="L32" s="379">
        <f t="shared" si="10"/>
        <v>3.6459884435030396E-3</v>
      </c>
    </row>
    <row r="33" spans="2:12" x14ac:dyDescent="0.25">
      <c r="B33" s="28"/>
      <c r="C33" s="29" t="s">
        <v>16</v>
      </c>
      <c r="D33" s="28"/>
      <c r="E33" s="380"/>
      <c r="H33" s="373"/>
      <c r="I33" s="373"/>
      <c r="J33" s="373"/>
      <c r="K33" s="373"/>
      <c r="L33" s="373"/>
    </row>
    <row r="34" spans="2:12" x14ac:dyDescent="0.25">
      <c r="B34" s="28"/>
      <c r="C34" s="28"/>
      <c r="D34" s="29" t="s">
        <v>15</v>
      </c>
      <c r="E34" s="380"/>
      <c r="H34" s="373"/>
      <c r="I34" s="373"/>
      <c r="J34" s="373"/>
      <c r="K34" s="373"/>
      <c r="L34" s="373"/>
    </row>
    <row r="35" spans="2:12" x14ac:dyDescent="0.25">
      <c r="B35" s="28"/>
      <c r="C35" s="28"/>
      <c r="D35" s="28" t="s">
        <v>202</v>
      </c>
      <c r="E35" s="422">
        <f>'BS Inputs'!E46</f>
        <v>2.5299999999999998</v>
      </c>
      <c r="F35" s="410">
        <f>'BS Inputs'!F46</f>
        <v>1.4</v>
      </c>
      <c r="G35" s="410">
        <f>'BS Inputs'!G46</f>
        <v>2.2999999999999998</v>
      </c>
      <c r="H35" s="375">
        <f>'Revenue Buildup'!H$8*'BS Items'!H36</f>
        <v>2.6440799999999998</v>
      </c>
      <c r="I35" s="375">
        <f>'Revenue Buildup'!I$8*'BS Items'!I36</f>
        <v>2.9644790380799995</v>
      </c>
      <c r="J35" s="375">
        <f>'Revenue Buildup'!J$8*'BS Items'!J36</f>
        <v>3.2554502447338889</v>
      </c>
      <c r="K35" s="375">
        <f>'Revenue Buildup'!K$8*'BS Items'!K36</f>
        <v>3.5142701728672279</v>
      </c>
      <c r="L35" s="375">
        <f>'Revenue Buildup'!L$8*'BS Items'!L36</f>
        <v>3.7405817731116842</v>
      </c>
    </row>
    <row r="36" spans="2:12" x14ac:dyDescent="0.25">
      <c r="B36" s="28"/>
      <c r="C36" s="28"/>
      <c r="D36" s="28"/>
      <c r="E36" s="423">
        <f>E35/'Revenue Buildup'!E$8</f>
        <v>8.9558156163937433E-4</v>
      </c>
      <c r="F36" s="378">
        <f>F35/'Revenue Buildup'!F$8</f>
        <v>1.8105352459482806E-4</v>
      </c>
      <c r="G36" s="378">
        <f>G35/'Revenue Buildup'!G$8</f>
        <v>2.0265281343781995E-4</v>
      </c>
      <c r="H36" s="379">
        <f t="shared" ref="H36:L36" si="11">G36</f>
        <v>2.0265281343781995E-4</v>
      </c>
      <c r="I36" s="379">
        <f t="shared" si="11"/>
        <v>2.0265281343781995E-4</v>
      </c>
      <c r="J36" s="379">
        <f t="shared" si="11"/>
        <v>2.0265281343781995E-4</v>
      </c>
      <c r="K36" s="379">
        <f t="shared" si="11"/>
        <v>2.0265281343781995E-4</v>
      </c>
      <c r="L36" s="379">
        <f t="shared" si="11"/>
        <v>2.0265281343781995E-4</v>
      </c>
    </row>
    <row r="37" spans="2:12" x14ac:dyDescent="0.25">
      <c r="B37" s="28"/>
      <c r="C37" s="28"/>
      <c r="D37" s="28" t="s">
        <v>203</v>
      </c>
      <c r="E37" s="422">
        <f>'BS Inputs'!E47</f>
        <v>5.46</v>
      </c>
      <c r="F37" s="410">
        <f>'BS Inputs'!F47</f>
        <v>6.11</v>
      </c>
      <c r="G37" s="410">
        <f>'BS Inputs'!G47</f>
        <v>8.4</v>
      </c>
      <c r="H37" s="375">
        <f>'Revenue Buildup'!H$8*'BS Items'!H38</f>
        <v>9.6566399999999994</v>
      </c>
      <c r="I37" s="375">
        <f>'Revenue Buildup'!I$8*'BS Items'!I38</f>
        <v>10.826793008639999</v>
      </c>
      <c r="J37" s="375">
        <f>'Revenue Buildup'!J$8*'BS Items'!J38</f>
        <v>11.889470459028118</v>
      </c>
      <c r="K37" s="375">
        <f>'Revenue Buildup'!K$8*'BS Items'!K38</f>
        <v>12.834725848732486</v>
      </c>
      <c r="L37" s="375">
        <f>'Revenue Buildup'!L$8*'BS Items'!L38</f>
        <v>13.661255171364413</v>
      </c>
    </row>
    <row r="38" spans="2:12" x14ac:dyDescent="0.25">
      <c r="B38" s="28"/>
      <c r="C38" s="28"/>
      <c r="D38" s="28"/>
      <c r="E38" s="423">
        <f>E37/'Revenue Buildup'!E$8</f>
        <v>1.9327570460675827E-3</v>
      </c>
      <c r="F38" s="378">
        <f>F37/'Revenue Buildup'!F$8</f>
        <v>7.9016931091028544E-4</v>
      </c>
      <c r="G38" s="378">
        <f>G37/'Revenue Buildup'!G$8</f>
        <v>7.4012331864247295E-4</v>
      </c>
      <c r="H38" s="379">
        <f t="shared" ref="H38:L38" si="12">G38</f>
        <v>7.4012331864247295E-4</v>
      </c>
      <c r="I38" s="379">
        <f t="shared" si="12"/>
        <v>7.4012331864247295E-4</v>
      </c>
      <c r="J38" s="379">
        <f t="shared" si="12"/>
        <v>7.4012331864247295E-4</v>
      </c>
      <c r="K38" s="379">
        <f t="shared" si="12"/>
        <v>7.4012331864247295E-4</v>
      </c>
      <c r="L38" s="379">
        <f t="shared" si="12"/>
        <v>7.4012331864247295E-4</v>
      </c>
    </row>
    <row r="39" spans="2:12" x14ac:dyDescent="0.25">
      <c r="B39" s="28"/>
      <c r="C39" s="28"/>
      <c r="D39" s="28" t="s">
        <v>205</v>
      </c>
      <c r="E39" s="424">
        <f>'BS Inputs'!E51</f>
        <v>14.01</v>
      </c>
      <c r="F39" s="411">
        <f>'BS Inputs'!F51</f>
        <v>89.51</v>
      </c>
      <c r="G39" s="411">
        <f>'BS Inputs'!G51</f>
        <v>21.03</v>
      </c>
      <c r="H39" s="375">
        <f>'Revenue Buildup'!H$8*'BS Items'!H40</f>
        <v>24.176088</v>
      </c>
      <c r="I39" s="375">
        <f>'Revenue Buildup'!I$8*'BS Items'!I40</f>
        <v>27.105649639488</v>
      </c>
      <c r="J39" s="375">
        <f>'Revenue Buildup'!J$8*'BS Items'!J40</f>
        <v>29.766138542066823</v>
      </c>
      <c r="K39" s="375">
        <f>'Revenue Buildup'!K$8*'BS Items'!K40</f>
        <v>32.132652928433835</v>
      </c>
      <c r="L39" s="375">
        <f>'Revenue Buildup'!L$8*'BS Items'!L40</f>
        <v>34.201928125451623</v>
      </c>
    </row>
    <row r="40" spans="2:12" x14ac:dyDescent="0.25">
      <c r="B40" s="28"/>
      <c r="C40" s="28"/>
      <c r="D40" s="28"/>
      <c r="E40" s="423">
        <f>E39/'Revenue Buildup'!E$8</f>
        <v>4.9593271456789077E-3</v>
      </c>
      <c r="F40" s="378">
        <f>F39/'Revenue Buildup'!F$8</f>
        <v>1.1575786418916472E-2</v>
      </c>
      <c r="G40" s="378">
        <f>G39/'Revenue Buildup'!G$8</f>
        <v>1.8529515941727627E-3</v>
      </c>
      <c r="H40" s="379">
        <f t="shared" ref="H40:L40" si="13">G40</f>
        <v>1.8529515941727627E-3</v>
      </c>
      <c r="I40" s="379">
        <f t="shared" si="13"/>
        <v>1.8529515941727627E-3</v>
      </c>
      <c r="J40" s="379">
        <f t="shared" si="13"/>
        <v>1.8529515941727627E-3</v>
      </c>
      <c r="K40" s="379">
        <f t="shared" si="13"/>
        <v>1.8529515941727627E-3</v>
      </c>
      <c r="L40" s="379">
        <f t="shared" si="13"/>
        <v>1.8529515941727627E-3</v>
      </c>
    </row>
    <row r="41" spans="2:12" x14ac:dyDescent="0.25">
      <c r="B41" s="28"/>
      <c r="C41" s="28"/>
      <c r="D41" s="28" t="s">
        <v>200</v>
      </c>
      <c r="E41" s="424">
        <f>'BS Inputs'!E52</f>
        <v>35.840000000000003</v>
      </c>
      <c r="F41" s="411">
        <f>'BS Inputs'!F52</f>
        <v>70.55</v>
      </c>
      <c r="G41" s="411">
        <f>'BS Inputs'!G52</f>
        <v>64.930000000000007</v>
      </c>
      <c r="H41" s="375">
        <f>'Revenue Buildup'!H$8*'BS Items'!H42</f>
        <v>74.643528000000003</v>
      </c>
      <c r="I41" s="375">
        <f>'Revenue Buildup'!I$8*'BS Items'!I42</f>
        <v>83.688532148928005</v>
      </c>
      <c r="J41" s="375">
        <f>'Revenue Buildup'!J$8*'BS Items'!J42</f>
        <v>91.902775821987589</v>
      </c>
      <c r="K41" s="375">
        <f>'Revenue Buildup'!K$8*'BS Items'!K42</f>
        <v>99.209374923595291</v>
      </c>
      <c r="L41" s="375">
        <f>'Revenue Buildup'!L$8*'BS Items'!L42</f>
        <v>105.59824979484422</v>
      </c>
    </row>
    <row r="42" spans="2:12" x14ac:dyDescent="0.25">
      <c r="B42" s="28"/>
      <c r="C42" s="28"/>
      <c r="D42" s="28"/>
      <c r="E42" s="423">
        <f>E41/'Revenue Buildup'!E$8</f>
        <v>1.268681548187952E-2</v>
      </c>
      <c r="F42" s="378">
        <f>F41/'Revenue Buildup'!F$8</f>
        <v>9.1238044001179432E-3</v>
      </c>
      <c r="G42" s="378">
        <f>G41/'Revenue Buildup'!G$8</f>
        <v>5.7209770332685445E-3</v>
      </c>
      <c r="H42" s="379">
        <f t="shared" ref="H42:L42" si="14">G42</f>
        <v>5.7209770332685445E-3</v>
      </c>
      <c r="I42" s="379">
        <f t="shared" si="14"/>
        <v>5.7209770332685445E-3</v>
      </c>
      <c r="J42" s="379">
        <f t="shared" si="14"/>
        <v>5.7209770332685445E-3</v>
      </c>
      <c r="K42" s="379">
        <f t="shared" si="14"/>
        <v>5.7209770332685445E-3</v>
      </c>
      <c r="L42" s="379">
        <f t="shared" si="14"/>
        <v>5.7209770332685445E-3</v>
      </c>
    </row>
    <row r="43" spans="2:12" x14ac:dyDescent="0.25">
      <c r="B43" s="28"/>
      <c r="C43" s="28"/>
      <c r="D43" s="28" t="s">
        <v>201</v>
      </c>
      <c r="E43" s="424">
        <f>'BS Inputs'!E53</f>
        <v>2.79</v>
      </c>
      <c r="F43" s="411">
        <f>'BS Inputs'!F53</f>
        <v>2.42</v>
      </c>
      <c r="G43" s="411">
        <f>'BS Inputs'!G53</f>
        <v>3.98</v>
      </c>
      <c r="H43" s="375">
        <f>'Revenue Buildup'!H$8*'BS Items'!H44</f>
        <v>4.5754079999999995</v>
      </c>
      <c r="I43" s="375">
        <f>'Revenue Buildup'!I$8*'BS Items'!I44</f>
        <v>5.1298376398079988</v>
      </c>
      <c r="J43" s="375">
        <f>'Revenue Buildup'!J$8*'BS Items'!J44</f>
        <v>5.6333443365395119</v>
      </c>
      <c r="K43" s="375">
        <f>'Revenue Buildup'!K$8*'BS Items'!K44</f>
        <v>6.0812153426137243</v>
      </c>
      <c r="L43" s="375">
        <f>'Revenue Buildup'!L$8*'BS Items'!L44</f>
        <v>6.4728328073845658</v>
      </c>
    </row>
    <row r="44" spans="2:12" x14ac:dyDescent="0.25">
      <c r="E44" s="423">
        <f>E43/'Revenue Buildup'!E$8</f>
        <v>9.8761761145211647E-4</v>
      </c>
      <c r="F44" s="378">
        <f>F43/'Revenue Buildup'!F$8</f>
        <v>3.129639496567742E-4</v>
      </c>
      <c r="G44" s="378">
        <f>G43/'Revenue Buildup'!G$8</f>
        <v>3.5067747716631452E-4</v>
      </c>
      <c r="H44" s="379">
        <f t="shared" ref="H44:L44" si="15">G44</f>
        <v>3.5067747716631452E-4</v>
      </c>
      <c r="I44" s="379">
        <f t="shared" si="15"/>
        <v>3.5067747716631452E-4</v>
      </c>
      <c r="J44" s="379">
        <f t="shared" si="15"/>
        <v>3.5067747716631452E-4</v>
      </c>
      <c r="K44" s="379">
        <f t="shared" si="15"/>
        <v>3.5067747716631452E-4</v>
      </c>
      <c r="L44" s="379">
        <f t="shared" si="15"/>
        <v>3.5067747716631452E-4</v>
      </c>
    </row>
  </sheetData>
  <mergeCells count="1">
    <mergeCell ref="D4:L4"/>
  </mergeCells>
  <pageMargins left="0.7" right="0.7" top="0.75" bottom="0.75" header="0.3" footer="0.3"/>
  <ignoredErrors>
    <ignoredError sqref="E9:L1048572" formula="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20BF-7017-407F-B2FA-32A6D2F0F802}">
  <dimension ref="D4:O30"/>
  <sheetViews>
    <sheetView showGridLines="0" topLeftCell="D1" workbookViewId="0">
      <selection activeCell="H30" sqref="H30"/>
    </sheetView>
  </sheetViews>
  <sheetFormatPr defaultColWidth="8.88671875" defaultRowHeight="13.8" x14ac:dyDescent="0.25"/>
  <cols>
    <col min="1" max="3" width="1.33203125" style="1" customWidth="1"/>
    <col min="4" max="4" width="42" style="1" bestFit="1" customWidth="1"/>
    <col min="5" max="6" width="10.77734375" style="1" customWidth="1"/>
    <col min="7" max="7" width="12.109375" style="1" bestFit="1" customWidth="1"/>
    <col min="8" max="12" width="10.77734375" style="1" customWidth="1"/>
    <col min="13" max="16384" width="8.88671875" style="1"/>
  </cols>
  <sheetData>
    <row r="4" spans="4:12" ht="16.8" x14ac:dyDescent="0.3">
      <c r="D4" s="515" t="s">
        <v>357</v>
      </c>
      <c r="E4" s="515"/>
      <c r="F4" s="515"/>
      <c r="G4" s="515"/>
      <c r="H4" s="515"/>
      <c r="I4" s="515"/>
      <c r="J4" s="515"/>
      <c r="K4" s="515"/>
      <c r="L4" s="515"/>
    </row>
    <row r="5" spans="4:12" x14ac:dyDescent="0.25">
      <c r="E5" s="5">
        <v>2022</v>
      </c>
      <c r="F5" s="2">
        <f t="shared" ref="F5:L5" si="0">E5+1</f>
        <v>2023</v>
      </c>
      <c r="G5" s="2">
        <f t="shared" si="0"/>
        <v>2024</v>
      </c>
      <c r="H5" s="400">
        <f t="shared" si="0"/>
        <v>2025</v>
      </c>
      <c r="I5" s="400">
        <f t="shared" si="0"/>
        <v>2026</v>
      </c>
      <c r="J5" s="400">
        <f t="shared" si="0"/>
        <v>2027</v>
      </c>
      <c r="K5" s="400">
        <f t="shared" si="0"/>
        <v>2028</v>
      </c>
      <c r="L5" s="400">
        <f t="shared" si="0"/>
        <v>2029</v>
      </c>
    </row>
    <row r="6" spans="4:12" x14ac:dyDescent="0.25">
      <c r="D6" s="382"/>
      <c r="E6" s="6" t="s">
        <v>21</v>
      </c>
      <c r="F6" s="4" t="s">
        <v>21</v>
      </c>
      <c r="G6" s="4" t="s">
        <v>21</v>
      </c>
      <c r="H6" s="27" t="s">
        <v>22</v>
      </c>
      <c r="I6" s="27" t="s">
        <v>22</v>
      </c>
      <c r="J6" s="27" t="s">
        <v>22</v>
      </c>
      <c r="K6" s="27" t="s">
        <v>22</v>
      </c>
      <c r="L6" s="27" t="s">
        <v>22</v>
      </c>
    </row>
    <row r="7" spans="4:12" x14ac:dyDescent="0.25">
      <c r="E7" s="380"/>
      <c r="H7" s="373"/>
      <c r="I7" s="373"/>
      <c r="J7" s="373"/>
      <c r="K7" s="373"/>
      <c r="L7" s="373"/>
    </row>
    <row r="8" spans="4:12" x14ac:dyDescent="0.25">
      <c r="D8" s="1" t="s">
        <v>353</v>
      </c>
      <c r="E8" s="424">
        <f>'BS Inputs'!E24</f>
        <v>906.56</v>
      </c>
      <c r="F8" s="411">
        <f>'BS Inputs'!F24</f>
        <v>2018.89</v>
      </c>
      <c r="G8" s="411">
        <f>'BS Inputs'!G24</f>
        <v>2649.92</v>
      </c>
      <c r="H8" s="384">
        <f>'Revenue Buildup'!H$8*'Working Schedule'!H12</f>
        <v>3046.3480320000003</v>
      </c>
      <c r="I8" s="384">
        <f>'Revenue Buildup'!I$8*'Working Schedule'!I12</f>
        <v>3415.4923011256319</v>
      </c>
      <c r="J8" s="384">
        <f>'Revenue Buildup'!J$8*'Working Schedule'!J12</f>
        <v>3750.7316141414035</v>
      </c>
      <c r="K8" s="384">
        <f>'Revenue Buildup'!K$8*'Working Schedule'!K12</f>
        <v>4048.9281810801417</v>
      </c>
      <c r="L8" s="384">
        <f>'Revenue Buildup'!L$8*'Working Schedule'!L12</f>
        <v>4309.6706313930936</v>
      </c>
    </row>
    <row r="9" spans="4:12" x14ac:dyDescent="0.25">
      <c r="D9" s="1" t="s">
        <v>354</v>
      </c>
      <c r="E9" s="424">
        <f>'BS Inputs'!E49+'BS Inputs'!E50</f>
        <v>713.06999999999994</v>
      </c>
      <c r="F9" s="411">
        <f>'BS Inputs'!F49+'BS Inputs'!F50</f>
        <v>1393.22</v>
      </c>
      <c r="G9" s="411">
        <f>'BS Inputs'!G49+'BS Inputs'!G50</f>
        <v>1629.59</v>
      </c>
      <c r="H9" s="384">
        <f>'Revenue Buildup'!H$8*'Working Schedule'!H13</f>
        <v>1873.3766639999997</v>
      </c>
      <c r="I9" s="384">
        <f>'Revenue Buildup'!I$8*'Working Schedule'!I13</f>
        <v>2100.3849546368638</v>
      </c>
      <c r="J9" s="384">
        <f>'Revenue Buildup'!J$8*'Working Schedule'!J13</f>
        <v>2306.5431149199558</v>
      </c>
      <c r="K9" s="384">
        <f>'Revenue Buildup'!K$8*'Working Schedule'!K13</f>
        <v>2489.9215352185679</v>
      </c>
      <c r="L9" s="384">
        <f>'Revenue Buildup'!L$8*'Working Schedule'!L13</f>
        <v>2650.2672398456821</v>
      </c>
    </row>
    <row r="10" spans="4:12" x14ac:dyDescent="0.25">
      <c r="D10" s="397" t="s">
        <v>357</v>
      </c>
      <c r="E10" s="388">
        <f t="shared" ref="E10:G10" si="1">E8-E9</f>
        <v>193.49</v>
      </c>
      <c r="F10" s="389">
        <f t="shared" si="1"/>
        <v>625.67000000000007</v>
      </c>
      <c r="G10" s="389">
        <f t="shared" si="1"/>
        <v>1020.3300000000002</v>
      </c>
      <c r="H10" s="394">
        <f t="shared" ref="H10:L10" si="2">H8-H9</f>
        <v>1172.9713680000007</v>
      </c>
      <c r="I10" s="394">
        <f t="shared" si="2"/>
        <v>1315.1073464887681</v>
      </c>
      <c r="J10" s="394">
        <f t="shared" si="2"/>
        <v>1444.1884992214477</v>
      </c>
      <c r="K10" s="394">
        <f t="shared" si="2"/>
        <v>1559.0066458615738</v>
      </c>
      <c r="L10" s="394">
        <f t="shared" si="2"/>
        <v>1659.4033915474115</v>
      </c>
    </row>
    <row r="12" spans="4:12" x14ac:dyDescent="0.25">
      <c r="D12" s="1" t="s">
        <v>332</v>
      </c>
      <c r="E12" s="376">
        <f>E8/'Revenue Buildup'!E8</f>
        <v>0.32090846660861316</v>
      </c>
      <c r="F12" s="376">
        <f>F8/'Revenue Buildup'!F8</f>
        <v>0.26109082162089459</v>
      </c>
      <c r="G12" s="376">
        <f>G8/'Revenue Buildup'!G8</f>
        <v>0.23348423625441214</v>
      </c>
      <c r="H12" s="379">
        <f t="shared" ref="H12:L12" si="3">G12</f>
        <v>0.23348423625441214</v>
      </c>
      <c r="I12" s="379">
        <f t="shared" si="3"/>
        <v>0.23348423625441214</v>
      </c>
      <c r="J12" s="379">
        <f t="shared" si="3"/>
        <v>0.23348423625441214</v>
      </c>
      <c r="K12" s="379">
        <f t="shared" si="3"/>
        <v>0.23348423625441214</v>
      </c>
      <c r="L12" s="379">
        <f t="shared" si="3"/>
        <v>0.23348423625441214</v>
      </c>
    </row>
    <row r="13" spans="4:12" x14ac:dyDescent="0.25">
      <c r="D13" s="1" t="s">
        <v>333</v>
      </c>
      <c r="E13" s="376">
        <f>E9/'Revenue Buildup'!E8</f>
        <v>0.25241594630758446</v>
      </c>
      <c r="F13" s="376">
        <f>F9/'Revenue Buildup'!F8</f>
        <v>0.18017670824000453</v>
      </c>
      <c r="G13" s="376">
        <f>G9/'Revenue Buildup'!G8</f>
        <v>0.14358304271745087</v>
      </c>
      <c r="H13" s="379">
        <f t="shared" ref="H13:L13" si="4">G13</f>
        <v>0.14358304271745087</v>
      </c>
      <c r="I13" s="379">
        <f t="shared" si="4"/>
        <v>0.14358304271745087</v>
      </c>
      <c r="J13" s="379">
        <f t="shared" si="4"/>
        <v>0.14358304271745087</v>
      </c>
      <c r="K13" s="379">
        <f t="shared" si="4"/>
        <v>0.14358304271745087</v>
      </c>
      <c r="L13" s="379">
        <f t="shared" si="4"/>
        <v>0.14358304271745087</v>
      </c>
    </row>
    <row r="15" spans="4:12" ht="16.8" x14ac:dyDescent="0.3">
      <c r="D15" s="515" t="s">
        <v>330</v>
      </c>
      <c r="E15" s="515"/>
      <c r="F15" s="515"/>
      <c r="G15" s="515"/>
      <c r="H15" s="515"/>
      <c r="I15" s="515"/>
      <c r="J15" s="515"/>
      <c r="K15" s="515"/>
      <c r="L15" s="515"/>
    </row>
    <row r="16" spans="4:12" x14ac:dyDescent="0.25">
      <c r="E16" s="5">
        <v>2022</v>
      </c>
      <c r="F16" s="2">
        <f t="shared" ref="F16:L16" si="5">E16+1</f>
        <v>2023</v>
      </c>
      <c r="G16" s="2">
        <f t="shared" si="5"/>
        <v>2024</v>
      </c>
      <c r="H16" s="400">
        <f t="shared" si="5"/>
        <v>2025</v>
      </c>
      <c r="I16" s="400">
        <f t="shared" si="5"/>
        <v>2026</v>
      </c>
      <c r="J16" s="400">
        <f t="shared" si="5"/>
        <v>2027</v>
      </c>
      <c r="K16" s="400">
        <f t="shared" si="5"/>
        <v>2028</v>
      </c>
      <c r="L16" s="400">
        <f t="shared" si="5"/>
        <v>2029</v>
      </c>
    </row>
    <row r="17" spans="4:15" x14ac:dyDescent="0.25">
      <c r="D17" s="382"/>
      <c r="E17" s="6" t="s">
        <v>21</v>
      </c>
      <c r="F17" s="4" t="s">
        <v>21</v>
      </c>
      <c r="G17" s="4" t="s">
        <v>21</v>
      </c>
      <c r="H17" s="27" t="s">
        <v>22</v>
      </c>
      <c r="I17" s="27" t="s">
        <v>22</v>
      </c>
      <c r="J17" s="27" t="s">
        <v>22</v>
      </c>
      <c r="K17" s="27" t="s">
        <v>22</v>
      </c>
      <c r="L17" s="27" t="s">
        <v>22</v>
      </c>
    </row>
    <row r="18" spans="4:15" x14ac:dyDescent="0.25">
      <c r="E18" s="380"/>
      <c r="H18" s="373"/>
      <c r="I18" s="373"/>
      <c r="J18" s="373"/>
      <c r="K18" s="373"/>
      <c r="L18" s="373"/>
    </row>
    <row r="19" spans="4:15" x14ac:dyDescent="0.25">
      <c r="D19" s="1" t="s">
        <v>368</v>
      </c>
      <c r="E19" s="433"/>
      <c r="F19" s="410">
        <f t="shared" ref="F19:G19" si="6">E22</f>
        <v>157.32999999999998</v>
      </c>
      <c r="G19" s="410">
        <f t="shared" si="6"/>
        <v>140.60000000000002</v>
      </c>
      <c r="H19" s="375">
        <f t="shared" ref="H19:L19" si="7">G22</f>
        <v>118.61</v>
      </c>
      <c r="I19" s="375">
        <f t="shared" si="7"/>
        <v>105.28571146455882</v>
      </c>
      <c r="J19" s="375">
        <f t="shared" si="7"/>
        <v>95.31287395526914</v>
      </c>
      <c r="K19" s="375">
        <f t="shared" si="7"/>
        <v>87.888146950755868</v>
      </c>
      <c r="L19" s="375">
        <f t="shared" si="7"/>
        <v>82.190063805560925</v>
      </c>
    </row>
    <row r="20" spans="4:15" x14ac:dyDescent="0.25">
      <c r="D20" s="1" t="s">
        <v>367</v>
      </c>
      <c r="E20" s="422"/>
      <c r="F20" s="410">
        <f>'Cash Flow'!F34</f>
        <v>18.250000000000036</v>
      </c>
      <c r="G20" s="410">
        <f>'Cash Flow'!G34</f>
        <v>15.009999999999977</v>
      </c>
      <c r="H20" s="375">
        <f>G20*(1+1%)</f>
        <v>15.160099999999977</v>
      </c>
      <c r="I20" s="375">
        <f t="shared" ref="I20:L20" si="8">H20*(1+1%)</f>
        <v>15.311700999999976</v>
      </c>
      <c r="J20" s="375">
        <f t="shared" si="8"/>
        <v>15.464818009999977</v>
      </c>
      <c r="K20" s="375">
        <f t="shared" si="8"/>
        <v>15.619466190099978</v>
      </c>
      <c r="L20" s="375">
        <f t="shared" si="8"/>
        <v>15.775660852000977</v>
      </c>
    </row>
    <row r="21" spans="4:15" x14ac:dyDescent="0.25">
      <c r="D21" s="1" t="s">
        <v>369</v>
      </c>
      <c r="E21" s="424">
        <f>-'P&amp;L Inputs'!E16</f>
        <v>-21.29</v>
      </c>
      <c r="F21" s="411">
        <f>-'P&amp;L Inputs'!F16</f>
        <v>-34.979999999999997</v>
      </c>
      <c r="G21" s="411">
        <f>-'P&amp;L Inputs'!G16</f>
        <v>-37</v>
      </c>
      <c r="H21" s="375">
        <f>-H19*'Cost Buildup'!H23</f>
        <v>-28.484388535441166</v>
      </c>
      <c r="I21" s="375">
        <f>-I19*'Cost Buildup'!I23</f>
        <v>-25.28453850928965</v>
      </c>
      <c r="J21" s="375">
        <f>-J19*'Cost Buildup'!J23</f>
        <v>-22.889545014513253</v>
      </c>
      <c r="K21" s="375">
        <f>-K19*'Cost Buildup'!K23</f>
        <v>-21.317549335294931</v>
      </c>
      <c r="L21" s="375">
        <f>-L19*'Cost Buildup'!L23</f>
        <v>-19.935461160966195</v>
      </c>
    </row>
    <row r="22" spans="4:15" x14ac:dyDescent="0.25">
      <c r="D22" s="397" t="s">
        <v>370</v>
      </c>
      <c r="E22" s="434">
        <f>SUM('BS Inputs'!E9:E15)</f>
        <v>157.32999999999998</v>
      </c>
      <c r="F22" s="387">
        <f>SUM('BS Inputs'!F9:F15)</f>
        <v>140.60000000000002</v>
      </c>
      <c r="G22" s="387">
        <f>SUM('BS Inputs'!G9:G15)</f>
        <v>118.61</v>
      </c>
      <c r="H22" s="435">
        <f>SUM(H19:H21)</f>
        <v>105.28571146455882</v>
      </c>
      <c r="I22" s="435">
        <f t="shared" ref="I22:L22" si="9">SUM(I19:I21)</f>
        <v>95.31287395526914</v>
      </c>
      <c r="J22" s="435">
        <f t="shared" si="9"/>
        <v>87.888146950755868</v>
      </c>
      <c r="K22" s="435">
        <f t="shared" si="9"/>
        <v>82.190063805560925</v>
      </c>
      <c r="L22" s="435">
        <f t="shared" si="9"/>
        <v>78.030263496595708</v>
      </c>
    </row>
    <row r="26" spans="4:15" x14ac:dyDescent="0.25">
      <c r="I26" s="374"/>
      <c r="J26" s="374"/>
      <c r="K26" s="374"/>
      <c r="L26" s="374"/>
      <c r="M26" s="374"/>
      <c r="N26" s="374"/>
      <c r="O26" s="374"/>
    </row>
    <row r="27" spans="4:15" x14ac:dyDescent="0.25">
      <c r="I27" s="374"/>
      <c r="J27" s="374"/>
      <c r="K27" s="374"/>
      <c r="L27" s="374"/>
      <c r="M27" s="374"/>
      <c r="N27" s="374"/>
      <c r="O27" s="374"/>
    </row>
    <row r="28" spans="4:15" x14ac:dyDescent="0.25">
      <c r="F28" s="374"/>
      <c r="G28" s="374"/>
      <c r="H28" s="374"/>
      <c r="I28" s="374"/>
      <c r="J28" s="374"/>
      <c r="K28" s="374"/>
      <c r="L28" s="374"/>
      <c r="M28" s="374"/>
      <c r="N28" s="374"/>
      <c r="O28" s="374"/>
    </row>
    <row r="29" spans="4:15" x14ac:dyDescent="0.25">
      <c r="F29" s="374"/>
      <c r="G29" s="374"/>
      <c r="H29" s="374"/>
      <c r="I29" s="374"/>
      <c r="J29" s="374"/>
      <c r="K29" s="374"/>
      <c r="L29" s="374"/>
      <c r="M29" s="374"/>
      <c r="N29" s="374"/>
      <c r="O29" s="374"/>
    </row>
    <row r="30" spans="4:15" x14ac:dyDescent="0.25">
      <c r="E30" s="374"/>
      <c r="F30" s="374"/>
      <c r="G30" s="374"/>
      <c r="H30" s="374"/>
      <c r="I30" s="374"/>
      <c r="J30" s="374"/>
      <c r="K30" s="374"/>
      <c r="L30" s="374"/>
    </row>
  </sheetData>
  <mergeCells count="2">
    <mergeCell ref="D4:L4"/>
    <mergeCell ref="D15:L1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D600-40DD-484B-AC4B-C2A2149C84B5}">
  <dimension ref="B4:G91"/>
  <sheetViews>
    <sheetView showGridLines="0" workbookViewId="0">
      <selection activeCell="N17" sqref="N17"/>
    </sheetView>
  </sheetViews>
  <sheetFormatPr defaultColWidth="8.88671875" defaultRowHeight="14.4" customHeight="1" x14ac:dyDescent="0.3"/>
  <cols>
    <col min="1" max="3" width="1.33203125" style="19" customWidth="1"/>
    <col min="4" max="4" width="42.33203125" style="19" bestFit="1" customWidth="1"/>
    <col min="5" max="7" width="10.77734375" style="19" customWidth="1"/>
    <col min="8" max="16384" width="8.88671875" style="19"/>
  </cols>
  <sheetData>
    <row r="4" spans="3:7" ht="16.95" customHeight="1" x14ac:dyDescent="0.3">
      <c r="C4" s="28"/>
      <c r="D4" s="453" t="s">
        <v>76</v>
      </c>
      <c r="E4" s="453"/>
      <c r="F4" s="453"/>
      <c r="G4" s="453"/>
    </row>
    <row r="5" spans="3:7" ht="14.4" customHeight="1" x14ac:dyDescent="0.3">
      <c r="C5" s="28"/>
      <c r="D5" s="28"/>
      <c r="E5" s="167">
        <v>2022</v>
      </c>
      <c r="F5" s="29">
        <f>E5+1</f>
        <v>2023</v>
      </c>
      <c r="G5" s="29">
        <f>F5+1</f>
        <v>2024</v>
      </c>
    </row>
    <row r="6" spans="3:7" ht="14.4" customHeight="1" x14ac:dyDescent="0.3">
      <c r="C6" s="28"/>
      <c r="D6" s="21" t="s">
        <v>1</v>
      </c>
      <c r="E6" s="168" t="s">
        <v>21</v>
      </c>
      <c r="F6" s="169" t="s">
        <v>21</v>
      </c>
      <c r="G6" s="169" t="s">
        <v>21</v>
      </c>
    </row>
    <row r="7" spans="3:7" ht="14.4" customHeight="1" x14ac:dyDescent="0.3">
      <c r="C7" s="28"/>
      <c r="D7" s="28"/>
      <c r="E7" s="170"/>
      <c r="F7" s="28"/>
      <c r="G7" s="28"/>
    </row>
    <row r="8" spans="3:7" ht="14.4" customHeight="1" x14ac:dyDescent="0.3">
      <c r="C8" s="28"/>
      <c r="D8" s="28" t="s">
        <v>56</v>
      </c>
      <c r="E8" s="171">
        <f>'Income Statement'!G8/'Income Statement'!G$8</f>
        <v>1</v>
      </c>
      <c r="F8" s="172">
        <f>'Income Statement'!H8/'Income Statement'!H$8</f>
        <v>1</v>
      </c>
      <c r="G8" s="172">
        <f>'Income Statement'!I8/'Income Statement'!I$8</f>
        <v>1</v>
      </c>
    </row>
    <row r="9" spans="3:7" ht="14.4" customHeight="1" x14ac:dyDescent="0.3">
      <c r="C9" s="28"/>
      <c r="D9" s="28" t="s">
        <v>242</v>
      </c>
      <c r="E9" s="171">
        <f>'Income Statement'!G9/'Income Statement'!G$8</f>
        <v>-0.8789369714506241</v>
      </c>
      <c r="F9" s="172">
        <f>'Income Statement'!H9/'Income Statement'!H$8</f>
        <v>-0.8789369714506241</v>
      </c>
      <c r="G9" s="172">
        <f>'Income Statement'!I9/'Income Statement'!I$8</f>
        <v>-0.8789369714506241</v>
      </c>
    </row>
    <row r="10" spans="3:7" ht="14.4" customHeight="1" x14ac:dyDescent="0.3">
      <c r="C10" s="28"/>
      <c r="D10" s="28" t="s">
        <v>51</v>
      </c>
      <c r="E10" s="171">
        <f>'Income Statement'!G10/'Income Statement'!G$8</f>
        <v>-2.4854927018554185E-2</v>
      </c>
      <c r="F10" s="172">
        <f>'Income Statement'!H10/'Income Statement'!H$8</f>
        <v>-2.4854927018554185E-2</v>
      </c>
      <c r="G10" s="172">
        <f>'Income Statement'!I10/'Income Statement'!I$8</f>
        <v>-2.4854927018554185E-2</v>
      </c>
    </row>
    <row r="11" spans="3:7" ht="14.4" customHeight="1" x14ac:dyDescent="0.3">
      <c r="C11" s="28"/>
      <c r="D11" s="28" t="s">
        <v>245</v>
      </c>
      <c r="E11" s="171">
        <f>'Income Statement'!G11/'Income Statement'!G$8</f>
        <v>-1.2256089717043808E-2</v>
      </c>
      <c r="F11" s="172">
        <f>'Income Statement'!H11/'Income Statement'!H$8</f>
        <v>-1.2256089717043808E-2</v>
      </c>
      <c r="G11" s="172">
        <f>'Income Statement'!I11/'Income Statement'!I$8</f>
        <v>-1.2256089717043808E-2</v>
      </c>
    </row>
    <row r="12" spans="3:7" ht="14.4" customHeight="1" x14ac:dyDescent="0.3">
      <c r="C12" s="28"/>
      <c r="D12" s="173" t="s">
        <v>57</v>
      </c>
      <c r="E12" s="174">
        <f>'Income Statement'!G12/'Income Statement'!G$8</f>
        <v>8.3952011813777941E-2</v>
      </c>
      <c r="F12" s="175">
        <f>'Income Statement'!H12/'Income Statement'!H$8</f>
        <v>8.3952011813777955E-2</v>
      </c>
      <c r="G12" s="175">
        <f>'Income Statement'!I12/'Income Statement'!I$8</f>
        <v>8.3952011813777913E-2</v>
      </c>
    </row>
    <row r="13" spans="3:7" ht="14.4" customHeight="1" x14ac:dyDescent="0.3">
      <c r="C13" s="28"/>
      <c r="D13" s="28" t="s">
        <v>58</v>
      </c>
      <c r="E13" s="171">
        <f>'Income Statement'!G13/'Income Statement'!G$8</f>
        <v>-3.260066998782321E-3</v>
      </c>
      <c r="F13" s="172">
        <f>'Income Statement'!H13/'Income Statement'!H$8</f>
        <v>-2.1831568922888629E-3</v>
      </c>
      <c r="G13" s="172">
        <f>'Income Statement'!I13/'Income Statement'!I$8</f>
        <v>-1.7284598067871964E-3</v>
      </c>
    </row>
    <row r="14" spans="3:7" ht="14.4" customHeight="1" x14ac:dyDescent="0.3">
      <c r="C14" s="28"/>
      <c r="D14" s="173" t="s">
        <v>59</v>
      </c>
      <c r="E14" s="178">
        <f>'Income Statement'!G14/'Income Statement'!G$8</f>
        <v>8.0691944814995614E-2</v>
      </c>
      <c r="F14" s="176">
        <f>'Income Statement'!H14/'Income Statement'!H$8</f>
        <v>8.1768854921489095E-2</v>
      </c>
      <c r="G14" s="176">
        <f>'Income Statement'!I14/'Income Statement'!I$8</f>
        <v>8.2223552006990719E-2</v>
      </c>
    </row>
    <row r="15" spans="3:7" ht="14.4" customHeight="1" x14ac:dyDescent="0.3">
      <c r="C15" s="28"/>
      <c r="D15" s="60" t="s">
        <v>75</v>
      </c>
      <c r="E15" s="172">
        <f>'Income Statement'!G15/'Income Statement'!G$8</f>
        <v>-1.0247183566442809E-3</v>
      </c>
      <c r="F15" s="172">
        <f>'Income Statement'!H15/'Income Statement'!H$8</f>
        <v>-4.7825544659426383E-3</v>
      </c>
      <c r="G15" s="172">
        <f>'Income Statement'!I15/'Income Statement'!I$8</f>
        <v>-4.7825544659426383E-3</v>
      </c>
    </row>
    <row r="16" spans="3:7" ht="14.4" customHeight="1" x14ac:dyDescent="0.3">
      <c r="C16" s="28"/>
      <c r="D16" s="60" t="s">
        <v>23</v>
      </c>
      <c r="E16" s="172">
        <f>'Income Statement'!G16/'Income Statement'!G$8</f>
        <v>2.9226060094489081E-3</v>
      </c>
      <c r="F16" s="172">
        <f>'Income Statement'!H16/'Income Statement'!H$8</f>
        <v>2.9226060094489081E-3</v>
      </c>
      <c r="G16" s="172">
        <f>'Income Statement'!I16/'Income Statement'!I$8</f>
        <v>2.9226060094489081E-3</v>
      </c>
    </row>
    <row r="17" spans="2:7" ht="14.4" customHeight="1" x14ac:dyDescent="0.3">
      <c r="C17" s="28"/>
      <c r="D17" s="60" t="s">
        <v>60</v>
      </c>
      <c r="E17" s="172">
        <f>'Income Statement'!G17/'Income Statement'!G$8</f>
        <v>8.2589832467800245E-2</v>
      </c>
      <c r="F17" s="172">
        <f>'Income Statement'!H17/'Income Statement'!H$8</f>
        <v>7.9908906464995363E-2</v>
      </c>
      <c r="G17" s="172">
        <f>'Income Statement'!I17/'Income Statement'!I$8</f>
        <v>8.0363603550496987E-2</v>
      </c>
    </row>
    <row r="18" spans="2:7" ht="14.4" customHeight="1" x14ac:dyDescent="0.3">
      <c r="C18" s="28"/>
      <c r="D18" s="179" t="s">
        <v>61</v>
      </c>
      <c r="E18" s="176">
        <f>'Income Statement'!G18/'Income Statement'!G$8</f>
        <v>-2.1192197690462808E-2</v>
      </c>
      <c r="F18" s="176">
        <f>'Income Statement'!H18/'Income Statement'!H$8</f>
        <v>-2.1303372611842231E-2</v>
      </c>
      <c r="G18" s="176">
        <f>'Income Statement'!I18/'Income Statement'!I$8</f>
        <v>-2.1424592909634731E-2</v>
      </c>
    </row>
    <row r="19" spans="2:7" ht="14.4" customHeight="1" x14ac:dyDescent="0.3">
      <c r="C19" s="28"/>
      <c r="D19" s="421" t="s">
        <v>62</v>
      </c>
      <c r="E19" s="419">
        <f>'Income Statement'!G19/'Income Statement'!G$8</f>
        <v>6.139763477733743E-2</v>
      </c>
      <c r="F19" s="419">
        <f>'Income Statement'!H19/'Income Statement'!H$8</f>
        <v>5.8605533853153133E-2</v>
      </c>
      <c r="G19" s="419">
        <f>'Income Statement'!I19/'Income Statement'!I$8</f>
        <v>5.8939010640862252E-2</v>
      </c>
    </row>
    <row r="20" spans="2:7" ht="14.4" customHeight="1" x14ac:dyDescent="0.3">
      <c r="C20" s="28"/>
      <c r="D20" s="173"/>
      <c r="E20" s="180"/>
      <c r="F20" s="180"/>
      <c r="G20" s="180"/>
    </row>
    <row r="21" spans="2:7" ht="14.4" customHeight="1" x14ac:dyDescent="0.3">
      <c r="C21" s="28"/>
      <c r="D21" s="28"/>
      <c r="E21" s="181"/>
      <c r="F21" s="181"/>
      <c r="G21" s="181"/>
    </row>
    <row r="22" spans="2:7" ht="14.4" customHeight="1" x14ac:dyDescent="0.3">
      <c r="C22" s="28"/>
      <c r="D22" s="28"/>
      <c r="E22" s="28"/>
      <c r="F22" s="28"/>
      <c r="G22" s="28"/>
    </row>
    <row r="23" spans="2:7" ht="16.95" customHeight="1" x14ac:dyDescent="0.3">
      <c r="C23" s="28"/>
      <c r="D23" s="453" t="s">
        <v>63</v>
      </c>
      <c r="E23" s="453"/>
      <c r="F23" s="453"/>
      <c r="G23" s="453"/>
    </row>
    <row r="24" spans="2:7" ht="14.4" customHeight="1" x14ac:dyDescent="0.3">
      <c r="C24" s="28"/>
      <c r="D24" s="28"/>
      <c r="E24" s="170"/>
      <c r="F24" s="28"/>
      <c r="G24" s="28"/>
    </row>
    <row r="25" spans="2:7" ht="14.4" customHeight="1" x14ac:dyDescent="0.3">
      <c r="B25" s="29" t="s">
        <v>7</v>
      </c>
      <c r="C25" s="28"/>
      <c r="D25" s="28"/>
      <c r="E25" s="170"/>
      <c r="F25" s="28"/>
      <c r="G25" s="28"/>
    </row>
    <row r="26" spans="2:7" ht="14.4" customHeight="1" x14ac:dyDescent="0.3">
      <c r="B26" s="28"/>
      <c r="C26" s="29" t="s">
        <v>8</v>
      </c>
      <c r="D26" s="28"/>
      <c r="E26" s="170"/>
      <c r="F26" s="28"/>
      <c r="G26" s="28"/>
    </row>
    <row r="27" spans="2:7" ht="14.4" customHeight="1" x14ac:dyDescent="0.3">
      <c r="B27" s="28"/>
      <c r="C27" s="28"/>
      <c r="D27" s="28" t="s">
        <v>254</v>
      </c>
      <c r="E27" s="171">
        <f>'BS Inputs'!E9/'BS Inputs'!E$31</f>
        <v>1.7648488585097492E-2</v>
      </c>
      <c r="F27" s="172">
        <f>'BS Inputs'!F9/'BS Inputs'!F$31</f>
        <v>9.4389579984949686E-3</v>
      </c>
      <c r="G27" s="172">
        <f>'BS Inputs'!G9/'BS Inputs'!G$31</f>
        <v>7.4603690290770451E-3</v>
      </c>
    </row>
    <row r="28" spans="2:7" ht="14.4" customHeight="1" x14ac:dyDescent="0.3">
      <c r="B28" s="28"/>
      <c r="C28" s="28"/>
      <c r="D28" s="28" t="s">
        <v>255</v>
      </c>
      <c r="E28" s="171">
        <f>'BS Inputs'!E10/'BS Inputs'!E$31</f>
        <v>0</v>
      </c>
      <c r="F28" s="172">
        <f>'BS Inputs'!F10/'BS Inputs'!F$31</f>
        <v>1.3316115286590669E-4</v>
      </c>
      <c r="G28" s="172">
        <f>'BS Inputs'!G10/'BS Inputs'!G$31</f>
        <v>0</v>
      </c>
    </row>
    <row r="29" spans="2:7" ht="14.4" customHeight="1" x14ac:dyDescent="0.3">
      <c r="B29" s="28"/>
      <c r="C29" s="28"/>
      <c r="D29" s="28" t="s">
        <v>256</v>
      </c>
      <c r="E29" s="171">
        <f>'BS Inputs'!E11/'BS Inputs'!E$31</f>
        <v>2.6955887670956767E-2</v>
      </c>
      <c r="F29" s="172">
        <f>'BS Inputs'!F11/'BS Inputs'!F$31</f>
        <v>9.5535385253795856E-3</v>
      </c>
      <c r="G29" s="172">
        <f>'BS Inputs'!G11/'BS Inputs'!G$31</f>
        <v>3.7266012441114923E-3</v>
      </c>
    </row>
    <row r="30" spans="2:7" ht="14.4" customHeight="1" x14ac:dyDescent="0.3">
      <c r="B30" s="28"/>
      <c r="C30" s="28"/>
      <c r="D30" s="28" t="s">
        <v>257</v>
      </c>
      <c r="E30" s="171">
        <f>'BS Inputs'!E12/'BS Inputs'!E$31</f>
        <v>3.8041770658572595E-2</v>
      </c>
      <c r="F30" s="172">
        <f>'BS Inputs'!F12/'BS Inputs'!F$31</f>
        <v>1.6388112115497171E-2</v>
      </c>
      <c r="G30" s="172">
        <f>'BS Inputs'!G12/'BS Inputs'!G$31</f>
        <v>1.044165002436624E-2</v>
      </c>
    </row>
    <row r="31" spans="2:7" ht="14.4" customHeight="1" x14ac:dyDescent="0.3">
      <c r="B31" s="28"/>
      <c r="C31" s="28"/>
      <c r="D31" s="28" t="s">
        <v>258</v>
      </c>
      <c r="E31" s="171">
        <f>'BS Inputs'!E13/'BS Inputs'!E$31</f>
        <v>1.0623477173159122E-2</v>
      </c>
      <c r="F31" s="172">
        <f>'BS Inputs'!F13/'BS Inputs'!F$31</f>
        <v>5.2799945496830453E-3</v>
      </c>
      <c r="G31" s="172">
        <f>'BS Inputs'!G13/'BS Inputs'!G$31</f>
        <v>3.8723209081440572E-3</v>
      </c>
    </row>
    <row r="32" spans="2:7" ht="14.4" customHeight="1" x14ac:dyDescent="0.3">
      <c r="B32" s="28"/>
      <c r="C32" s="28"/>
      <c r="D32" s="28" t="s">
        <v>270</v>
      </c>
      <c r="E32" s="171">
        <f>'BS Inputs'!E14/'BS Inputs'!E$31</f>
        <v>0</v>
      </c>
      <c r="F32" s="172">
        <f>'BS Inputs'!F14/'BS Inputs'!F$31</f>
        <v>0</v>
      </c>
      <c r="G32" s="172">
        <f>'BS Inputs'!G14/'BS Inputs'!G$31</f>
        <v>7.1426523845470277E-4</v>
      </c>
    </row>
    <row r="33" spans="2:7" ht="14.4" customHeight="1" x14ac:dyDescent="0.3">
      <c r="B33" s="28"/>
      <c r="C33" s="28"/>
      <c r="D33" s="28" t="s">
        <v>373</v>
      </c>
      <c r="E33" s="171">
        <f>'BS Inputs'!E15/'BS Inputs'!E$31</f>
        <v>0</v>
      </c>
      <c r="F33" s="172">
        <f>'BS Inputs'!F15/'BS Inputs'!F$31</f>
        <v>2.7468358742339357E-3</v>
      </c>
      <c r="G33" s="172">
        <f>'BS Inputs'!G15/'BS Inputs'!G$31</f>
        <v>2.1189072458505727E-3</v>
      </c>
    </row>
    <row r="34" spans="2:7" ht="14.4" customHeight="1" x14ac:dyDescent="0.3">
      <c r="B34" s="28"/>
      <c r="C34" s="29" t="s">
        <v>67</v>
      </c>
      <c r="D34" s="28"/>
      <c r="E34" s="171">
        <f>'BS Inputs'!E16/'BS Inputs'!E$31</f>
        <v>0</v>
      </c>
      <c r="F34" s="172">
        <f>'BS Inputs'!F16/'BS Inputs'!F$31</f>
        <v>0</v>
      </c>
      <c r="G34" s="172">
        <f>'BS Inputs'!G16/'BS Inputs'!G$31</f>
        <v>0</v>
      </c>
    </row>
    <row r="35" spans="2:7" ht="14.4" customHeight="1" x14ac:dyDescent="0.3">
      <c r="B35" s="28"/>
      <c r="C35" s="28"/>
      <c r="D35" s="28" t="s">
        <v>259</v>
      </c>
      <c r="E35" s="171">
        <f>'BS Inputs'!E17/'BS Inputs'!E$31</f>
        <v>1.6118992429586861E-2</v>
      </c>
      <c r="F35" s="172">
        <f>'BS Inputs'!F17/'BS Inputs'!F$31</f>
        <v>1.208050365883493E-2</v>
      </c>
      <c r="G35" s="172">
        <f>'BS Inputs'!G17/'BS Inputs'!G$31</f>
        <v>1.0338929605458038E-2</v>
      </c>
    </row>
    <row r="36" spans="2:7" ht="14.4" customHeight="1" x14ac:dyDescent="0.3">
      <c r="B36" s="28"/>
      <c r="C36" s="28"/>
      <c r="D36" s="28" t="s">
        <v>260</v>
      </c>
      <c r="E36" s="171">
        <f>'BS Inputs'!E18/'BS Inputs'!E$31</f>
        <v>7.3392102345820271E-3</v>
      </c>
      <c r="F36" s="172">
        <f>'BS Inputs'!F18/'BS Inputs'!F$31</f>
        <v>7.6799920722662469E-3</v>
      </c>
      <c r="G36" s="172">
        <f>'BS Inputs'!G18/'BS Inputs'!G$31</f>
        <v>1.0790421679263853E-2</v>
      </c>
    </row>
    <row r="37" spans="2:7" ht="14.4" customHeight="1" x14ac:dyDescent="0.3">
      <c r="B37" s="28"/>
      <c r="C37" s="28"/>
      <c r="D37" s="28" t="s">
        <v>68</v>
      </c>
      <c r="E37" s="171">
        <f>'BS Inputs'!E19/'BS Inputs'!E$31</f>
        <v>0.12452944280099358</v>
      </c>
      <c r="F37" s="172">
        <f>'BS Inputs'!F19/'BS Inputs'!F$31</f>
        <v>1.8363852011507597E-3</v>
      </c>
      <c r="G37" s="172">
        <f>'BS Inputs'!G19/'BS Inputs'!G$31</f>
        <v>4.4910322685446188E-4</v>
      </c>
    </row>
    <row r="38" spans="2:7" ht="14.4" customHeight="1" x14ac:dyDescent="0.3">
      <c r="B38" s="28"/>
      <c r="C38" s="28"/>
      <c r="D38" s="28"/>
      <c r="E38" s="170"/>
      <c r="F38" s="28"/>
      <c r="G38" s="28"/>
    </row>
    <row r="39" spans="2:7" ht="14.4" customHeight="1" x14ac:dyDescent="0.3">
      <c r="B39" s="29" t="s">
        <v>9</v>
      </c>
      <c r="C39" s="28"/>
      <c r="D39" s="28"/>
      <c r="E39" s="170"/>
      <c r="F39" s="28"/>
      <c r="G39" s="28"/>
    </row>
    <row r="40" spans="2:7" ht="14.4" customHeight="1" x14ac:dyDescent="0.3">
      <c r="B40" s="28"/>
      <c r="C40" s="29" t="s">
        <v>67</v>
      </c>
      <c r="D40" s="28"/>
      <c r="E40" s="170"/>
      <c r="F40" s="28"/>
      <c r="G40" s="28"/>
    </row>
    <row r="41" spans="2:7" ht="14.4" customHeight="1" x14ac:dyDescent="0.3">
      <c r="B41" s="28"/>
      <c r="C41" s="28"/>
      <c r="D41" s="28" t="s">
        <v>262</v>
      </c>
      <c r="E41" s="171">
        <f>'BS Inputs'!E23/'BS Inputs'!E$31</f>
        <v>0</v>
      </c>
      <c r="F41" s="172">
        <f>'BS Inputs'!F23/'BS Inputs'!F$31</f>
        <v>0.13753379351350345</v>
      </c>
      <c r="G41" s="172">
        <f>'BS Inputs'!G23/'BS Inputs'!G$31</f>
        <v>0.10479393806197625</v>
      </c>
    </row>
    <row r="42" spans="2:7" ht="14.4" customHeight="1" x14ac:dyDescent="0.3">
      <c r="B42" s="28"/>
      <c r="C42" s="28"/>
      <c r="D42" s="28" t="s">
        <v>65</v>
      </c>
      <c r="E42" s="171">
        <f>'BS Inputs'!E24/'BS Inputs'!E$31</f>
        <v>0.53743412199213914</v>
      </c>
      <c r="F42" s="172">
        <f>'BS Inputs'!F24/'BS Inputs'!F$31</f>
        <v>0.62520399978941954</v>
      </c>
      <c r="G42" s="172">
        <f>'BS Inputs'!G24/'BS Inputs'!G$31</f>
        <v>0.63302533133307215</v>
      </c>
    </row>
    <row r="43" spans="2:7" ht="14.4" customHeight="1" x14ac:dyDescent="0.3">
      <c r="B43" s="28"/>
      <c r="C43" s="28"/>
      <c r="D43" s="28" t="s">
        <v>263</v>
      </c>
      <c r="E43" s="171">
        <f>'BS Inputs'!E25/'BS Inputs'!E$31</f>
        <v>6.4973945210839278E-3</v>
      </c>
      <c r="F43" s="172">
        <f>'BS Inputs'!F25/'BS Inputs'!F$31</f>
        <v>5.873026195585862E-2</v>
      </c>
      <c r="G43" s="172">
        <f>'BS Inputs'!G25/'BS Inputs'!G$31</f>
        <v>6.7838475724537287E-2</v>
      </c>
    </row>
    <row r="44" spans="2:7" ht="14.4" customHeight="1" x14ac:dyDescent="0.3">
      <c r="B44" s="28"/>
      <c r="C44" s="28"/>
      <c r="D44" s="28" t="s">
        <v>264</v>
      </c>
      <c r="E44" s="171">
        <f>'BS Inputs'!E26/'BS Inputs'!E$31</f>
        <v>7.980650095148889E-2</v>
      </c>
      <c r="F44" s="172">
        <f>'BS Inputs'!F26/'BS Inputs'!F$31</f>
        <v>5.5336200943276438E-2</v>
      </c>
      <c r="G44" s="172">
        <f>'BS Inputs'!G26/'BS Inputs'!G$31</f>
        <v>6.9835551775868823E-2</v>
      </c>
    </row>
    <row r="45" spans="2:7" ht="14.4" customHeight="1" x14ac:dyDescent="0.3">
      <c r="B45" s="28"/>
      <c r="C45" s="28"/>
      <c r="D45" s="28" t="s">
        <v>259</v>
      </c>
      <c r="E45" s="171">
        <f>'BS Inputs'!E27/'BS Inputs'!E$31</f>
        <v>4.9109868807170852E-2</v>
      </c>
      <c r="F45" s="172">
        <f>'BS Inputs'!F27/'BS Inputs'!F$31</f>
        <v>4.0747312776967456E-2</v>
      </c>
      <c r="G45" s="172">
        <f>'BS Inputs'!G27/'BS Inputs'!G$31</f>
        <v>2.5223834959341825E-2</v>
      </c>
    </row>
    <row r="46" spans="2:7" ht="14.4" customHeight="1" x14ac:dyDescent="0.3">
      <c r="B46" s="28"/>
      <c r="C46" s="28"/>
      <c r="D46" s="28" t="s">
        <v>66</v>
      </c>
      <c r="E46" s="171">
        <f>'BS Inputs'!E28/'BS Inputs'!E$31</f>
        <v>3.6737549130617789E-2</v>
      </c>
      <c r="F46" s="172">
        <f>'BS Inputs'!F28/'BS Inputs'!F$31</f>
        <v>1.3009534957899395E-2</v>
      </c>
      <c r="G46" s="172">
        <f>'BS Inputs'!G28/'BS Inputs'!G$31</f>
        <v>2.6191317974640003E-2</v>
      </c>
    </row>
    <row r="47" spans="2:7" ht="14.4" customHeight="1" x14ac:dyDescent="0.3">
      <c r="B47" s="28"/>
      <c r="C47" s="28"/>
      <c r="D47" s="28" t="s">
        <v>265</v>
      </c>
      <c r="E47" s="171">
        <f>'BS Inputs'!E29/'BS Inputs'!E$31</f>
        <v>4.9157295044551026E-2</v>
      </c>
      <c r="F47" s="172">
        <f>'BS Inputs'!F29/'BS Inputs'!F$31</f>
        <v>4.3014149146684746E-3</v>
      </c>
      <c r="G47" s="172">
        <f>'BS Inputs'!G29/'BS Inputs'!G$31</f>
        <v>2.3178981968983211E-2</v>
      </c>
    </row>
    <row r="48" spans="2:7" ht="14.4" customHeight="1" x14ac:dyDescent="0.3">
      <c r="B48" s="28"/>
      <c r="C48" s="28"/>
      <c r="D48" s="28"/>
      <c r="E48" s="171">
        <f>'BS Inputs'!E30/'BS Inputs'!E$31</f>
        <v>0</v>
      </c>
      <c r="F48" s="172">
        <f>'BS Inputs'!F30/'BS Inputs'!F$31</f>
        <v>0</v>
      </c>
      <c r="G48" s="172">
        <f>'BS Inputs'!G30/'BS Inputs'!G$31</f>
        <v>0</v>
      </c>
    </row>
    <row r="49" spans="2:7" ht="14.4" customHeight="1" x14ac:dyDescent="0.3">
      <c r="B49" s="28"/>
      <c r="C49" s="28"/>
      <c r="D49" s="56" t="s">
        <v>69</v>
      </c>
      <c r="E49" s="420">
        <f>SUM(E27:E48)</f>
        <v>1</v>
      </c>
      <c r="F49" s="419">
        <f>SUM(F27:F48)</f>
        <v>0.99999999999999989</v>
      </c>
      <c r="G49" s="419">
        <f>SUM(G27:G48)</f>
        <v>1</v>
      </c>
    </row>
    <row r="50" spans="2:7" ht="14.4" customHeight="1" x14ac:dyDescent="0.3">
      <c r="B50" s="28"/>
      <c r="C50" s="28"/>
      <c r="D50" s="28"/>
      <c r="E50" s="171"/>
      <c r="F50" s="172"/>
      <c r="G50" s="172"/>
    </row>
    <row r="51" spans="2:7" ht="14.4" customHeight="1" x14ac:dyDescent="0.3">
      <c r="B51" s="29" t="s">
        <v>10</v>
      </c>
      <c r="C51" s="28"/>
      <c r="D51" s="28"/>
      <c r="E51" s="185"/>
    </row>
    <row r="52" spans="2:7" ht="14.4" customHeight="1" x14ac:dyDescent="0.3">
      <c r="B52" s="28"/>
      <c r="C52" s="29" t="s">
        <v>11</v>
      </c>
      <c r="D52" s="28"/>
      <c r="E52" s="418"/>
      <c r="F52" s="417"/>
      <c r="G52" s="417"/>
    </row>
    <row r="53" spans="2:7" ht="14.4" customHeight="1" x14ac:dyDescent="0.3">
      <c r="B53" s="28"/>
      <c r="C53" s="28"/>
      <c r="D53" s="28" t="s">
        <v>12</v>
      </c>
      <c r="E53" s="171">
        <f>'BS Inputs'!E35/'BS Inputs'!E$55</f>
        <v>6.1950522577853134E-2</v>
      </c>
      <c r="F53" s="172">
        <f>'BS Inputs'!F35/'BS Inputs'!F$55</f>
        <v>3.2361256917412207E-2</v>
      </c>
      <c r="G53" s="172">
        <f>'BS Inputs'!G35/'BS Inputs'!G$55</f>
        <v>2.5333721919104088E-2</v>
      </c>
    </row>
    <row r="54" spans="2:7" ht="14.4" customHeight="1" x14ac:dyDescent="0.3">
      <c r="B54" s="28"/>
      <c r="C54" s="28"/>
      <c r="D54" s="28" t="s">
        <v>13</v>
      </c>
      <c r="E54" s="171">
        <f>'BS Inputs'!E36/'BS Inputs'!E$55</f>
        <v>0.42514657671490308</v>
      </c>
      <c r="F54" s="172">
        <f>'BS Inputs'!F36/'BS Inputs'!F$55</f>
        <v>0.45292753246190187</v>
      </c>
      <c r="G54" s="172">
        <f>'BS Inputs'!G36/'BS Inputs'!G$55</f>
        <v>0.53933953159488979</v>
      </c>
    </row>
    <row r="55" spans="2:7" ht="14.4" customHeight="1" x14ac:dyDescent="0.3">
      <c r="B55" s="28"/>
      <c r="C55" s="28"/>
      <c r="D55" s="28" t="s">
        <v>378</v>
      </c>
      <c r="E55" s="171">
        <f>'BS Inputs'!E37/'BS Inputs'!E$55</f>
        <v>0</v>
      </c>
      <c r="F55" s="172">
        <f>'BS Inputs'!F37/'BS Inputs'!F$55</f>
        <v>1.2418051697495019E-3</v>
      </c>
      <c r="G55" s="172">
        <f>'BS Inputs'!G37/'BS Inputs'!G$55</f>
        <v>8.1220796346019711E-5</v>
      </c>
    </row>
    <row r="56" spans="2:7" ht="14.4" customHeight="1" x14ac:dyDescent="0.3">
      <c r="B56" s="28"/>
      <c r="C56" s="29" t="s">
        <v>14</v>
      </c>
      <c r="D56" s="28"/>
      <c r="E56" s="171"/>
      <c r="F56" s="172"/>
      <c r="G56" s="172"/>
    </row>
    <row r="57" spans="2:7" ht="14.4" customHeight="1" x14ac:dyDescent="0.3">
      <c r="B57" s="28"/>
      <c r="C57" s="28"/>
      <c r="D57" s="29" t="s">
        <v>15</v>
      </c>
      <c r="E57" s="171"/>
      <c r="F57" s="172"/>
      <c r="G57" s="172"/>
    </row>
    <row r="58" spans="2:7" ht="14.4" customHeight="1" x14ac:dyDescent="0.3">
      <c r="B58" s="28"/>
      <c r="C58" s="28"/>
      <c r="D58" s="28" t="s">
        <v>202</v>
      </c>
      <c r="E58" s="171">
        <f>'BS Inputs'!E40/'BS Inputs'!E$55</f>
        <v>6.0587018253173116E-3</v>
      </c>
      <c r="F58" s="172">
        <f>'BS Inputs'!F40/'BS Inputs'!F$55</f>
        <v>2.7344487902464095E-3</v>
      </c>
      <c r="G58" s="172">
        <f>'BS Inputs'!G40/'BS Inputs'!G$55</f>
        <v>5.0882440063829994E-4</v>
      </c>
    </row>
    <row r="59" spans="2:7" ht="14.4" customHeight="1" x14ac:dyDescent="0.3">
      <c r="B59" s="28"/>
      <c r="C59" s="28"/>
      <c r="D59" s="28" t="s">
        <v>203</v>
      </c>
      <c r="E59" s="171">
        <f>'BS Inputs'!E41/'BS Inputs'!E$55</f>
        <v>3.8118838294315373E-2</v>
      </c>
      <c r="F59" s="172">
        <f>'BS Inputs'!F41/'BS Inputs'!F$55</f>
        <v>1.7543207697333987E-2</v>
      </c>
      <c r="G59" s="172">
        <f>'BS Inputs'!G41/'BS Inputs'!G$55</f>
        <v>1.1526186540280738E-2</v>
      </c>
    </row>
    <row r="60" spans="2:7" ht="14.4" customHeight="1" x14ac:dyDescent="0.3">
      <c r="B60" s="28"/>
      <c r="C60" s="28"/>
      <c r="D60" s="28" t="s">
        <v>266</v>
      </c>
      <c r="E60" s="171">
        <f>'BS Inputs'!E42/'BS Inputs'!E$55</f>
        <v>1.0054362324597025E-2</v>
      </c>
      <c r="F60" s="172">
        <f>'BS Inputs'!F42/'BS Inputs'!F$55</f>
        <v>9.1014099598348795E-3</v>
      </c>
      <c r="G60" s="172">
        <f>'BS Inputs'!G42/'BS Inputs'!G$55</f>
        <v>9.8850486847008694E-3</v>
      </c>
    </row>
    <row r="61" spans="2:7" ht="14.4" customHeight="1" x14ac:dyDescent="0.3">
      <c r="B61" s="28"/>
      <c r="C61" s="28"/>
      <c r="D61" s="29"/>
      <c r="E61" s="171"/>
      <c r="F61" s="172"/>
      <c r="G61" s="172"/>
    </row>
    <row r="62" spans="2:7" ht="14.4" customHeight="1" x14ac:dyDescent="0.3">
      <c r="B62" s="28"/>
      <c r="C62" s="29" t="s">
        <v>16</v>
      </c>
      <c r="D62" s="28"/>
      <c r="E62" s="171"/>
      <c r="F62" s="172"/>
      <c r="G62" s="172"/>
    </row>
    <row r="63" spans="2:7" ht="14.4" customHeight="1" x14ac:dyDescent="0.3">
      <c r="B63" s="28"/>
      <c r="C63" s="28"/>
      <c r="D63" s="29" t="s">
        <v>15</v>
      </c>
      <c r="E63" s="171"/>
      <c r="F63" s="172"/>
      <c r="G63" s="172"/>
    </row>
    <row r="64" spans="2:7" ht="14.4" customHeight="1" x14ac:dyDescent="0.3">
      <c r="B64" s="28"/>
      <c r="C64" s="28"/>
      <c r="D64" s="28" t="s">
        <v>202</v>
      </c>
      <c r="E64" s="171">
        <f>'BS Inputs'!E46/'BS Inputs'!E$55</f>
        <v>1.4998547571480232E-3</v>
      </c>
      <c r="F64" s="172">
        <f>'BS Inputs'!F46/'BS Inputs'!F$55</f>
        <v>4.3354793956341714E-4</v>
      </c>
      <c r="G64" s="172">
        <f>'BS Inputs'!G46/'BS Inputs'!G$55</f>
        <v>5.4943479881130975E-4</v>
      </c>
    </row>
    <row r="65" spans="2:7" ht="14.4" customHeight="1" x14ac:dyDescent="0.3">
      <c r="B65" s="28"/>
      <c r="C65" s="28"/>
      <c r="D65" s="28" t="s">
        <v>203</v>
      </c>
      <c r="E65" s="171">
        <f>'BS Inputs'!E47/'BS Inputs'!E$55</f>
        <v>3.2368407011969199E-3</v>
      </c>
      <c r="F65" s="172">
        <f>'BS Inputs'!F47/'BS Inputs'!F$55</f>
        <v>1.8921270790946277E-3</v>
      </c>
      <c r="G65" s="172">
        <f>'BS Inputs'!G47/'BS Inputs'!G$55</f>
        <v>2.0066314391369573E-3</v>
      </c>
    </row>
    <row r="66" spans="2:7" ht="14.4" customHeight="1" x14ac:dyDescent="0.3">
      <c r="B66" s="28"/>
      <c r="C66" s="28"/>
      <c r="D66" s="29" t="s">
        <v>204</v>
      </c>
      <c r="E66" s="171"/>
      <c r="F66" s="172"/>
      <c r="G66" s="172"/>
    </row>
    <row r="67" spans="2:7" ht="14.4" customHeight="1" x14ac:dyDescent="0.3">
      <c r="B67" s="28"/>
      <c r="C67" s="28"/>
      <c r="D67" s="28" t="s">
        <v>267</v>
      </c>
      <c r="E67" s="171">
        <f>'BS Inputs'!E49/'BS Inputs'!E$55</f>
        <v>0.20128880800080626</v>
      </c>
      <c r="F67" s="172">
        <f>'BS Inputs'!F49/'BS Inputs'!F$55</f>
        <v>0.22238531882805795</v>
      </c>
      <c r="G67" s="172">
        <f>'BS Inputs'!G49/'BS Inputs'!G$55</f>
        <v>1.8408454607130233E-2</v>
      </c>
    </row>
    <row r="68" spans="2:7" ht="14.4" customHeight="1" x14ac:dyDescent="0.3">
      <c r="B68" s="28"/>
      <c r="C68" s="28"/>
      <c r="D68" s="28" t="s">
        <v>268</v>
      </c>
      <c r="E68" s="171">
        <f>'BS Inputs'!E50/'BS Inputs'!E$55</f>
        <v>0.22143903060770795</v>
      </c>
      <c r="F68" s="172">
        <f>'BS Inputs'!F50/'BS Inputs'!F$55</f>
        <v>0.20906300999947353</v>
      </c>
      <c r="G68" s="172">
        <f>'BS Inputs'!G50/'BS Inputs'!G$55</f>
        <v>0.37087565573848813</v>
      </c>
    </row>
    <row r="69" spans="2:7" ht="14.4" customHeight="1" x14ac:dyDescent="0.3">
      <c r="B69" s="28"/>
      <c r="C69" s="28"/>
      <c r="D69" s="28" t="s">
        <v>205</v>
      </c>
      <c r="E69" s="171">
        <f>'BS Inputs'!E51/'BS Inputs'!E$55</f>
        <v>8.3055198212030855E-3</v>
      </c>
      <c r="F69" s="172">
        <f>'BS Inputs'!F51/'BS Inputs'!F$55</f>
        <v>2.7719197193086766E-2</v>
      </c>
      <c r="G69" s="172">
        <f>'BS Inputs'!G51/'BS Inputs'!G$55</f>
        <v>5.0237451386964541E-3</v>
      </c>
    </row>
    <row r="70" spans="2:7" ht="14.4" customHeight="1" x14ac:dyDescent="0.3">
      <c r="B70" s="28"/>
      <c r="C70" s="28"/>
      <c r="D70" s="28" t="s">
        <v>200</v>
      </c>
      <c r="E70" s="171">
        <f>'BS Inputs'!E52/'BS Inputs'!E$55</f>
        <v>2.1246954346318243E-2</v>
      </c>
      <c r="F70" s="172">
        <f>'BS Inputs'!F52/'BS Inputs'!F$55</f>
        <v>2.1847719382999342E-2</v>
      </c>
      <c r="G70" s="172">
        <f>'BS Inputs'!G52/'BS Inputs'!G$55</f>
        <v>1.5510783255138412E-2</v>
      </c>
    </row>
    <row r="71" spans="2:7" ht="14.4" customHeight="1" x14ac:dyDescent="0.3">
      <c r="B71" s="28"/>
      <c r="C71" s="28"/>
      <c r="D71" s="28" t="s">
        <v>201</v>
      </c>
      <c r="E71" s="171">
        <f>'BS Inputs'!E53/'BS Inputs'!E$55</f>
        <v>1.6539900286335909E-3</v>
      </c>
      <c r="F71" s="172">
        <f>'BS Inputs'!F53/'BS Inputs'!F$55</f>
        <v>7.4941858124533535E-4</v>
      </c>
      <c r="G71" s="172">
        <f>'BS Inputs'!G53/'BS Inputs'!G$55</f>
        <v>9.5076108663870126E-4</v>
      </c>
    </row>
    <row r="72" spans="2:7" ht="14.4" customHeight="1" x14ac:dyDescent="0.3">
      <c r="B72" s="28"/>
      <c r="C72" s="28"/>
      <c r="D72" s="28"/>
      <c r="E72" s="171">
        <f>'BS Inputs'!E54/'BS Inputs'!E$55</f>
        <v>0</v>
      </c>
      <c r="F72" s="172">
        <f>'BS Inputs'!F54/'BS Inputs'!F$55</f>
        <v>0</v>
      </c>
      <c r="G72" s="172">
        <f>'BS Inputs'!G54/'BS Inputs'!G$55</f>
        <v>0</v>
      </c>
    </row>
    <row r="73" spans="2:7" ht="14.4" customHeight="1" x14ac:dyDescent="0.3">
      <c r="B73" s="28"/>
      <c r="C73" s="28"/>
      <c r="D73" s="56" t="s">
        <v>17</v>
      </c>
      <c r="E73" s="420">
        <f>SUM(E53:E72)</f>
        <v>1</v>
      </c>
      <c r="F73" s="419">
        <f t="shared" ref="F73:G73" si="0">SUM(F53:F72)</f>
        <v>0.99999999999999978</v>
      </c>
      <c r="G73" s="419">
        <f t="shared" si="0"/>
        <v>0.99999999999999989</v>
      </c>
    </row>
    <row r="74" spans="2:7" ht="14.4" customHeight="1" x14ac:dyDescent="0.3">
      <c r="C74" s="28"/>
      <c r="D74" s="28"/>
      <c r="E74" s="28"/>
      <c r="F74" s="28"/>
      <c r="G74" s="28"/>
    </row>
    <row r="75" spans="2:7" ht="14.4" customHeight="1" x14ac:dyDescent="0.3">
      <c r="C75" s="28"/>
      <c r="D75" s="28"/>
      <c r="E75" s="28"/>
      <c r="F75" s="28"/>
      <c r="G75" s="28"/>
    </row>
    <row r="76" spans="2:7" ht="14.4" customHeight="1" x14ac:dyDescent="0.3">
      <c r="C76" s="28"/>
      <c r="D76" s="28"/>
      <c r="E76" s="28"/>
      <c r="F76" s="28"/>
      <c r="G76" s="28"/>
    </row>
    <row r="77" spans="2:7" ht="14.4" customHeight="1" x14ac:dyDescent="0.3">
      <c r="C77" s="28"/>
      <c r="D77" s="28"/>
      <c r="E77" s="28"/>
      <c r="F77" s="28"/>
      <c r="G77" s="28"/>
    </row>
    <row r="78" spans="2:7" ht="14.4" customHeight="1" x14ac:dyDescent="0.3">
      <c r="C78" s="28"/>
      <c r="D78" s="28"/>
      <c r="E78" s="28"/>
      <c r="F78" s="28"/>
      <c r="G78" s="28"/>
    </row>
    <row r="79" spans="2:7" ht="14.4" customHeight="1" x14ac:dyDescent="0.3">
      <c r="C79" s="28"/>
      <c r="D79" s="28"/>
      <c r="E79" s="28"/>
      <c r="F79" s="28"/>
      <c r="G79" s="28"/>
    </row>
    <row r="80" spans="2:7" ht="14.4" customHeight="1" x14ac:dyDescent="0.3">
      <c r="C80" s="28"/>
      <c r="D80" s="28"/>
      <c r="E80" s="28"/>
      <c r="F80" s="28"/>
      <c r="G80" s="28"/>
    </row>
    <row r="81" spans="3:7" ht="14.4" customHeight="1" x14ac:dyDescent="0.3">
      <c r="C81" s="28"/>
      <c r="D81" s="28"/>
      <c r="E81" s="28"/>
      <c r="F81" s="28"/>
      <c r="G81" s="28"/>
    </row>
    <row r="82" spans="3:7" ht="14.4" customHeight="1" x14ac:dyDescent="0.3">
      <c r="C82" s="28"/>
      <c r="D82" s="28"/>
      <c r="E82" s="28"/>
      <c r="F82" s="28"/>
      <c r="G82" s="28"/>
    </row>
    <row r="83" spans="3:7" ht="14.4" customHeight="1" x14ac:dyDescent="0.3">
      <c r="C83" s="28"/>
      <c r="D83" s="28"/>
      <c r="E83" s="28"/>
      <c r="F83" s="28"/>
      <c r="G83" s="28"/>
    </row>
    <row r="84" spans="3:7" ht="14.4" customHeight="1" x14ac:dyDescent="0.3">
      <c r="C84" s="28"/>
      <c r="D84" s="28"/>
      <c r="E84" s="28"/>
      <c r="F84" s="28"/>
      <c r="G84" s="28"/>
    </row>
    <row r="85" spans="3:7" ht="14.4" customHeight="1" x14ac:dyDescent="0.3">
      <c r="C85" s="28"/>
      <c r="D85" s="28"/>
      <c r="E85" s="28"/>
      <c r="F85" s="28"/>
      <c r="G85" s="28"/>
    </row>
    <row r="86" spans="3:7" ht="14.4" customHeight="1" x14ac:dyDescent="0.3">
      <c r="C86" s="28"/>
      <c r="D86" s="28"/>
      <c r="E86" s="28"/>
      <c r="F86" s="28"/>
      <c r="G86" s="28"/>
    </row>
    <row r="87" spans="3:7" ht="14.4" customHeight="1" x14ac:dyDescent="0.3">
      <c r="C87" s="28"/>
      <c r="D87" s="28"/>
      <c r="E87" s="28"/>
      <c r="F87" s="28"/>
      <c r="G87" s="28"/>
    </row>
    <row r="88" spans="3:7" ht="14.4" customHeight="1" x14ac:dyDescent="0.3">
      <c r="C88" s="28"/>
      <c r="D88" s="28"/>
      <c r="E88" s="28"/>
      <c r="F88" s="28"/>
      <c r="G88" s="28"/>
    </row>
    <row r="89" spans="3:7" ht="14.4" customHeight="1" x14ac:dyDescent="0.3">
      <c r="C89" s="28"/>
      <c r="D89" s="28"/>
      <c r="E89" s="28"/>
      <c r="F89" s="28"/>
      <c r="G89" s="28"/>
    </row>
    <row r="90" spans="3:7" ht="14.4" customHeight="1" x14ac:dyDescent="0.3">
      <c r="C90" s="28"/>
      <c r="D90" s="28"/>
      <c r="E90" s="28"/>
      <c r="F90" s="28"/>
      <c r="G90" s="28"/>
    </row>
    <row r="91" spans="3:7" ht="14.4" customHeight="1" x14ac:dyDescent="0.3">
      <c r="C91" s="28"/>
      <c r="D91" s="28"/>
      <c r="E91" s="28"/>
      <c r="F91" s="28"/>
      <c r="G91" s="28"/>
    </row>
  </sheetData>
  <mergeCells count="2">
    <mergeCell ref="D4:G4"/>
    <mergeCell ref="D23:G2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4F47-2AAD-4566-8471-0B81C69B5C90}">
  <dimension ref="D1:S26"/>
  <sheetViews>
    <sheetView showGridLines="0" zoomScale="102" zoomScaleNormal="102" workbookViewId="0">
      <selection activeCell="P15" sqref="P15"/>
    </sheetView>
  </sheetViews>
  <sheetFormatPr defaultColWidth="8.88671875" defaultRowHeight="14.4" customHeight="1" x14ac:dyDescent="0.3"/>
  <cols>
    <col min="1" max="3" width="1.33203125" style="28" customWidth="1"/>
    <col min="4" max="4" width="35.77734375" style="28" customWidth="1"/>
    <col min="5" max="17" width="10.77734375" style="28" customWidth="1"/>
    <col min="18" max="16384" width="8.88671875" style="28"/>
  </cols>
  <sheetData>
    <row r="1" spans="4:19" s="19" customFormat="1" ht="14.4" customHeight="1" x14ac:dyDescent="0.3"/>
    <row r="2" spans="4:19" s="19" customFormat="1" ht="14.4" customHeight="1" x14ac:dyDescent="0.3"/>
    <row r="3" spans="4:19" s="19" customFormat="1" ht="14.4" customHeight="1" x14ac:dyDescent="0.3">
      <c r="L3" s="141" t="s">
        <v>310</v>
      </c>
      <c r="P3" s="28"/>
      <c r="Q3" s="141"/>
    </row>
    <row r="4" spans="4:19" s="19" customFormat="1" ht="16.95" customHeight="1" x14ac:dyDescent="0.3">
      <c r="D4" s="453" t="s">
        <v>55</v>
      </c>
      <c r="E4" s="453"/>
      <c r="F4" s="453"/>
      <c r="G4" s="453"/>
      <c r="H4" s="453"/>
      <c r="I4" s="453"/>
      <c r="J4" s="453"/>
      <c r="K4" s="453"/>
      <c r="L4" s="453"/>
      <c r="M4" s="44"/>
      <c r="N4" s="44"/>
      <c r="O4" s="44"/>
      <c r="P4" s="44"/>
      <c r="Q4" s="44"/>
    </row>
    <row r="5" spans="4:19" ht="14.4" customHeight="1" x14ac:dyDescent="0.3">
      <c r="E5" s="167">
        <v>2022</v>
      </c>
      <c r="F5" s="29">
        <f t="shared" ref="F5:L5" si="0">E5+1</f>
        <v>2023</v>
      </c>
      <c r="G5" s="29">
        <f t="shared" si="0"/>
        <v>2024</v>
      </c>
      <c r="H5" s="29">
        <f t="shared" si="0"/>
        <v>2025</v>
      </c>
      <c r="I5" s="29">
        <f t="shared" si="0"/>
        <v>2026</v>
      </c>
      <c r="J5" s="29">
        <f t="shared" si="0"/>
        <v>2027</v>
      </c>
      <c r="K5" s="29">
        <f t="shared" si="0"/>
        <v>2028</v>
      </c>
      <c r="L5" s="29">
        <f t="shared" si="0"/>
        <v>2029</v>
      </c>
      <c r="M5" s="29"/>
      <c r="N5" s="29"/>
      <c r="O5" s="29"/>
      <c r="P5" s="29"/>
      <c r="Q5" s="29"/>
    </row>
    <row r="6" spans="4:19" ht="14.4" customHeight="1" x14ac:dyDescent="0.3">
      <c r="D6" s="21" t="s">
        <v>1</v>
      </c>
      <c r="E6" s="168" t="s">
        <v>21</v>
      </c>
      <c r="F6" s="169" t="s">
        <v>21</v>
      </c>
      <c r="G6" s="169" t="s">
        <v>21</v>
      </c>
      <c r="H6" s="183" t="s">
        <v>22</v>
      </c>
      <c r="I6" s="183" t="s">
        <v>22</v>
      </c>
      <c r="J6" s="183" t="s">
        <v>22</v>
      </c>
      <c r="K6" s="183" t="s">
        <v>22</v>
      </c>
      <c r="L6" s="183" t="s">
        <v>22</v>
      </c>
      <c r="M6" s="184"/>
      <c r="N6" s="184"/>
      <c r="O6" s="184"/>
      <c r="P6" s="184"/>
      <c r="Q6" s="184"/>
    </row>
    <row r="7" spans="4:19" ht="14.4" customHeight="1" x14ac:dyDescent="0.3">
      <c r="E7" s="170"/>
      <c r="H7" s="252"/>
      <c r="I7" s="252"/>
      <c r="J7" s="252"/>
      <c r="K7" s="252"/>
      <c r="L7" s="252"/>
    </row>
    <row r="8" spans="4:19" ht="14.4" customHeight="1" x14ac:dyDescent="0.3">
      <c r="D8" s="28" t="s">
        <v>56</v>
      </c>
      <c r="E8" s="267">
        <f>'Cost Buildup'!E8</f>
        <v>2824.98</v>
      </c>
      <c r="F8" s="127">
        <f>'Cost Buildup'!F8</f>
        <v>7732.52</v>
      </c>
      <c r="G8" s="127">
        <f>'Cost Buildup'!G8</f>
        <v>11349.46</v>
      </c>
      <c r="H8" s="124">
        <f>'Cost Buildup'!H8</f>
        <v>13047.339215999998</v>
      </c>
      <c r="I8" s="124">
        <f>'Cost Buildup'!I8</f>
        <v>14628.363592838014</v>
      </c>
      <c r="J8" s="124">
        <f>'Cost Buildup'!J8</f>
        <v>16064.174928085862</v>
      </c>
      <c r="K8" s="124">
        <f>'Cost Buildup'!K8</f>
        <v>17341.334241804212</v>
      </c>
      <c r="L8" s="124">
        <f>'Cost Buildup'!L8</f>
        <v>18458.079656808753</v>
      </c>
      <c r="M8" s="222"/>
      <c r="N8" s="222"/>
      <c r="O8" s="222"/>
      <c r="P8" s="222"/>
      <c r="Q8" s="222"/>
    </row>
    <row r="9" spans="4:19" ht="14.4" customHeight="1" x14ac:dyDescent="0.3">
      <c r="D9" s="28" t="s">
        <v>242</v>
      </c>
      <c r="E9" s="187">
        <f>-'Cost Buildup'!E10</f>
        <v>-2372.66</v>
      </c>
      <c r="F9" s="188">
        <f>-'Cost Buildup'!F10</f>
        <v>-6453.78</v>
      </c>
      <c r="G9" s="188">
        <f>-'Cost Buildup'!G10</f>
        <v>-9975.4599999999991</v>
      </c>
      <c r="H9" s="268">
        <f>-'Cost Buildup'!H10</f>
        <v>-11467.788815999998</v>
      </c>
      <c r="I9" s="268">
        <f>-'Cost Buildup'!I10</f>
        <v>-12857.409593567614</v>
      </c>
      <c r="J9" s="268">
        <f>-'Cost Buildup'!J10</f>
        <v>-14119.397260144835</v>
      </c>
      <c r="K9" s="268">
        <f>-'Cost Buildup'!K10</f>
        <v>-15241.939799404399</v>
      </c>
      <c r="L9" s="268">
        <f>-'Cost Buildup'!L10</f>
        <v>-16223.488632349861</v>
      </c>
      <c r="M9" s="189"/>
      <c r="N9" s="189"/>
      <c r="O9" s="189"/>
      <c r="P9" s="189"/>
      <c r="Q9" s="189"/>
    </row>
    <row r="10" spans="4:19" ht="14.4" customHeight="1" x14ac:dyDescent="0.3">
      <c r="D10" s="28" t="s">
        <v>51</v>
      </c>
      <c r="E10" s="187">
        <f>-'Cost Buildup'!E13</f>
        <v>-165.53</v>
      </c>
      <c r="F10" s="188">
        <f>-'Cost Buildup'!F13</f>
        <v>-174.41</v>
      </c>
      <c r="G10" s="188">
        <f>-'Cost Buildup'!G13</f>
        <v>-282.08999999999997</v>
      </c>
      <c r="H10" s="268">
        <f>-'Cost Buildup'!H13</f>
        <v>-324.29066399999994</v>
      </c>
      <c r="I10" s="268">
        <f>-'Cost Buildup'!I13</f>
        <v>-363.5869095008639</v>
      </c>
      <c r="J10" s="268">
        <f>-'Cost Buildup'!J13</f>
        <v>-399.27389545086203</v>
      </c>
      <c r="K10" s="268">
        <f>-'Cost Buildup'!K13</f>
        <v>-431.01759698439838</v>
      </c>
      <c r="L10" s="268">
        <f>-'Cost Buildup'!L13</f>
        <v>-458.77422277264122</v>
      </c>
      <c r="M10" s="189"/>
      <c r="N10" s="189"/>
      <c r="O10" s="189"/>
      <c r="P10" s="189"/>
      <c r="Q10" s="189"/>
    </row>
    <row r="11" spans="4:19" ht="14.4" customHeight="1" x14ac:dyDescent="0.3">
      <c r="D11" s="28" t="s">
        <v>245</v>
      </c>
      <c r="E11" s="187">
        <f>-'Cost Buildup'!E16</f>
        <v>-60.98</v>
      </c>
      <c r="F11" s="188">
        <f>-'Cost Buildup'!F16</f>
        <v>-115.1</v>
      </c>
      <c r="G11" s="188">
        <f>-'Cost Buildup'!G16</f>
        <v>-139.1</v>
      </c>
      <c r="H11" s="268">
        <f>-'Cost Buildup'!H16</f>
        <v>-159.90935999999999</v>
      </c>
      <c r="I11" s="268">
        <f>-'Cost Buildup'!I16</f>
        <v>-179.28653660735998</v>
      </c>
      <c r="J11" s="268">
        <f>-'Cost Buildup'!J16</f>
        <v>-196.88396914890609</v>
      </c>
      <c r="K11" s="268">
        <f>-'Cost Buildup'!K16</f>
        <v>-212.53694828079628</v>
      </c>
      <c r="L11" s="268">
        <f>-'Cost Buildup'!L16</f>
        <v>-226.22388027818926</v>
      </c>
      <c r="M11" s="189"/>
      <c r="N11" s="189"/>
      <c r="O11" s="189"/>
      <c r="P11" s="189"/>
      <c r="Q11" s="189"/>
    </row>
    <row r="12" spans="4:19" ht="14.4" customHeight="1" x14ac:dyDescent="0.3">
      <c r="D12" s="173" t="s">
        <v>57</v>
      </c>
      <c r="E12" s="269">
        <f>SUM(E8:E11)</f>
        <v>225.8100000000002</v>
      </c>
      <c r="F12" s="270">
        <f t="shared" ref="F12:L12" si="1">SUM(F8:F11)</f>
        <v>989.23000000000059</v>
      </c>
      <c r="G12" s="270">
        <f t="shared" si="1"/>
        <v>952.81000000000006</v>
      </c>
      <c r="H12" s="271">
        <f t="shared" si="1"/>
        <v>1095.3503760000003</v>
      </c>
      <c r="I12" s="271">
        <f t="shared" si="1"/>
        <v>1228.0805531621756</v>
      </c>
      <c r="J12" s="271">
        <f t="shared" si="1"/>
        <v>1348.6198033412591</v>
      </c>
      <c r="K12" s="271">
        <f t="shared" si="1"/>
        <v>1455.8398971346182</v>
      </c>
      <c r="L12" s="271">
        <f t="shared" si="1"/>
        <v>1549.5929214080618</v>
      </c>
      <c r="M12" s="246"/>
      <c r="N12" s="246"/>
      <c r="O12" s="272"/>
      <c r="P12" s="272"/>
      <c r="Q12" s="272"/>
      <c r="R12" s="272"/>
      <c r="S12" s="272"/>
    </row>
    <row r="13" spans="4:19" ht="14.4" customHeight="1" x14ac:dyDescent="0.3">
      <c r="D13" s="28" t="s">
        <v>58</v>
      </c>
      <c r="E13" s="187">
        <f>'Working Schedule'!E21</f>
        <v>-21.29</v>
      </c>
      <c r="F13" s="188">
        <f>'Working Schedule'!F21</f>
        <v>-34.979999999999997</v>
      </c>
      <c r="G13" s="188">
        <f>'Working Schedule'!G21</f>
        <v>-37</v>
      </c>
      <c r="H13" s="268">
        <f>'Working Schedule'!H21</f>
        <v>-28.484388535441166</v>
      </c>
      <c r="I13" s="268">
        <f>'Working Schedule'!I21</f>
        <v>-25.28453850928965</v>
      </c>
      <c r="J13" s="268">
        <f>'Working Schedule'!J21</f>
        <v>-22.889545014513253</v>
      </c>
      <c r="K13" s="268">
        <f>'Working Schedule'!K21</f>
        <v>-21.317549335294931</v>
      </c>
      <c r="L13" s="268">
        <f>'Working Schedule'!L21</f>
        <v>-19.935461160966195</v>
      </c>
      <c r="M13" s="189"/>
      <c r="N13" s="189"/>
      <c r="O13" s="272"/>
      <c r="P13" s="272"/>
      <c r="Q13" s="272"/>
      <c r="R13" s="272"/>
      <c r="S13" s="272"/>
    </row>
    <row r="14" spans="4:19" ht="14.4" customHeight="1" x14ac:dyDescent="0.3">
      <c r="D14" s="173" t="s">
        <v>59</v>
      </c>
      <c r="E14" s="269">
        <f t="shared" ref="E14:G14" si="2">SUM(E12:E13)</f>
        <v>204.52000000000021</v>
      </c>
      <c r="F14" s="270">
        <f t="shared" si="2"/>
        <v>954.25000000000057</v>
      </c>
      <c r="G14" s="270">
        <f t="shared" si="2"/>
        <v>915.81000000000006</v>
      </c>
      <c r="H14" s="271">
        <f t="shared" ref="H14:L14" si="3">SUM(H12:H13)</f>
        <v>1066.8659874645591</v>
      </c>
      <c r="I14" s="271">
        <f t="shared" si="3"/>
        <v>1202.796014652886</v>
      </c>
      <c r="J14" s="271">
        <f t="shared" si="3"/>
        <v>1325.7302583267458</v>
      </c>
      <c r="K14" s="271">
        <f t="shared" si="3"/>
        <v>1434.5223477993234</v>
      </c>
      <c r="L14" s="271">
        <f t="shared" si="3"/>
        <v>1529.6574602470955</v>
      </c>
      <c r="M14" s="246"/>
      <c r="N14" s="246"/>
      <c r="O14" s="272"/>
      <c r="P14" s="272"/>
      <c r="Q14" s="272"/>
      <c r="R14" s="272"/>
      <c r="S14" s="272"/>
    </row>
    <row r="15" spans="4:19" ht="14.4" customHeight="1" x14ac:dyDescent="0.3">
      <c r="D15" s="28" t="s">
        <v>75</v>
      </c>
      <c r="E15" s="187">
        <f>-'Cost Buildup'!E19</f>
        <v>-14.67</v>
      </c>
      <c r="F15" s="188">
        <f>-'Cost Buildup'!F19</f>
        <v>-12.86</v>
      </c>
      <c r="G15" s="188">
        <f>-'Cost Buildup'!G19</f>
        <v>-11.63</v>
      </c>
      <c r="H15" s="268">
        <f>-'Cost Buildup'!H19</f>
        <v>-62.39961043614931</v>
      </c>
      <c r="I15" s="268">
        <f>-'Cost Buildup'!I19</f>
        <v>-69.960945630360143</v>
      </c>
      <c r="J15" s="268">
        <f>-'Cost Buildup'!J19</f>
        <v>-76.827791544000789</v>
      </c>
      <c r="K15" s="268">
        <f>-'Cost Buildup'!K19</f>
        <v>-82.935875523544723</v>
      </c>
      <c r="L15" s="268">
        <f>-'Cost Buildup'!L19</f>
        <v>-88.276771295395662</v>
      </c>
      <c r="M15" s="189"/>
      <c r="N15" s="189"/>
      <c r="O15" s="272"/>
      <c r="P15" s="272"/>
      <c r="Q15" s="272"/>
      <c r="R15" s="272"/>
      <c r="S15" s="272"/>
    </row>
    <row r="16" spans="4:19" ht="14.4" customHeight="1" x14ac:dyDescent="0.3">
      <c r="D16" s="28" t="s">
        <v>23</v>
      </c>
      <c r="E16" s="267">
        <f>'Revenue Buildup'!E13</f>
        <v>14.91</v>
      </c>
      <c r="F16" s="127">
        <f>'Revenue Buildup'!F13</f>
        <v>32.96</v>
      </c>
      <c r="G16" s="127">
        <f>'Revenue Buildup'!G13</f>
        <v>33.17</v>
      </c>
      <c r="H16" s="124">
        <f>'Revenue Buildup'!H13</f>
        <v>38.132232000000002</v>
      </c>
      <c r="I16" s="124">
        <f>'Revenue Buildup'!I13</f>
        <v>42.752943344831998</v>
      </c>
      <c r="J16" s="124">
        <f>'Revenue Buildup'!J13</f>
        <v>46.949254181662219</v>
      </c>
      <c r="K16" s="124">
        <f>'Revenue Buildup'!K13</f>
        <v>50.681887666959113</v>
      </c>
      <c r="L16" s="124">
        <f>'Revenue Buildup'!L13</f>
        <v>53.945694527875901</v>
      </c>
      <c r="M16" s="222"/>
      <c r="N16" s="222"/>
      <c r="O16" s="272"/>
      <c r="P16" s="272"/>
      <c r="Q16" s="272"/>
      <c r="R16" s="272"/>
      <c r="S16" s="272"/>
    </row>
    <row r="17" spans="4:19" ht="14.4" customHeight="1" x14ac:dyDescent="0.3">
      <c r="D17" s="173" t="s">
        <v>60</v>
      </c>
      <c r="E17" s="269">
        <f t="shared" ref="E17:G17" si="4">SUM(E14:E16)</f>
        <v>204.76000000000022</v>
      </c>
      <c r="F17" s="270">
        <f t="shared" si="4"/>
        <v>974.35000000000059</v>
      </c>
      <c r="G17" s="270">
        <f t="shared" si="4"/>
        <v>937.35</v>
      </c>
      <c r="H17" s="271">
        <f t="shared" ref="H17" si="5">SUM(H14:H16)</f>
        <v>1042.5986090284098</v>
      </c>
      <c r="I17" s="271">
        <f t="shared" ref="I17" si="6">SUM(I14:I16)</f>
        <v>1175.5880123673578</v>
      </c>
      <c r="J17" s="271">
        <f t="shared" ref="J17" si="7">SUM(J14:J16)</f>
        <v>1295.8517209644071</v>
      </c>
      <c r="K17" s="271">
        <f t="shared" ref="K17" si="8">SUM(K14:K16)</f>
        <v>1402.2683599427378</v>
      </c>
      <c r="L17" s="271">
        <f t="shared" ref="L17" si="9">SUM(L14:L16)</f>
        <v>1495.3263834795757</v>
      </c>
      <c r="M17" s="246"/>
      <c r="N17" s="246"/>
      <c r="O17" s="272"/>
      <c r="P17" s="272"/>
      <c r="Q17" s="272"/>
      <c r="R17" s="272"/>
      <c r="S17" s="272"/>
    </row>
    <row r="18" spans="4:19" ht="14.4" customHeight="1" x14ac:dyDescent="0.3">
      <c r="D18" s="28" t="s">
        <v>61</v>
      </c>
      <c r="E18" s="273">
        <f>-'P&amp;L Inputs'!E26</f>
        <v>-42.239999999999995</v>
      </c>
      <c r="F18" s="274">
        <f>-'P&amp;L Inputs'!F26</f>
        <v>-249.07999999999998</v>
      </c>
      <c r="G18" s="274">
        <f>-'P&amp;L Inputs'!G26</f>
        <v>-240.51999999999998</v>
      </c>
      <c r="H18" s="275">
        <f>-H17*'Cost Buildup'!H25</f>
        <v>-277.95232891154944</v>
      </c>
      <c r="I18" s="275">
        <f>-I17*'Cost Buildup'!I25</f>
        <v>-313.40673491067616</v>
      </c>
      <c r="J18" s="275">
        <f>-J17*'Cost Buildup'!J25</f>
        <v>-345.46852513236149</v>
      </c>
      <c r="K18" s="275">
        <f>-K17*'Cost Buildup'!K25</f>
        <v>-387.86142943113435</v>
      </c>
      <c r="L18" s="275">
        <f>-L17*'Cost Buildup'!L25</f>
        <v>-413.60088063754108</v>
      </c>
      <c r="M18" s="189"/>
      <c r="N18" s="189"/>
      <c r="O18" s="272"/>
      <c r="P18" s="272"/>
      <c r="Q18" s="272"/>
      <c r="R18" s="272"/>
      <c r="S18" s="272"/>
    </row>
    <row r="19" spans="4:19" ht="14.4" customHeight="1" thickBot="1" x14ac:dyDescent="0.35">
      <c r="D19" s="243" t="s">
        <v>62</v>
      </c>
      <c r="E19" s="276">
        <f t="shared" ref="E19:G19" si="10">SUM(E17:E18)</f>
        <v>162.52000000000021</v>
      </c>
      <c r="F19" s="277">
        <f t="shared" si="10"/>
        <v>725.27000000000066</v>
      </c>
      <c r="G19" s="277">
        <f t="shared" si="10"/>
        <v>696.83</v>
      </c>
      <c r="H19" s="278">
        <f>SUM(H17:H18)</f>
        <v>764.64628011686034</v>
      </c>
      <c r="I19" s="278">
        <f t="shared" ref="I19" si="11">SUM(I17:I18)</f>
        <v>862.18127745668164</v>
      </c>
      <c r="J19" s="278">
        <f t="shared" ref="J19" si="12">SUM(J17:J18)</f>
        <v>950.38319583204566</v>
      </c>
      <c r="K19" s="278">
        <f t="shared" ref="K19" si="13">SUM(K17:K18)</f>
        <v>1014.4069305116034</v>
      </c>
      <c r="L19" s="278">
        <f t="shared" ref="L19" si="14">SUM(L17:L18)</f>
        <v>1081.7255028420345</v>
      </c>
      <c r="M19" s="246"/>
      <c r="N19" s="246"/>
      <c r="O19" s="272"/>
      <c r="P19" s="272"/>
      <c r="Q19" s="272"/>
      <c r="R19" s="272"/>
      <c r="S19" s="272"/>
    </row>
    <row r="20" spans="4:19" ht="14.4" customHeight="1" thickTop="1" x14ac:dyDescent="0.3"/>
    <row r="21" spans="4:19" ht="14.4" customHeight="1" x14ac:dyDescent="0.3">
      <c r="D21" s="28" t="s">
        <v>372</v>
      </c>
      <c r="E21" s="316">
        <v>0</v>
      </c>
      <c r="F21" s="316">
        <v>0</v>
      </c>
      <c r="G21" s="146">
        <v>26.51</v>
      </c>
      <c r="H21" s="221">
        <f t="shared" ref="H21:L21" si="15">H19*H22</f>
        <v>29.089983045933678</v>
      </c>
      <c r="I21" s="221">
        <f t="shared" si="15"/>
        <v>32.800576418031127</v>
      </c>
      <c r="J21" s="221">
        <f t="shared" si="15"/>
        <v>36.156104819694228</v>
      </c>
      <c r="K21" s="221">
        <f t="shared" si="15"/>
        <v>38.591805358355124</v>
      </c>
      <c r="L21" s="221">
        <f t="shared" si="15"/>
        <v>41.152853752482429</v>
      </c>
    </row>
    <row r="22" spans="4:19" ht="14.4" customHeight="1" x14ac:dyDescent="0.3">
      <c r="D22" s="438" t="s">
        <v>379</v>
      </c>
      <c r="E22" s="439">
        <f t="shared" ref="E22:G22" si="16">E21/E19</f>
        <v>0</v>
      </c>
      <c r="F22" s="439">
        <f t="shared" si="16"/>
        <v>0</v>
      </c>
      <c r="G22" s="440">
        <f t="shared" si="16"/>
        <v>3.8043712239714131E-2</v>
      </c>
      <c r="H22" s="445">
        <f t="shared" ref="H22:L22" si="17">G22</f>
        <v>3.8043712239714131E-2</v>
      </c>
      <c r="I22" s="440">
        <f t="shared" si="17"/>
        <v>3.8043712239714131E-2</v>
      </c>
      <c r="J22" s="440">
        <f t="shared" si="17"/>
        <v>3.8043712239714131E-2</v>
      </c>
      <c r="K22" s="440">
        <f t="shared" si="17"/>
        <v>3.8043712239714131E-2</v>
      </c>
      <c r="L22" s="440">
        <f t="shared" si="17"/>
        <v>3.8043712239714131E-2</v>
      </c>
    </row>
    <row r="24" spans="4:19" ht="14.4" customHeight="1" x14ac:dyDescent="0.3">
      <c r="E24" s="181"/>
      <c r="F24" s="181"/>
      <c r="G24" s="181"/>
      <c r="H24" s="181"/>
      <c r="I24" s="181"/>
      <c r="J24" s="181"/>
      <c r="K24" s="181"/>
      <c r="L24" s="181"/>
      <c r="M24" s="181"/>
    </row>
    <row r="25" spans="4:19" ht="14.4" customHeight="1" x14ac:dyDescent="0.3">
      <c r="E25" s="181"/>
      <c r="F25" s="181"/>
      <c r="G25" s="181"/>
      <c r="H25" s="181"/>
      <c r="I25" s="181"/>
      <c r="J25" s="181"/>
      <c r="K25" s="181"/>
      <c r="L25" s="181"/>
      <c r="M25" s="181"/>
    </row>
    <row r="26" spans="4:19" ht="14.4" customHeight="1" x14ac:dyDescent="0.3">
      <c r="E26" s="181"/>
      <c r="F26" s="181"/>
      <c r="G26" s="181"/>
      <c r="H26" s="181"/>
      <c r="I26" s="181"/>
      <c r="J26" s="181"/>
      <c r="K26" s="181"/>
      <c r="L26" s="181"/>
      <c r="M26" s="181"/>
    </row>
  </sheetData>
  <mergeCells count="1">
    <mergeCell ref="D4:L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BC5-4720-4583-B44B-60B8D82FE1C5}">
  <dimension ref="B4:Z55"/>
  <sheetViews>
    <sheetView showGridLines="0" workbookViewId="0"/>
  </sheetViews>
  <sheetFormatPr defaultColWidth="8.88671875" defaultRowHeight="13.8" x14ac:dyDescent="0.25"/>
  <cols>
    <col min="1" max="3" width="1.33203125" style="1" customWidth="1"/>
    <col min="4" max="4" width="35.77734375" style="1" customWidth="1"/>
    <col min="5" max="12" width="10.77734375" style="1" customWidth="1"/>
    <col min="13" max="16384" width="8.88671875" style="1"/>
  </cols>
  <sheetData>
    <row r="4" spans="2:12" ht="16.8" x14ac:dyDescent="0.3">
      <c r="D4" s="515" t="s">
        <v>63</v>
      </c>
      <c r="E4" s="515"/>
      <c r="F4" s="515"/>
      <c r="G4" s="515"/>
      <c r="H4" s="515"/>
      <c r="I4" s="515"/>
      <c r="J4" s="515"/>
      <c r="K4" s="515"/>
      <c r="L4" s="515"/>
    </row>
    <row r="5" spans="2:12" x14ac:dyDescent="0.25">
      <c r="D5" s="2" t="s">
        <v>1</v>
      </c>
      <c r="E5" s="5">
        <v>2022</v>
      </c>
      <c r="F5" s="2">
        <f t="shared" ref="F5:L5" si="0">E5+1</f>
        <v>2023</v>
      </c>
      <c r="G5" s="2">
        <f t="shared" si="0"/>
        <v>2024</v>
      </c>
      <c r="H5" s="400">
        <f t="shared" si="0"/>
        <v>2025</v>
      </c>
      <c r="I5" s="400">
        <f t="shared" si="0"/>
        <v>2026</v>
      </c>
      <c r="J5" s="400">
        <f t="shared" si="0"/>
        <v>2027</v>
      </c>
      <c r="K5" s="400">
        <f t="shared" si="0"/>
        <v>2028</v>
      </c>
      <c r="L5" s="400">
        <f t="shared" si="0"/>
        <v>2029</v>
      </c>
    </row>
    <row r="6" spans="2:12" x14ac:dyDescent="0.25">
      <c r="D6" s="382"/>
      <c r="E6" s="6" t="s">
        <v>21</v>
      </c>
      <c r="F6" s="4" t="s">
        <v>21</v>
      </c>
      <c r="G6" s="4" t="s">
        <v>21</v>
      </c>
      <c r="H6" s="27" t="s">
        <v>22</v>
      </c>
      <c r="I6" s="27" t="s">
        <v>22</v>
      </c>
      <c r="J6" s="27" t="s">
        <v>22</v>
      </c>
      <c r="K6" s="27" t="s">
        <v>22</v>
      </c>
      <c r="L6" s="27" t="s">
        <v>22</v>
      </c>
    </row>
    <row r="7" spans="2:12" x14ac:dyDescent="0.25">
      <c r="E7" s="380"/>
      <c r="H7" s="373"/>
      <c r="I7" s="373"/>
      <c r="J7" s="373"/>
      <c r="K7" s="373"/>
      <c r="L7" s="373"/>
    </row>
    <row r="8" spans="2:12" x14ac:dyDescent="0.25">
      <c r="B8" s="29" t="s">
        <v>7</v>
      </c>
      <c r="C8" s="28"/>
      <c r="D8" s="28"/>
      <c r="E8" s="380"/>
      <c r="H8" s="373"/>
      <c r="I8" s="373"/>
      <c r="J8" s="373"/>
      <c r="K8" s="373"/>
      <c r="L8" s="373"/>
    </row>
    <row r="9" spans="2:12" x14ac:dyDescent="0.25">
      <c r="B9" s="28"/>
      <c r="C9" s="29" t="s">
        <v>8</v>
      </c>
      <c r="D9" s="28"/>
      <c r="E9" s="383"/>
      <c r="F9" s="377"/>
      <c r="G9" s="377"/>
      <c r="H9" s="384"/>
      <c r="I9" s="384"/>
      <c r="J9" s="384"/>
      <c r="K9" s="384"/>
      <c r="L9" s="384"/>
    </row>
    <row r="10" spans="2:12" x14ac:dyDescent="0.25">
      <c r="B10" s="28"/>
      <c r="C10" s="28"/>
      <c r="D10" s="28" t="s">
        <v>329</v>
      </c>
      <c r="E10" s="383">
        <f>SUM('Working Schedule'!E22)</f>
        <v>157.32999999999998</v>
      </c>
      <c r="F10" s="377">
        <f>SUM('Working Schedule'!F22)</f>
        <v>140.60000000000002</v>
      </c>
      <c r="G10" s="377">
        <f>SUM('Working Schedule'!G22)</f>
        <v>118.61</v>
      </c>
      <c r="H10" s="384">
        <f>'Working Schedule'!H20</f>
        <v>15.160099999999977</v>
      </c>
      <c r="I10" s="384">
        <f>'Working Schedule'!I20</f>
        <v>15.311700999999976</v>
      </c>
      <c r="J10" s="384">
        <f>'Working Schedule'!J20</f>
        <v>15.464818009999977</v>
      </c>
      <c r="K10" s="384">
        <f>'Working Schedule'!K20</f>
        <v>15.619466190099978</v>
      </c>
      <c r="L10" s="384">
        <f>'Working Schedule'!L20</f>
        <v>15.775660852000977</v>
      </c>
    </row>
    <row r="11" spans="2:12" x14ac:dyDescent="0.25">
      <c r="B11" s="28"/>
      <c r="C11" s="29" t="s">
        <v>67</v>
      </c>
      <c r="D11" s="28"/>
      <c r="E11" s="383"/>
      <c r="F11" s="377"/>
      <c r="G11" s="377"/>
      <c r="H11" s="384"/>
      <c r="I11" s="384"/>
      <c r="J11" s="384"/>
      <c r="K11" s="384"/>
      <c r="L11" s="384"/>
    </row>
    <row r="12" spans="2:12" x14ac:dyDescent="0.25">
      <c r="B12" s="28"/>
      <c r="C12" s="28"/>
      <c r="D12" s="28" t="s">
        <v>259</v>
      </c>
      <c r="E12" s="383">
        <f>'BS Inputs'!E17</f>
        <v>27.19</v>
      </c>
      <c r="F12" s="377">
        <f>'BS Inputs'!F17</f>
        <v>39.01</v>
      </c>
      <c r="G12" s="377">
        <f>'BS Inputs'!G17</f>
        <v>43.28</v>
      </c>
      <c r="H12" s="384">
        <f>'BS Items'!H9</f>
        <v>49.754688000000002</v>
      </c>
      <c r="I12" s="384">
        <f>'BS Items'!I9</f>
        <v>55.783762073087999</v>
      </c>
      <c r="J12" s="384">
        <f>'BS Items'!J9</f>
        <v>61.259081126992491</v>
      </c>
      <c r="K12" s="384">
        <f>'BS Items'!K9</f>
        <v>66.129396992040711</v>
      </c>
      <c r="L12" s="384">
        <f>'BS Items'!L9</f>
        <v>70.387990930553784</v>
      </c>
    </row>
    <row r="13" spans="2:12" x14ac:dyDescent="0.25">
      <c r="B13" s="28"/>
      <c r="C13" s="28"/>
      <c r="D13" s="28" t="s">
        <v>260</v>
      </c>
      <c r="E13" s="383">
        <f>'BS Inputs'!E18</f>
        <v>12.38</v>
      </c>
      <c r="F13" s="377">
        <f>'BS Inputs'!F18</f>
        <v>24.8</v>
      </c>
      <c r="G13" s="377">
        <f>'BS Inputs'!G18</f>
        <v>45.17</v>
      </c>
      <c r="H13" s="384">
        <f>'BS Items'!H11</f>
        <v>51.927431999999996</v>
      </c>
      <c r="I13" s="384">
        <f>'BS Items'!I11</f>
        <v>58.219790500031991</v>
      </c>
      <c r="J13" s="384">
        <f>'BS Items'!J11</f>
        <v>63.934211980273815</v>
      </c>
      <c r="K13" s="384">
        <f>'BS Items'!K11</f>
        <v>69.017210308005517</v>
      </c>
      <c r="L13" s="384">
        <f>'BS Items'!L11</f>
        <v>73.461773344110767</v>
      </c>
    </row>
    <row r="14" spans="2:12" x14ac:dyDescent="0.25">
      <c r="B14" s="28"/>
      <c r="C14" s="28"/>
      <c r="D14" s="28" t="s">
        <v>68</v>
      </c>
      <c r="E14" s="383">
        <f>'BS Inputs'!E19</f>
        <v>210.06</v>
      </c>
      <c r="F14" s="377">
        <f>'BS Inputs'!F19</f>
        <v>5.93</v>
      </c>
      <c r="G14" s="377">
        <f>'BS Inputs'!G19</f>
        <v>1.88</v>
      </c>
      <c r="H14" s="384">
        <f>'BS Items'!H13</f>
        <v>2.1612479999999996</v>
      </c>
      <c r="I14" s="384">
        <f>'BS Items'!I13</f>
        <v>2.4231393876479999</v>
      </c>
      <c r="J14" s="384">
        <f>'BS Items'!J13</f>
        <v>2.6609767217824833</v>
      </c>
      <c r="K14" s="384">
        <f>'BS Items'!K13</f>
        <v>2.8725338804306038</v>
      </c>
      <c r="L14" s="384">
        <f>'BS Items'!L13</f>
        <v>3.0575190145434634</v>
      </c>
    </row>
    <row r="15" spans="2:12" s="2" customFormat="1" x14ac:dyDescent="0.25">
      <c r="B15" s="29"/>
      <c r="C15" s="29"/>
      <c r="D15" s="56" t="s">
        <v>261</v>
      </c>
      <c r="E15" s="388">
        <f t="shared" ref="E15:L15" si="1">SUM(E10:E14)</f>
        <v>406.96</v>
      </c>
      <c r="F15" s="389">
        <f t="shared" si="1"/>
        <v>210.34000000000003</v>
      </c>
      <c r="G15" s="389">
        <f t="shared" si="1"/>
        <v>208.94</v>
      </c>
      <c r="H15" s="394">
        <f t="shared" si="1"/>
        <v>119.00346799999997</v>
      </c>
      <c r="I15" s="394">
        <f t="shared" si="1"/>
        <v>131.73839296076795</v>
      </c>
      <c r="J15" s="394">
        <f t="shared" si="1"/>
        <v>143.31908783904876</v>
      </c>
      <c r="K15" s="394">
        <f t="shared" si="1"/>
        <v>153.63860737057681</v>
      </c>
      <c r="L15" s="394">
        <f t="shared" si="1"/>
        <v>162.68294414120899</v>
      </c>
    </row>
    <row r="16" spans="2:12" x14ac:dyDescent="0.25">
      <c r="B16" s="28"/>
      <c r="C16" s="28"/>
      <c r="D16" s="28"/>
      <c r="E16" s="383"/>
      <c r="F16" s="377"/>
      <c r="G16" s="377"/>
      <c r="H16" s="384"/>
      <c r="I16" s="384"/>
      <c r="J16" s="384"/>
      <c r="K16" s="384"/>
      <c r="L16" s="384"/>
    </row>
    <row r="17" spans="2:26" x14ac:dyDescent="0.25">
      <c r="B17" s="29" t="s">
        <v>9</v>
      </c>
      <c r="C17" s="28"/>
      <c r="D17" s="28"/>
      <c r="E17" s="383"/>
      <c r="F17" s="377"/>
      <c r="G17" s="377"/>
      <c r="H17" s="384"/>
      <c r="I17" s="384"/>
      <c r="J17" s="384"/>
      <c r="K17" s="384"/>
      <c r="L17" s="384"/>
    </row>
    <row r="18" spans="2:26" x14ac:dyDescent="0.25">
      <c r="B18" s="28"/>
      <c r="C18" s="29" t="s">
        <v>67</v>
      </c>
      <c r="D18" s="28"/>
      <c r="E18" s="383"/>
      <c r="F18" s="377"/>
      <c r="G18" s="377"/>
      <c r="H18" s="384"/>
      <c r="I18" s="384"/>
      <c r="J18" s="384"/>
      <c r="K18" s="384"/>
      <c r="L18" s="384"/>
    </row>
    <row r="19" spans="2:26" x14ac:dyDescent="0.25">
      <c r="B19" s="28"/>
      <c r="C19" s="28"/>
      <c r="D19" s="28" t="s">
        <v>262</v>
      </c>
      <c r="E19" s="383">
        <f>'BS Inputs'!E23</f>
        <v>0</v>
      </c>
      <c r="F19" s="377">
        <f>'BS Inputs'!F23</f>
        <v>444.12</v>
      </c>
      <c r="G19" s="377">
        <f>'BS Inputs'!G23</f>
        <v>438.68</v>
      </c>
      <c r="H19" s="384">
        <f>'BS Items'!H17</f>
        <v>504.30652799999996</v>
      </c>
      <c r="I19" s="384">
        <f>'BS Items'!I17</f>
        <v>565.41637583692795</v>
      </c>
      <c r="J19" s="384">
        <f>'BS Items'!J17</f>
        <v>620.91344059124458</v>
      </c>
      <c r="K19" s="384">
        <f>'BS Items'!K17</f>
        <v>670.27827801451986</v>
      </c>
      <c r="L19" s="384">
        <f>'BS Items'!L17</f>
        <v>713.44278792549289</v>
      </c>
    </row>
    <row r="20" spans="2:26" x14ac:dyDescent="0.25">
      <c r="B20" s="28"/>
      <c r="C20" s="28"/>
      <c r="D20" s="28" t="s">
        <v>65</v>
      </c>
      <c r="E20" s="383">
        <f>'BS Inputs'!E24</f>
        <v>906.56</v>
      </c>
      <c r="F20" s="377">
        <f>'BS Inputs'!F24</f>
        <v>2018.89</v>
      </c>
      <c r="G20" s="377">
        <f>'BS Inputs'!G24</f>
        <v>2649.92</v>
      </c>
      <c r="H20" s="384">
        <f>'Working Schedule'!H8</f>
        <v>3046.3480320000003</v>
      </c>
      <c r="I20" s="384">
        <f>'Working Schedule'!I8</f>
        <v>3415.4923011256319</v>
      </c>
      <c r="J20" s="384">
        <f>'Working Schedule'!J8</f>
        <v>3750.7316141414035</v>
      </c>
      <c r="K20" s="384">
        <f>'Working Schedule'!K8</f>
        <v>4048.9281810801417</v>
      </c>
      <c r="L20" s="384">
        <f>'Working Schedule'!L8</f>
        <v>4309.6706313930936</v>
      </c>
    </row>
    <row r="21" spans="2:26" x14ac:dyDescent="0.25">
      <c r="B21" s="28"/>
      <c r="C21" s="28"/>
      <c r="D21" s="28" t="s">
        <v>263</v>
      </c>
      <c r="E21" s="383">
        <f>'BS Inputs'!E25+'BS Inputs'!E26</f>
        <v>145.58000000000001</v>
      </c>
      <c r="F21" s="377">
        <f>'BS Inputs'!F25+'BS Inputs'!F26</f>
        <v>368.34000000000003</v>
      </c>
      <c r="G21" s="377">
        <f>'BS Inputs'!G25+'BS Inputs'!G26</f>
        <v>576.31999999999994</v>
      </c>
      <c r="H21" s="384">
        <f>H53-H15-H19-H20-SUM(H22:H24)</f>
        <v>1165.6138770709254</v>
      </c>
      <c r="I21" s="384">
        <f>I53-I15-I19-I20-SUM(I22:I24)</f>
        <v>1762.3168578212581</v>
      </c>
      <c r="J21" s="384">
        <f>J53-J15-J19-J20-SUM(J22:J24)</f>
        <v>2465.2216413250567</v>
      </c>
      <c r="K21" s="384">
        <f>K53-K15-K19-K20-SUM(K22:K24)</f>
        <v>3253.0463687155216</v>
      </c>
      <c r="L21" s="384">
        <f>L53-L15-L19-L20-SUM(L22:L24)</f>
        <v>4129.2196391744556</v>
      </c>
    </row>
    <row r="22" spans="2:26" x14ac:dyDescent="0.25">
      <c r="B22" s="28"/>
      <c r="C22" s="28"/>
      <c r="D22" s="28" t="s">
        <v>259</v>
      </c>
      <c r="E22" s="383">
        <f>'BS Inputs'!E27</f>
        <v>82.84</v>
      </c>
      <c r="F22" s="377">
        <f>'BS Inputs'!F27</f>
        <v>131.58000000000001</v>
      </c>
      <c r="G22" s="377">
        <f>'BS Inputs'!G27</f>
        <v>105.59</v>
      </c>
      <c r="H22" s="384">
        <f>'BS Items'!H19</f>
        <v>121.38626400000001</v>
      </c>
      <c r="I22" s="384">
        <f>'BS Items'!I19</f>
        <v>136.09536592646401</v>
      </c>
      <c r="J22" s="384">
        <f>'BS Items'!J19</f>
        <v>149.45347449628321</v>
      </c>
      <c r="K22" s="384">
        <f>'BS Items'!K19</f>
        <v>161.33555980567419</v>
      </c>
      <c r="L22" s="384">
        <f>'BS Items'!L19</f>
        <v>171.72523018385337</v>
      </c>
    </row>
    <row r="23" spans="2:26" x14ac:dyDescent="0.25">
      <c r="B23" s="28"/>
      <c r="C23" s="28"/>
      <c r="D23" s="28" t="s">
        <v>66</v>
      </c>
      <c r="E23" s="383">
        <f>'BS Inputs'!E28</f>
        <v>61.97</v>
      </c>
      <c r="F23" s="377">
        <f>'BS Inputs'!F28</f>
        <v>42.01</v>
      </c>
      <c r="G23" s="377">
        <f>'BS Inputs'!G28</f>
        <v>109.64</v>
      </c>
      <c r="H23" s="384">
        <f>'BS Items'!H21</f>
        <v>126.04214399999999</v>
      </c>
      <c r="I23" s="384">
        <f>'BS Items'!I21</f>
        <v>141.31542684134399</v>
      </c>
      <c r="J23" s="384">
        <f>'BS Items'!J21</f>
        <v>155.18589775331461</v>
      </c>
      <c r="K23" s="384">
        <f>'BS Items'!K21</f>
        <v>167.52373119702733</v>
      </c>
      <c r="L23" s="384">
        <f>'BS Items'!L21</f>
        <v>178.31190678433262</v>
      </c>
    </row>
    <row r="24" spans="2:26" x14ac:dyDescent="0.25">
      <c r="B24" s="28"/>
      <c r="C24" s="28"/>
      <c r="D24" s="28" t="s">
        <v>265</v>
      </c>
      <c r="E24" s="383">
        <f>'BS Inputs'!E29</f>
        <v>82.92</v>
      </c>
      <c r="F24" s="377">
        <f>'BS Inputs'!F29</f>
        <v>13.89</v>
      </c>
      <c r="G24" s="377">
        <f>'BS Inputs'!G29</f>
        <v>97.03</v>
      </c>
      <c r="H24" s="384">
        <f>'BS Items'!H23</f>
        <v>111.545688</v>
      </c>
      <c r="I24" s="384">
        <f>'BS Items'!I23</f>
        <v>125.06234828908799</v>
      </c>
      <c r="J24" s="384">
        <f>'BS Items'!J23</f>
        <v>137.33753793327361</v>
      </c>
      <c r="K24" s="384">
        <f>'BS Items'!K23</f>
        <v>148.25636298839441</v>
      </c>
      <c r="L24" s="384">
        <f>'BS Items'!L23</f>
        <v>157.8037606282725</v>
      </c>
    </row>
    <row r="25" spans="2:26" s="2" customFormat="1" x14ac:dyDescent="0.25">
      <c r="B25" s="29"/>
      <c r="C25" s="29"/>
      <c r="D25" s="56" t="s">
        <v>269</v>
      </c>
      <c r="E25" s="388">
        <f t="shared" ref="E25:L25" si="2">SUM(E19:E24)</f>
        <v>1279.8699999999999</v>
      </c>
      <c r="F25" s="389">
        <f t="shared" si="2"/>
        <v>3018.8300000000004</v>
      </c>
      <c r="G25" s="389">
        <f t="shared" si="2"/>
        <v>3977.1800000000003</v>
      </c>
      <c r="H25" s="394">
        <f t="shared" si="2"/>
        <v>5075.2425330709257</v>
      </c>
      <c r="I25" s="394">
        <f t="shared" si="2"/>
        <v>6145.6986758407138</v>
      </c>
      <c r="J25" s="394">
        <f t="shared" si="2"/>
        <v>7278.8436062405763</v>
      </c>
      <c r="K25" s="394">
        <f t="shared" si="2"/>
        <v>8449.3684818012789</v>
      </c>
      <c r="L25" s="394">
        <f t="shared" si="2"/>
        <v>9660.1739560894985</v>
      </c>
    </row>
    <row r="26" spans="2:26" x14ac:dyDescent="0.25">
      <c r="B26" s="28"/>
      <c r="C26" s="28"/>
      <c r="D26" s="28"/>
      <c r="E26" s="383"/>
      <c r="F26" s="377"/>
      <c r="G26" s="377"/>
      <c r="H26" s="384"/>
      <c r="I26" s="384"/>
      <c r="J26" s="384"/>
      <c r="K26" s="384"/>
      <c r="L26" s="384"/>
    </row>
    <row r="27" spans="2:26" s="2" customFormat="1" x14ac:dyDescent="0.25">
      <c r="B27" s="29"/>
      <c r="C27" s="29"/>
      <c r="D27" s="56" t="s">
        <v>69</v>
      </c>
      <c r="E27" s="388">
        <f t="shared" ref="E27:L27" si="3">E15+E25</f>
        <v>1686.83</v>
      </c>
      <c r="F27" s="389">
        <f t="shared" si="3"/>
        <v>3229.1700000000005</v>
      </c>
      <c r="G27" s="389">
        <f t="shared" si="3"/>
        <v>4186.12</v>
      </c>
      <c r="H27" s="394">
        <f t="shared" si="3"/>
        <v>5194.2460010709256</v>
      </c>
      <c r="I27" s="394">
        <f t="shared" si="3"/>
        <v>6277.4370688014815</v>
      </c>
      <c r="J27" s="394">
        <f t="shared" si="3"/>
        <v>7422.162694079625</v>
      </c>
      <c r="K27" s="394">
        <f t="shared" si="3"/>
        <v>8603.0070891718551</v>
      </c>
      <c r="L27" s="394">
        <f t="shared" si="3"/>
        <v>9822.8569002307067</v>
      </c>
    </row>
    <row r="28" spans="2:26" x14ac:dyDescent="0.25">
      <c r="B28" s="28"/>
      <c r="C28" s="28"/>
      <c r="D28" s="28"/>
      <c r="E28" s="383"/>
      <c r="F28" s="377"/>
      <c r="G28" s="377"/>
      <c r="H28" s="384"/>
      <c r="I28" s="384"/>
      <c r="J28" s="384"/>
      <c r="K28" s="384"/>
      <c r="L28" s="384"/>
      <c r="O28" s="374"/>
      <c r="P28" s="374"/>
      <c r="Q28" s="374"/>
      <c r="R28" s="374"/>
      <c r="S28" s="374"/>
      <c r="T28" s="374"/>
      <c r="U28" s="374"/>
      <c r="V28" s="374"/>
      <c r="W28" s="374"/>
      <c r="X28" s="374"/>
      <c r="Y28" s="374"/>
      <c r="Z28" s="374"/>
    </row>
    <row r="29" spans="2:26" x14ac:dyDescent="0.25">
      <c r="B29" s="29" t="s">
        <v>10</v>
      </c>
      <c r="C29" s="28"/>
      <c r="D29" s="28"/>
      <c r="E29" s="383"/>
      <c r="F29" s="377"/>
      <c r="G29" s="377"/>
      <c r="H29" s="384"/>
      <c r="I29" s="384"/>
      <c r="J29" s="384"/>
      <c r="K29" s="384"/>
      <c r="L29" s="384"/>
      <c r="N29" s="374"/>
      <c r="O29" s="374"/>
      <c r="P29" s="374"/>
      <c r="Q29" s="374"/>
      <c r="R29" s="374"/>
      <c r="S29" s="374"/>
      <c r="T29" s="374"/>
      <c r="U29" s="374"/>
      <c r="V29" s="374"/>
      <c r="W29" s="374"/>
    </row>
    <row r="30" spans="2:26" x14ac:dyDescent="0.25">
      <c r="B30" s="28"/>
      <c r="C30" s="29" t="s">
        <v>11</v>
      </c>
      <c r="D30" s="28"/>
      <c r="E30" s="383"/>
      <c r="F30" s="377"/>
      <c r="G30" s="377"/>
      <c r="H30" s="384"/>
      <c r="I30" s="384"/>
      <c r="J30" s="384"/>
      <c r="K30" s="384"/>
      <c r="L30" s="384"/>
    </row>
    <row r="31" spans="2:26" x14ac:dyDescent="0.25">
      <c r="B31" s="28"/>
      <c r="C31" s="28"/>
      <c r="D31" s="28" t="s">
        <v>12</v>
      </c>
      <c r="E31" s="383">
        <f>'BS Inputs'!E35</f>
        <v>104.5</v>
      </c>
      <c r="F31" s="377">
        <f>'BS Inputs'!F35</f>
        <v>104.5</v>
      </c>
      <c r="G31" s="377">
        <f>'BS Inputs'!G35</f>
        <v>106.05</v>
      </c>
      <c r="H31" s="384">
        <f t="shared" ref="H31:L31" si="4">G31</f>
        <v>106.05</v>
      </c>
      <c r="I31" s="384">
        <f t="shared" si="4"/>
        <v>106.05</v>
      </c>
      <c r="J31" s="384">
        <f t="shared" si="4"/>
        <v>106.05</v>
      </c>
      <c r="K31" s="384">
        <f t="shared" si="4"/>
        <v>106.05</v>
      </c>
      <c r="L31" s="384">
        <f t="shared" si="4"/>
        <v>106.05</v>
      </c>
    </row>
    <row r="32" spans="2:26" x14ac:dyDescent="0.25">
      <c r="B32" s="28"/>
      <c r="C32" s="28"/>
      <c r="D32" s="28" t="s">
        <v>13</v>
      </c>
      <c r="E32" s="383">
        <f>'BS Inputs'!E36</f>
        <v>717.15</v>
      </c>
      <c r="F32" s="377">
        <f>'BS Inputs'!F36</f>
        <v>1462.58</v>
      </c>
      <c r="G32" s="377">
        <f>'BS Inputs'!G36</f>
        <v>2257.7399999999998</v>
      </c>
      <c r="H32" s="384">
        <f>G32+'Income Statement'!H19-'Income Statement'!H21</f>
        <v>2993.2962970709264</v>
      </c>
      <c r="I32" s="384">
        <f>H32+'Income Statement'!I19-'Income Statement'!I21</f>
        <v>3822.6769981095767</v>
      </c>
      <c r="J32" s="384">
        <f>I32+'Income Statement'!J19-'Income Statement'!J21</f>
        <v>4736.9040891219283</v>
      </c>
      <c r="K32" s="384">
        <f>J32+'Income Statement'!K19-'Income Statement'!K21</f>
        <v>5712.7192142751765</v>
      </c>
      <c r="L32" s="384">
        <f>K32+'Income Statement'!L19-'Income Statement'!L21</f>
        <v>6753.2918633647278</v>
      </c>
    </row>
    <row r="33" spans="2:12" x14ac:dyDescent="0.25">
      <c r="B33" s="28"/>
      <c r="C33" s="28"/>
      <c r="D33" s="28" t="s">
        <v>375</v>
      </c>
      <c r="E33" s="383">
        <f>'BS Inputs'!E37</f>
        <v>0</v>
      </c>
      <c r="F33" s="377">
        <f>'BS Inputs'!F37</f>
        <v>4.01</v>
      </c>
      <c r="G33" s="377">
        <f>'BS Inputs'!G37</f>
        <v>0.34</v>
      </c>
      <c r="H33" s="384">
        <f t="shared" ref="H33:L33" si="5">G33</f>
        <v>0.34</v>
      </c>
      <c r="I33" s="384">
        <f t="shared" si="5"/>
        <v>0.34</v>
      </c>
      <c r="J33" s="384">
        <f t="shared" si="5"/>
        <v>0.34</v>
      </c>
      <c r="K33" s="384">
        <f t="shared" si="5"/>
        <v>0.34</v>
      </c>
      <c r="L33" s="384">
        <f t="shared" si="5"/>
        <v>0.34</v>
      </c>
    </row>
    <row r="34" spans="2:12" s="2" customFormat="1" x14ac:dyDescent="0.25">
      <c r="B34" s="29"/>
      <c r="C34" s="29"/>
      <c r="D34" s="56" t="s">
        <v>18</v>
      </c>
      <c r="E34" s="388">
        <f t="shared" ref="E34:L34" si="6">SUM(E31:E33)</f>
        <v>821.65</v>
      </c>
      <c r="F34" s="389">
        <f t="shared" si="6"/>
        <v>1571.09</v>
      </c>
      <c r="G34" s="389">
        <f t="shared" si="6"/>
        <v>2364.13</v>
      </c>
      <c r="H34" s="389">
        <f t="shared" si="6"/>
        <v>3099.6862970709267</v>
      </c>
      <c r="I34" s="389">
        <f t="shared" si="6"/>
        <v>3929.0669981095771</v>
      </c>
      <c r="J34" s="389">
        <f t="shared" si="6"/>
        <v>4843.2940891219287</v>
      </c>
      <c r="K34" s="389">
        <f t="shared" si="6"/>
        <v>5819.1092142751768</v>
      </c>
      <c r="L34" s="389">
        <f t="shared" si="6"/>
        <v>6859.6818633647281</v>
      </c>
    </row>
    <row r="35" spans="2:12" x14ac:dyDescent="0.25">
      <c r="B35" s="28"/>
      <c r="C35" s="28"/>
      <c r="D35" s="28"/>
      <c r="E35" s="383"/>
      <c r="F35" s="377"/>
      <c r="G35" s="377"/>
      <c r="H35" s="384"/>
      <c r="I35" s="384"/>
      <c r="J35" s="384"/>
      <c r="K35" s="384"/>
      <c r="L35" s="384"/>
    </row>
    <row r="36" spans="2:12" x14ac:dyDescent="0.25">
      <c r="B36" s="28"/>
      <c r="C36" s="29" t="s">
        <v>14</v>
      </c>
      <c r="D36" s="28"/>
      <c r="E36" s="383"/>
      <c r="F36" s="377"/>
      <c r="G36" s="377"/>
      <c r="H36" s="384"/>
      <c r="I36" s="384"/>
      <c r="J36" s="384"/>
      <c r="K36" s="384"/>
      <c r="L36" s="384"/>
    </row>
    <row r="37" spans="2:12" x14ac:dyDescent="0.25">
      <c r="B37" s="28"/>
      <c r="C37" s="28"/>
      <c r="D37" s="29" t="s">
        <v>15</v>
      </c>
      <c r="E37" s="383"/>
      <c r="F37" s="377"/>
      <c r="G37" s="377"/>
      <c r="H37" s="384"/>
      <c r="I37" s="384"/>
      <c r="J37" s="384"/>
      <c r="K37" s="384"/>
      <c r="L37" s="384"/>
    </row>
    <row r="38" spans="2:12" x14ac:dyDescent="0.25">
      <c r="B38" s="28"/>
      <c r="C38" s="28"/>
      <c r="D38" s="28" t="s">
        <v>202</v>
      </c>
      <c r="E38" s="383">
        <f>'BS Inputs'!E40</f>
        <v>10.220000000000001</v>
      </c>
      <c r="F38" s="377">
        <f>'BS Inputs'!F40</f>
        <v>8.83</v>
      </c>
      <c r="G38" s="377">
        <f>'BS Inputs'!G40</f>
        <v>2.13</v>
      </c>
      <c r="H38" s="384">
        <f>'BS Items'!H27</f>
        <v>2.4486479999999999</v>
      </c>
      <c r="I38" s="384">
        <f>'BS Items'!I27</f>
        <v>2.7453653700479999</v>
      </c>
      <c r="J38" s="384">
        <f>'BS Items'!J27</f>
        <v>3.0148300092535583</v>
      </c>
      <c r="K38" s="384">
        <f>'BS Items'!K27</f>
        <v>3.254519768785737</v>
      </c>
      <c r="L38" s="384">
        <f>'BS Items'!L27</f>
        <v>3.4641039898816901</v>
      </c>
    </row>
    <row r="39" spans="2:12" x14ac:dyDescent="0.25">
      <c r="B39" s="28"/>
      <c r="C39" s="28"/>
      <c r="D39" s="28" t="s">
        <v>203</v>
      </c>
      <c r="E39" s="383">
        <f>'BS Inputs'!E41</f>
        <v>64.3</v>
      </c>
      <c r="F39" s="377">
        <f>'BS Inputs'!F41</f>
        <v>56.65</v>
      </c>
      <c r="G39" s="377">
        <f>'BS Inputs'!G41</f>
        <v>48.25</v>
      </c>
      <c r="H39" s="384">
        <f>'BS Items'!H29</f>
        <v>55.468199999999996</v>
      </c>
      <c r="I39" s="384">
        <f>'BS Items'!I29</f>
        <v>62.189614603199999</v>
      </c>
      <c r="J39" s="384">
        <f>'BS Items'!J29</f>
        <v>68.293684481917452</v>
      </c>
      <c r="K39" s="384">
        <f>'BS Items'!K29</f>
        <v>73.723276452540759</v>
      </c>
      <c r="L39" s="384">
        <f>'BS Items'!L29</f>
        <v>78.470900240277729</v>
      </c>
    </row>
    <row r="40" spans="2:12" x14ac:dyDescent="0.25">
      <c r="B40" s="28"/>
      <c r="C40" s="28"/>
      <c r="D40" s="28" t="s">
        <v>266</v>
      </c>
      <c r="E40" s="383">
        <f>'BS Inputs'!E42</f>
        <v>16.96</v>
      </c>
      <c r="F40" s="377">
        <f>'BS Inputs'!F42</f>
        <v>29.39</v>
      </c>
      <c r="G40" s="377">
        <f>'BS Inputs'!G42</f>
        <v>41.38</v>
      </c>
      <c r="H40" s="384">
        <f>'BS Items'!H31</f>
        <v>47.570448000000006</v>
      </c>
      <c r="I40" s="384">
        <f>'BS Items'!I31</f>
        <v>53.334844606848002</v>
      </c>
      <c r="J40" s="384">
        <f>'BS Items'!J31</f>
        <v>58.569796142212326</v>
      </c>
      <c r="K40" s="384">
        <f>'BS Items'!K31</f>
        <v>63.226304240541701</v>
      </c>
      <c r="L40" s="384">
        <f>'BS Items'!L31</f>
        <v>67.297945117983261</v>
      </c>
    </row>
    <row r="41" spans="2:12" s="2" customFormat="1" x14ac:dyDescent="0.25">
      <c r="B41" s="29"/>
      <c r="C41" s="29"/>
      <c r="D41" s="56" t="s">
        <v>18</v>
      </c>
      <c r="E41" s="388">
        <f t="shared" ref="E41:G41" si="7">SUM(E38:E40)</f>
        <v>91.47999999999999</v>
      </c>
      <c r="F41" s="389">
        <f t="shared" si="7"/>
        <v>94.87</v>
      </c>
      <c r="G41" s="389">
        <f t="shared" si="7"/>
        <v>91.76</v>
      </c>
      <c r="H41" s="389">
        <f t="shared" ref="H41" si="8">SUM(H38:H40)</f>
        <v>105.487296</v>
      </c>
      <c r="I41" s="389">
        <f t="shared" ref="I41" si="9">SUM(I38:I40)</f>
        <v>118.26982458009601</v>
      </c>
      <c r="J41" s="389">
        <f t="shared" ref="J41" si="10">SUM(J38:J40)</f>
        <v>129.87831063338334</v>
      </c>
      <c r="K41" s="389">
        <f t="shared" ref="K41" si="11">SUM(K38:K40)</f>
        <v>140.20410046186819</v>
      </c>
      <c r="L41" s="389">
        <f t="shared" ref="L41" si="12">SUM(L38:L40)</f>
        <v>149.23294934814268</v>
      </c>
    </row>
    <row r="42" spans="2:12" x14ac:dyDescent="0.25">
      <c r="B42" s="28"/>
      <c r="C42" s="28"/>
      <c r="D42" s="29"/>
      <c r="E42" s="383"/>
      <c r="F42" s="377"/>
      <c r="G42" s="377"/>
      <c r="H42" s="384"/>
      <c r="I42" s="384"/>
      <c r="J42" s="384"/>
      <c r="K42" s="384"/>
      <c r="L42" s="384"/>
    </row>
    <row r="43" spans="2:12" x14ac:dyDescent="0.25">
      <c r="B43" s="28"/>
      <c r="C43" s="29" t="s">
        <v>16</v>
      </c>
      <c r="D43" s="28"/>
      <c r="E43" s="383"/>
      <c r="F43" s="377"/>
      <c r="G43" s="377"/>
      <c r="H43" s="384"/>
      <c r="I43" s="384"/>
      <c r="J43" s="384"/>
      <c r="K43" s="384"/>
      <c r="L43" s="384"/>
    </row>
    <row r="44" spans="2:12" x14ac:dyDescent="0.25">
      <c r="B44" s="28"/>
      <c r="C44" s="28"/>
      <c r="D44" s="29" t="s">
        <v>15</v>
      </c>
      <c r="E44" s="383"/>
      <c r="F44" s="377"/>
      <c r="G44" s="377"/>
      <c r="H44" s="384"/>
      <c r="I44" s="384"/>
      <c r="J44" s="384"/>
      <c r="K44" s="384"/>
      <c r="L44" s="384"/>
    </row>
    <row r="45" spans="2:12" x14ac:dyDescent="0.25">
      <c r="B45" s="28"/>
      <c r="C45" s="28"/>
      <c r="D45" s="28" t="s">
        <v>202</v>
      </c>
      <c r="E45" s="383">
        <f>'BS Inputs'!E46</f>
        <v>2.5299999999999998</v>
      </c>
      <c r="F45" s="377">
        <f>'BS Inputs'!F46</f>
        <v>1.4</v>
      </c>
      <c r="G45" s="377">
        <f>'BS Inputs'!G46</f>
        <v>2.2999999999999998</v>
      </c>
      <c r="H45" s="384">
        <f>'BS Items'!H35</f>
        <v>2.6440799999999998</v>
      </c>
      <c r="I45" s="384">
        <f>'BS Items'!I35</f>
        <v>2.9644790380799995</v>
      </c>
      <c r="J45" s="384">
        <f>'BS Items'!J35</f>
        <v>3.2554502447338889</v>
      </c>
      <c r="K45" s="384">
        <f>'BS Items'!K35</f>
        <v>3.5142701728672279</v>
      </c>
      <c r="L45" s="384">
        <f>'BS Items'!L35</f>
        <v>3.7405817731116842</v>
      </c>
    </row>
    <row r="46" spans="2:12" x14ac:dyDescent="0.25">
      <c r="B46" s="28"/>
      <c r="C46" s="28"/>
      <c r="D46" s="28" t="s">
        <v>203</v>
      </c>
      <c r="E46" s="383">
        <f>'BS Inputs'!E47</f>
        <v>5.46</v>
      </c>
      <c r="F46" s="377">
        <f>'BS Inputs'!F47</f>
        <v>6.11</v>
      </c>
      <c r="G46" s="377">
        <f>'BS Inputs'!G47</f>
        <v>8.4</v>
      </c>
      <c r="H46" s="384">
        <f>'BS Items'!H37</f>
        <v>9.6566399999999994</v>
      </c>
      <c r="I46" s="384">
        <f>'BS Items'!I37</f>
        <v>10.826793008639999</v>
      </c>
      <c r="J46" s="384">
        <f>'BS Items'!J37</f>
        <v>11.889470459028118</v>
      </c>
      <c r="K46" s="384">
        <f>'BS Items'!K37</f>
        <v>12.834725848732486</v>
      </c>
      <c r="L46" s="384">
        <f>'BS Items'!L37</f>
        <v>13.661255171364413</v>
      </c>
    </row>
    <row r="47" spans="2:12" x14ac:dyDescent="0.25">
      <c r="B47" s="28"/>
      <c r="C47" s="28"/>
      <c r="D47" s="28" t="s">
        <v>204</v>
      </c>
      <c r="E47" s="383">
        <f>'BS Inputs'!E49+'BS Inputs'!E50</f>
        <v>713.06999999999994</v>
      </c>
      <c r="F47" s="377">
        <f>'BS Inputs'!F49+'BS Inputs'!F50</f>
        <v>1393.22</v>
      </c>
      <c r="G47" s="377">
        <f>'BS Inputs'!G49+'BS Inputs'!G50</f>
        <v>1629.59</v>
      </c>
      <c r="H47" s="384">
        <f>'Working Schedule'!H9</f>
        <v>1873.3766639999997</v>
      </c>
      <c r="I47" s="384">
        <f>'Working Schedule'!I9</f>
        <v>2100.3849546368638</v>
      </c>
      <c r="J47" s="384">
        <f>'Working Schedule'!J9</f>
        <v>2306.5431149199558</v>
      </c>
      <c r="K47" s="384">
        <f>'Working Schedule'!K9</f>
        <v>2489.9215352185679</v>
      </c>
      <c r="L47" s="384">
        <f>'Working Schedule'!L9</f>
        <v>2650.2672398456821</v>
      </c>
    </row>
    <row r="48" spans="2:12" x14ac:dyDescent="0.25">
      <c r="B48" s="28"/>
      <c r="C48" s="28"/>
      <c r="D48" s="28" t="s">
        <v>205</v>
      </c>
      <c r="E48" s="383">
        <f>'BS Inputs'!E51</f>
        <v>14.01</v>
      </c>
      <c r="F48" s="377">
        <f>'BS Inputs'!F51</f>
        <v>89.51</v>
      </c>
      <c r="G48" s="377">
        <f>'BS Inputs'!G51</f>
        <v>21.03</v>
      </c>
      <c r="H48" s="384">
        <f>'BS Items'!H39</f>
        <v>24.176088</v>
      </c>
      <c r="I48" s="384">
        <f>'BS Items'!I39</f>
        <v>27.105649639488</v>
      </c>
      <c r="J48" s="384">
        <f>'BS Items'!J39</f>
        <v>29.766138542066823</v>
      </c>
      <c r="K48" s="384">
        <f>'BS Items'!K39</f>
        <v>32.132652928433835</v>
      </c>
      <c r="L48" s="384">
        <f>'BS Items'!L39</f>
        <v>34.201928125451623</v>
      </c>
    </row>
    <row r="49" spans="2:12" x14ac:dyDescent="0.25">
      <c r="B49" s="28"/>
      <c r="C49" s="28"/>
      <c r="D49" s="28" t="s">
        <v>200</v>
      </c>
      <c r="E49" s="383">
        <f>'BS Inputs'!E52</f>
        <v>35.840000000000003</v>
      </c>
      <c r="F49" s="377">
        <f>'BS Inputs'!F52</f>
        <v>70.55</v>
      </c>
      <c r="G49" s="377">
        <f>'BS Inputs'!G52</f>
        <v>64.930000000000007</v>
      </c>
      <c r="H49" s="384">
        <f>'BS Items'!H41</f>
        <v>74.643528000000003</v>
      </c>
      <c r="I49" s="384">
        <f>'BS Items'!I41</f>
        <v>83.688532148928005</v>
      </c>
      <c r="J49" s="384">
        <f>'BS Items'!J41</f>
        <v>91.902775821987589</v>
      </c>
      <c r="K49" s="384">
        <f>'BS Items'!K41</f>
        <v>99.209374923595291</v>
      </c>
      <c r="L49" s="384">
        <f>'BS Items'!L41</f>
        <v>105.59824979484422</v>
      </c>
    </row>
    <row r="50" spans="2:12" x14ac:dyDescent="0.25">
      <c r="B50" s="28"/>
      <c r="C50" s="28"/>
      <c r="D50" s="28" t="s">
        <v>201</v>
      </c>
      <c r="E50" s="383">
        <f>'BS Inputs'!E53</f>
        <v>2.79</v>
      </c>
      <c r="F50" s="377">
        <f>'BS Inputs'!F53</f>
        <v>2.42</v>
      </c>
      <c r="G50" s="377">
        <f>'BS Inputs'!G53</f>
        <v>3.98</v>
      </c>
      <c r="H50" s="384">
        <f>'BS Items'!H43</f>
        <v>4.5754079999999995</v>
      </c>
      <c r="I50" s="384">
        <f>'BS Items'!I43</f>
        <v>5.1298376398079988</v>
      </c>
      <c r="J50" s="384">
        <f>'BS Items'!J43</f>
        <v>5.6333443365395119</v>
      </c>
      <c r="K50" s="384">
        <f>'BS Items'!K43</f>
        <v>6.0812153426137243</v>
      </c>
      <c r="L50" s="384">
        <f>'BS Items'!L43</f>
        <v>6.4728328073845658</v>
      </c>
    </row>
    <row r="51" spans="2:12" s="2" customFormat="1" x14ac:dyDescent="0.25">
      <c r="B51" s="29"/>
      <c r="C51" s="29"/>
      <c r="D51" s="56" t="s">
        <v>17</v>
      </c>
      <c r="E51" s="388">
        <f t="shared" ref="E51:G51" si="13">SUM(E45:E50)</f>
        <v>773.69999999999993</v>
      </c>
      <c r="F51" s="389">
        <f t="shared" si="13"/>
        <v>1563.21</v>
      </c>
      <c r="G51" s="389">
        <f t="shared" si="13"/>
        <v>1730.23</v>
      </c>
      <c r="H51" s="394">
        <f t="shared" ref="H51" si="14">SUM(H45:H50)</f>
        <v>1989.0724079999995</v>
      </c>
      <c r="I51" s="394">
        <f t="shared" ref="I51" si="15">SUM(I45:I50)</f>
        <v>2230.1002461118082</v>
      </c>
      <c r="J51" s="394">
        <f t="shared" ref="J51" si="16">SUM(J45:J50)</f>
        <v>2448.9902943243123</v>
      </c>
      <c r="K51" s="394">
        <f t="shared" ref="K51" si="17">SUM(K45:K50)</f>
        <v>2643.6937744348102</v>
      </c>
      <c r="L51" s="394">
        <f t="shared" ref="L51" si="18">SUM(L45:L50)</f>
        <v>2813.9420875178389</v>
      </c>
    </row>
    <row r="52" spans="2:12" ht="14.4" thickBot="1" x14ac:dyDescent="0.3">
      <c r="E52" s="383"/>
      <c r="F52" s="377"/>
      <c r="G52" s="377"/>
      <c r="H52" s="377"/>
      <c r="I52" s="377"/>
      <c r="J52" s="377"/>
      <c r="K52" s="377"/>
      <c r="L52" s="377"/>
    </row>
    <row r="53" spans="2:12" ht="15" thickTop="1" thickBot="1" x14ac:dyDescent="0.3">
      <c r="D53" s="392" t="s">
        <v>351</v>
      </c>
      <c r="E53" s="395">
        <f>E51+E41+E34</f>
        <v>1686.83</v>
      </c>
      <c r="F53" s="396">
        <f t="shared" ref="F53:L53" si="19">F51+F41+F34</f>
        <v>3229.17</v>
      </c>
      <c r="G53" s="396">
        <f t="shared" si="19"/>
        <v>4186.12</v>
      </c>
      <c r="H53" s="396">
        <f t="shared" si="19"/>
        <v>5194.2460010709256</v>
      </c>
      <c r="I53" s="396">
        <f t="shared" si="19"/>
        <v>6277.4370688014815</v>
      </c>
      <c r="J53" s="396">
        <f t="shared" si="19"/>
        <v>7422.162694079625</v>
      </c>
      <c r="K53" s="396">
        <f t="shared" si="19"/>
        <v>8603.0070891718551</v>
      </c>
      <c r="L53" s="396">
        <f t="shared" si="19"/>
        <v>9822.8569002307086</v>
      </c>
    </row>
    <row r="54" spans="2:12" ht="14.4" thickTop="1" x14ac:dyDescent="0.25"/>
    <row r="55" spans="2:12" x14ac:dyDescent="0.25">
      <c r="D55" s="393" t="s">
        <v>19</v>
      </c>
      <c r="E55" s="425">
        <f t="shared" ref="E55:L55" si="20">E27-E53</f>
        <v>0</v>
      </c>
      <c r="F55" s="425">
        <f t="shared" si="20"/>
        <v>0</v>
      </c>
      <c r="G55" s="425">
        <f t="shared" si="20"/>
        <v>0</v>
      </c>
      <c r="H55" s="425">
        <f t="shared" si="20"/>
        <v>0</v>
      </c>
      <c r="I55" s="425">
        <f t="shared" si="20"/>
        <v>0</v>
      </c>
      <c r="J55" s="425">
        <f t="shared" si="20"/>
        <v>0</v>
      </c>
      <c r="K55" s="425">
        <f t="shared" si="20"/>
        <v>0</v>
      </c>
      <c r="L55" s="425">
        <f t="shared" si="20"/>
        <v>0</v>
      </c>
    </row>
  </sheetData>
  <mergeCells count="1">
    <mergeCell ref="D4:L4"/>
  </mergeCells>
  <pageMargins left="0.7" right="0.7" top="0.75" bottom="0.75" header="0.3" footer="0.3"/>
  <ignoredErrors>
    <ignoredError sqref="E55:L55" evalError="1"/>
    <ignoredError sqref="H32:L32" formula="1"/>
  </ignoredError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B8B4-8243-4065-8CCD-29D18545019B}">
  <dimension ref="D4:P55"/>
  <sheetViews>
    <sheetView showGridLines="0" topLeftCell="A13" workbookViewId="0">
      <selection activeCell="P29" sqref="P29"/>
    </sheetView>
  </sheetViews>
  <sheetFormatPr defaultColWidth="8.88671875" defaultRowHeight="13.8" x14ac:dyDescent="0.25"/>
  <cols>
    <col min="1" max="3" width="1.33203125" style="1" customWidth="1"/>
    <col min="4" max="4" width="42" style="1" bestFit="1" customWidth="1"/>
    <col min="5" max="12" width="10.77734375" style="1" customWidth="1"/>
    <col min="13" max="16384" width="8.88671875" style="1"/>
  </cols>
  <sheetData>
    <row r="4" spans="4:13" ht="16.8" x14ac:dyDescent="0.3">
      <c r="D4" s="515" t="s">
        <v>71</v>
      </c>
      <c r="E4" s="515"/>
      <c r="F4" s="515"/>
      <c r="G4" s="515"/>
      <c r="H4" s="515"/>
      <c r="I4" s="515"/>
      <c r="J4" s="515"/>
      <c r="K4" s="515"/>
      <c r="L4" s="515"/>
    </row>
    <row r="5" spans="4:13" x14ac:dyDescent="0.25">
      <c r="D5" s="2" t="s">
        <v>1</v>
      </c>
      <c r="E5" s="5">
        <v>2022</v>
      </c>
      <c r="F5" s="2">
        <f t="shared" ref="F5:L5" si="0">E5+1</f>
        <v>2023</v>
      </c>
      <c r="G5" s="2">
        <f t="shared" si="0"/>
        <v>2024</v>
      </c>
      <c r="H5" s="2">
        <f t="shared" si="0"/>
        <v>2025</v>
      </c>
      <c r="I5" s="2">
        <f t="shared" si="0"/>
        <v>2026</v>
      </c>
      <c r="J5" s="2">
        <f t="shared" si="0"/>
        <v>2027</v>
      </c>
      <c r="K5" s="2">
        <f t="shared" si="0"/>
        <v>2028</v>
      </c>
      <c r="L5" s="2">
        <f t="shared" si="0"/>
        <v>2029</v>
      </c>
    </row>
    <row r="6" spans="4:13" x14ac:dyDescent="0.25">
      <c r="D6" s="382"/>
      <c r="E6" s="6" t="s">
        <v>21</v>
      </c>
      <c r="F6" s="4" t="s">
        <v>21</v>
      </c>
      <c r="G6" s="4" t="s">
        <v>21</v>
      </c>
      <c r="H6" s="4" t="s">
        <v>22</v>
      </c>
      <c r="I6" s="4" t="s">
        <v>22</v>
      </c>
      <c r="J6" s="4" t="s">
        <v>22</v>
      </c>
      <c r="K6" s="4" t="s">
        <v>22</v>
      </c>
      <c r="L6" s="4" t="s">
        <v>22</v>
      </c>
    </row>
    <row r="7" spans="4:13" x14ac:dyDescent="0.25">
      <c r="D7" s="2" t="s">
        <v>271</v>
      </c>
      <c r="E7" s="380"/>
    </row>
    <row r="8" spans="4:13" x14ac:dyDescent="0.25">
      <c r="E8" s="380"/>
    </row>
    <row r="9" spans="4:13" x14ac:dyDescent="0.25">
      <c r="D9" s="2" t="s">
        <v>334</v>
      </c>
      <c r="E9" s="380"/>
      <c r="F9" s="377">
        <f>'Income Statement'!F17</f>
        <v>974.35000000000059</v>
      </c>
      <c r="G9" s="377">
        <f>'Income Statement'!G17</f>
        <v>937.35</v>
      </c>
      <c r="H9" s="377">
        <f>'Income Statement'!H17</f>
        <v>1042.5986090284098</v>
      </c>
      <c r="I9" s="377">
        <f>'Income Statement'!I17</f>
        <v>1175.5880123673578</v>
      </c>
      <c r="J9" s="377">
        <f>'Income Statement'!J17</f>
        <v>1295.8517209644071</v>
      </c>
      <c r="K9" s="377">
        <f>'Income Statement'!K17</f>
        <v>1402.2683599427378</v>
      </c>
      <c r="L9" s="377">
        <f>'Income Statement'!L17</f>
        <v>1495.3263834795757</v>
      </c>
      <c r="M9" s="377"/>
    </row>
    <row r="10" spans="4:13" x14ac:dyDescent="0.25">
      <c r="D10" s="390" t="s">
        <v>335</v>
      </c>
      <c r="E10" s="380"/>
      <c r="F10" s="377"/>
      <c r="G10" s="377"/>
      <c r="H10" s="377"/>
      <c r="I10" s="377"/>
      <c r="J10" s="377"/>
      <c r="K10" s="377"/>
      <c r="L10" s="377"/>
    </row>
    <row r="11" spans="4:13" x14ac:dyDescent="0.25">
      <c r="D11" s="1" t="s">
        <v>58</v>
      </c>
      <c r="E11" s="380"/>
      <c r="F11" s="377">
        <f>-'Income Statement'!F13</f>
        <v>34.979999999999997</v>
      </c>
      <c r="G11" s="377">
        <f>-'Income Statement'!G13</f>
        <v>37</v>
      </c>
      <c r="H11" s="377">
        <f>-'Income Statement'!H13</f>
        <v>28.484388535441166</v>
      </c>
      <c r="I11" s="377">
        <f>-'Income Statement'!I13</f>
        <v>25.28453850928965</v>
      </c>
      <c r="J11" s="377">
        <f>-'Income Statement'!J13</f>
        <v>22.889545014513253</v>
      </c>
      <c r="K11" s="377">
        <f>-'Income Statement'!K13</f>
        <v>21.317549335294931</v>
      </c>
      <c r="L11" s="377">
        <f>-'Income Statement'!L13</f>
        <v>19.935461160966195</v>
      </c>
      <c r="M11" s="391"/>
    </row>
    <row r="12" spans="4:13" x14ac:dyDescent="0.25">
      <c r="D12" s="1" t="s">
        <v>243</v>
      </c>
      <c r="E12" s="380"/>
      <c r="F12" s="377">
        <f>-'Income Statement'!F15</f>
        <v>12.86</v>
      </c>
      <c r="G12" s="377">
        <f>-'Income Statement'!G15</f>
        <v>11.63</v>
      </c>
      <c r="H12" s="377">
        <f>-'Income Statement'!H15</f>
        <v>62.39961043614931</v>
      </c>
      <c r="I12" s="377">
        <f>-'Income Statement'!I15</f>
        <v>69.960945630360143</v>
      </c>
      <c r="J12" s="377">
        <f>-'Income Statement'!J15</f>
        <v>76.827791544000789</v>
      </c>
      <c r="K12" s="377">
        <f>-'Income Statement'!K15</f>
        <v>82.935875523544723</v>
      </c>
      <c r="L12" s="377">
        <f>-'Income Statement'!L15</f>
        <v>88.276771295395662</v>
      </c>
    </row>
    <row r="13" spans="4:13" x14ac:dyDescent="0.25">
      <c r="D13" s="2" t="s">
        <v>336</v>
      </c>
      <c r="E13" s="380"/>
      <c r="F13" s="377"/>
      <c r="G13" s="377"/>
      <c r="H13" s="377"/>
      <c r="I13" s="377"/>
      <c r="J13" s="377"/>
      <c r="K13" s="377"/>
      <c r="L13" s="377"/>
    </row>
    <row r="14" spans="4:13" x14ac:dyDescent="0.25">
      <c r="D14" s="1" t="s">
        <v>202</v>
      </c>
      <c r="E14" s="380"/>
      <c r="F14" s="377">
        <f>('Balance Sheet'!F45-'Balance Sheet'!E45)</f>
        <v>-1.1299999999999999</v>
      </c>
      <c r="G14" s="377">
        <f>('Balance Sheet'!G45-'Balance Sheet'!F45)</f>
        <v>0.89999999999999991</v>
      </c>
      <c r="H14" s="377">
        <f>('Balance Sheet'!H45-'Balance Sheet'!G45)</f>
        <v>0.34407999999999994</v>
      </c>
      <c r="I14" s="377">
        <f>('Balance Sheet'!I45-'Balance Sheet'!H45)</f>
        <v>0.3203990380799997</v>
      </c>
      <c r="J14" s="377">
        <f>('Balance Sheet'!J45-'Balance Sheet'!I45)</f>
        <v>0.29097120665388942</v>
      </c>
      <c r="K14" s="377">
        <f>('Balance Sheet'!K45-'Balance Sheet'!J45)</f>
        <v>0.25881992813333898</v>
      </c>
      <c r="L14" s="377">
        <f>('Balance Sheet'!L45-'Balance Sheet'!K45)</f>
        <v>0.22631160024445629</v>
      </c>
    </row>
    <row r="15" spans="4:13" x14ac:dyDescent="0.25">
      <c r="D15" s="1" t="s">
        <v>203</v>
      </c>
      <c r="E15" s="380"/>
      <c r="F15" s="377">
        <f>('Balance Sheet'!F46-'Balance Sheet'!E46)</f>
        <v>0.65000000000000036</v>
      </c>
      <c r="G15" s="377">
        <f>('Balance Sheet'!G46-'Balance Sheet'!F46)</f>
        <v>2.29</v>
      </c>
      <c r="H15" s="377">
        <f>('Balance Sheet'!H46-'Balance Sheet'!G46)</f>
        <v>1.2566399999999991</v>
      </c>
      <c r="I15" s="377">
        <f>('Balance Sheet'!I46-'Balance Sheet'!H46)</f>
        <v>1.1701530086399998</v>
      </c>
      <c r="J15" s="377">
        <f>('Balance Sheet'!J46-'Balance Sheet'!I46)</f>
        <v>1.0626774503881187</v>
      </c>
      <c r="K15" s="377">
        <f>('Balance Sheet'!K46-'Balance Sheet'!J46)</f>
        <v>0.94525538970436784</v>
      </c>
      <c r="L15" s="377">
        <f>('Balance Sheet'!L46-'Balance Sheet'!K46)</f>
        <v>0.82652932263192724</v>
      </c>
    </row>
    <row r="16" spans="4:13" x14ac:dyDescent="0.25">
      <c r="D16" s="1" t="s">
        <v>204</v>
      </c>
      <c r="E16" s="380"/>
      <c r="F16" s="377">
        <f>('Balance Sheet'!F47-'Balance Sheet'!E47)</f>
        <v>680.15000000000009</v>
      </c>
      <c r="G16" s="377">
        <f>('Balance Sheet'!G47-'Balance Sheet'!F47)</f>
        <v>236.36999999999989</v>
      </c>
      <c r="H16" s="377">
        <f>('Balance Sheet'!H47-'Balance Sheet'!G47)</f>
        <v>243.78666399999975</v>
      </c>
      <c r="I16" s="377">
        <f>('Balance Sheet'!I47-'Balance Sheet'!H47)</f>
        <v>227.0082906368641</v>
      </c>
      <c r="J16" s="377">
        <f>('Balance Sheet'!J47-'Balance Sheet'!I47)</f>
        <v>206.158160283092</v>
      </c>
      <c r="K16" s="377">
        <f>('Balance Sheet'!K47-'Balance Sheet'!J47)</f>
        <v>183.37842029861213</v>
      </c>
      <c r="L16" s="377">
        <f>('Balance Sheet'!L47-'Balance Sheet'!K47)</f>
        <v>160.34570462711417</v>
      </c>
    </row>
    <row r="17" spans="4:16" x14ac:dyDescent="0.25">
      <c r="D17" s="1" t="s">
        <v>205</v>
      </c>
      <c r="E17" s="380"/>
      <c r="F17" s="377">
        <f>('Balance Sheet'!F48-'Balance Sheet'!E48)</f>
        <v>75.5</v>
      </c>
      <c r="G17" s="377">
        <f>('Balance Sheet'!G48-'Balance Sheet'!F48)</f>
        <v>-68.48</v>
      </c>
      <c r="H17" s="377">
        <f>('Balance Sheet'!H48-'Balance Sheet'!G48)</f>
        <v>3.1460879999999989</v>
      </c>
      <c r="I17" s="377">
        <f>('Balance Sheet'!I48-'Balance Sheet'!H48)</f>
        <v>2.929561639488</v>
      </c>
      <c r="J17" s="377">
        <f>('Balance Sheet'!J48-'Balance Sheet'!I48)</f>
        <v>2.6604889025788232</v>
      </c>
      <c r="K17" s="377">
        <f>('Balance Sheet'!K48-'Balance Sheet'!J48)</f>
        <v>2.3665143863670117</v>
      </c>
      <c r="L17" s="377">
        <f>('Balance Sheet'!L48-'Balance Sheet'!K48)</f>
        <v>2.0692751970177881</v>
      </c>
    </row>
    <row r="18" spans="4:16" x14ac:dyDescent="0.25">
      <c r="D18" s="1" t="s">
        <v>200</v>
      </c>
      <c r="E18" s="380"/>
      <c r="F18" s="377">
        <f>('Balance Sheet'!F49-'Balance Sheet'!E49)</f>
        <v>34.709999999999994</v>
      </c>
      <c r="G18" s="377">
        <f>('Balance Sheet'!G49-'Balance Sheet'!F49)</f>
        <v>-5.6199999999999903</v>
      </c>
      <c r="H18" s="377">
        <f>('Balance Sheet'!H49-'Balance Sheet'!G49)</f>
        <v>9.7135279999999966</v>
      </c>
      <c r="I18" s="377">
        <f>('Balance Sheet'!I49-'Balance Sheet'!H49)</f>
        <v>9.0450041489280011</v>
      </c>
      <c r="J18" s="377">
        <f>('Balance Sheet'!J49-'Balance Sheet'!I49)</f>
        <v>8.2142436730595847</v>
      </c>
      <c r="K18" s="377">
        <f>('Balance Sheet'!K49-'Balance Sheet'!J49)</f>
        <v>7.3065991016077021</v>
      </c>
      <c r="L18" s="377">
        <f>('Balance Sheet'!L49-'Balance Sheet'!K49)</f>
        <v>6.3888748712489303</v>
      </c>
    </row>
    <row r="19" spans="4:16" x14ac:dyDescent="0.25">
      <c r="D19" s="1" t="s">
        <v>201</v>
      </c>
      <c r="E19" s="380"/>
      <c r="F19" s="377">
        <f>('Balance Sheet'!F50-'Balance Sheet'!E50)</f>
        <v>-0.37000000000000011</v>
      </c>
      <c r="G19" s="377">
        <f>('Balance Sheet'!G50-'Balance Sheet'!F50)</f>
        <v>1.56</v>
      </c>
      <c r="H19" s="377">
        <f>('Balance Sheet'!H50-'Balance Sheet'!G50)</f>
        <v>0.59540799999999949</v>
      </c>
      <c r="I19" s="377">
        <f>('Balance Sheet'!I50-'Balance Sheet'!H50)</f>
        <v>0.55442963980799931</v>
      </c>
      <c r="J19" s="377">
        <f>('Balance Sheet'!J50-'Balance Sheet'!I50)</f>
        <v>0.50350669673151316</v>
      </c>
      <c r="K19" s="377">
        <f>('Balance Sheet'!K50-'Balance Sheet'!J50)</f>
        <v>0.44787100607421237</v>
      </c>
      <c r="L19" s="377">
        <f>('Balance Sheet'!L50-'Balance Sheet'!K50)</f>
        <v>0.39161746477084147</v>
      </c>
    </row>
    <row r="20" spans="4:16" x14ac:dyDescent="0.25">
      <c r="D20" s="385" t="s">
        <v>337</v>
      </c>
      <c r="E20" s="380"/>
      <c r="F20" s="377"/>
      <c r="G20" s="377"/>
      <c r="H20" s="377"/>
      <c r="I20" s="377"/>
      <c r="J20" s="377"/>
      <c r="K20" s="377"/>
      <c r="L20" s="377"/>
    </row>
    <row r="21" spans="4:16" x14ac:dyDescent="0.25">
      <c r="D21" s="1" t="s">
        <v>23</v>
      </c>
      <c r="E21" s="380"/>
      <c r="F21" s="377">
        <f>'Income Statement'!F16</f>
        <v>32.96</v>
      </c>
      <c r="G21" s="377">
        <f>'Income Statement'!G16</f>
        <v>33.17</v>
      </c>
      <c r="H21" s="377">
        <f>'Income Statement'!H16</f>
        <v>38.132232000000002</v>
      </c>
      <c r="I21" s="377">
        <f>'Income Statement'!I16</f>
        <v>42.752943344831998</v>
      </c>
      <c r="J21" s="377">
        <f>'Income Statement'!J16</f>
        <v>46.949254181662219</v>
      </c>
      <c r="K21" s="377">
        <f>'Income Statement'!K16</f>
        <v>50.681887666959113</v>
      </c>
      <c r="L21" s="377">
        <f>'Income Statement'!L16</f>
        <v>53.945694527875901</v>
      </c>
    </row>
    <row r="22" spans="4:16" x14ac:dyDescent="0.25">
      <c r="D22" s="1" t="s">
        <v>338</v>
      </c>
      <c r="E22" s="380"/>
      <c r="F22" s="377">
        <f>-'Income Statement'!F18</f>
        <v>249.07999999999998</v>
      </c>
      <c r="G22" s="377">
        <f>-'Income Statement'!G18</f>
        <v>240.51999999999998</v>
      </c>
      <c r="H22" s="377">
        <f>-'Income Statement'!H18</f>
        <v>277.95232891154944</v>
      </c>
      <c r="I22" s="377">
        <f>-'Income Statement'!I18</f>
        <v>313.40673491067616</v>
      </c>
      <c r="J22" s="377">
        <f>-'Income Statement'!J18</f>
        <v>345.46852513236149</v>
      </c>
      <c r="K22" s="377">
        <f>-'Income Statement'!K18</f>
        <v>387.86142943113435</v>
      </c>
      <c r="L22" s="377">
        <f>-'Income Statement'!L18</f>
        <v>413.60088063754108</v>
      </c>
    </row>
    <row r="23" spans="4:16" x14ac:dyDescent="0.25">
      <c r="D23" s="2" t="s">
        <v>339</v>
      </c>
      <c r="E23" s="380"/>
      <c r="F23" s="377"/>
      <c r="G23" s="377"/>
      <c r="H23" s="377"/>
      <c r="I23" s="377"/>
      <c r="J23" s="377"/>
      <c r="K23" s="377"/>
      <c r="L23" s="377"/>
    </row>
    <row r="24" spans="4:16" x14ac:dyDescent="0.25">
      <c r="D24" s="1" t="s">
        <v>262</v>
      </c>
      <c r="E24" s="380"/>
      <c r="F24" s="377">
        <f>'Balance Sheet'!F19-'Balance Sheet'!E19</f>
        <v>444.12</v>
      </c>
      <c r="G24" s="377">
        <f>'Balance Sheet'!G19-'Balance Sheet'!F19</f>
        <v>-5.4399999999999977</v>
      </c>
      <c r="H24" s="377">
        <f>'Balance Sheet'!H19-'Balance Sheet'!G19</f>
        <v>65.626527999999951</v>
      </c>
      <c r="I24" s="377">
        <f>'Balance Sheet'!I19-'Balance Sheet'!H19</f>
        <v>61.109847836927997</v>
      </c>
      <c r="J24" s="377">
        <f>'Balance Sheet'!J19-'Balance Sheet'!I19</f>
        <v>55.497064754316625</v>
      </c>
      <c r="K24" s="377">
        <f>'Balance Sheet'!K19-'Balance Sheet'!J19</f>
        <v>49.364837423275276</v>
      </c>
      <c r="L24" s="377">
        <f>'Balance Sheet'!L19-'Balance Sheet'!K19</f>
        <v>43.164509910973038</v>
      </c>
      <c r="M24" s="374"/>
      <c r="N24" s="374"/>
      <c r="P24" s="377"/>
    </row>
    <row r="25" spans="4:16" x14ac:dyDescent="0.25">
      <c r="D25" s="1" t="s">
        <v>65</v>
      </c>
      <c r="E25" s="380"/>
      <c r="F25" s="377">
        <f>'Balance Sheet'!F20-'Balance Sheet'!E20</f>
        <v>1112.3300000000002</v>
      </c>
      <c r="G25" s="377">
        <f>'Balance Sheet'!G20-'Balance Sheet'!F20</f>
        <v>631.03</v>
      </c>
      <c r="H25" s="377">
        <f>'Balance Sheet'!H20-'Balance Sheet'!G20</f>
        <v>396.42803200000026</v>
      </c>
      <c r="I25" s="377">
        <f>'Balance Sheet'!I20-'Balance Sheet'!H20</f>
        <v>369.14426912563158</v>
      </c>
      <c r="J25" s="377">
        <f>'Balance Sheet'!J20-'Balance Sheet'!I20</f>
        <v>335.23931301577159</v>
      </c>
      <c r="K25" s="377">
        <f>'Balance Sheet'!K20-'Balance Sheet'!J20</f>
        <v>298.19656693873821</v>
      </c>
      <c r="L25" s="377">
        <f>'Balance Sheet'!L20-'Balance Sheet'!K20</f>
        <v>260.74245031295186</v>
      </c>
      <c r="M25" s="374"/>
      <c r="N25" s="374"/>
    </row>
    <row r="26" spans="4:16" x14ac:dyDescent="0.25">
      <c r="D26" s="1" t="s">
        <v>259</v>
      </c>
      <c r="E26" s="380"/>
      <c r="F26" s="377">
        <f>'Balance Sheet'!F22-'Balance Sheet'!E22</f>
        <v>48.740000000000009</v>
      </c>
      <c r="G26" s="377">
        <f>'Balance Sheet'!G22-'Balance Sheet'!F22</f>
        <v>-25.990000000000009</v>
      </c>
      <c r="H26" s="377">
        <f>'Balance Sheet'!H22-'Balance Sheet'!G22</f>
        <v>15.796264000000008</v>
      </c>
      <c r="I26" s="377">
        <f>'Balance Sheet'!I22-'Balance Sheet'!H22</f>
        <v>14.709101926464001</v>
      </c>
      <c r="J26" s="377">
        <f>'Balance Sheet'!J22-'Balance Sheet'!I22</f>
        <v>13.358108569819194</v>
      </c>
      <c r="K26" s="377">
        <f>'Balance Sheet'!K22-'Balance Sheet'!J22</f>
        <v>11.882085309390988</v>
      </c>
      <c r="L26" s="377">
        <f>'Balance Sheet'!L22-'Balance Sheet'!K22</f>
        <v>10.389670378179176</v>
      </c>
      <c r="M26" s="374"/>
      <c r="N26" s="374"/>
    </row>
    <row r="27" spans="4:16" x14ac:dyDescent="0.25">
      <c r="D27" s="1" t="s">
        <v>66</v>
      </c>
      <c r="E27" s="380"/>
      <c r="F27" s="377">
        <f>'Balance Sheet'!F23-'Balance Sheet'!E23</f>
        <v>-19.96</v>
      </c>
      <c r="G27" s="377">
        <f>'Balance Sheet'!G23-'Balance Sheet'!F23</f>
        <v>67.63</v>
      </c>
      <c r="H27" s="377">
        <f>'Balance Sheet'!H23-'Balance Sheet'!G23</f>
        <v>16.402143999999993</v>
      </c>
      <c r="I27" s="377">
        <f>'Balance Sheet'!I23-'Balance Sheet'!H23</f>
        <v>15.273282841343999</v>
      </c>
      <c r="J27" s="377">
        <f>'Balance Sheet'!J23-'Balance Sheet'!I23</f>
        <v>13.870470911970614</v>
      </c>
      <c r="K27" s="377">
        <f>'Balance Sheet'!K23-'Balance Sheet'!J23</f>
        <v>12.337833443712725</v>
      </c>
      <c r="L27" s="377">
        <f>'Balance Sheet'!L23-'Balance Sheet'!K23</f>
        <v>10.78817558730529</v>
      </c>
      <c r="M27" s="374"/>
      <c r="N27" s="374"/>
    </row>
    <row r="28" spans="4:16" x14ac:dyDescent="0.25">
      <c r="D28" s="1" t="s">
        <v>265</v>
      </c>
      <c r="E28" s="380"/>
      <c r="F28" s="377">
        <f>'Balance Sheet'!F24-'Balance Sheet'!E24</f>
        <v>-69.03</v>
      </c>
      <c r="G28" s="377">
        <f>'Balance Sheet'!G24-'Balance Sheet'!F24</f>
        <v>83.14</v>
      </c>
      <c r="H28" s="377">
        <f>'Balance Sheet'!H24-'Balance Sheet'!G24</f>
        <v>14.515687999999997</v>
      </c>
      <c r="I28" s="377">
        <f>'Balance Sheet'!I24-'Balance Sheet'!H24</f>
        <v>13.516660289087994</v>
      </c>
      <c r="J28" s="377">
        <f>'Balance Sheet'!J24-'Balance Sheet'!I24</f>
        <v>12.275189644185616</v>
      </c>
      <c r="K28" s="377">
        <f>'Balance Sheet'!K24-'Balance Sheet'!J24</f>
        <v>10.918825055120806</v>
      </c>
      <c r="L28" s="377">
        <f>'Balance Sheet'!L24-'Balance Sheet'!K24</f>
        <v>9.5473976398780849</v>
      </c>
      <c r="M28" s="374"/>
      <c r="N28" s="374"/>
    </row>
    <row r="29" spans="4:16" s="2" customFormat="1" x14ac:dyDescent="0.25">
      <c r="D29" s="397" t="s">
        <v>73</v>
      </c>
      <c r="E29" s="398"/>
      <c r="F29" s="389">
        <f>SUM(F9:F19)-SUM(F21:F28)</f>
        <v>13.460000000000491</v>
      </c>
      <c r="G29" s="389">
        <f t="shared" ref="G29:L29" si="1">SUM(G9:G19)-SUM(G21:G28)</f>
        <v>128.94000000000005</v>
      </c>
      <c r="H29" s="389">
        <f t="shared" si="1"/>
        <v>567.47179908845044</v>
      </c>
      <c r="I29" s="389">
        <f t="shared" si="1"/>
        <v>681.94849434385196</v>
      </c>
      <c r="J29" s="389">
        <f t="shared" si="1"/>
        <v>791.80117952533794</v>
      </c>
      <c r="K29" s="389">
        <f t="shared" si="1"/>
        <v>879.98179964374458</v>
      </c>
      <c r="L29" s="389">
        <f t="shared" si="1"/>
        <v>971.60815002426136</v>
      </c>
      <c r="O29" s="1"/>
    </row>
    <row r="30" spans="4:16" x14ac:dyDescent="0.25">
      <c r="E30" s="380"/>
      <c r="F30" s="377"/>
      <c r="G30" s="377"/>
      <c r="H30" s="377"/>
      <c r="I30" s="377"/>
      <c r="J30" s="377"/>
      <c r="K30" s="377"/>
      <c r="L30" s="377"/>
    </row>
    <row r="31" spans="4:16" x14ac:dyDescent="0.25">
      <c r="D31" s="2" t="s">
        <v>340</v>
      </c>
      <c r="E31" s="380"/>
      <c r="F31" s="377"/>
      <c r="G31" s="377"/>
      <c r="H31" s="377"/>
      <c r="I31" s="377"/>
      <c r="J31" s="377"/>
      <c r="K31" s="377"/>
      <c r="L31" s="377"/>
    </row>
    <row r="32" spans="4:16" x14ac:dyDescent="0.25">
      <c r="D32" s="1" t="s">
        <v>23</v>
      </c>
      <c r="E32" s="380"/>
      <c r="F32" s="377">
        <f>'Income Statement'!F16</f>
        <v>32.96</v>
      </c>
      <c r="G32" s="377">
        <f>'Income Statement'!G16</f>
        <v>33.17</v>
      </c>
      <c r="H32" s="377">
        <f>'Income Statement'!H16</f>
        <v>38.132232000000002</v>
      </c>
      <c r="I32" s="377">
        <f>'Income Statement'!I16</f>
        <v>42.752943344831998</v>
      </c>
      <c r="J32" s="377">
        <f>'Income Statement'!J16</f>
        <v>46.949254181662219</v>
      </c>
      <c r="K32" s="377">
        <f>'Income Statement'!K16</f>
        <v>50.681887666959113</v>
      </c>
      <c r="L32" s="377">
        <f>'Income Statement'!L16</f>
        <v>53.945694527875901</v>
      </c>
      <c r="M32" s="377"/>
    </row>
    <row r="33" spans="4:13" x14ac:dyDescent="0.25">
      <c r="E33" s="380"/>
      <c r="F33" s="377"/>
      <c r="G33" s="377"/>
      <c r="H33" s="377"/>
      <c r="I33" s="377"/>
      <c r="J33" s="377"/>
      <c r="K33" s="377"/>
      <c r="L33" s="377"/>
      <c r="M33" s="377"/>
    </row>
    <row r="34" spans="4:13" x14ac:dyDescent="0.25">
      <c r="D34" s="1" t="s">
        <v>331</v>
      </c>
      <c r="E34" s="380"/>
      <c r="F34" s="374">
        <f>('Balance Sheet'!F10-'Balance Sheet'!E10)-'Income Statement'!F13</f>
        <v>18.250000000000036</v>
      </c>
      <c r="G34" s="374">
        <f>('Balance Sheet'!G10-'Balance Sheet'!F10)-'Income Statement'!G13</f>
        <v>15.009999999999977</v>
      </c>
      <c r="H34" s="374">
        <f>('Balance Sheet'!H10-'Balance Sheet'!G10)-'Income Statement'!H13</f>
        <v>-74.965511464558858</v>
      </c>
      <c r="I34" s="374">
        <f>('Balance Sheet'!I10-'Balance Sheet'!H10)-'Income Statement'!I13</f>
        <v>25.436139509289649</v>
      </c>
      <c r="J34" s="374">
        <f>('Balance Sheet'!J10-'Balance Sheet'!I10)-'Income Statement'!J13</f>
        <v>23.042662024513255</v>
      </c>
      <c r="K34" s="374">
        <f>('Balance Sheet'!K10-'Balance Sheet'!J10)-'Income Statement'!K13</f>
        <v>21.472197515394932</v>
      </c>
      <c r="L34" s="374">
        <f>('Balance Sheet'!L10-'Balance Sheet'!K10)-'Income Statement'!L13</f>
        <v>20.091655822867196</v>
      </c>
    </row>
    <row r="35" spans="4:13" x14ac:dyDescent="0.25">
      <c r="D35" s="1" t="str">
        <f>'Balance Sheet'!D12</f>
        <v>Other Financial Assets</v>
      </c>
      <c r="E35" s="380"/>
      <c r="F35" s="374">
        <f>'Balance Sheet'!F12-'Balance Sheet'!E12</f>
        <v>11.819999999999997</v>
      </c>
      <c r="G35" s="374">
        <f>'Balance Sheet'!G12-'Balance Sheet'!F12</f>
        <v>4.2700000000000031</v>
      </c>
      <c r="H35" s="374">
        <f>'Balance Sheet'!H12-'Balance Sheet'!G12</f>
        <v>6.4746880000000004</v>
      </c>
      <c r="I35" s="374">
        <f>'Balance Sheet'!I12-'Balance Sheet'!H12</f>
        <v>6.0290740730879975</v>
      </c>
      <c r="J35" s="374">
        <f>'Balance Sheet'!J12-'Balance Sheet'!I12</f>
        <v>5.4753190539044923</v>
      </c>
      <c r="K35" s="374">
        <f>'Balance Sheet'!K12-'Balance Sheet'!J12</f>
        <v>4.8703158650482195</v>
      </c>
      <c r="L35" s="374">
        <f>'Balance Sheet'!L12-'Balance Sheet'!K12</f>
        <v>4.2585939385130729</v>
      </c>
    </row>
    <row r="36" spans="4:13" x14ac:dyDescent="0.25">
      <c r="D36" s="1" t="str">
        <f>'Balance Sheet'!D13</f>
        <v>Deffered Tax Assets</v>
      </c>
      <c r="E36" s="380"/>
      <c r="F36" s="374">
        <f>'Balance Sheet'!F13-'Balance Sheet'!E13</f>
        <v>12.42</v>
      </c>
      <c r="G36" s="374">
        <f>'Balance Sheet'!G13-'Balance Sheet'!F13</f>
        <v>20.37</v>
      </c>
      <c r="H36" s="374">
        <f>'Balance Sheet'!H13-'Balance Sheet'!G13</f>
        <v>6.7574319999999943</v>
      </c>
      <c r="I36" s="374">
        <f>'Balance Sheet'!I13-'Balance Sheet'!H13</f>
        <v>6.2923585000319946</v>
      </c>
      <c r="J36" s="374">
        <f>'Balance Sheet'!J13-'Balance Sheet'!I13</f>
        <v>5.7144214802418247</v>
      </c>
      <c r="K36" s="374">
        <f>'Balance Sheet'!K13-'Balance Sheet'!J13</f>
        <v>5.0829983277317012</v>
      </c>
      <c r="L36" s="374">
        <f>'Balance Sheet'!L13-'Balance Sheet'!K13</f>
        <v>4.4445630361052508</v>
      </c>
    </row>
    <row r="37" spans="4:13" x14ac:dyDescent="0.25">
      <c r="D37" s="1" t="str">
        <f>'Balance Sheet'!D14</f>
        <v>Other Non-Current Assets</v>
      </c>
      <c r="E37" s="380"/>
      <c r="F37" s="374">
        <f>'Balance Sheet'!F14-'Balance Sheet'!E14</f>
        <v>-204.13</v>
      </c>
      <c r="G37" s="374">
        <f>'Balance Sheet'!G14-'Balance Sheet'!F14</f>
        <v>-4.05</v>
      </c>
      <c r="H37" s="374">
        <f>'Balance Sheet'!H14-'Balance Sheet'!G14</f>
        <v>0.28124799999999972</v>
      </c>
      <c r="I37" s="374">
        <f>'Balance Sheet'!I14-'Balance Sheet'!H14</f>
        <v>0.26189138764800024</v>
      </c>
      <c r="J37" s="374">
        <f>'Balance Sheet'!J14-'Balance Sheet'!I14</f>
        <v>0.23783733413448349</v>
      </c>
      <c r="K37" s="374">
        <f>'Balance Sheet'!K14-'Balance Sheet'!J14</f>
        <v>0.21155715864812041</v>
      </c>
      <c r="L37" s="374">
        <f>'Balance Sheet'!L14-'Balance Sheet'!K14</f>
        <v>0.18498513411285966</v>
      </c>
    </row>
    <row r="38" spans="4:13" s="2" customFormat="1" x14ac:dyDescent="0.25">
      <c r="D38" s="399" t="s">
        <v>346</v>
      </c>
      <c r="E38" s="398"/>
      <c r="F38" s="389">
        <f t="shared" ref="F38:L38" si="2">F32-SUM(F34:F37)</f>
        <v>194.59999999999997</v>
      </c>
      <c r="G38" s="389">
        <f t="shared" si="2"/>
        <v>-2.4299999999999784</v>
      </c>
      <c r="H38" s="389">
        <f t="shared" si="2"/>
        <v>99.58437546455886</v>
      </c>
      <c r="I38" s="389">
        <f t="shared" si="2"/>
        <v>4.7334798747743605</v>
      </c>
      <c r="J38" s="389">
        <f t="shared" si="2"/>
        <v>12.479014288868164</v>
      </c>
      <c r="K38" s="389">
        <f t="shared" si="2"/>
        <v>19.044818800136142</v>
      </c>
      <c r="L38" s="389">
        <f t="shared" si="2"/>
        <v>24.965896596277521</v>
      </c>
    </row>
    <row r="39" spans="4:13" x14ac:dyDescent="0.25">
      <c r="E39" s="380"/>
    </row>
    <row r="40" spans="4:13" x14ac:dyDescent="0.25">
      <c r="D40" s="2" t="s">
        <v>341</v>
      </c>
      <c r="E40" s="380"/>
    </row>
    <row r="41" spans="4:13" x14ac:dyDescent="0.25">
      <c r="D41" s="1" t="s">
        <v>202</v>
      </c>
      <c r="E41" s="380"/>
      <c r="F41" s="374">
        <f>'Balance Sheet'!F38-'Balance Sheet'!E38</f>
        <v>-1.3900000000000006</v>
      </c>
      <c r="G41" s="374">
        <f>'Balance Sheet'!G38-'Balance Sheet'!F38</f>
        <v>-6.7</v>
      </c>
      <c r="H41" s="374">
        <f>'Balance Sheet'!H38-'Balance Sheet'!G38</f>
        <v>0.31864800000000004</v>
      </c>
      <c r="I41" s="374">
        <f>'Balance Sheet'!I38-'Balance Sheet'!H38</f>
        <v>0.29671737004799992</v>
      </c>
      <c r="J41" s="374">
        <f>'Balance Sheet'!J38-'Balance Sheet'!I38</f>
        <v>0.26946463920555841</v>
      </c>
      <c r="K41" s="374">
        <f>'Balance Sheet'!K38-'Balance Sheet'!J38</f>
        <v>0.23968975953217875</v>
      </c>
      <c r="L41" s="374">
        <f>'Balance Sheet'!L38-'Balance Sheet'!K38</f>
        <v>0.20958422109595309</v>
      </c>
    </row>
    <row r="42" spans="4:13" x14ac:dyDescent="0.25">
      <c r="D42" s="1" t="s">
        <v>203</v>
      </c>
      <c r="E42" s="380"/>
      <c r="F42" s="374">
        <f>'Balance Sheet'!F39-'Balance Sheet'!E39</f>
        <v>-7.6499999999999986</v>
      </c>
      <c r="G42" s="374">
        <f>'Balance Sheet'!G39-'Balance Sheet'!F39</f>
        <v>-8.3999999999999986</v>
      </c>
      <c r="H42" s="374">
        <f>'Balance Sheet'!H39-'Balance Sheet'!G39</f>
        <v>7.218199999999996</v>
      </c>
      <c r="I42" s="374">
        <f>'Balance Sheet'!I39-'Balance Sheet'!H39</f>
        <v>6.7214146032000031</v>
      </c>
      <c r="J42" s="374">
        <f>'Balance Sheet'!J39-'Balance Sheet'!I39</f>
        <v>6.1040698787174534</v>
      </c>
      <c r="K42" s="374">
        <f>'Balance Sheet'!K39-'Balance Sheet'!J39</f>
        <v>5.4295919706233065</v>
      </c>
      <c r="L42" s="374">
        <f>'Balance Sheet'!L39-'Balance Sheet'!K39</f>
        <v>4.7476237877369698</v>
      </c>
    </row>
    <row r="43" spans="4:13" x14ac:dyDescent="0.25">
      <c r="D43" s="1" t="s">
        <v>266</v>
      </c>
      <c r="E43" s="380"/>
      <c r="F43" s="374">
        <f>'Balance Sheet'!F40-'Balance Sheet'!E40</f>
        <v>12.43</v>
      </c>
      <c r="G43" s="374">
        <f>'Balance Sheet'!G40-'Balance Sheet'!F40</f>
        <v>11.990000000000002</v>
      </c>
      <c r="H43" s="374">
        <f>'Balance Sheet'!H40-'Balance Sheet'!G40</f>
        <v>6.1904480000000035</v>
      </c>
      <c r="I43" s="374">
        <f>'Balance Sheet'!I40-'Balance Sheet'!H40</f>
        <v>5.7643966068479955</v>
      </c>
      <c r="J43" s="374">
        <f>'Balance Sheet'!J40-'Balance Sheet'!I40</f>
        <v>5.2349515353643241</v>
      </c>
      <c r="K43" s="374">
        <f>'Balance Sheet'!K40-'Balance Sheet'!J40</f>
        <v>4.6565080983293754</v>
      </c>
      <c r="L43" s="374">
        <f>'Balance Sheet'!L40-'Balance Sheet'!K40</f>
        <v>4.0716408774415598</v>
      </c>
    </row>
    <row r="44" spans="4:13" x14ac:dyDescent="0.25">
      <c r="D44" s="1" t="s">
        <v>342</v>
      </c>
      <c r="E44" s="380"/>
      <c r="F44" s="377">
        <f>'Balance Sheet'!F32-'Balance Sheet'!E32-'Income Statement'!F19</f>
        <v>20.159999999999286</v>
      </c>
      <c r="G44" s="377">
        <f>'Balance Sheet'!G32-'Balance Sheet'!F32-'Income Statement'!G19</f>
        <v>98.329999999999814</v>
      </c>
      <c r="H44" s="377">
        <f>'Balance Sheet'!H32-'Balance Sheet'!G32-'Income Statement'!H19</f>
        <v>-29.089983045933764</v>
      </c>
      <c r="I44" s="377">
        <f>'Balance Sheet'!I32-'Balance Sheet'!H32-'Income Statement'!I19</f>
        <v>-32.800576418031255</v>
      </c>
      <c r="J44" s="377">
        <f>'Balance Sheet'!J32-'Balance Sheet'!I32-'Income Statement'!J19</f>
        <v>-36.156104819694065</v>
      </c>
      <c r="K44" s="377">
        <f>'Balance Sheet'!K32-'Balance Sheet'!J32-'Income Statement'!K19</f>
        <v>-38.591805358355259</v>
      </c>
      <c r="L44" s="377">
        <f>'Balance Sheet'!L32-'Balance Sheet'!K32-'Income Statement'!L19</f>
        <v>-41.152853752483225</v>
      </c>
    </row>
    <row r="45" spans="4:13" x14ac:dyDescent="0.25">
      <c r="D45" s="1" t="s">
        <v>343</v>
      </c>
      <c r="E45" s="380"/>
      <c r="F45" s="377">
        <f>'Balance Sheet'!F31-'Balance Sheet'!E31</f>
        <v>0</v>
      </c>
      <c r="G45" s="377">
        <f>'Balance Sheet'!G31-'Balance Sheet'!F31</f>
        <v>1.5499999999999972</v>
      </c>
      <c r="H45" s="377">
        <f>'Balance Sheet'!H31-'Balance Sheet'!G31</f>
        <v>0</v>
      </c>
      <c r="I45" s="377">
        <f>'Balance Sheet'!I31-'Balance Sheet'!H31</f>
        <v>0</v>
      </c>
      <c r="J45" s="377">
        <f>'Balance Sheet'!J31-'Balance Sheet'!I31</f>
        <v>0</v>
      </c>
      <c r="K45" s="377">
        <f>'Balance Sheet'!K31-'Balance Sheet'!J31</f>
        <v>0</v>
      </c>
      <c r="L45" s="377">
        <f>'Balance Sheet'!L31-'Balance Sheet'!K31</f>
        <v>0</v>
      </c>
    </row>
    <row r="46" spans="4:13" x14ac:dyDescent="0.25">
      <c r="D46" s="1" t="s">
        <v>376</v>
      </c>
      <c r="E46" s="380"/>
      <c r="F46" s="377">
        <f>'Balance Sheet'!F33-'Balance Sheet'!E33</f>
        <v>4.01</v>
      </c>
      <c r="G46" s="377">
        <f>'Balance Sheet'!G33-'Balance Sheet'!F33</f>
        <v>-3.67</v>
      </c>
      <c r="H46" s="377">
        <f>'Balance Sheet'!H33-'Balance Sheet'!G33</f>
        <v>0</v>
      </c>
      <c r="I46" s="377">
        <f>'Balance Sheet'!I33-'Balance Sheet'!H33</f>
        <v>0</v>
      </c>
      <c r="J46" s="377">
        <f>'Balance Sheet'!J33-'Balance Sheet'!I33</f>
        <v>0</v>
      </c>
      <c r="K46" s="377">
        <f>'Balance Sheet'!K33-'Balance Sheet'!J33</f>
        <v>0</v>
      </c>
      <c r="L46" s="377">
        <f>'Balance Sheet'!L33-'Balance Sheet'!K33</f>
        <v>0</v>
      </c>
    </row>
    <row r="47" spans="4:13" x14ac:dyDescent="0.25">
      <c r="D47" s="386" t="s">
        <v>344</v>
      </c>
      <c r="E47" s="380"/>
    </row>
    <row r="48" spans="4:13" x14ac:dyDescent="0.25">
      <c r="D48" s="1" t="s">
        <v>345</v>
      </c>
      <c r="E48" s="380"/>
      <c r="F48" s="391">
        <f>-'Income Statement'!F15</f>
        <v>12.86</v>
      </c>
      <c r="G48" s="391">
        <f>-'Income Statement'!G15</f>
        <v>11.63</v>
      </c>
      <c r="H48" s="391">
        <f>-'Income Statement'!H15</f>
        <v>62.39961043614931</v>
      </c>
      <c r="I48" s="391">
        <f>-'Income Statement'!I15</f>
        <v>69.960945630360143</v>
      </c>
      <c r="J48" s="391">
        <f>-'Income Statement'!J15</f>
        <v>76.827791544000789</v>
      </c>
      <c r="K48" s="391">
        <f>-'Income Statement'!K15</f>
        <v>82.935875523544723</v>
      </c>
      <c r="L48" s="391">
        <f>-'Income Statement'!L15</f>
        <v>88.276771295395662</v>
      </c>
    </row>
    <row r="49" spans="4:12" s="2" customFormat="1" x14ac:dyDescent="0.25">
      <c r="D49" s="397" t="s">
        <v>347</v>
      </c>
      <c r="E49" s="398"/>
      <c r="F49" s="387">
        <f t="shared" ref="F49:L49" si="3">SUM(F41:F46)-F48</f>
        <v>14.699999999999285</v>
      </c>
      <c r="G49" s="387">
        <f t="shared" si="3"/>
        <v>81.469999999999814</v>
      </c>
      <c r="H49" s="387">
        <f t="shared" si="3"/>
        <v>-77.762297482083071</v>
      </c>
      <c r="I49" s="387">
        <f t="shared" si="3"/>
        <v>-89.9789934682954</v>
      </c>
      <c r="J49" s="387">
        <f t="shared" si="3"/>
        <v>-101.37541031040752</v>
      </c>
      <c r="K49" s="387">
        <f t="shared" si="3"/>
        <v>-111.20189105341512</v>
      </c>
      <c r="L49" s="387">
        <f t="shared" si="3"/>
        <v>-120.4007761616044</v>
      </c>
    </row>
    <row r="50" spans="4:12" x14ac:dyDescent="0.25">
      <c r="E50" s="380"/>
    </row>
    <row r="51" spans="4:12" x14ac:dyDescent="0.25">
      <c r="D51" s="426" t="s">
        <v>348</v>
      </c>
      <c r="E51" s="381"/>
      <c r="F51" s="429">
        <f t="shared" ref="F51:L51" si="4">F29+F38+F49</f>
        <v>222.75999999999974</v>
      </c>
      <c r="G51" s="429">
        <f t="shared" si="4"/>
        <v>207.9799999999999</v>
      </c>
      <c r="H51" s="429">
        <f t="shared" si="4"/>
        <v>589.29387707092621</v>
      </c>
      <c r="I51" s="429">
        <f t="shared" si="4"/>
        <v>596.70298075033099</v>
      </c>
      <c r="J51" s="429">
        <f t="shared" si="4"/>
        <v>702.90478350379863</v>
      </c>
      <c r="K51" s="429">
        <f t="shared" si="4"/>
        <v>787.82472739046557</v>
      </c>
      <c r="L51" s="429">
        <f t="shared" si="4"/>
        <v>876.17327045893444</v>
      </c>
    </row>
    <row r="52" spans="4:12" x14ac:dyDescent="0.25">
      <c r="D52" s="427" t="s">
        <v>349</v>
      </c>
      <c r="E52" s="403"/>
      <c r="F52" s="404">
        <f>'Balance Sheet'!E21</f>
        <v>145.58000000000001</v>
      </c>
      <c r="G52" s="405">
        <f t="shared" ref="G52:L52" si="5">F53</f>
        <v>368.33999999999975</v>
      </c>
      <c r="H52" s="405">
        <f t="shared" si="5"/>
        <v>576.31999999999971</v>
      </c>
      <c r="I52" s="405">
        <f t="shared" si="5"/>
        <v>1165.6138770709258</v>
      </c>
      <c r="J52" s="405">
        <f t="shared" si="5"/>
        <v>1762.3168578212567</v>
      </c>
      <c r="K52" s="405">
        <f t="shared" si="5"/>
        <v>2465.2216413250553</v>
      </c>
      <c r="L52" s="405">
        <f t="shared" si="5"/>
        <v>3253.0463687155207</v>
      </c>
    </row>
    <row r="53" spans="4:12" ht="14.4" thickBot="1" x14ac:dyDescent="0.3">
      <c r="D53" s="428" t="s">
        <v>350</v>
      </c>
      <c r="E53" s="406"/>
      <c r="F53" s="407">
        <f t="shared" ref="F53:L53" si="6">F51+F52</f>
        <v>368.33999999999975</v>
      </c>
      <c r="G53" s="407">
        <f t="shared" si="6"/>
        <v>576.31999999999971</v>
      </c>
      <c r="H53" s="407">
        <f t="shared" si="6"/>
        <v>1165.6138770709258</v>
      </c>
      <c r="I53" s="407">
        <f t="shared" si="6"/>
        <v>1762.3168578212567</v>
      </c>
      <c r="J53" s="407">
        <f t="shared" si="6"/>
        <v>2465.2216413250553</v>
      </c>
      <c r="K53" s="407">
        <f t="shared" si="6"/>
        <v>3253.0463687155207</v>
      </c>
      <c r="L53" s="407">
        <f t="shared" si="6"/>
        <v>4129.2196391744546</v>
      </c>
    </row>
    <row r="54" spans="4:12" ht="14.4" thickTop="1" x14ac:dyDescent="0.25">
      <c r="D54" s="385"/>
      <c r="E54" s="385"/>
      <c r="F54" s="402"/>
      <c r="G54" s="402"/>
      <c r="H54" s="402"/>
      <c r="I54" s="402"/>
      <c r="J54" s="402"/>
      <c r="K54" s="402"/>
      <c r="L54" s="402"/>
    </row>
    <row r="55" spans="4:12" x14ac:dyDescent="0.25">
      <c r="D55" s="408" t="s">
        <v>352</v>
      </c>
      <c r="F55" s="409">
        <f>F53-'Balance Sheet'!F21</f>
        <v>0</v>
      </c>
      <c r="G55" s="409">
        <f>G53-'Balance Sheet'!G21</f>
        <v>0</v>
      </c>
      <c r="H55" s="409">
        <f>H53-'Balance Sheet'!H21</f>
        <v>0</v>
      </c>
      <c r="I55" s="409">
        <f>I53-'Balance Sheet'!I21</f>
        <v>0</v>
      </c>
      <c r="J55" s="409">
        <f>J53-'Balance Sheet'!J21</f>
        <v>0</v>
      </c>
      <c r="K55" s="409">
        <f>K53-'Balance Sheet'!K21</f>
        <v>0</v>
      </c>
      <c r="L55" s="409">
        <f>L53-'Balance Sheet'!L21</f>
        <v>0</v>
      </c>
    </row>
  </sheetData>
  <mergeCells count="1">
    <mergeCell ref="D4:L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D05C-1796-4913-82FB-2FAEEADA230B}">
  <dimension ref="D3:T77"/>
  <sheetViews>
    <sheetView showGridLines="0" topLeftCell="A37" zoomScaleNormal="100" workbookViewId="0"/>
  </sheetViews>
  <sheetFormatPr defaultColWidth="8.88671875" defaultRowHeight="14.4" customHeight="1" x14ac:dyDescent="0.3"/>
  <cols>
    <col min="1" max="3" width="1.33203125" style="19" customWidth="1"/>
    <col min="4" max="4" width="30.77734375" style="19" customWidth="1"/>
    <col min="5" max="5" width="13.33203125" style="19" bestFit="1" customWidth="1"/>
    <col min="6" max="8" width="12" style="19" bestFit="1" customWidth="1"/>
    <col min="9" max="9" width="12.109375" style="19" bestFit="1" customWidth="1"/>
    <col min="10" max="11" width="12.5546875" style="19" bestFit="1" customWidth="1"/>
    <col min="12" max="12" width="12.5546875" style="19" customWidth="1"/>
    <col min="13" max="13" width="12.5546875" style="19" bestFit="1" customWidth="1"/>
    <col min="14" max="14" width="10.44140625" style="19" bestFit="1" customWidth="1"/>
    <col min="15" max="15" width="8.88671875" style="19"/>
    <col min="16" max="18" width="10.77734375" style="19" customWidth="1"/>
    <col min="19" max="16384" width="8.88671875" style="19"/>
  </cols>
  <sheetData>
    <row r="3" spans="4:17" ht="14.4" customHeight="1" x14ac:dyDescent="0.3">
      <c r="N3" s="141" t="s">
        <v>310</v>
      </c>
    </row>
    <row r="4" spans="4:17" ht="16.95" customHeight="1" x14ac:dyDescent="0.3">
      <c r="D4" s="453" t="s">
        <v>100</v>
      </c>
      <c r="E4" s="453"/>
      <c r="F4" s="453"/>
      <c r="G4" s="453"/>
      <c r="H4" s="453"/>
      <c r="I4" s="453"/>
      <c r="J4" s="453"/>
      <c r="K4" s="453"/>
      <c r="L4" s="453"/>
      <c r="M4" s="453"/>
      <c r="N4" s="453"/>
    </row>
    <row r="5" spans="4:17" ht="14.4" customHeight="1" x14ac:dyDescent="0.3">
      <c r="D5" s="28"/>
      <c r="E5" s="28"/>
      <c r="F5" s="28"/>
      <c r="G5" s="28"/>
      <c r="H5" s="28"/>
      <c r="I5" s="28"/>
      <c r="J5" s="28"/>
      <c r="K5" s="28"/>
      <c r="L5" s="28"/>
      <c r="M5" s="28"/>
    </row>
    <row r="6" spans="4:17" ht="14.4" customHeight="1" x14ac:dyDescent="0.3">
      <c r="D6" s="114" t="s">
        <v>34</v>
      </c>
      <c r="E6" s="281"/>
      <c r="F6" s="28"/>
      <c r="G6" s="28"/>
      <c r="H6" s="28"/>
      <c r="I6" s="28"/>
      <c r="J6" s="28"/>
      <c r="K6" s="28"/>
      <c r="L6" s="28"/>
      <c r="M6" s="28"/>
    </row>
    <row r="7" spans="4:17" ht="14.4" customHeight="1" x14ac:dyDescent="0.3">
      <c r="D7" s="28" t="s">
        <v>101</v>
      </c>
      <c r="E7" s="282">
        <v>45730</v>
      </c>
      <c r="F7" s="28"/>
      <c r="G7" s="28"/>
      <c r="H7" s="28"/>
      <c r="I7" s="28"/>
      <c r="J7" s="28"/>
      <c r="K7" s="28"/>
      <c r="L7" s="28"/>
      <c r="M7" s="28"/>
      <c r="N7" s="28"/>
      <c r="O7" s="28"/>
      <c r="Q7" s="28"/>
    </row>
    <row r="8" spans="4:17" ht="14.4" customHeight="1" x14ac:dyDescent="0.3">
      <c r="D8" s="28" t="s">
        <v>102</v>
      </c>
      <c r="E8" s="283">
        <v>45747</v>
      </c>
      <c r="F8" s="28"/>
      <c r="G8" s="28"/>
      <c r="H8" s="28"/>
      <c r="I8" s="28"/>
      <c r="J8" s="28"/>
      <c r="K8" s="28"/>
      <c r="L8" s="28"/>
      <c r="M8" s="28"/>
      <c r="N8" s="28"/>
      <c r="O8" s="28"/>
      <c r="Q8" s="28"/>
    </row>
    <row r="9" spans="4:17" ht="14.4" customHeight="1" x14ac:dyDescent="0.3">
      <c r="D9" s="28" t="s">
        <v>103</v>
      </c>
      <c r="E9" s="284">
        <f>WACC!E32</f>
        <v>0.25659572198218378</v>
      </c>
      <c r="F9" s="28"/>
      <c r="G9" s="28"/>
      <c r="H9" s="28"/>
      <c r="I9" s="28"/>
      <c r="J9" s="28"/>
      <c r="K9" s="28"/>
      <c r="L9" s="28"/>
      <c r="M9" s="28"/>
      <c r="N9" s="28"/>
      <c r="O9" s="28"/>
      <c r="Q9" s="28"/>
    </row>
    <row r="10" spans="4:17" ht="14.4" customHeight="1" x14ac:dyDescent="0.3">
      <c r="D10" s="28" t="s">
        <v>104</v>
      </c>
      <c r="E10" s="285">
        <f>Comps!R15</f>
        <v>19.04</v>
      </c>
      <c r="F10" s="28"/>
      <c r="G10" s="28"/>
      <c r="H10" s="28"/>
      <c r="I10" s="28"/>
      <c r="J10" s="28"/>
      <c r="K10" s="28"/>
      <c r="L10" s="28"/>
      <c r="M10" s="28"/>
      <c r="N10" s="28"/>
      <c r="O10" s="28"/>
      <c r="P10" s="28"/>
      <c r="Q10" s="28"/>
    </row>
    <row r="11" spans="4:17" ht="14.4" customHeight="1" x14ac:dyDescent="0.3">
      <c r="D11" s="28" t="s">
        <v>105</v>
      </c>
      <c r="E11" s="284">
        <f>Assumptions!D28</f>
        <v>6.4000000000000001E-2</v>
      </c>
      <c r="F11" s="28"/>
      <c r="G11" s="28"/>
      <c r="H11" s="28"/>
      <c r="I11" s="28"/>
      <c r="J11" s="28"/>
      <c r="K11" s="28"/>
      <c r="L11" s="28"/>
      <c r="M11" s="28"/>
      <c r="N11" s="28"/>
      <c r="O11" s="28"/>
      <c r="P11" s="28"/>
      <c r="Q11" s="28"/>
    </row>
    <row r="12" spans="4:17" ht="14.4" customHeight="1" x14ac:dyDescent="0.3">
      <c r="D12" s="28" t="s">
        <v>106</v>
      </c>
      <c r="E12" s="284">
        <f>WACC!E42</f>
        <v>7.0499013395235621E-2</v>
      </c>
      <c r="F12" s="28"/>
      <c r="G12" s="28"/>
      <c r="H12" s="28"/>
      <c r="I12" s="28"/>
      <c r="J12" s="28"/>
      <c r="K12" s="28"/>
      <c r="L12" s="28"/>
      <c r="M12" s="28"/>
      <c r="N12" s="28"/>
      <c r="O12" s="28"/>
      <c r="P12" s="28"/>
      <c r="Q12" s="28"/>
    </row>
    <row r="13" spans="4:17" ht="14.4" customHeight="1" x14ac:dyDescent="0.3">
      <c r="D13" s="28" t="s">
        <v>107</v>
      </c>
      <c r="E13" s="286">
        <f>'Comps Data'!H8</f>
        <v>533</v>
      </c>
      <c r="F13" s="28"/>
      <c r="G13" s="28"/>
      <c r="H13" s="28"/>
      <c r="I13" s="28"/>
      <c r="J13" s="28"/>
      <c r="K13" s="28"/>
      <c r="L13" s="28"/>
      <c r="M13" s="28"/>
      <c r="N13" s="28"/>
      <c r="O13" s="28"/>
      <c r="P13" s="28"/>
      <c r="Q13" s="28"/>
    </row>
    <row r="14" spans="4:17" ht="14.4" customHeight="1" x14ac:dyDescent="0.3">
      <c r="D14" s="28" t="s">
        <v>108</v>
      </c>
      <c r="E14" s="287">
        <v>255.6</v>
      </c>
      <c r="F14" s="28"/>
      <c r="G14" s="28"/>
      <c r="H14" s="28"/>
      <c r="I14" s="28"/>
      <c r="J14" s="28"/>
      <c r="K14" s="28"/>
      <c r="L14" s="28"/>
      <c r="M14" s="28"/>
      <c r="N14" s="28"/>
      <c r="O14" s="28"/>
      <c r="P14" s="28"/>
      <c r="Q14" s="28"/>
    </row>
    <row r="15" spans="4:17" ht="14.4" customHeight="1" x14ac:dyDescent="0.3">
      <c r="D15" s="28"/>
      <c r="E15" s="28"/>
      <c r="F15" s="28"/>
      <c r="G15" s="28"/>
      <c r="H15" s="28"/>
      <c r="I15" s="28"/>
      <c r="J15" s="28"/>
      <c r="K15" s="28"/>
      <c r="L15" s="28"/>
      <c r="M15" s="28"/>
    </row>
    <row r="16" spans="4:17" ht="14.4" customHeight="1" x14ac:dyDescent="0.3">
      <c r="D16" s="28"/>
      <c r="E16" s="28"/>
      <c r="F16" s="29">
        <v>2022</v>
      </c>
      <c r="G16" s="29">
        <f t="shared" ref="G16:M16" si="0">F16+1</f>
        <v>2023</v>
      </c>
      <c r="H16" s="29">
        <f t="shared" si="0"/>
        <v>2024</v>
      </c>
      <c r="I16" s="288">
        <f t="shared" si="0"/>
        <v>2025</v>
      </c>
      <c r="J16" s="288">
        <f t="shared" si="0"/>
        <v>2026</v>
      </c>
      <c r="K16" s="288">
        <f t="shared" si="0"/>
        <v>2027</v>
      </c>
      <c r="L16" s="288">
        <f t="shared" si="0"/>
        <v>2028</v>
      </c>
      <c r="M16" s="288">
        <f t="shared" si="0"/>
        <v>2029</v>
      </c>
      <c r="N16" s="289"/>
    </row>
    <row r="17" spans="4:18" ht="14.4" customHeight="1" x14ac:dyDescent="0.3">
      <c r="D17" s="21" t="s">
        <v>109</v>
      </c>
      <c r="E17" s="28"/>
      <c r="F17" s="184" t="s">
        <v>21</v>
      </c>
      <c r="G17" s="184" t="s">
        <v>21</v>
      </c>
      <c r="H17" s="184" t="s">
        <v>21</v>
      </c>
      <c r="I17" s="290" t="s">
        <v>22</v>
      </c>
      <c r="J17" s="290" t="s">
        <v>22</v>
      </c>
      <c r="K17" s="290" t="s">
        <v>22</v>
      </c>
      <c r="L17" s="290" t="s">
        <v>22</v>
      </c>
      <c r="M17" s="290" t="s">
        <v>22</v>
      </c>
      <c r="N17" s="291" t="s">
        <v>119</v>
      </c>
    </row>
    <row r="18" spans="4:18" ht="14.4" customHeight="1" x14ac:dyDescent="0.3">
      <c r="D18" s="39" t="s">
        <v>78</v>
      </c>
      <c r="E18" s="292"/>
      <c r="F18" s="293">
        <v>44651</v>
      </c>
      <c r="G18" s="293">
        <f>F18+365</f>
        <v>45016</v>
      </c>
      <c r="H18" s="293">
        <v>45382</v>
      </c>
      <c r="I18" s="294">
        <v>45747</v>
      </c>
      <c r="J18" s="294">
        <v>46112</v>
      </c>
      <c r="K18" s="294">
        <v>46477</v>
      </c>
      <c r="L18" s="294">
        <v>46843</v>
      </c>
      <c r="M18" s="294">
        <v>47208</v>
      </c>
      <c r="N18" s="295">
        <f>M18</f>
        <v>47208</v>
      </c>
    </row>
    <row r="19" spans="4:18" ht="14.4" customHeight="1" x14ac:dyDescent="0.3">
      <c r="D19" s="39" t="s">
        <v>110</v>
      </c>
      <c r="E19" s="28"/>
      <c r="F19" s="39">
        <v>1</v>
      </c>
      <c r="G19" s="39">
        <f t="shared" ref="G19:M19" si="1">F19+1</f>
        <v>2</v>
      </c>
      <c r="H19" s="39">
        <f t="shared" si="1"/>
        <v>3</v>
      </c>
      <c r="I19" s="296">
        <v>0</v>
      </c>
      <c r="J19" s="296">
        <f t="shared" si="1"/>
        <v>1</v>
      </c>
      <c r="K19" s="296">
        <f t="shared" si="1"/>
        <v>2</v>
      </c>
      <c r="L19" s="296">
        <f t="shared" si="1"/>
        <v>3</v>
      </c>
      <c r="M19" s="296">
        <f t="shared" si="1"/>
        <v>4</v>
      </c>
      <c r="N19" s="296"/>
    </row>
    <row r="20" spans="4:18" ht="14.4" customHeight="1" x14ac:dyDescent="0.3">
      <c r="D20" s="39" t="s">
        <v>111</v>
      </c>
      <c r="E20" s="28"/>
      <c r="F20" s="297">
        <f t="shared" ref="F20:L20" si="2">YEARFRAC(F18,G18)</f>
        <v>1</v>
      </c>
      <c r="G20" s="297">
        <f t="shared" si="2"/>
        <v>1</v>
      </c>
      <c r="H20" s="297">
        <f t="shared" si="2"/>
        <v>1</v>
      </c>
      <c r="I20" s="298">
        <f>YEARFRAC(E7,I18)</f>
        <v>4.7222222222222221E-2</v>
      </c>
      <c r="J20" s="299">
        <f t="shared" si="2"/>
        <v>1</v>
      </c>
      <c r="K20" s="299">
        <f t="shared" si="2"/>
        <v>1</v>
      </c>
      <c r="L20" s="299">
        <f t="shared" si="2"/>
        <v>1</v>
      </c>
      <c r="M20" s="299">
        <f>YEARFRAC(L18,M18)</f>
        <v>1</v>
      </c>
      <c r="N20" s="300">
        <f>M20</f>
        <v>1</v>
      </c>
    </row>
    <row r="21" spans="4:18" ht="14.4" customHeight="1" x14ac:dyDescent="0.3">
      <c r="D21" s="28"/>
      <c r="E21" s="28"/>
      <c r="F21" s="28"/>
      <c r="G21" s="28"/>
      <c r="H21" s="28"/>
      <c r="I21" s="28"/>
      <c r="J21" s="28"/>
      <c r="K21" s="28"/>
      <c r="L21" s="28"/>
      <c r="M21" s="28"/>
      <c r="N21" s="289"/>
    </row>
    <row r="22" spans="4:18" ht="14.4" customHeight="1" x14ac:dyDescent="0.3">
      <c r="D22" s="28" t="s">
        <v>59</v>
      </c>
      <c r="E22" s="28"/>
      <c r="F22" s="40">
        <f>'Income Statement'!E14</f>
        <v>204.52000000000021</v>
      </c>
      <c r="G22" s="40">
        <f>'Income Statement'!F14</f>
        <v>954.25000000000057</v>
      </c>
      <c r="H22" s="40">
        <f>'Income Statement'!G14</f>
        <v>915.81000000000006</v>
      </c>
      <c r="I22" s="254">
        <f>'Income Statement'!H14</f>
        <v>1066.8659874645591</v>
      </c>
      <c r="J22" s="254">
        <f>'Income Statement'!I14</f>
        <v>1202.796014652886</v>
      </c>
      <c r="K22" s="254">
        <f>'Income Statement'!J14</f>
        <v>1325.7302583267458</v>
      </c>
      <c r="L22" s="254">
        <f>'Income Statement'!K14</f>
        <v>1434.5223477993234</v>
      </c>
      <c r="M22" s="254">
        <f>'Income Statement'!L14</f>
        <v>1529.6574602470955</v>
      </c>
      <c r="N22" s="289"/>
      <c r="P22" s="140" t="s">
        <v>190</v>
      </c>
      <c r="Q22" s="140"/>
      <c r="R22" s="140"/>
    </row>
    <row r="23" spans="4:18" ht="14.4" customHeight="1" x14ac:dyDescent="0.3">
      <c r="D23" s="28" t="s">
        <v>112</v>
      </c>
      <c r="E23" s="28"/>
      <c r="F23" s="370">
        <f t="shared" ref="F23:M23" si="3">-F22*(1-$E$9)</f>
        <v>-152.04104294020394</v>
      </c>
      <c r="G23" s="370">
        <f t="shared" si="3"/>
        <v>-709.39353229850155</v>
      </c>
      <c r="H23" s="370">
        <f t="shared" si="3"/>
        <v>-680.81707185149639</v>
      </c>
      <c r="I23" s="280">
        <f t="shared" si="3"/>
        <v>-793.11273915285517</v>
      </c>
      <c r="J23" s="280">
        <f t="shared" si="3"/>
        <v>-894.16370287573545</v>
      </c>
      <c r="K23" s="280">
        <f t="shared" si="3"/>
        <v>-985.55354553776749</v>
      </c>
      <c r="L23" s="280">
        <f t="shared" si="3"/>
        <v>-1066.4300502661788</v>
      </c>
      <c r="M23" s="280">
        <f t="shared" si="3"/>
        <v>-1137.1538998495585</v>
      </c>
      <c r="N23" s="289"/>
      <c r="P23" s="138" t="s">
        <v>159</v>
      </c>
      <c r="Q23" s="138"/>
      <c r="R23" s="121">
        <f>SUM(M22,M25)*E10</f>
        <v>28745.1068625999</v>
      </c>
    </row>
    <row r="24" spans="4:18" s="302" customFormat="1" ht="14.4" customHeight="1" x14ac:dyDescent="0.3">
      <c r="D24" s="53" t="s">
        <v>118</v>
      </c>
      <c r="E24" s="53"/>
      <c r="F24" s="301">
        <f>SUM(F22:F23)</f>
        <v>52.478957059796272</v>
      </c>
      <c r="G24" s="301">
        <f t="shared" ref="G24:M24" si="4">SUM(G22:G23)</f>
        <v>244.85646770149901</v>
      </c>
      <c r="H24" s="301">
        <f t="shared" si="4"/>
        <v>234.99292814850367</v>
      </c>
      <c r="I24" s="271">
        <f t="shared" si="4"/>
        <v>273.75324831170394</v>
      </c>
      <c r="J24" s="271">
        <f t="shared" si="4"/>
        <v>308.63231177715056</v>
      </c>
      <c r="K24" s="271">
        <f t="shared" si="4"/>
        <v>340.17671278897831</v>
      </c>
      <c r="L24" s="271">
        <f t="shared" si="4"/>
        <v>368.09229753314457</v>
      </c>
      <c r="M24" s="271">
        <f t="shared" si="4"/>
        <v>392.50356039753706</v>
      </c>
      <c r="N24" s="289"/>
      <c r="P24" s="138" t="s">
        <v>301</v>
      </c>
      <c r="Q24" s="138"/>
      <c r="R24" s="121">
        <f>M28*(1+E11)/(E12-E11)</f>
        <v>37860.748950574402</v>
      </c>
    </row>
    <row r="25" spans="4:18" ht="14.4" customHeight="1" x14ac:dyDescent="0.3">
      <c r="D25" s="28" t="s">
        <v>113</v>
      </c>
      <c r="E25" s="28"/>
      <c r="F25" s="40">
        <f>'Income Statement'!E13</f>
        <v>-21.29</v>
      </c>
      <c r="G25" s="40">
        <f>'Income Statement'!F13</f>
        <v>-34.979999999999997</v>
      </c>
      <c r="H25" s="40">
        <f>'Income Statement'!G13</f>
        <v>-37</v>
      </c>
      <c r="I25" s="254">
        <f>'Income Statement'!H13</f>
        <v>-28.484388535441166</v>
      </c>
      <c r="J25" s="254">
        <f>'Income Statement'!I13</f>
        <v>-25.28453850928965</v>
      </c>
      <c r="K25" s="254">
        <f>'Income Statement'!J13</f>
        <v>-22.889545014513253</v>
      </c>
      <c r="L25" s="254">
        <f>'Income Statement'!K13</f>
        <v>-21.317549335294931</v>
      </c>
      <c r="M25" s="254">
        <f>'Income Statement'!L13</f>
        <v>-19.935461160966195</v>
      </c>
      <c r="N25" s="289"/>
      <c r="P25" s="303" t="s">
        <v>164</v>
      </c>
      <c r="Q25" s="303"/>
      <c r="R25" s="304">
        <f>AVERAGE(R23:R24)</f>
        <v>33302.927906587152</v>
      </c>
    </row>
    <row r="26" spans="4:18" ht="14.4" customHeight="1" x14ac:dyDescent="0.3">
      <c r="D26" s="28" t="s">
        <v>114</v>
      </c>
      <c r="E26" s="28"/>
      <c r="F26" s="40"/>
      <c r="G26" s="40">
        <f>-'Cash Flow'!F34</f>
        <v>-18.250000000000036</v>
      </c>
      <c r="H26" s="40">
        <f>-'Cash Flow'!G34</f>
        <v>-15.009999999999977</v>
      </c>
      <c r="I26" s="254">
        <f>-'Cash Flow'!H34</f>
        <v>74.965511464558858</v>
      </c>
      <c r="J26" s="254">
        <f>-'Cash Flow'!I34</f>
        <v>-25.436139509289649</v>
      </c>
      <c r="K26" s="254">
        <f>-'Cash Flow'!J34</f>
        <v>-23.042662024513255</v>
      </c>
      <c r="L26" s="254">
        <f>-'Cash Flow'!K34</f>
        <v>-21.472197515394932</v>
      </c>
      <c r="M26" s="254">
        <f>-'Cash Flow'!L34</f>
        <v>-20.091655822867196</v>
      </c>
      <c r="N26" s="289"/>
    </row>
    <row r="27" spans="4:18" ht="14.4" customHeight="1" x14ac:dyDescent="0.25">
      <c r="D27" s="28" t="s">
        <v>115</v>
      </c>
      <c r="E27" s="28"/>
      <c r="F27" s="40"/>
      <c r="G27" s="377">
        <f>SUM('Cash Flow'!F14:F19)-SUM('Cash Flow'!F25:F28)</f>
        <v>-282.57000000000005</v>
      </c>
      <c r="H27" s="377">
        <f>SUM('Cash Flow'!G14:G19)-SUM('Cash Flow'!G25:G28)</f>
        <v>-588.79000000000008</v>
      </c>
      <c r="I27" s="254">
        <f>SUM('Cash Flow'!H14:H19)-SUM('Cash Flow'!H25:H28)</f>
        <v>-184.29972000000049</v>
      </c>
      <c r="J27" s="254">
        <f>SUM('Cash Flow'!I14:I19)-SUM('Cash Flow'!I25:I28)</f>
        <v>-171.61547607071941</v>
      </c>
      <c r="K27" s="254">
        <f>SUM('Cash Flow'!J14:J19)-SUM('Cash Flow'!J25:J28)</f>
        <v>-155.85303392924305</v>
      </c>
      <c r="L27" s="254">
        <f>SUM('Cash Flow'!K14:K19)-SUM('Cash Flow'!K25:K28)</f>
        <v>-138.63183063646392</v>
      </c>
      <c r="M27" s="254">
        <f>SUM('Cash Flow'!L14:L19)-SUM('Cash Flow'!L25:L28)</f>
        <v>-121.21938083528636</v>
      </c>
      <c r="N27" s="289"/>
    </row>
    <row r="28" spans="4:18" s="302" customFormat="1" ht="14.4" customHeight="1" x14ac:dyDescent="0.3">
      <c r="D28" s="53" t="s">
        <v>116</v>
      </c>
      <c r="E28" s="53"/>
      <c r="F28" s="301">
        <f t="shared" ref="F28" si="5">SUM(F24:F27)</f>
        <v>31.188957059796273</v>
      </c>
      <c r="G28" s="301">
        <f t="shared" ref="G28:M28" si="6">SUM(G24:G27)</f>
        <v>-90.943532298501054</v>
      </c>
      <c r="H28" s="301">
        <f t="shared" si="6"/>
        <v>-405.8070718514964</v>
      </c>
      <c r="I28" s="271">
        <f t="shared" si="6"/>
        <v>135.93465124082115</v>
      </c>
      <c r="J28" s="271">
        <f t="shared" si="6"/>
        <v>86.29615768785186</v>
      </c>
      <c r="K28" s="271">
        <f t="shared" si="6"/>
        <v>138.39147182070872</v>
      </c>
      <c r="L28" s="271">
        <f t="shared" si="6"/>
        <v>186.67072004599078</v>
      </c>
      <c r="M28" s="271">
        <f t="shared" si="6"/>
        <v>231.25706257841728</v>
      </c>
      <c r="N28" s="305">
        <f>R25</f>
        <v>33302.927906587152</v>
      </c>
    </row>
    <row r="29" spans="4:18" ht="10.199999999999999" customHeight="1" x14ac:dyDescent="0.3">
      <c r="D29" s="28"/>
      <c r="E29" s="28"/>
      <c r="F29" s="28"/>
      <c r="G29" s="28"/>
      <c r="H29" s="28"/>
      <c r="I29" s="28"/>
      <c r="J29" s="28"/>
      <c r="K29" s="28"/>
      <c r="L29" s="28"/>
      <c r="M29" s="28"/>
      <c r="N29" s="288"/>
    </row>
    <row r="30" spans="4:18" ht="14.4" customHeight="1" x14ac:dyDescent="0.3">
      <c r="D30" s="29" t="s">
        <v>117</v>
      </c>
      <c r="E30" s="305"/>
      <c r="F30" s="305">
        <f t="shared" ref="F30:M30" si="7">F28*F20</f>
        <v>31.188957059796273</v>
      </c>
      <c r="G30" s="305">
        <f t="shared" si="7"/>
        <v>-90.943532298501054</v>
      </c>
      <c r="H30" s="305">
        <f t="shared" si="7"/>
        <v>-405.8070718514964</v>
      </c>
      <c r="I30" s="305">
        <f t="shared" si="7"/>
        <v>6.4191363085943323</v>
      </c>
      <c r="J30" s="305">
        <f t="shared" si="7"/>
        <v>86.29615768785186</v>
      </c>
      <c r="K30" s="305">
        <f t="shared" si="7"/>
        <v>138.39147182070872</v>
      </c>
      <c r="L30" s="305">
        <f t="shared" si="7"/>
        <v>186.67072004599078</v>
      </c>
      <c r="M30" s="305">
        <f t="shared" si="7"/>
        <v>231.25706257841728</v>
      </c>
      <c r="N30" s="305">
        <f>N28*N20</f>
        <v>33302.927906587152</v>
      </c>
    </row>
    <row r="31" spans="4:18" ht="14.4" customHeight="1" x14ac:dyDescent="0.3">
      <c r="D31" s="28"/>
      <c r="E31" s="28"/>
      <c r="F31" s="28"/>
      <c r="G31" s="40"/>
      <c r="H31" s="40"/>
      <c r="I31" s="40"/>
      <c r="J31" s="40"/>
      <c r="K31" s="40"/>
      <c r="L31" s="40"/>
      <c r="M31" s="40"/>
      <c r="N31" s="28"/>
      <c r="O31" s="28"/>
      <c r="P31" s="28"/>
    </row>
    <row r="32" spans="4:18" ht="14.4" customHeight="1" x14ac:dyDescent="0.3">
      <c r="D32" s="28"/>
      <c r="E32" s="28"/>
      <c r="F32" s="28"/>
      <c r="G32" s="28"/>
      <c r="H32" s="28"/>
      <c r="I32" s="28"/>
      <c r="J32" s="28"/>
      <c r="K32" s="28"/>
      <c r="L32" s="28"/>
      <c r="M32" s="28"/>
      <c r="N32" s="28"/>
    </row>
    <row r="33" spans="4:15" ht="14.4" customHeight="1" thickBot="1" x14ac:dyDescent="0.35">
      <c r="D33" s="517" t="s">
        <v>120</v>
      </c>
      <c r="E33" s="517"/>
      <c r="G33" s="518" t="s">
        <v>121</v>
      </c>
      <c r="H33" s="518"/>
      <c r="I33" s="518"/>
      <c r="J33" s="518"/>
      <c r="L33" s="137" t="s">
        <v>122</v>
      </c>
      <c r="M33" s="137"/>
      <c r="N33" s="137"/>
    </row>
    <row r="34" spans="4:15" ht="14.4" customHeight="1" x14ac:dyDescent="0.3">
      <c r="D34" s="28" t="s">
        <v>123</v>
      </c>
      <c r="E34" s="40">
        <f>XNPV(E12,I30:N30,I18:N18)</f>
        <v>25890.568184881573</v>
      </c>
      <c r="G34" s="138" t="s">
        <v>124</v>
      </c>
      <c r="H34" s="28"/>
      <c r="I34" s="28"/>
      <c r="J34" s="40">
        <f>E13*E14</f>
        <v>136234.79999999999</v>
      </c>
      <c r="L34" s="28" t="s">
        <v>108</v>
      </c>
      <c r="M34" s="28"/>
      <c r="N34" s="41">
        <f>J40</f>
        <v>255.59999999999997</v>
      </c>
    </row>
    <row r="35" spans="4:15" ht="14.4" customHeight="1" x14ac:dyDescent="0.3">
      <c r="D35" s="28" t="s">
        <v>125</v>
      </c>
      <c r="E35" s="40">
        <f>'Balance Sheet'!G21+'Balance Sheet'!G22</f>
        <v>681.91</v>
      </c>
      <c r="G35" s="138" t="s">
        <v>126</v>
      </c>
      <c r="H35" s="28"/>
      <c r="I35" s="28"/>
      <c r="J35" s="40">
        <f>-E36</f>
        <v>-61.08</v>
      </c>
      <c r="L35" s="28" t="s">
        <v>127</v>
      </c>
      <c r="M35" s="28"/>
      <c r="N35" s="42">
        <f>E40</f>
        <v>49.968514418164304</v>
      </c>
    </row>
    <row r="36" spans="4:15" ht="14.4" customHeight="1" x14ac:dyDescent="0.3">
      <c r="D36" s="28" t="s">
        <v>128</v>
      </c>
      <c r="E36" s="43">
        <f>SUM('Balance Sheet'!G38:G39,'Balance Sheet'!G45:G46)</f>
        <v>61.08</v>
      </c>
      <c r="G36" s="138" t="s">
        <v>327</v>
      </c>
      <c r="H36" s="28"/>
      <c r="I36" s="28"/>
      <c r="J36" s="43">
        <f>-E35</f>
        <v>-681.91</v>
      </c>
      <c r="L36" s="56" t="s">
        <v>129</v>
      </c>
      <c r="M36" s="54"/>
      <c r="N36" s="55">
        <f>N35/N34-1</f>
        <v>-0.80450502966289394</v>
      </c>
    </row>
    <row r="37" spans="4:15" ht="14.4" customHeight="1" x14ac:dyDescent="0.3">
      <c r="D37" s="28" t="s">
        <v>377</v>
      </c>
      <c r="E37" s="43">
        <f>-'Balance Sheet'!G33</f>
        <v>-0.34</v>
      </c>
      <c r="G37" s="28" t="s">
        <v>377</v>
      </c>
      <c r="H37" s="28"/>
      <c r="I37" s="28"/>
      <c r="J37" s="43">
        <f>-E37</f>
        <v>0.34</v>
      </c>
      <c r="L37" s="29"/>
      <c r="M37" s="28"/>
      <c r="N37" s="436"/>
    </row>
    <row r="38" spans="4:15" ht="14.4" customHeight="1" x14ac:dyDescent="0.3">
      <c r="D38" s="56" t="s">
        <v>130</v>
      </c>
      <c r="E38" s="57">
        <f>SUM(E34:E37)</f>
        <v>26633.218184881574</v>
      </c>
      <c r="G38" s="139" t="s">
        <v>123</v>
      </c>
      <c r="H38" s="56"/>
      <c r="I38" s="56"/>
      <c r="J38" s="414">
        <f>SUM(J34:J37)</f>
        <v>135492.15</v>
      </c>
      <c r="K38" s="29"/>
      <c r="L38" s="28"/>
      <c r="M38" s="83"/>
      <c r="N38" s="28"/>
    </row>
    <row r="39" spans="4:15" ht="14.4" customHeight="1" x14ac:dyDescent="0.3">
      <c r="G39" s="306"/>
      <c r="K39" s="28"/>
      <c r="L39" s="28"/>
      <c r="M39" s="28"/>
      <c r="N39" s="28"/>
    </row>
    <row r="40" spans="4:15" ht="14.4" customHeight="1" x14ac:dyDescent="0.3">
      <c r="D40" s="29" t="s">
        <v>131</v>
      </c>
      <c r="E40" s="58">
        <f>E38/E13</f>
        <v>49.968514418164304</v>
      </c>
      <c r="G40" s="138" t="s">
        <v>131</v>
      </c>
      <c r="H40" s="29"/>
      <c r="J40" s="58">
        <f>J34/E13</f>
        <v>255.59999999999997</v>
      </c>
      <c r="K40" s="28"/>
      <c r="L40" s="28"/>
      <c r="M40" s="28"/>
      <c r="N40" s="28"/>
      <c r="O40" s="28"/>
    </row>
    <row r="41" spans="4:15" ht="14.4" customHeight="1" x14ac:dyDescent="0.3">
      <c r="J41" s="28"/>
      <c r="K41" s="28"/>
      <c r="L41" s="28"/>
      <c r="M41" s="28"/>
      <c r="N41" s="28"/>
    </row>
    <row r="42" spans="4:15" ht="14.4" customHeight="1" x14ac:dyDescent="0.3">
      <c r="D42" s="28"/>
      <c r="E42" s="28"/>
      <c r="F42" s="28"/>
      <c r="G42" s="28"/>
      <c r="H42" s="28"/>
      <c r="I42" s="28"/>
      <c r="J42" s="28"/>
      <c r="K42" s="28"/>
      <c r="L42" s="28"/>
      <c r="M42" s="28"/>
      <c r="N42" s="28"/>
    </row>
    <row r="43" spans="4:15" ht="14.4" customHeight="1" x14ac:dyDescent="0.3">
      <c r="D43" s="28"/>
      <c r="E43" s="28"/>
      <c r="F43" s="28"/>
      <c r="G43" s="28"/>
      <c r="H43" s="28"/>
      <c r="I43" s="28"/>
      <c r="J43" s="28"/>
      <c r="K43" s="28"/>
      <c r="L43" s="28"/>
      <c r="M43" s="28"/>
    </row>
    <row r="44" spans="4:15" ht="14.4" customHeight="1" x14ac:dyDescent="0.3">
      <c r="D44" s="28"/>
      <c r="E44" s="28"/>
      <c r="F44" s="28"/>
      <c r="G44" s="28"/>
      <c r="H44" s="28"/>
      <c r="I44" s="28"/>
      <c r="J44" s="28"/>
      <c r="K44" s="28"/>
      <c r="L44" s="28"/>
      <c r="M44" s="28"/>
    </row>
    <row r="45" spans="4:15" ht="14.4" customHeight="1" x14ac:dyDescent="0.3">
      <c r="D45" s="453" t="s">
        <v>132</v>
      </c>
      <c r="E45" s="453"/>
      <c r="F45" s="453"/>
      <c r="G45" s="453"/>
      <c r="H45" s="453"/>
      <c r="I45" s="453"/>
      <c r="J45" s="453"/>
      <c r="K45" s="453"/>
      <c r="L45" s="453"/>
      <c r="M45" s="453"/>
      <c r="N45" s="453"/>
    </row>
    <row r="46" spans="4:15" ht="16.95" customHeight="1" x14ac:dyDescent="0.3">
      <c r="D46" s="28"/>
      <c r="E46" s="28"/>
    </row>
    <row r="47" spans="4:15" ht="14.4" customHeight="1" x14ac:dyDescent="0.3">
      <c r="D47" s="28"/>
      <c r="E47" s="28"/>
      <c r="F47" s="28"/>
      <c r="G47" s="28"/>
      <c r="H47" s="28"/>
      <c r="I47" s="28"/>
      <c r="J47" s="28"/>
      <c r="K47" s="28"/>
      <c r="L47" s="28"/>
      <c r="M47" s="28"/>
    </row>
    <row r="48" spans="4:15" ht="14.4" customHeight="1" x14ac:dyDescent="0.3">
      <c r="D48" s="252"/>
      <c r="E48" s="252"/>
      <c r="F48" s="252"/>
      <c r="G48" s="28"/>
      <c r="H48" s="28"/>
      <c r="I48" s="28"/>
      <c r="J48" s="28"/>
      <c r="K48" s="28"/>
      <c r="L48" s="28"/>
      <c r="M48" s="28"/>
    </row>
    <row r="49" spans="4:20" ht="14.4" customHeight="1" x14ac:dyDescent="0.3">
      <c r="D49" s="252"/>
      <c r="E49" s="252"/>
      <c r="F49" s="252"/>
      <c r="H49" s="28"/>
      <c r="I49" s="514" t="s">
        <v>133</v>
      </c>
      <c r="J49" s="514"/>
      <c r="K49" s="514"/>
      <c r="L49" s="514"/>
      <c r="M49" s="514"/>
      <c r="T49" s="28"/>
    </row>
    <row r="50" spans="4:20" ht="14.4" customHeight="1" x14ac:dyDescent="0.3">
      <c r="D50" s="252"/>
      <c r="E50" s="252"/>
      <c r="F50" s="252"/>
      <c r="H50" s="28"/>
      <c r="I50" s="28"/>
      <c r="J50" s="28"/>
      <c r="K50" s="28"/>
      <c r="L50" s="28"/>
      <c r="M50" s="28"/>
      <c r="T50" s="28"/>
    </row>
    <row r="51" spans="4:20" ht="14.4" customHeight="1" x14ac:dyDescent="0.3">
      <c r="D51" s="252"/>
      <c r="E51" s="252"/>
      <c r="F51" s="252"/>
      <c r="G51" s="516" t="s">
        <v>106</v>
      </c>
      <c r="H51" s="307">
        <f>E40</f>
        <v>49.968514418164304</v>
      </c>
      <c r="I51" s="115">
        <v>15.04</v>
      </c>
      <c r="J51" s="116">
        <v>17.04</v>
      </c>
      <c r="K51" s="116">
        <v>19.04</v>
      </c>
      <c r="L51" s="116">
        <v>21.04</v>
      </c>
      <c r="M51" s="116">
        <v>23.04</v>
      </c>
      <c r="T51" s="28"/>
    </row>
    <row r="52" spans="4:20" ht="14.4" customHeight="1" x14ac:dyDescent="0.3">
      <c r="D52" s="252"/>
      <c r="E52" s="252"/>
      <c r="F52" s="252"/>
      <c r="G52" s="516"/>
      <c r="H52" s="263">
        <v>3.1E-2</v>
      </c>
      <c r="I52" s="120">
        <f t="dataTable" ref="I52:M56" dt2D="1" dtr="1" r1="E10" r2="E12"/>
        <v>15.170380285119549</v>
      </c>
      <c r="J52" s="121">
        <v>17.677059663218849</v>
      </c>
      <c r="K52" s="121">
        <v>20.183739041318148</v>
      </c>
      <c r="L52" s="121">
        <v>22.690418419417448</v>
      </c>
      <c r="M52" s="121">
        <v>25.197097797516751</v>
      </c>
      <c r="T52" s="28"/>
    </row>
    <row r="53" spans="4:20" ht="14.4" customHeight="1" x14ac:dyDescent="0.3">
      <c r="D53" s="252"/>
      <c r="E53" s="252"/>
      <c r="F53" s="252"/>
      <c r="G53" s="516"/>
      <c r="H53" s="263">
        <v>5.0999999999999997E-2</v>
      </c>
      <c r="I53" s="120">
        <v>5.3564808131524675</v>
      </c>
      <c r="J53" s="122">
        <v>7.6776122030007938</v>
      </c>
      <c r="K53" s="122">
        <v>9.9987435928491166</v>
      </c>
      <c r="L53" s="122">
        <v>12.319874982697442</v>
      </c>
      <c r="M53" s="121">
        <v>14.641006372545768</v>
      </c>
      <c r="T53" s="28"/>
    </row>
    <row r="54" spans="4:20" ht="14.4" customHeight="1" x14ac:dyDescent="0.3">
      <c r="D54" s="252"/>
      <c r="E54" s="252"/>
      <c r="F54" s="252"/>
      <c r="G54" s="516"/>
      <c r="H54" s="263">
        <v>7.0489999999999997E-2</v>
      </c>
      <c r="I54" s="120">
        <v>45.694608342327875</v>
      </c>
      <c r="J54" s="122">
        <v>47.851152064103587</v>
      </c>
      <c r="K54" s="123">
        <v>50.007695785879299</v>
      </c>
      <c r="L54" s="124">
        <v>52.164239507655012</v>
      </c>
      <c r="M54" s="121">
        <v>54.320783229430724</v>
      </c>
      <c r="T54" s="28"/>
    </row>
    <row r="55" spans="4:20" ht="14.4" customHeight="1" x14ac:dyDescent="0.3">
      <c r="D55" s="252"/>
      <c r="E55" s="252"/>
      <c r="F55" s="252"/>
      <c r="G55" s="516"/>
      <c r="H55" s="263">
        <v>9.0999999999999998E-2</v>
      </c>
      <c r="I55" s="120">
        <v>23.411345168884452</v>
      </c>
      <c r="J55" s="122">
        <v>25.410135052185929</v>
      </c>
      <c r="K55" s="122">
        <v>27.408924935487406</v>
      </c>
      <c r="L55" s="122">
        <v>29.407714818788882</v>
      </c>
      <c r="M55" s="121">
        <v>31.406504702090363</v>
      </c>
      <c r="T55" s="28"/>
    </row>
    <row r="56" spans="4:20" ht="14.4" customHeight="1" x14ac:dyDescent="0.3">
      <c r="D56" s="252"/>
      <c r="E56" s="252"/>
      <c r="F56" s="252"/>
      <c r="G56" s="516"/>
      <c r="H56" s="263">
        <v>0.111</v>
      </c>
      <c r="I56" s="120">
        <v>19.500787468906548</v>
      </c>
      <c r="J56" s="121">
        <v>21.359397576737162</v>
      </c>
      <c r="K56" s="121">
        <v>23.21800768456778</v>
      </c>
      <c r="L56" s="121">
        <v>25.076617792398395</v>
      </c>
      <c r="M56" s="121">
        <v>26.935227900229012</v>
      </c>
      <c r="T56" s="28"/>
    </row>
    <row r="57" spans="4:20" ht="14.4" customHeight="1" x14ac:dyDescent="0.3">
      <c r="D57" s="252"/>
      <c r="E57" s="252"/>
      <c r="F57" s="252"/>
      <c r="G57" s="28"/>
      <c r="H57" s="28"/>
      <c r="I57" s="28"/>
      <c r="J57" s="28"/>
      <c r="K57" s="28"/>
      <c r="L57" s="28"/>
      <c r="M57" s="28"/>
    </row>
    <row r="58" spans="4:20" ht="14.4" customHeight="1" x14ac:dyDescent="0.3">
      <c r="D58" s="252"/>
      <c r="E58" s="252"/>
      <c r="F58" s="252"/>
      <c r="G58" s="28"/>
      <c r="H58" s="28"/>
      <c r="I58" s="28"/>
      <c r="J58" s="28"/>
      <c r="K58" s="28"/>
      <c r="L58" s="28"/>
      <c r="M58" s="28"/>
    </row>
    <row r="59" spans="4:20" ht="14.4" customHeight="1" x14ac:dyDescent="0.3">
      <c r="D59" s="252"/>
      <c r="E59" s="252"/>
      <c r="F59" s="252"/>
      <c r="G59" s="28"/>
      <c r="H59" s="28"/>
      <c r="I59" s="28"/>
      <c r="J59" s="28"/>
      <c r="K59" s="28"/>
      <c r="L59" s="28"/>
      <c r="M59" s="28"/>
    </row>
    <row r="60" spans="4:20" ht="14.4" customHeight="1" x14ac:dyDescent="0.3">
      <c r="D60" s="252"/>
      <c r="E60" s="252"/>
      <c r="F60" s="252"/>
      <c r="G60" s="28"/>
      <c r="H60" s="28"/>
      <c r="I60" s="28"/>
      <c r="J60" s="28"/>
      <c r="K60" s="28"/>
      <c r="L60" s="28"/>
      <c r="M60" s="28"/>
    </row>
    <row r="61" spans="4:20" ht="14.4" customHeight="1" x14ac:dyDescent="0.3">
      <c r="D61" s="252"/>
      <c r="E61" s="252"/>
      <c r="F61" s="252"/>
      <c r="L61" s="28"/>
      <c r="M61" s="28"/>
    </row>
    <row r="62" spans="4:20" ht="14.4" customHeight="1" x14ac:dyDescent="0.3">
      <c r="D62" s="252"/>
      <c r="E62" s="252"/>
      <c r="F62" s="252"/>
      <c r="I62" s="514" t="s">
        <v>105</v>
      </c>
      <c r="J62" s="514"/>
      <c r="K62" s="514"/>
      <c r="L62" s="514"/>
      <c r="M62" s="514"/>
    </row>
    <row r="63" spans="4:20" ht="14.4" customHeight="1" x14ac:dyDescent="0.3">
      <c r="D63" s="252"/>
      <c r="E63" s="252"/>
      <c r="F63" s="252"/>
      <c r="I63" s="28"/>
      <c r="J63" s="28"/>
      <c r="K63" s="28"/>
      <c r="L63" s="28"/>
      <c r="M63" s="28"/>
    </row>
    <row r="64" spans="4:20" ht="14.4" customHeight="1" x14ac:dyDescent="0.3">
      <c r="D64" s="252"/>
      <c r="E64" s="252"/>
      <c r="F64" s="252"/>
      <c r="G64" s="516" t="s">
        <v>106</v>
      </c>
      <c r="H64" s="308">
        <f>E40</f>
        <v>49.968514418164304</v>
      </c>
      <c r="I64" s="94">
        <v>4.3999999999999997E-2</v>
      </c>
      <c r="J64" s="95">
        <v>5.3999999999999999E-2</v>
      </c>
      <c r="K64" s="95">
        <v>6.4000000000000001E-2</v>
      </c>
      <c r="L64" s="95">
        <v>7.3999999999999996E-2</v>
      </c>
      <c r="M64" s="95">
        <v>8.4000000000000005E-2</v>
      </c>
    </row>
    <row r="65" spans="4:13" ht="14.4" customHeight="1" x14ac:dyDescent="0.3">
      <c r="D65" s="252"/>
      <c r="E65" s="252"/>
      <c r="F65" s="252"/>
      <c r="G65" s="516"/>
      <c r="H65" s="263">
        <v>3.1E-2</v>
      </c>
      <c r="I65" s="120">
        <f t="dataTable" ref="I65:M69" dt2D="1" dtr="1" r1="E11" r2="E12" ca="1"/>
        <v>10.955938838140314</v>
      </c>
      <c r="J65" s="121">
        <v>17.575882462159196</v>
      </c>
      <c r="K65" s="121">
        <v>20.183739041318148</v>
      </c>
      <c r="L65" s="121">
        <v>21.578639072031073</v>
      </c>
      <c r="M65" s="121">
        <v>22.447161732663652</v>
      </c>
    </row>
    <row r="66" spans="4:13" ht="14.4" customHeight="1" x14ac:dyDescent="0.3">
      <c r="D66" s="252"/>
      <c r="E66" s="252"/>
      <c r="F66" s="252"/>
      <c r="G66" s="516"/>
      <c r="H66" s="263">
        <v>5.0999999999999997E-2</v>
      </c>
      <c r="I66" s="120">
        <v>51.062537347498548</v>
      </c>
      <c r="J66" s="122">
        <v>-37.909015787575171</v>
      </c>
      <c r="K66" s="122">
        <v>9.9987435928491166</v>
      </c>
      <c r="L66" s="122">
        <v>16.247581772904464</v>
      </c>
      <c r="M66" s="121">
        <v>18.709245298380814</v>
      </c>
    </row>
    <row r="67" spans="4:13" ht="14.4" customHeight="1" x14ac:dyDescent="0.3">
      <c r="D67" s="252"/>
      <c r="E67" s="252"/>
      <c r="F67" s="252"/>
      <c r="G67" s="516"/>
      <c r="H67" s="263">
        <v>7.0489999999999997E-2</v>
      </c>
      <c r="I67" s="120">
        <v>29.438739816202677</v>
      </c>
      <c r="J67" s="122">
        <v>33.486420963661779</v>
      </c>
      <c r="K67" s="123">
        <v>50.007695785879299</v>
      </c>
      <c r="L67" s="122">
        <v>-27.60934746721664</v>
      </c>
      <c r="M67" s="121">
        <v>9.6767080999626831</v>
      </c>
    </row>
    <row r="68" spans="4:13" ht="14.4" customHeight="1" x14ac:dyDescent="0.3">
      <c r="D68" s="252"/>
      <c r="E68" s="252"/>
      <c r="F68" s="252"/>
      <c r="G68" s="516"/>
      <c r="H68" s="263">
        <v>9.0999999999999998E-2</v>
      </c>
      <c r="I68" s="120">
        <v>24.776667915375153</v>
      </c>
      <c r="J68" s="122">
        <v>25.737086017308002</v>
      </c>
      <c r="K68" s="122">
        <v>27.408924935487406</v>
      </c>
      <c r="L68" s="122">
        <v>31.047633169171995</v>
      </c>
      <c r="M68" s="121">
        <v>45.082650641955389</v>
      </c>
    </row>
    <row r="69" spans="4:13" ht="14.4" customHeight="1" x14ac:dyDescent="0.3">
      <c r="D69" s="252"/>
      <c r="E69" s="252"/>
      <c r="F69" s="252"/>
      <c r="G69" s="516"/>
      <c r="H69" s="263">
        <v>0.111</v>
      </c>
      <c r="I69" s="120">
        <v>22.213559092247298</v>
      </c>
      <c r="J69" s="121">
        <v>22.627673862765391</v>
      </c>
      <c r="K69" s="121">
        <v>23.21800768456778</v>
      </c>
      <c r="L69" s="121">
        <v>24.127440869506593</v>
      </c>
      <c r="M69" s="121">
        <v>25.710528265511197</v>
      </c>
    </row>
    <row r="70" spans="4:13" ht="14.4" customHeight="1" x14ac:dyDescent="0.3">
      <c r="D70" s="28"/>
      <c r="E70" s="28"/>
      <c r="F70" s="28"/>
    </row>
    <row r="71" spans="4:13" ht="14.4" customHeight="1" x14ac:dyDescent="0.3">
      <c r="D71" s="28"/>
      <c r="E71" s="28"/>
      <c r="I71" s="28"/>
      <c r="J71" s="28"/>
      <c r="K71" s="28"/>
      <c r="L71" s="28"/>
      <c r="M71" s="28"/>
    </row>
    <row r="72" spans="4:13" ht="14.4" customHeight="1" x14ac:dyDescent="0.3">
      <c r="D72" s="28"/>
      <c r="E72" s="28"/>
      <c r="F72" s="28"/>
      <c r="G72" s="28"/>
      <c r="H72" s="28"/>
      <c r="I72" s="28"/>
      <c r="J72" s="28"/>
      <c r="K72" s="28"/>
      <c r="L72" s="28"/>
      <c r="M72" s="28"/>
    </row>
    <row r="73" spans="4:13" ht="14.4" customHeight="1" x14ac:dyDescent="0.3">
      <c r="D73" s="28"/>
      <c r="E73" s="28"/>
      <c r="F73" s="28"/>
      <c r="G73" s="28"/>
      <c r="H73" s="28"/>
      <c r="I73" s="28"/>
      <c r="J73" s="28"/>
      <c r="K73" s="28"/>
      <c r="L73" s="28"/>
      <c r="M73" s="28"/>
    </row>
    <row r="74" spans="4:13" ht="14.4" customHeight="1" x14ac:dyDescent="0.3">
      <c r="D74" s="28"/>
      <c r="E74" s="28"/>
      <c r="F74" s="28"/>
      <c r="G74" s="28"/>
      <c r="H74" s="28"/>
      <c r="I74" s="28"/>
      <c r="J74" s="28"/>
      <c r="K74" s="28"/>
      <c r="L74" s="28"/>
      <c r="M74" s="28"/>
    </row>
    <row r="75" spans="4:13" ht="14.4" customHeight="1" x14ac:dyDescent="0.3">
      <c r="D75" s="28"/>
      <c r="E75" s="28"/>
      <c r="F75" s="28"/>
      <c r="G75" s="28"/>
      <c r="H75" s="28"/>
      <c r="I75" s="28"/>
      <c r="J75" s="28"/>
      <c r="K75" s="28"/>
      <c r="L75" s="28"/>
      <c r="M75" s="28"/>
    </row>
    <row r="76" spans="4:13" ht="14.4" customHeight="1" x14ac:dyDescent="0.3">
      <c r="D76" s="28"/>
      <c r="E76" s="28"/>
      <c r="F76" s="28"/>
      <c r="G76" s="28"/>
      <c r="H76" s="28"/>
      <c r="I76" s="28"/>
      <c r="J76" s="28"/>
      <c r="K76" s="28"/>
      <c r="L76" s="28"/>
      <c r="M76" s="28"/>
    </row>
    <row r="77" spans="4:13" ht="14.4" customHeight="1" x14ac:dyDescent="0.3">
      <c r="F77" s="28"/>
      <c r="G77" s="28"/>
      <c r="H77" s="28"/>
      <c r="I77" s="28"/>
      <c r="J77" s="28"/>
      <c r="K77" s="28"/>
      <c r="L77" s="28"/>
      <c r="M77" s="28"/>
    </row>
  </sheetData>
  <mergeCells count="8">
    <mergeCell ref="D4:N4"/>
    <mergeCell ref="G64:G69"/>
    <mergeCell ref="I49:M49"/>
    <mergeCell ref="I62:M62"/>
    <mergeCell ref="D33:E33"/>
    <mergeCell ref="G51:G56"/>
    <mergeCell ref="G33:J33"/>
    <mergeCell ref="D45:N45"/>
  </mergeCells>
  <pageMargins left="0.7" right="0.7" top="0.75" bottom="0.75" header="0.3" footer="0.3"/>
  <ignoredErrors>
    <ignoredError sqref="I20" formula="1"/>
  </ignoredError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843E-6796-4690-A446-78C8DB9DFCA2}">
  <dimension ref="D3:S26"/>
  <sheetViews>
    <sheetView showGridLines="0" workbookViewId="0">
      <selection activeCell="N23" sqref="N23"/>
    </sheetView>
  </sheetViews>
  <sheetFormatPr defaultColWidth="8.88671875" defaultRowHeight="14.4" x14ac:dyDescent="0.3"/>
  <cols>
    <col min="1" max="3" width="1.33203125" style="19" customWidth="1"/>
    <col min="4" max="4" width="35.77734375" style="19" customWidth="1"/>
    <col min="5" max="8" width="10.77734375" style="19" customWidth="1"/>
    <col min="9" max="9" width="12.88671875" style="19" bestFit="1" customWidth="1"/>
    <col min="10" max="10" width="10.77734375" style="19" customWidth="1"/>
    <col min="11" max="11" width="12.33203125" style="19" bestFit="1" customWidth="1"/>
    <col min="12" max="12" width="3.77734375" style="19" customWidth="1"/>
    <col min="13" max="15" width="10.77734375" style="19" customWidth="1"/>
    <col min="16" max="16" width="3.77734375" style="19" customWidth="1"/>
    <col min="17" max="19" width="10.77734375" style="19" customWidth="1"/>
    <col min="20" max="16384" width="8.88671875" style="19"/>
  </cols>
  <sheetData>
    <row r="3" spans="4:19" x14ac:dyDescent="0.3">
      <c r="S3" s="141" t="s">
        <v>310</v>
      </c>
    </row>
    <row r="4" spans="4:19" ht="16.95" customHeight="1" x14ac:dyDescent="0.3">
      <c r="D4" s="453" t="s">
        <v>309</v>
      </c>
      <c r="E4" s="453"/>
      <c r="F4" s="453"/>
      <c r="G4" s="453"/>
      <c r="H4" s="453"/>
      <c r="I4" s="453"/>
      <c r="J4" s="453"/>
      <c r="K4" s="453"/>
      <c r="L4" s="453"/>
      <c r="M4" s="453"/>
      <c r="N4" s="453"/>
      <c r="O4" s="453"/>
      <c r="P4" s="453"/>
      <c r="Q4" s="453"/>
      <c r="R4" s="453"/>
      <c r="S4" s="453"/>
    </row>
    <row r="5" spans="4:19" x14ac:dyDescent="0.3">
      <c r="D5" s="141" t="s">
        <v>85</v>
      </c>
    </row>
    <row r="6" spans="4:19" x14ac:dyDescent="0.3">
      <c r="D6" s="142"/>
      <c r="E6" s="142"/>
      <c r="F6" s="143"/>
      <c r="G6" s="519" t="s">
        <v>151</v>
      </c>
      <c r="H6" s="519"/>
      <c r="I6" s="519"/>
      <c r="J6" s="519"/>
      <c r="K6" s="143"/>
      <c r="L6" s="144"/>
      <c r="M6" s="519" t="s">
        <v>152</v>
      </c>
      <c r="N6" s="519"/>
      <c r="O6" s="519"/>
      <c r="P6" s="144"/>
      <c r="Q6" s="520" t="s">
        <v>153</v>
      </c>
      <c r="R6" s="520"/>
      <c r="S6" s="520"/>
    </row>
    <row r="7" spans="4:19" x14ac:dyDescent="0.3">
      <c r="D7" s="47"/>
      <c r="E7" s="47"/>
      <c r="F7" s="47" t="s">
        <v>145</v>
      </c>
      <c r="G7" s="47" t="s">
        <v>154</v>
      </c>
      <c r="H7" s="47" t="s">
        <v>124</v>
      </c>
      <c r="I7" s="47" t="s">
        <v>70</v>
      </c>
      <c r="J7" s="47" t="s">
        <v>64</v>
      </c>
      <c r="K7" s="50" t="s">
        <v>155</v>
      </c>
      <c r="L7" s="144"/>
      <c r="M7" s="47" t="s">
        <v>156</v>
      </c>
      <c r="N7" s="47" t="s">
        <v>57</v>
      </c>
      <c r="O7" s="47" t="s">
        <v>157</v>
      </c>
      <c r="P7" s="144"/>
      <c r="Q7" s="48" t="s">
        <v>158</v>
      </c>
      <c r="R7" s="48" t="s">
        <v>159</v>
      </c>
      <c r="S7" s="48" t="s">
        <v>149</v>
      </c>
    </row>
    <row r="8" spans="4:19" x14ac:dyDescent="0.3">
      <c r="D8" s="142" t="s">
        <v>41</v>
      </c>
      <c r="E8" s="47" t="s">
        <v>160</v>
      </c>
      <c r="F8" s="145" t="s">
        <v>163</v>
      </c>
      <c r="G8" s="145" t="s">
        <v>298</v>
      </c>
      <c r="H8" s="145" t="s">
        <v>298</v>
      </c>
      <c r="I8" s="47"/>
      <c r="J8" s="47" t="s">
        <v>161</v>
      </c>
      <c r="K8" s="47"/>
      <c r="L8" s="144"/>
      <c r="M8" s="49" t="s">
        <v>299</v>
      </c>
      <c r="N8" s="49" t="s">
        <v>299</v>
      </c>
      <c r="O8" s="49" t="s">
        <v>299</v>
      </c>
      <c r="P8" s="144"/>
      <c r="Q8" s="50" t="s">
        <v>162</v>
      </c>
      <c r="R8" s="50" t="s">
        <v>162</v>
      </c>
      <c r="S8" s="50" t="s">
        <v>162</v>
      </c>
    </row>
    <row r="10" spans="4:19" x14ac:dyDescent="0.3">
      <c r="D10" s="28" t="str">
        <f>'Comps Data'!D9</f>
        <v>Eco Recyc.</v>
      </c>
      <c r="E10" s="146">
        <v>530643</v>
      </c>
      <c r="F10" s="147">
        <f>'Comps Data'!E9</f>
        <v>641.29999999999995</v>
      </c>
      <c r="G10" s="147">
        <f>'Comps Data'!H9</f>
        <v>193</v>
      </c>
      <c r="H10" s="42">
        <f t="shared" ref="H10:H12" si="0">G10*F10</f>
        <v>123770.9</v>
      </c>
      <c r="I10" s="147">
        <f>'Comps Data'!F9</f>
        <v>719</v>
      </c>
      <c r="J10" s="147">
        <f>'Comps Data'!J9</f>
        <v>29.2</v>
      </c>
      <c r="K10" s="42">
        <f t="shared" ref="K10:K12" si="1">H10+I10-J10</f>
        <v>124460.7</v>
      </c>
      <c r="L10" s="42"/>
      <c r="M10" s="147">
        <f>'Comps Data'!K9</f>
        <v>439.6</v>
      </c>
      <c r="N10" s="42">
        <f t="shared" ref="N10:N12" si="2">K10/R10</f>
        <v>9226.1452928094877</v>
      </c>
      <c r="O10" s="147">
        <f>'Comps Data'!L9</f>
        <v>233.79999999999998</v>
      </c>
      <c r="P10" s="28"/>
      <c r="Q10" s="148">
        <f>K10/M10</f>
        <v>283.12261146496814</v>
      </c>
      <c r="R10" s="149">
        <f>'Comps Data'!M8</f>
        <v>13.49</v>
      </c>
      <c r="S10" s="149">
        <f>'Comps Data'!I9</f>
        <v>52.93</v>
      </c>
    </row>
    <row r="11" spans="4:19" x14ac:dyDescent="0.3">
      <c r="D11" s="28" t="str">
        <f>'Comps Data'!D10</f>
        <v>Oriental Rail</v>
      </c>
      <c r="E11" s="146">
        <v>531859</v>
      </c>
      <c r="F11" s="147">
        <f>'Comps Data'!E10</f>
        <v>177.95</v>
      </c>
      <c r="G11" s="147">
        <f>'Comps Data'!H10</f>
        <v>646</v>
      </c>
      <c r="H11" s="42">
        <f t="shared" si="0"/>
        <v>114955.7</v>
      </c>
      <c r="I11" s="147">
        <f>'Comps Data'!F10</f>
        <v>28461.000000000004</v>
      </c>
      <c r="J11" s="147">
        <f>'Comps Data'!J10</f>
        <v>1232.9000000000001</v>
      </c>
      <c r="K11" s="42">
        <f t="shared" si="1"/>
        <v>142183.80000000002</v>
      </c>
      <c r="L11" s="42"/>
      <c r="M11" s="147">
        <f>'Comps Data'!K10</f>
        <v>6340.5</v>
      </c>
      <c r="N11" s="42">
        <f t="shared" si="2"/>
        <v>3814.9664609605584</v>
      </c>
      <c r="O11" s="147">
        <f>'Comps Data'!L10</f>
        <v>282.10000000000002</v>
      </c>
      <c r="P11" s="28"/>
      <c r="Q11" s="148">
        <f t="shared" ref="Q11:Q12" si="3">K11/M11</f>
        <v>22.424698367636623</v>
      </c>
      <c r="R11" s="149">
        <f>'Comps Data'!M9</f>
        <v>37.270000000000003</v>
      </c>
      <c r="S11" s="149">
        <f>'Comps Data'!I10</f>
        <v>40.72</v>
      </c>
    </row>
    <row r="12" spans="4:19" x14ac:dyDescent="0.3">
      <c r="D12" s="28" t="str">
        <f>'Comps Data'!D11</f>
        <v>Signpost India</v>
      </c>
      <c r="E12" s="146">
        <v>544117</v>
      </c>
      <c r="F12" s="147">
        <f>'Comps Data'!E11</f>
        <v>213.01</v>
      </c>
      <c r="G12" s="147">
        <f>'Comps Data'!H11</f>
        <v>534</v>
      </c>
      <c r="H12" s="42">
        <f t="shared" si="0"/>
        <v>113747.34</v>
      </c>
      <c r="I12" s="147">
        <f>'Comps Data'!F11</f>
        <v>13700</v>
      </c>
      <c r="J12" s="147">
        <f>'Comps Data'!J11</f>
        <v>378.29999999999995</v>
      </c>
      <c r="K12" s="42">
        <f t="shared" si="1"/>
        <v>127069.04</v>
      </c>
      <c r="L12" s="42"/>
      <c r="M12" s="147">
        <f>'Comps Data'!K11</f>
        <v>4458.1000000000004</v>
      </c>
      <c r="N12" s="42">
        <f t="shared" si="2"/>
        <v>6673.7941176470586</v>
      </c>
      <c r="O12" s="147">
        <f>'Comps Data'!L11</f>
        <v>507</v>
      </c>
      <c r="P12" s="28"/>
      <c r="Q12" s="148">
        <f t="shared" si="3"/>
        <v>28.502958659518626</v>
      </c>
      <c r="R12" s="149">
        <f>'Comps Data'!M10</f>
        <v>19.04</v>
      </c>
      <c r="S12" s="149">
        <f>'Comps Data'!I11</f>
        <v>22.39</v>
      </c>
    </row>
    <row r="14" spans="4:19" x14ac:dyDescent="0.3">
      <c r="D14" s="51" t="s">
        <v>164</v>
      </c>
      <c r="E14" s="150"/>
      <c r="F14" s="150"/>
      <c r="G14" s="150"/>
      <c r="H14" s="150"/>
      <c r="I14" s="150"/>
      <c r="J14" s="150"/>
      <c r="K14" s="150"/>
      <c r="L14" s="150"/>
      <c r="M14" s="150"/>
      <c r="N14" s="150"/>
      <c r="O14" s="150"/>
      <c r="P14" s="150"/>
      <c r="Q14" s="151">
        <f>AVERAGE(Q10:Q12)</f>
        <v>111.35008949737447</v>
      </c>
      <c r="R14" s="151">
        <f>AVERAGE(R10:R12)</f>
        <v>23.266666666666669</v>
      </c>
      <c r="S14" s="151">
        <f>AVERAGE(S10:S12)</f>
        <v>38.68</v>
      </c>
    </row>
    <row r="15" spans="4:19" x14ac:dyDescent="0.3">
      <c r="D15" s="51" t="s">
        <v>165</v>
      </c>
      <c r="E15" s="150"/>
      <c r="F15" s="150"/>
      <c r="G15" s="150"/>
      <c r="H15" s="150"/>
      <c r="I15" s="150"/>
      <c r="J15" s="150"/>
      <c r="K15" s="150"/>
      <c r="L15" s="150"/>
      <c r="M15" s="150"/>
      <c r="N15" s="150"/>
      <c r="O15" s="150"/>
      <c r="P15" s="150"/>
      <c r="Q15" s="151">
        <f>MEDIAN(Q10:Q12)</f>
        <v>28.502958659518626</v>
      </c>
      <c r="R15" s="151">
        <f>MEDIAN(R10:R12)</f>
        <v>19.04</v>
      </c>
      <c r="S15" s="151">
        <f>MEDIAN(S10:S12)</f>
        <v>40.72</v>
      </c>
    </row>
    <row r="17" spans="4:19" x14ac:dyDescent="0.3">
      <c r="D17" s="152" t="s">
        <v>288</v>
      </c>
      <c r="E17" s="153">
        <v>543491</v>
      </c>
      <c r="F17" s="154">
        <f>'Comps Data'!E8</f>
        <v>255.59</v>
      </c>
      <c r="G17" s="154">
        <f>'Comps Data'!H8</f>
        <v>533</v>
      </c>
      <c r="H17" s="441">
        <f>G17*F17</f>
        <v>136229.47</v>
      </c>
      <c r="I17" s="154">
        <f>'Comps Data'!F8</f>
        <v>1064</v>
      </c>
      <c r="J17" s="154">
        <f>'Comps Data'!J8</f>
        <v>586.9</v>
      </c>
      <c r="K17" s="155">
        <f>H17+I17-J17</f>
        <v>136706.57</v>
      </c>
      <c r="L17" s="152"/>
      <c r="M17" s="156">
        <f>'Comps Data'!K8</f>
        <v>12918.800000000001</v>
      </c>
      <c r="N17" s="155">
        <f>K17/R17</f>
        <v>10133.919199406968</v>
      </c>
      <c r="O17" s="154">
        <f>'Comps Data'!L8</f>
        <v>650.5</v>
      </c>
      <c r="P17" s="152"/>
      <c r="Q17" s="157">
        <f>K17/M17</f>
        <v>10.581986717032541</v>
      </c>
      <c r="R17" s="158">
        <f>'Comps Data'!M8</f>
        <v>13.49</v>
      </c>
      <c r="S17" s="158">
        <f>'Comps Data'!I8</f>
        <v>20.92</v>
      </c>
    </row>
    <row r="19" spans="4:19" ht="16.95" customHeight="1" x14ac:dyDescent="0.3">
      <c r="D19" s="159" t="s">
        <v>166</v>
      </c>
      <c r="E19" s="159"/>
      <c r="F19" s="160" t="s">
        <v>167</v>
      </c>
      <c r="G19" s="160" t="s">
        <v>155</v>
      </c>
      <c r="H19" s="160" t="s">
        <v>168</v>
      </c>
      <c r="I19" s="160" t="s">
        <v>130</v>
      </c>
      <c r="J19" s="160" t="s">
        <v>154</v>
      </c>
      <c r="K19" s="160" t="s">
        <v>169</v>
      </c>
    </row>
    <row r="21" spans="4:19" x14ac:dyDescent="0.3">
      <c r="D21" s="144" t="s">
        <v>170</v>
      </c>
      <c r="E21" s="28"/>
      <c r="F21" s="148">
        <f>Q15</f>
        <v>28.502958659518626</v>
      </c>
      <c r="G21" s="42">
        <f>F21*M17</f>
        <v>368224.02233058924</v>
      </c>
      <c r="H21" s="42">
        <f>I17-J17</f>
        <v>477.1</v>
      </c>
      <c r="I21" s="42">
        <f>G21-H21</f>
        <v>367746.92233058927</v>
      </c>
      <c r="J21" s="161">
        <f>G17</f>
        <v>533</v>
      </c>
      <c r="K21" s="162">
        <f>I21/J21</f>
        <v>689.95670230879784</v>
      </c>
    </row>
    <row r="22" spans="4:19" x14ac:dyDescent="0.3">
      <c r="D22" s="144" t="s">
        <v>159</v>
      </c>
      <c r="E22" s="28"/>
      <c r="F22" s="148">
        <f>R15</f>
        <v>19.04</v>
      </c>
      <c r="G22" s="42">
        <f>F22*N17</f>
        <v>192949.82155670866</v>
      </c>
      <c r="H22" s="42">
        <f>H21</f>
        <v>477.1</v>
      </c>
      <c r="I22" s="42">
        <f>G22-H22</f>
        <v>192472.72155670865</v>
      </c>
      <c r="J22" s="161">
        <f>J21</f>
        <v>533</v>
      </c>
      <c r="K22" s="162">
        <f t="shared" ref="K22:K23" si="4">I22/J22</f>
        <v>361.11204794879671</v>
      </c>
    </row>
    <row r="23" spans="4:19" x14ac:dyDescent="0.3">
      <c r="D23" s="144" t="s">
        <v>149</v>
      </c>
      <c r="E23" s="28"/>
      <c r="F23" s="148">
        <f>S15</f>
        <v>40.72</v>
      </c>
      <c r="G23" s="42">
        <f>I23+H23</f>
        <v>26965.46</v>
      </c>
      <c r="H23" s="42">
        <f>H22</f>
        <v>477.1</v>
      </c>
      <c r="I23" s="42">
        <f>F23*O17</f>
        <v>26488.36</v>
      </c>
      <c r="J23" s="161">
        <f>J22</f>
        <v>533</v>
      </c>
      <c r="K23" s="162">
        <f t="shared" si="4"/>
        <v>49.696735459662293</v>
      </c>
      <c r="M23" s="356"/>
    </row>
    <row r="24" spans="4:19" ht="15" thickBot="1" x14ac:dyDescent="0.35"/>
    <row r="25" spans="4:19" ht="15.6" thickTop="1" thickBot="1" x14ac:dyDescent="0.35">
      <c r="D25" s="163"/>
      <c r="E25" s="163"/>
      <c r="F25" s="163"/>
      <c r="G25" s="163"/>
      <c r="H25" s="163"/>
      <c r="I25" s="163"/>
      <c r="J25" s="163"/>
      <c r="K25" s="163"/>
      <c r="L25" s="163"/>
    </row>
    <row r="26" spans="4:19" ht="15" thickTop="1" x14ac:dyDescent="0.3"/>
  </sheetData>
  <mergeCells count="4">
    <mergeCell ref="G6:J6"/>
    <mergeCell ref="M6:O6"/>
    <mergeCell ref="Q6:S6"/>
    <mergeCell ref="D4:S4"/>
  </mergeCells>
  <pageMargins left="0.7" right="0.7" top="0.75" bottom="0.75" header="0.3" footer="0.3"/>
  <ignoredErrors>
    <ignoredError sqref="I22:I23" formula="1"/>
  </ignoredError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2859-A15E-4208-A26A-28899932A9D4}">
  <dimension ref="C3:P26"/>
  <sheetViews>
    <sheetView showGridLines="0" workbookViewId="0">
      <selection activeCell="H20" sqref="H20"/>
    </sheetView>
  </sheetViews>
  <sheetFormatPr defaultColWidth="8.88671875" defaultRowHeight="14.4" x14ac:dyDescent="0.3"/>
  <cols>
    <col min="1" max="3" width="1.33203125" style="19" customWidth="1"/>
    <col min="4" max="4" width="35.77734375" style="19" customWidth="1"/>
    <col min="5" max="5" width="8.109375" style="19" bestFit="1" customWidth="1"/>
    <col min="6" max="12" width="16.77734375" style="19" customWidth="1"/>
    <col min="13" max="13" width="11.109375" style="19" bestFit="1" customWidth="1"/>
    <col min="14" max="14" width="10.88671875" style="19" bestFit="1" customWidth="1"/>
    <col min="15" max="16384" width="8.88671875" style="19"/>
  </cols>
  <sheetData>
    <row r="3" spans="3:16" x14ac:dyDescent="0.3">
      <c r="N3" s="141" t="s">
        <v>310</v>
      </c>
    </row>
    <row r="4" spans="3:16" ht="16.8" x14ac:dyDescent="0.3">
      <c r="D4" s="453" t="s">
        <v>84</v>
      </c>
      <c r="E4" s="453"/>
      <c r="F4" s="453"/>
      <c r="G4" s="453"/>
      <c r="H4" s="453"/>
      <c r="I4" s="453"/>
      <c r="J4" s="453"/>
      <c r="K4" s="453"/>
      <c r="L4" s="453"/>
      <c r="M4" s="453"/>
      <c r="N4" s="453"/>
      <c r="O4" s="44"/>
    </row>
    <row r="5" spans="3:16" x14ac:dyDescent="0.3">
      <c r="D5" s="28"/>
      <c r="E5" s="28"/>
      <c r="F5" s="28"/>
      <c r="G5" s="28"/>
      <c r="H5" s="28"/>
      <c r="I5" s="28"/>
      <c r="J5" s="28"/>
      <c r="K5" s="28"/>
      <c r="L5" s="28"/>
      <c r="M5" s="28"/>
      <c r="N5" s="28"/>
      <c r="O5" s="28"/>
    </row>
    <row r="6" spans="3:16" ht="14.4" customHeight="1" x14ac:dyDescent="0.3">
      <c r="D6" s="73" t="s">
        <v>148</v>
      </c>
      <c r="E6" s="72" t="s">
        <v>150</v>
      </c>
      <c r="F6" s="68" t="s">
        <v>292</v>
      </c>
      <c r="G6" s="68" t="s">
        <v>293</v>
      </c>
      <c r="H6" s="68" t="s">
        <v>294</v>
      </c>
      <c r="I6" s="68" t="s">
        <v>149</v>
      </c>
      <c r="J6" s="68" t="s">
        <v>295</v>
      </c>
      <c r="K6" s="68" t="s">
        <v>296</v>
      </c>
      <c r="L6" s="68" t="s">
        <v>297</v>
      </c>
      <c r="M6" s="68" t="s">
        <v>159</v>
      </c>
      <c r="N6" s="68" t="s">
        <v>103</v>
      </c>
      <c r="O6" s="28"/>
      <c r="P6" s="28"/>
    </row>
    <row r="7" spans="3:16" ht="14.4" customHeight="1" x14ac:dyDescent="0.3">
      <c r="D7" s="309"/>
      <c r="E7" s="130"/>
      <c r="F7" s="131"/>
      <c r="G7" s="131"/>
      <c r="H7" s="131"/>
      <c r="I7" s="131"/>
      <c r="J7" s="131"/>
      <c r="K7" s="131"/>
      <c r="L7" s="131"/>
      <c r="M7" s="131"/>
      <c r="N7" s="28"/>
      <c r="O7" s="28"/>
      <c r="P7" s="28"/>
    </row>
    <row r="8" spans="3:16" ht="14.4" customHeight="1" x14ac:dyDescent="0.3">
      <c r="D8" s="132" t="s">
        <v>287</v>
      </c>
      <c r="E8" s="136">
        <v>255.59</v>
      </c>
      <c r="F8" s="310">
        <v>1064</v>
      </c>
      <c r="G8" s="310">
        <v>13606.099999999999</v>
      </c>
      <c r="H8" s="310">
        <v>533</v>
      </c>
      <c r="I8" s="136">
        <v>20.92</v>
      </c>
      <c r="J8" s="310">
        <v>586.9</v>
      </c>
      <c r="K8" s="310">
        <v>12918.800000000001</v>
      </c>
      <c r="L8" s="310">
        <v>650.5</v>
      </c>
      <c r="M8" s="310">
        <v>13.49</v>
      </c>
      <c r="N8" s="311">
        <v>0.27</v>
      </c>
      <c r="O8" s="28"/>
      <c r="P8" s="28"/>
    </row>
    <row r="9" spans="3:16" ht="14.4" customHeight="1" x14ac:dyDescent="0.3">
      <c r="D9" s="312" t="s">
        <v>277</v>
      </c>
      <c r="E9" s="310">
        <v>641.29999999999995</v>
      </c>
      <c r="F9" s="310">
        <v>719</v>
      </c>
      <c r="G9" s="310">
        <v>12375</v>
      </c>
      <c r="H9" s="310">
        <v>193</v>
      </c>
      <c r="I9" s="310">
        <v>52.93</v>
      </c>
      <c r="J9" s="310">
        <v>29.2</v>
      </c>
      <c r="K9" s="310">
        <v>439.6</v>
      </c>
      <c r="L9" s="310">
        <v>233.79999999999998</v>
      </c>
      <c r="M9" s="310">
        <v>37.270000000000003</v>
      </c>
      <c r="N9" s="311">
        <v>0.1</v>
      </c>
      <c r="O9" s="28"/>
      <c r="P9" s="28"/>
    </row>
    <row r="10" spans="3:16" x14ac:dyDescent="0.3">
      <c r="D10" s="312" t="s">
        <v>278</v>
      </c>
      <c r="E10" s="310">
        <v>177.95</v>
      </c>
      <c r="F10" s="310">
        <v>28461.000000000004</v>
      </c>
      <c r="G10" s="310">
        <v>11488.3</v>
      </c>
      <c r="H10" s="310">
        <v>646</v>
      </c>
      <c r="I10" s="310">
        <v>40.72</v>
      </c>
      <c r="J10" s="310">
        <v>1232.9000000000001</v>
      </c>
      <c r="K10" s="310">
        <v>6340.5</v>
      </c>
      <c r="L10" s="310">
        <v>282.10000000000002</v>
      </c>
      <c r="M10" s="313">
        <v>19.04</v>
      </c>
      <c r="N10" s="311">
        <v>0.24</v>
      </c>
      <c r="O10" s="28"/>
      <c r="P10" s="28"/>
    </row>
    <row r="11" spans="3:16" x14ac:dyDescent="0.3">
      <c r="D11" s="312" t="s">
        <v>279</v>
      </c>
      <c r="E11" s="310">
        <v>213.01</v>
      </c>
      <c r="F11" s="310">
        <v>13700</v>
      </c>
      <c r="G11" s="310">
        <v>11338.699999999999</v>
      </c>
      <c r="H11" s="310">
        <v>534</v>
      </c>
      <c r="I11" s="310">
        <v>22.39</v>
      </c>
      <c r="J11" s="310">
        <v>378.29999999999995</v>
      </c>
      <c r="K11" s="310">
        <v>4458.1000000000004</v>
      </c>
      <c r="L11" s="310">
        <v>507</v>
      </c>
      <c r="M11" s="313">
        <v>10.92</v>
      </c>
      <c r="N11" s="311">
        <v>0.2</v>
      </c>
      <c r="O11" s="28"/>
      <c r="P11" s="28"/>
    </row>
    <row r="12" spans="3:16" x14ac:dyDescent="0.3">
      <c r="C12" s="19">
        <v>22</v>
      </c>
      <c r="N12" s="28"/>
      <c r="O12" s="28"/>
    </row>
    <row r="13" spans="3:16" x14ac:dyDescent="0.3">
      <c r="C13" s="19">
        <v>23</v>
      </c>
      <c r="N13" s="28"/>
      <c r="O13" s="28"/>
    </row>
    <row r="14" spans="3:16" x14ac:dyDescent="0.3">
      <c r="C14" s="19">
        <v>24</v>
      </c>
      <c r="M14" s="35"/>
      <c r="O14" s="28"/>
    </row>
    <row r="15" spans="3:16" x14ac:dyDescent="0.3">
      <c r="C15" s="19">
        <v>25</v>
      </c>
      <c r="N15" s="28"/>
      <c r="O15" s="28"/>
    </row>
    <row r="16" spans="3:16" x14ac:dyDescent="0.3">
      <c r="C16" s="19">
        <v>7</v>
      </c>
      <c r="D16" s="28"/>
      <c r="N16" s="28"/>
      <c r="O16" s="28"/>
    </row>
    <row r="17" spans="3:15" x14ac:dyDescent="0.3">
      <c r="C17" s="19">
        <v>8</v>
      </c>
      <c r="D17" s="28"/>
      <c r="N17" s="28"/>
      <c r="O17" s="28"/>
    </row>
    <row r="18" spans="3:15" x14ac:dyDescent="0.3">
      <c r="D18" s="28"/>
      <c r="E18" s="28"/>
      <c r="F18" s="28"/>
      <c r="G18" s="28"/>
      <c r="H18" s="28"/>
      <c r="I18" s="28"/>
      <c r="J18" s="28"/>
      <c r="K18" s="28"/>
      <c r="L18" s="28"/>
      <c r="M18" s="28"/>
      <c r="N18" s="28"/>
      <c r="O18" s="28"/>
    </row>
    <row r="19" spans="3:15" x14ac:dyDescent="0.3">
      <c r="D19" s="28"/>
      <c r="E19" s="28"/>
      <c r="F19" s="28"/>
      <c r="G19" s="28"/>
      <c r="H19" s="28"/>
      <c r="I19" s="28"/>
      <c r="J19" s="28"/>
      <c r="K19" s="28"/>
      <c r="L19" s="28"/>
      <c r="M19" s="28"/>
      <c r="N19" s="28"/>
      <c r="O19" s="28"/>
    </row>
    <row r="20" spans="3:15" x14ac:dyDescent="0.3">
      <c r="D20" s="28"/>
      <c r="E20" s="28"/>
      <c r="F20" s="28"/>
      <c r="G20" s="28"/>
      <c r="H20" s="28"/>
      <c r="I20" s="28"/>
      <c r="J20" s="28"/>
      <c r="K20" s="28"/>
      <c r="L20" s="28"/>
      <c r="M20" s="28"/>
      <c r="N20" s="28"/>
      <c r="O20" s="28"/>
    </row>
    <row r="21" spans="3:15" x14ac:dyDescent="0.3">
      <c r="D21" s="28"/>
      <c r="E21" s="28"/>
      <c r="F21" s="28"/>
      <c r="G21" s="28"/>
      <c r="H21" s="28"/>
      <c r="I21" s="28"/>
      <c r="J21" s="28"/>
      <c r="K21" s="28"/>
      <c r="L21" s="28"/>
      <c r="M21" s="28"/>
      <c r="N21" s="28"/>
      <c r="O21" s="28"/>
    </row>
    <row r="22" spans="3:15" x14ac:dyDescent="0.3">
      <c r="D22" s="28"/>
      <c r="E22" s="28"/>
      <c r="F22" s="28"/>
      <c r="G22" s="28"/>
      <c r="H22" s="28"/>
      <c r="I22" s="28"/>
      <c r="J22" s="28"/>
      <c r="K22" s="28"/>
      <c r="L22" s="28"/>
      <c r="M22" s="28"/>
      <c r="N22" s="28"/>
      <c r="O22" s="28"/>
    </row>
    <row r="23" spans="3:15" x14ac:dyDescent="0.3">
      <c r="D23" s="28"/>
      <c r="E23" s="28"/>
      <c r="F23" s="28"/>
      <c r="G23" s="28"/>
      <c r="H23" s="28"/>
      <c r="I23" s="28"/>
      <c r="J23" s="28"/>
      <c r="K23" s="28"/>
      <c r="L23" s="28"/>
      <c r="M23" s="28"/>
      <c r="N23" s="28"/>
      <c r="O23" s="28"/>
    </row>
    <row r="24" spans="3:15" x14ac:dyDescent="0.3">
      <c r="I24" s="28"/>
      <c r="J24" s="28"/>
    </row>
    <row r="25" spans="3:15" x14ac:dyDescent="0.3">
      <c r="H25" s="28"/>
      <c r="I25" s="28"/>
      <c r="J25" s="28"/>
    </row>
    <row r="26" spans="3:15" x14ac:dyDescent="0.3">
      <c r="H26" s="28"/>
      <c r="I26" s="28"/>
      <c r="J26" s="28"/>
    </row>
  </sheetData>
  <mergeCells count="1">
    <mergeCell ref="D4:N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01E3-018E-4FB9-87A7-2C66926CA337}">
  <dimension ref="B4:AH35"/>
  <sheetViews>
    <sheetView showGridLines="0" topLeftCell="D1" zoomScaleNormal="100" workbookViewId="0"/>
  </sheetViews>
  <sheetFormatPr defaultRowHeight="14.4" customHeight="1" x14ac:dyDescent="0.3"/>
  <cols>
    <col min="1" max="3" width="1.33203125" customWidth="1"/>
    <col min="4" max="4" width="35.77734375" customWidth="1"/>
    <col min="5" max="12" width="9.33203125" customWidth="1"/>
    <col min="29" max="29" width="12.88671875" customWidth="1"/>
    <col min="30" max="30" width="11.33203125" customWidth="1"/>
    <col min="31" max="31" width="25.77734375" customWidth="1"/>
  </cols>
  <sheetData>
    <row r="4" spans="2:34" ht="16.95" customHeight="1" x14ac:dyDescent="0.3">
      <c r="D4" s="453" t="s">
        <v>72</v>
      </c>
      <c r="E4" s="453"/>
      <c r="F4" s="453"/>
      <c r="G4" s="453"/>
      <c r="H4" s="453"/>
      <c r="I4" s="453"/>
      <c r="J4" s="453"/>
      <c r="K4" s="453"/>
      <c r="L4" s="453"/>
      <c r="N4" s="107"/>
      <c r="O4" s="453" t="s">
        <v>198</v>
      </c>
      <c r="P4" s="453"/>
      <c r="Q4" s="453"/>
      <c r="R4" s="453"/>
      <c r="S4" s="453"/>
      <c r="T4" s="453"/>
      <c r="U4" s="453"/>
      <c r="V4" s="453"/>
      <c r="W4" s="453"/>
      <c r="X4" s="453"/>
      <c r="Y4" s="453"/>
      <c r="Z4" s="453"/>
      <c r="AA4" s="453"/>
      <c r="AB4" s="453"/>
      <c r="AC4" s="453"/>
      <c r="AD4" s="453"/>
      <c r="AE4" s="453"/>
    </row>
    <row r="5" spans="2:34" ht="14.4" customHeight="1" x14ac:dyDescent="0.3">
      <c r="D5" s="1"/>
      <c r="E5" s="5">
        <v>2022</v>
      </c>
      <c r="F5" s="2">
        <f t="shared" ref="F5:L5" si="0">E5+1</f>
        <v>2023</v>
      </c>
      <c r="G5" s="2">
        <f t="shared" si="0"/>
        <v>2024</v>
      </c>
      <c r="H5" s="2">
        <f t="shared" si="0"/>
        <v>2025</v>
      </c>
      <c r="I5" s="2">
        <f t="shared" si="0"/>
        <v>2026</v>
      </c>
      <c r="J5" s="2">
        <f t="shared" si="0"/>
        <v>2027</v>
      </c>
      <c r="K5" s="2">
        <f t="shared" si="0"/>
        <v>2028</v>
      </c>
      <c r="L5" s="2">
        <f t="shared" si="0"/>
        <v>2029</v>
      </c>
    </row>
    <row r="6" spans="2:34" ht="14.4" customHeight="1" x14ac:dyDescent="0.3">
      <c r="D6" s="3" t="s">
        <v>1</v>
      </c>
      <c r="E6" s="6" t="s">
        <v>21</v>
      </c>
      <c r="F6" s="4" t="s">
        <v>21</v>
      </c>
      <c r="G6" s="4" t="s">
        <v>21</v>
      </c>
      <c r="H6" s="27" t="s">
        <v>22</v>
      </c>
      <c r="I6" s="27" t="s">
        <v>22</v>
      </c>
      <c r="J6" s="27" t="s">
        <v>22</v>
      </c>
      <c r="K6" s="27" t="s">
        <v>22</v>
      </c>
      <c r="L6" s="27" t="s">
        <v>22</v>
      </c>
      <c r="M6" s="9" t="s">
        <v>99</v>
      </c>
    </row>
    <row r="7" spans="2:34" ht="14.4" customHeight="1" x14ac:dyDescent="0.3">
      <c r="D7" s="34"/>
      <c r="E7" s="33"/>
      <c r="H7" s="26"/>
      <c r="I7" s="26"/>
      <c r="J7" s="26"/>
      <c r="K7" s="26"/>
      <c r="L7" s="26"/>
      <c r="M7" s="96"/>
    </row>
    <row r="8" spans="2:34" ht="15.6" customHeight="1" x14ac:dyDescent="0.3">
      <c r="D8" s="97" t="s">
        <v>86</v>
      </c>
      <c r="H8" s="26"/>
      <c r="I8" s="26"/>
      <c r="J8" s="26"/>
      <c r="K8" s="26"/>
      <c r="L8" s="26"/>
      <c r="M8" s="104"/>
    </row>
    <row r="9" spans="2:34" ht="45" customHeight="1" x14ac:dyDescent="0.3">
      <c r="C9" s="19"/>
      <c r="D9" s="60" t="s">
        <v>87</v>
      </c>
      <c r="E9" s="117">
        <f>'Income Statement'!E12/'Income Statement'!E8</f>
        <v>7.9933309262366525E-2</v>
      </c>
      <c r="F9" s="117">
        <f>'Income Statement'!F12/'Income Statement'!F8</f>
        <v>0.12793112723924419</v>
      </c>
      <c r="G9" s="117">
        <f>'Income Statement'!G12/'Income Statement'!G8</f>
        <v>8.3952011813777941E-2</v>
      </c>
      <c r="H9" s="118">
        <f>'Income Statement'!H12/'Income Statement'!H8</f>
        <v>8.3952011813777955E-2</v>
      </c>
      <c r="I9" s="118">
        <f>'Income Statement'!I12/'Income Statement'!I8</f>
        <v>8.3952011813777913E-2</v>
      </c>
      <c r="J9" s="118">
        <f>'Income Statement'!J12/'Income Statement'!J8</f>
        <v>8.3952011813777899E-2</v>
      </c>
      <c r="K9" s="118">
        <f>'Income Statement'!K12/'Income Statement'!K8</f>
        <v>8.3952011813777885E-2</v>
      </c>
      <c r="L9" s="118">
        <f>'Income Statement'!L12/'Income Statement'!L8</f>
        <v>8.3952011813777885E-2</v>
      </c>
      <c r="M9" s="104"/>
      <c r="O9" s="522" t="s">
        <v>380</v>
      </c>
      <c r="P9" s="522"/>
      <c r="Q9" s="522"/>
      <c r="R9" s="522"/>
      <c r="S9" s="522"/>
      <c r="T9" s="522"/>
      <c r="U9" s="522"/>
      <c r="V9" s="522"/>
      <c r="W9" s="522"/>
      <c r="X9" s="522"/>
      <c r="Y9" s="522"/>
      <c r="Z9" s="522"/>
      <c r="AA9" s="522"/>
      <c r="AB9" s="522"/>
      <c r="AC9" s="522"/>
      <c r="AD9" s="522"/>
      <c r="AE9" s="522"/>
    </row>
    <row r="10" spans="2:34" ht="43.2" customHeight="1" x14ac:dyDescent="0.3">
      <c r="D10" s="60" t="s">
        <v>88</v>
      </c>
      <c r="E10" s="117">
        <f>'Income Statement'!E14/'Income Statement'!E8</f>
        <v>7.2396972721930852E-2</v>
      </c>
      <c r="F10" s="117">
        <f>'Income Statement'!F14/'Income Statement'!F8</f>
        <v>0.12340737560329627</v>
      </c>
      <c r="G10" s="117">
        <f>'Income Statement'!G14/'Income Statement'!G8</f>
        <v>8.0691944814995614E-2</v>
      </c>
      <c r="H10" s="118">
        <f>'Income Statement'!H14/'Income Statement'!H8</f>
        <v>8.1768854921489095E-2</v>
      </c>
      <c r="I10" s="118">
        <f>'Income Statement'!I14/'Income Statement'!I8</f>
        <v>8.2223552006990719E-2</v>
      </c>
      <c r="J10" s="118">
        <f>'Income Statement'!J14/'Income Statement'!J8</f>
        <v>8.2527130354444797E-2</v>
      </c>
      <c r="K10" s="118">
        <f>'Income Statement'!K14/'Income Statement'!K8</f>
        <v>8.2722720627872171E-2</v>
      </c>
      <c r="L10" s="118">
        <f>'Income Statement'!L14/'Income Statement'!L8</f>
        <v>8.2871971986687179E-2</v>
      </c>
      <c r="M10" s="104"/>
      <c r="O10" s="503" t="s">
        <v>388</v>
      </c>
      <c r="P10" s="503"/>
      <c r="Q10" s="503"/>
      <c r="R10" s="503"/>
      <c r="S10" s="503"/>
      <c r="T10" s="503"/>
      <c r="U10" s="503"/>
      <c r="V10" s="503"/>
      <c r="W10" s="503"/>
      <c r="X10" s="503"/>
      <c r="Y10" s="503"/>
      <c r="Z10" s="503"/>
      <c r="AA10" s="503"/>
      <c r="AB10" s="503"/>
      <c r="AC10" s="503"/>
      <c r="AD10" s="503"/>
      <c r="AE10" s="503"/>
      <c r="AG10" s="52"/>
    </row>
    <row r="11" spans="2:34" ht="46.2" customHeight="1" x14ac:dyDescent="0.3">
      <c r="D11" s="60" t="s">
        <v>89</v>
      </c>
      <c r="E11" s="117">
        <f>'Income Statement'!E17/'Income Statement'!E8</f>
        <v>7.2481929075604148E-2</v>
      </c>
      <c r="F11" s="117">
        <f>'Income Statement'!F17/'Income Statement'!F8</f>
        <v>0.12600678692069345</v>
      </c>
      <c r="G11" s="117">
        <f>'Income Statement'!G17/'Income Statement'!G8</f>
        <v>8.2589832467800245E-2</v>
      </c>
      <c r="H11" s="118">
        <f>'Income Statement'!H17/'Income Statement'!H8</f>
        <v>7.9908906464995363E-2</v>
      </c>
      <c r="I11" s="118">
        <f>'Income Statement'!I17/'Income Statement'!I8</f>
        <v>8.0363603550496987E-2</v>
      </c>
      <c r="J11" s="118">
        <f>'Income Statement'!J17/'Income Statement'!J8</f>
        <v>8.0667181897951065E-2</v>
      </c>
      <c r="K11" s="118">
        <f>'Income Statement'!K17/'Income Statement'!K8</f>
        <v>8.0862772171378453E-2</v>
      </c>
      <c r="L11" s="118">
        <f>'Income Statement'!L17/'Income Statement'!L8</f>
        <v>8.1012023530193447E-2</v>
      </c>
      <c r="M11" s="104"/>
      <c r="O11" s="503" t="s">
        <v>389</v>
      </c>
      <c r="P11" s="503"/>
      <c r="Q11" s="503"/>
      <c r="R11" s="503"/>
      <c r="S11" s="503"/>
      <c r="T11" s="503"/>
      <c r="U11" s="503"/>
      <c r="V11" s="503"/>
      <c r="W11" s="503"/>
      <c r="X11" s="503"/>
      <c r="Y11" s="503"/>
      <c r="Z11" s="503"/>
      <c r="AA11" s="503"/>
      <c r="AB11" s="503"/>
      <c r="AC11" s="503"/>
      <c r="AD11" s="503"/>
      <c r="AE11" s="503"/>
    </row>
    <row r="12" spans="2:34" ht="45" customHeight="1" x14ac:dyDescent="0.3">
      <c r="D12" s="60" t="s">
        <v>90</v>
      </c>
      <c r="E12" s="117">
        <f>-'Income Statement'!E18/'Income Statement'!E17</f>
        <v>0.20629029107247485</v>
      </c>
      <c r="F12" s="117">
        <f>-'Income Statement'!F18/'Income Statement'!F17</f>
        <v>0.25563709139426266</v>
      </c>
      <c r="G12" s="117">
        <f>-'Income Statement'!G18/'Income Statement'!G17</f>
        <v>0.25659572198218378</v>
      </c>
      <c r="H12" s="118">
        <f>-'Income Statement'!H18/'Income Statement'!H17</f>
        <v>0.26659572198218379</v>
      </c>
      <c r="I12" s="118">
        <f>-'Income Statement'!I18/'Income Statement'!I17</f>
        <v>0.26659572198218379</v>
      </c>
      <c r="J12" s="118">
        <f>-'Income Statement'!J18/'Income Statement'!J17</f>
        <v>0.26659572198218379</v>
      </c>
      <c r="K12" s="118">
        <f>-'Income Statement'!K18/'Income Statement'!K17</f>
        <v>0.2765957219821838</v>
      </c>
      <c r="L12" s="118">
        <f>-'Income Statement'!L18/'Income Statement'!L17</f>
        <v>0.2765957219821838</v>
      </c>
      <c r="M12" s="104"/>
      <c r="O12" s="503" t="s">
        <v>381</v>
      </c>
      <c r="P12" s="503"/>
      <c r="Q12" s="503"/>
      <c r="R12" s="503"/>
      <c r="S12" s="503"/>
      <c r="T12" s="503"/>
      <c r="U12" s="503"/>
      <c r="V12" s="503"/>
      <c r="W12" s="503"/>
      <c r="X12" s="503"/>
      <c r="Y12" s="503"/>
      <c r="Z12" s="503"/>
      <c r="AA12" s="503"/>
      <c r="AB12" s="503"/>
      <c r="AC12" s="503"/>
      <c r="AD12" s="503"/>
      <c r="AE12" s="503"/>
    </row>
    <row r="13" spans="2:34" ht="44.4" customHeight="1" x14ac:dyDescent="0.3">
      <c r="B13" s="19"/>
      <c r="C13" s="19"/>
      <c r="D13" s="60" t="s">
        <v>91</v>
      </c>
      <c r="E13" s="117">
        <f>'Income Statement'!E19/'Income Statement'!E8</f>
        <v>5.7529610829103288E-2</v>
      </c>
      <c r="F13" s="117">
        <f>'Income Statement'!F19/'Income Statement'!F8</f>
        <v>9.3794778416350769E-2</v>
      </c>
      <c r="G13" s="117">
        <f>'Income Statement'!G19/'Income Statement'!G8</f>
        <v>6.139763477733743E-2</v>
      </c>
      <c r="H13" s="118">
        <f>'Income Statement'!H19/'Income Statement'!H8</f>
        <v>5.8605533853153133E-2</v>
      </c>
      <c r="I13" s="118">
        <f>'Income Statement'!I19/'Income Statement'!I8</f>
        <v>5.8939010640862252E-2</v>
      </c>
      <c r="J13" s="118">
        <f>'Income Statement'!J19/'Income Statement'!J8</f>
        <v>5.9161656299598651E-2</v>
      </c>
      <c r="K13" s="118">
        <f>'Income Statement'!K19/'Income Statement'!K8</f>
        <v>5.8496475321155178E-2</v>
      </c>
      <c r="L13" s="118">
        <f>'Income Statement'!L19/'Income Statement'!L8</f>
        <v>5.860444439262192E-2</v>
      </c>
      <c r="M13" s="104"/>
      <c r="O13" s="523" t="s">
        <v>401</v>
      </c>
      <c r="P13" s="523"/>
      <c r="Q13" s="523"/>
      <c r="R13" s="523"/>
      <c r="S13" s="523"/>
      <c r="T13" s="523"/>
      <c r="U13" s="523"/>
      <c r="V13" s="523"/>
      <c r="W13" s="523"/>
      <c r="X13" s="523"/>
      <c r="Y13" s="523"/>
      <c r="Z13" s="523"/>
      <c r="AA13" s="523"/>
      <c r="AB13" s="523"/>
      <c r="AC13" s="523"/>
      <c r="AD13" s="523"/>
      <c r="AE13" s="523"/>
      <c r="AH13" s="52"/>
    </row>
    <row r="14" spans="2:34" ht="14.4" customHeight="1" x14ac:dyDescent="0.3">
      <c r="D14" s="71"/>
      <c r="E14" s="28"/>
      <c r="F14" s="28"/>
      <c r="G14" s="28"/>
      <c r="H14" s="252"/>
      <c r="I14" s="252"/>
      <c r="J14" s="252"/>
      <c r="K14" s="252"/>
      <c r="L14" s="252"/>
      <c r="M14" s="104"/>
      <c r="O14" s="521"/>
      <c r="P14" s="521"/>
      <c r="Q14" s="521"/>
      <c r="R14" s="521"/>
      <c r="S14" s="521"/>
      <c r="T14" s="521"/>
      <c r="U14" s="521"/>
      <c r="V14" s="521"/>
      <c r="W14" s="521"/>
      <c r="X14" s="521"/>
      <c r="Y14" s="521"/>
      <c r="Z14" s="521"/>
      <c r="AA14" s="521"/>
      <c r="AB14" s="521"/>
      <c r="AC14" s="521"/>
      <c r="AD14" s="521"/>
      <c r="AE14" s="521"/>
    </row>
    <row r="15" spans="2:34" ht="14.4" customHeight="1" x14ac:dyDescent="0.3">
      <c r="D15" s="98" t="s">
        <v>93</v>
      </c>
      <c r="E15" s="28"/>
      <c r="F15" s="28"/>
      <c r="G15" s="28"/>
      <c r="H15" s="252"/>
      <c r="I15" s="252"/>
      <c r="J15" s="252"/>
      <c r="K15" s="252"/>
      <c r="L15" s="252"/>
      <c r="M15" s="104"/>
      <c r="O15" s="521"/>
      <c r="P15" s="521"/>
      <c r="Q15" s="521"/>
      <c r="R15" s="521"/>
      <c r="S15" s="521"/>
      <c r="T15" s="521"/>
      <c r="U15" s="521"/>
      <c r="V15" s="521"/>
      <c r="W15" s="521"/>
      <c r="X15" s="521"/>
      <c r="Y15" s="521"/>
      <c r="Z15" s="521"/>
      <c r="AA15" s="521"/>
      <c r="AB15" s="521"/>
      <c r="AC15" s="521"/>
      <c r="AD15" s="521"/>
      <c r="AE15" s="521"/>
    </row>
    <row r="16" spans="2:34" ht="48.6" customHeight="1" x14ac:dyDescent="0.3">
      <c r="D16" s="99" t="s">
        <v>94</v>
      </c>
      <c r="E16" s="108">
        <f>'Balance Sheet'!E25/'Balance Sheet'!E51</f>
        <v>1.6542199819051311</v>
      </c>
      <c r="F16" s="108">
        <f>'Balance Sheet'!F25/'Balance Sheet'!F51</f>
        <v>1.9311736746822246</v>
      </c>
      <c r="G16" s="108">
        <f>'Balance Sheet'!G25/'Balance Sheet'!G51</f>
        <v>2.2986423770250197</v>
      </c>
      <c r="H16" s="109">
        <f>'Balance Sheet'!H25/'Balance Sheet'!H51</f>
        <v>2.5515624834261574</v>
      </c>
      <c r="I16" s="109">
        <f>'Balance Sheet'!I25/'Balance Sheet'!I51</f>
        <v>2.7557948063347251</v>
      </c>
      <c r="J16" s="109">
        <f>'Balance Sheet'!J25/'Balance Sheet'!J51</f>
        <v>2.9721814835729443</v>
      </c>
      <c r="K16" s="109">
        <f>'Balance Sheet'!K25/'Balance Sheet'!K51</f>
        <v>3.1960465934098785</v>
      </c>
      <c r="L16" s="109">
        <f>'Balance Sheet'!L25/'Balance Sheet'!L51</f>
        <v>3.4329682899091498</v>
      </c>
      <c r="M16" s="104"/>
      <c r="O16" s="503" t="s">
        <v>390</v>
      </c>
      <c r="P16" s="503"/>
      <c r="Q16" s="503"/>
      <c r="R16" s="503"/>
      <c r="S16" s="503"/>
      <c r="T16" s="503"/>
      <c r="U16" s="503"/>
      <c r="V16" s="503"/>
      <c r="W16" s="503"/>
      <c r="X16" s="503"/>
      <c r="Y16" s="503"/>
      <c r="Z16" s="503"/>
      <c r="AA16" s="503"/>
      <c r="AB16" s="503"/>
      <c r="AC16" s="503"/>
      <c r="AD16" s="503"/>
      <c r="AE16" s="503"/>
    </row>
    <row r="17" spans="4:33" ht="43.2" customHeight="1" x14ac:dyDescent="0.3">
      <c r="D17" s="99" t="s">
        <v>95</v>
      </c>
      <c r="E17" s="108">
        <f>'Balance Sheet'!E25/'Balance Sheet'!E51</f>
        <v>1.6542199819051311</v>
      </c>
      <c r="F17" s="108">
        <f>'Balance Sheet'!F25/'Balance Sheet'!F51</f>
        <v>1.9311736746822246</v>
      </c>
      <c r="G17" s="108">
        <f>'Balance Sheet'!G25/'Balance Sheet'!G51</f>
        <v>2.2986423770250197</v>
      </c>
      <c r="H17" s="109">
        <f>'Balance Sheet'!H25/'Balance Sheet'!H51</f>
        <v>2.5515624834261574</v>
      </c>
      <c r="I17" s="109">
        <f>'Balance Sheet'!I25/'Balance Sheet'!I51</f>
        <v>2.7557948063347251</v>
      </c>
      <c r="J17" s="109">
        <f>'Balance Sheet'!J25/'Balance Sheet'!J51</f>
        <v>2.9721814835729443</v>
      </c>
      <c r="K17" s="109">
        <f>'Balance Sheet'!K25/'Balance Sheet'!K51</f>
        <v>3.1960465934098785</v>
      </c>
      <c r="L17" s="109">
        <f>'Balance Sheet'!L25/'Balance Sheet'!L51</f>
        <v>3.4329682899091498</v>
      </c>
      <c r="M17" s="104"/>
      <c r="O17" s="503" t="s">
        <v>391</v>
      </c>
      <c r="P17" s="503"/>
      <c r="Q17" s="503"/>
      <c r="R17" s="503"/>
      <c r="S17" s="503"/>
      <c r="T17" s="503"/>
      <c r="U17" s="503"/>
      <c r="V17" s="503"/>
      <c r="W17" s="503"/>
      <c r="X17" s="503"/>
      <c r="Y17" s="503"/>
      <c r="Z17" s="503"/>
      <c r="AA17" s="503"/>
      <c r="AB17" s="503"/>
      <c r="AC17" s="503"/>
      <c r="AD17" s="503"/>
      <c r="AE17" s="503"/>
      <c r="AG17" s="52"/>
    </row>
    <row r="18" spans="4:33" ht="44.4" customHeight="1" x14ac:dyDescent="0.3">
      <c r="D18" s="99" t="s">
        <v>220</v>
      </c>
      <c r="E18" s="108">
        <f>'Balance Sheet'!E21/'Balance Sheet'!E51</f>
        <v>0.18816078583430274</v>
      </c>
      <c r="F18" s="108">
        <f>'Balance Sheet'!F21/'Balance Sheet'!F51</f>
        <v>0.23563052948740093</v>
      </c>
      <c r="G18" s="108">
        <f>'Balance Sheet'!G21/'Balance Sheet'!G51</f>
        <v>0.33308866451281038</v>
      </c>
      <c r="H18" s="109">
        <f>'Balance Sheet'!H21/'Balance Sheet'!H51</f>
        <v>0.58600877091394732</v>
      </c>
      <c r="I18" s="109">
        <f>'Balance Sheet'!I21/'Balance Sheet'!I51</f>
        <v>0.79024109382251628</v>
      </c>
      <c r="J18" s="109">
        <f>'Balance Sheet'!J21/'Balance Sheet'!J51</f>
        <v>1.0066277710607354</v>
      </c>
      <c r="K18" s="109">
        <f>'Balance Sheet'!K21/'Balance Sheet'!K51</f>
        <v>1.230492880897669</v>
      </c>
      <c r="L18" s="109">
        <f>'Balance Sheet'!L21/'Balance Sheet'!L51</f>
        <v>1.4674145773969409</v>
      </c>
      <c r="M18" s="104"/>
      <c r="O18" s="503" t="s">
        <v>392</v>
      </c>
      <c r="P18" s="503"/>
      <c r="Q18" s="503"/>
      <c r="R18" s="503"/>
      <c r="S18" s="503"/>
      <c r="T18" s="503"/>
      <c r="U18" s="503"/>
      <c r="V18" s="503"/>
      <c r="W18" s="503"/>
      <c r="X18" s="503"/>
      <c r="Y18" s="503"/>
      <c r="Z18" s="503"/>
      <c r="AA18" s="503"/>
      <c r="AB18" s="503"/>
      <c r="AC18" s="503"/>
      <c r="AD18" s="503"/>
      <c r="AE18" s="503"/>
    </row>
    <row r="19" spans="4:33" ht="14.4" customHeight="1" x14ac:dyDescent="0.3">
      <c r="D19" s="98" t="s">
        <v>221</v>
      </c>
      <c r="E19" s="28"/>
      <c r="F19" s="28"/>
      <c r="G19" s="28"/>
      <c r="H19" s="252"/>
      <c r="I19" s="252"/>
      <c r="J19" s="252"/>
      <c r="K19" s="252"/>
      <c r="L19" s="252"/>
      <c r="M19" s="104"/>
      <c r="O19" s="524"/>
      <c r="P19" s="525"/>
      <c r="Q19" s="525"/>
      <c r="R19" s="525"/>
      <c r="S19" s="525"/>
      <c r="T19" s="525"/>
      <c r="U19" s="525"/>
      <c r="V19" s="525"/>
      <c r="W19" s="525"/>
      <c r="X19" s="525"/>
      <c r="Y19" s="525"/>
      <c r="Z19" s="525"/>
      <c r="AA19" s="525"/>
      <c r="AB19" s="525"/>
      <c r="AC19" s="525"/>
      <c r="AD19" s="525"/>
      <c r="AE19" s="526"/>
    </row>
    <row r="20" spans="4:33" ht="45" customHeight="1" x14ac:dyDescent="0.3">
      <c r="D20" s="99" t="s">
        <v>222</v>
      </c>
      <c r="E20" s="108">
        <f>-'Income Statement'!E14/'Income Statement'!E15</f>
        <v>13.941376959781882</v>
      </c>
      <c r="F20" s="108">
        <f>-'Income Statement'!F14/'Income Statement'!F15</f>
        <v>74.202954898911401</v>
      </c>
      <c r="G20" s="108">
        <f>-'Income Statement'!G14/'Income Statement'!G15</f>
        <v>78.745485812553738</v>
      </c>
      <c r="H20" s="109">
        <f>-'Income Statement'!H14/'Income Statement'!H15</f>
        <v>17.097318076308099</v>
      </c>
      <c r="I20" s="109">
        <f>-'Income Statement'!I14/'Income Statement'!I15</f>
        <v>17.192392181316123</v>
      </c>
      <c r="J20" s="109">
        <f>-'Income Statement'!J14/'Income Statement'!J15</f>
        <v>17.255868373718304</v>
      </c>
      <c r="K20" s="109">
        <f>-'Income Statement'!K14/'Income Statement'!K15</f>
        <v>17.296764985522771</v>
      </c>
      <c r="L20" s="109">
        <f>-'Income Statement'!L14/'Income Statement'!L15</f>
        <v>17.327972441679904</v>
      </c>
      <c r="M20" s="104"/>
      <c r="O20" s="503" t="s">
        <v>393</v>
      </c>
      <c r="P20" s="503"/>
      <c r="Q20" s="503"/>
      <c r="R20" s="503"/>
      <c r="S20" s="503"/>
      <c r="T20" s="503"/>
      <c r="U20" s="503"/>
      <c r="V20" s="503"/>
      <c r="W20" s="503"/>
      <c r="X20" s="503"/>
      <c r="Y20" s="503"/>
      <c r="Z20" s="503"/>
      <c r="AA20" s="503"/>
      <c r="AB20" s="503"/>
      <c r="AC20" s="503"/>
      <c r="AD20" s="503"/>
      <c r="AE20" s="503"/>
    </row>
    <row r="21" spans="4:33" ht="46.2" customHeight="1" x14ac:dyDescent="0.3">
      <c r="D21" s="99" t="s">
        <v>96</v>
      </c>
      <c r="E21" s="108">
        <f>SUM('Balance Sheet'!E38:E39,'Balance Sheet'!E45:E46)/'Balance Sheet'!E34</f>
        <v>0.10041988681311993</v>
      </c>
      <c r="F21" s="108">
        <f>SUM('Balance Sheet'!F38:F39,'Balance Sheet'!F45:F46)/'Balance Sheet'!F34</f>
        <v>4.6458191446702615E-2</v>
      </c>
      <c r="G21" s="108">
        <f>SUM('Balance Sheet'!G38:G39,'Balance Sheet'!G45:G46)/'Balance Sheet'!G34</f>
        <v>2.5836142682508997E-2</v>
      </c>
      <c r="H21" s="109">
        <f>SUM('Balance Sheet'!H38:H39,'Balance Sheet'!H45:H46)/'Balance Sheet'!H34</f>
        <v>2.2653120758172416E-2</v>
      </c>
      <c r="I21" s="109">
        <f>SUM('Balance Sheet'!I38:I39,'Balance Sheet'!I45:I46)/'Balance Sheet'!I34</f>
        <v>2.0036882053130218E-2</v>
      </c>
      <c r="J21" s="109">
        <f>SUM('Balance Sheet'!J38:J39,'Balance Sheet'!J45:J46)/'Balance Sheet'!J34</f>
        <v>1.7850131254492273E-2</v>
      </c>
      <c r="K21" s="109">
        <f>SUM('Balance Sheet'!K38:K39,'Balance Sheet'!K45:K46)/'Balance Sheet'!K34</f>
        <v>1.6037986022668406E-2</v>
      </c>
      <c r="L21" s="109">
        <f>SUM('Balance Sheet'!L38:L39,'Balance Sheet'!L45:L46)/'Balance Sheet'!L34</f>
        <v>1.4481260669705464E-2</v>
      </c>
      <c r="M21" s="104"/>
      <c r="O21" s="503" t="s">
        <v>382</v>
      </c>
      <c r="P21" s="503"/>
      <c r="Q21" s="503"/>
      <c r="R21" s="503"/>
      <c r="S21" s="503"/>
      <c r="T21" s="503"/>
      <c r="U21" s="503"/>
      <c r="V21" s="503"/>
      <c r="W21" s="503"/>
      <c r="X21" s="503"/>
      <c r="Y21" s="503"/>
      <c r="Z21" s="503"/>
      <c r="AA21" s="503"/>
      <c r="AB21" s="503"/>
      <c r="AC21" s="503"/>
      <c r="AD21" s="503"/>
      <c r="AE21" s="503"/>
    </row>
    <row r="22" spans="4:33" ht="49.95" customHeight="1" x14ac:dyDescent="0.3">
      <c r="D22" s="99" t="s">
        <v>223</v>
      </c>
      <c r="E22" s="108">
        <f>SUM('Balance Sheet'!E38:E39,'Balance Sheet'!E45:E46)/'Balance Sheet'!E27</f>
        <v>4.8914235577977624E-2</v>
      </c>
      <c r="F22" s="108">
        <f>SUM('Balance Sheet'!F38:F39,'Balance Sheet'!F45:F46)/'Balance Sheet'!F27</f>
        <v>2.2603331506238444E-2</v>
      </c>
      <c r="G22" s="108">
        <f>SUM('Balance Sheet'!G38:G39,'Balance Sheet'!G45:G46)/'Balance Sheet'!G27</f>
        <v>1.4591077178867304E-2</v>
      </c>
      <c r="H22" s="109">
        <f>SUM('Balance Sheet'!H38:H39,'Balance Sheet'!H45:H46)/'Balance Sheet'!H27</f>
        <v>1.351833701860152E-2</v>
      </c>
      <c r="I22" s="109">
        <f>SUM('Balance Sheet'!I38:I39,'Balance Sheet'!I45:I46)/'Balance Sheet'!I27</f>
        <v>1.2541145559424748E-2</v>
      </c>
      <c r="J22" s="109">
        <f>SUM('Balance Sheet'!J38:J39,'Balance Sheet'!J45:J46)/'Balance Sheet'!J27</f>
        <v>1.1648011335549626E-2</v>
      </c>
      <c r="K22" s="109">
        <f>SUM('Balance Sheet'!K38:K39,'Balance Sheet'!K45:K46)/'Balance Sheet'!K27</f>
        <v>1.0848159402354981E-2</v>
      </c>
      <c r="L22" s="109">
        <f>SUM('Balance Sheet'!L38:L39,'Balance Sheet'!L45:L46)/'Balance Sheet'!L27</f>
        <v>1.0112825849300769E-2</v>
      </c>
      <c r="M22" s="104"/>
      <c r="O22" s="503" t="s">
        <v>383</v>
      </c>
      <c r="P22" s="503"/>
      <c r="Q22" s="503"/>
      <c r="R22" s="503"/>
      <c r="S22" s="503"/>
      <c r="T22" s="503"/>
      <c r="U22" s="503"/>
      <c r="V22" s="503"/>
      <c r="W22" s="503"/>
      <c r="X22" s="503"/>
      <c r="Y22" s="503"/>
      <c r="Z22" s="503"/>
      <c r="AA22" s="503"/>
      <c r="AB22" s="503"/>
      <c r="AC22" s="503"/>
      <c r="AD22" s="503"/>
      <c r="AE22" s="503"/>
    </row>
    <row r="23" spans="4:33" ht="51" customHeight="1" x14ac:dyDescent="0.3">
      <c r="D23" s="99" t="s">
        <v>224</v>
      </c>
      <c r="E23" s="108">
        <f>'Balance Sheet'!E34/'Balance Sheet'!E27</f>
        <v>0.48709709929275624</v>
      </c>
      <c r="F23" s="108">
        <f>'Balance Sheet'!F34/'Balance Sheet'!F27</f>
        <v>0.48653059454906361</v>
      </c>
      <c r="G23" s="108">
        <f>'Balance Sheet'!G34/'Balance Sheet'!G27</f>
        <v>0.56475447431033987</v>
      </c>
      <c r="H23" s="109">
        <f>'Balance Sheet'!H34/'Balance Sheet'!H27</f>
        <v>0.5967538496312742</v>
      </c>
      <c r="I23" s="109">
        <f>'Balance Sheet'!I34/'Balance Sheet'!I27</f>
        <v>0.62590304849678624</v>
      </c>
      <c r="J23" s="109">
        <f>'Balance Sheet'!J34/'Balance Sheet'!J27</f>
        <v>0.65254485636447168</v>
      </c>
      <c r="K23" s="109">
        <f>'Balance Sheet'!K34/'Balance Sheet'!K27</f>
        <v>0.67640409381963407</v>
      </c>
      <c r="L23" s="109">
        <f>'Balance Sheet'!L34/'Balance Sheet'!L27</f>
        <v>0.6983387758813443</v>
      </c>
      <c r="M23" s="104"/>
      <c r="O23" s="503" t="s">
        <v>394</v>
      </c>
      <c r="P23" s="503"/>
      <c r="Q23" s="503"/>
      <c r="R23" s="503"/>
      <c r="S23" s="503"/>
      <c r="T23" s="503"/>
      <c r="U23" s="503"/>
      <c r="V23" s="503"/>
      <c r="W23" s="503"/>
      <c r="X23" s="503"/>
      <c r="Y23" s="503"/>
      <c r="Z23" s="503"/>
      <c r="AA23" s="503"/>
      <c r="AB23" s="503"/>
      <c r="AC23" s="503"/>
      <c r="AD23" s="503"/>
      <c r="AE23" s="503"/>
      <c r="AG23" s="52"/>
    </row>
    <row r="24" spans="4:33" ht="14.4" customHeight="1" x14ac:dyDescent="0.3">
      <c r="D24" s="71"/>
      <c r="E24" s="28"/>
      <c r="F24" s="28"/>
      <c r="G24" s="28"/>
      <c r="H24" s="252"/>
      <c r="I24" s="252"/>
      <c r="J24" s="252"/>
      <c r="K24" s="252"/>
      <c r="L24" s="252"/>
      <c r="M24" s="104"/>
      <c r="O24" s="521"/>
      <c r="P24" s="521"/>
      <c r="Q24" s="521"/>
      <c r="R24" s="521"/>
      <c r="S24" s="521"/>
      <c r="T24" s="521"/>
      <c r="U24" s="521"/>
      <c r="V24" s="521"/>
      <c r="W24" s="521"/>
      <c r="X24" s="521"/>
      <c r="Y24" s="521"/>
      <c r="Z24" s="521"/>
      <c r="AA24" s="521"/>
      <c r="AB24" s="521"/>
      <c r="AC24" s="521"/>
      <c r="AD24" s="521"/>
      <c r="AE24" s="521"/>
    </row>
    <row r="25" spans="4:33" ht="14.4" customHeight="1" x14ac:dyDescent="0.3">
      <c r="D25" s="98" t="s">
        <v>225</v>
      </c>
      <c r="E25" s="28"/>
      <c r="F25" s="28"/>
      <c r="G25" s="28"/>
      <c r="H25" s="252"/>
      <c r="I25" s="252"/>
      <c r="J25" s="252"/>
      <c r="K25" s="252"/>
      <c r="L25" s="252"/>
      <c r="M25" s="104"/>
      <c r="O25" s="521"/>
      <c r="P25" s="521"/>
      <c r="Q25" s="521"/>
      <c r="R25" s="521"/>
      <c r="S25" s="521"/>
      <c r="T25" s="521"/>
      <c r="U25" s="521"/>
      <c r="V25" s="521"/>
      <c r="W25" s="521"/>
      <c r="X25" s="521"/>
      <c r="Y25" s="521"/>
      <c r="Z25" s="521"/>
      <c r="AA25" s="521"/>
      <c r="AB25" s="521"/>
      <c r="AC25" s="521"/>
      <c r="AD25" s="521"/>
      <c r="AE25" s="521"/>
    </row>
    <row r="26" spans="4:33" ht="43.95" customHeight="1" x14ac:dyDescent="0.3">
      <c r="D26" s="100" t="s">
        <v>97</v>
      </c>
      <c r="E26" s="108"/>
      <c r="F26" s="108">
        <f>'Income Statement'!F8/AVERAGE('Balance Sheet'!E20:F20)</f>
        <v>5.2863798731819038</v>
      </c>
      <c r="G26" s="108">
        <f>'Income Statement'!G8/AVERAGE('Balance Sheet'!F20:G20)</f>
        <v>4.8618213206363068</v>
      </c>
      <c r="H26" s="109">
        <f>'Income Statement'!H8/AVERAGE('Balance Sheet'!G20:H20)</f>
        <v>4.581013092327745</v>
      </c>
      <c r="I26" s="109">
        <f>'Income Statement'!I8/AVERAGE('Balance Sheet'!H20:I20)</f>
        <v>4.5276153042185072</v>
      </c>
      <c r="J26" s="109">
        <f>'Income Statement'!J8/AVERAGE('Balance Sheet'!I20:J20)</f>
        <v>4.4833025364620527</v>
      </c>
      <c r="K26" s="109">
        <f>'Income Statement'!K8/AVERAGE('Balance Sheet'!J20:K20)</f>
        <v>4.4466899062516463</v>
      </c>
      <c r="L26" s="109">
        <f>'Income Statement'!L8/AVERAGE('Balance Sheet'!K20:L20)</f>
        <v>4.4165487711324118</v>
      </c>
      <c r="M26" s="104"/>
      <c r="O26" s="522" t="s">
        <v>395</v>
      </c>
      <c r="P26" s="522"/>
      <c r="Q26" s="522"/>
      <c r="R26" s="522"/>
      <c r="S26" s="522"/>
      <c r="T26" s="522"/>
      <c r="U26" s="522"/>
      <c r="V26" s="522"/>
      <c r="W26" s="522"/>
      <c r="X26" s="522"/>
      <c r="Y26" s="522"/>
      <c r="Z26" s="522"/>
      <c r="AA26" s="522"/>
      <c r="AB26" s="522"/>
      <c r="AC26" s="522"/>
      <c r="AD26" s="522"/>
      <c r="AE26" s="522"/>
    </row>
    <row r="27" spans="4:33" ht="42.6" customHeight="1" x14ac:dyDescent="0.3">
      <c r="D27" s="100" t="s">
        <v>98</v>
      </c>
      <c r="E27" s="108"/>
      <c r="F27" s="108">
        <f>-'Income Statement'!F9/AVERAGE('Balance Sheet'!E47:F47)</f>
        <v>6.128102018240603</v>
      </c>
      <c r="G27" s="108">
        <f>-'Income Statement'!G9/AVERAGE('Balance Sheet'!F47:G47)</f>
        <v>6.6001237259371246</v>
      </c>
      <c r="H27" s="109">
        <f>-'Income Statement'!H9/AVERAGE('Balance Sheet'!G47:H47)</f>
        <v>6.547472423220297</v>
      </c>
      <c r="I27" s="109">
        <f>-'Income Statement'!I9/AVERAGE('Balance Sheet'!H47:I47)</f>
        <v>6.4711529414681639</v>
      </c>
      <c r="J27" s="109">
        <f>-'Income Statement'!J9/AVERAGE('Balance Sheet'!I47:J47)</f>
        <v>6.4078183429777402</v>
      </c>
      <c r="K27" s="109">
        <f>-'Income Statement'!K9/AVERAGE('Balance Sheet'!J47:K47)</f>
        <v>6.3554892660218849</v>
      </c>
      <c r="L27" s="109">
        <f>-'Income Statement'!L9/AVERAGE('Balance Sheet'!K47:L47)</f>
        <v>6.3124096574243325</v>
      </c>
      <c r="M27" s="104"/>
      <c r="O27" s="523" t="s">
        <v>396</v>
      </c>
      <c r="P27" s="523"/>
      <c r="Q27" s="523"/>
      <c r="R27" s="523"/>
      <c r="S27" s="523"/>
      <c r="T27" s="523"/>
      <c r="U27" s="523"/>
      <c r="V27" s="523"/>
      <c r="W27" s="523"/>
      <c r="X27" s="523"/>
      <c r="Y27" s="523"/>
      <c r="Z27" s="523"/>
      <c r="AA27" s="523"/>
      <c r="AB27" s="523"/>
      <c r="AC27" s="523"/>
      <c r="AD27" s="523"/>
      <c r="AE27" s="523"/>
    </row>
    <row r="28" spans="4:33" ht="45.6" customHeight="1" x14ac:dyDescent="0.3">
      <c r="D28" s="101" t="s">
        <v>226</v>
      </c>
      <c r="E28" s="117">
        <f>'Cost Buildup'!E28</f>
        <v>0</v>
      </c>
      <c r="F28" s="117">
        <f>'Cost Buildup'!F28</f>
        <v>0</v>
      </c>
      <c r="G28" s="117">
        <f>'Cost Buildup'!G28</f>
        <v>3.8043712239714131E-2</v>
      </c>
      <c r="H28" s="118">
        <f>'Cost Buildup'!H28</f>
        <v>3.8043712239714131E-2</v>
      </c>
      <c r="I28" s="118">
        <f>'Cost Buildup'!I28</f>
        <v>3.8043712239714131E-2</v>
      </c>
      <c r="J28" s="118">
        <f>'Cost Buildup'!J28</f>
        <v>3.8043712239714131E-2</v>
      </c>
      <c r="K28" s="118">
        <f>'Cost Buildup'!K28</f>
        <v>3.8043712239714131E-2</v>
      </c>
      <c r="L28" s="118">
        <f>'Cost Buildup'!L28</f>
        <v>3.8043712239714131E-2</v>
      </c>
      <c r="M28" s="104"/>
      <c r="O28" s="503" t="s">
        <v>384</v>
      </c>
      <c r="P28" s="503"/>
      <c r="Q28" s="503"/>
      <c r="R28" s="503"/>
      <c r="S28" s="503"/>
      <c r="T28" s="503"/>
      <c r="U28" s="503"/>
      <c r="V28" s="503"/>
      <c r="W28" s="503"/>
      <c r="X28" s="503"/>
      <c r="Y28" s="503"/>
      <c r="Z28" s="503"/>
      <c r="AA28" s="503"/>
      <c r="AB28" s="503"/>
      <c r="AC28" s="503"/>
      <c r="AD28" s="503"/>
      <c r="AE28" s="503"/>
      <c r="AG28" s="52"/>
    </row>
    <row r="29" spans="4:33" ht="14.4" customHeight="1" x14ac:dyDescent="0.3">
      <c r="D29" s="102"/>
      <c r="E29" s="108"/>
      <c r="F29" s="108"/>
      <c r="G29" s="108"/>
      <c r="H29" s="109"/>
      <c r="I29" s="109"/>
      <c r="J29" s="109"/>
      <c r="K29" s="109"/>
      <c r="L29" s="109"/>
      <c r="M29" s="104"/>
      <c r="O29" s="521"/>
      <c r="P29" s="521"/>
      <c r="Q29" s="521"/>
      <c r="R29" s="521"/>
      <c r="S29" s="521"/>
      <c r="T29" s="521"/>
      <c r="U29" s="521"/>
      <c r="V29" s="521"/>
      <c r="W29" s="521"/>
      <c r="X29" s="521"/>
      <c r="Y29" s="521"/>
      <c r="Z29" s="521"/>
      <c r="AA29" s="521"/>
      <c r="AB29" s="521"/>
      <c r="AC29" s="521"/>
      <c r="AD29" s="521"/>
      <c r="AE29" s="521"/>
    </row>
    <row r="30" spans="4:33" ht="14.4" customHeight="1" x14ac:dyDescent="0.3">
      <c r="D30" s="103" t="s">
        <v>227</v>
      </c>
      <c r="E30" s="108"/>
      <c r="F30" s="108"/>
      <c r="G30" s="108"/>
      <c r="H30" s="109"/>
      <c r="I30" s="109"/>
      <c r="J30" s="109"/>
      <c r="K30" s="109"/>
      <c r="L30" s="109"/>
      <c r="M30" s="104"/>
      <c r="O30" s="521"/>
      <c r="P30" s="521"/>
      <c r="Q30" s="521"/>
      <c r="R30" s="521"/>
      <c r="S30" s="521"/>
      <c r="T30" s="521"/>
      <c r="U30" s="521"/>
      <c r="V30" s="521"/>
      <c r="W30" s="521"/>
      <c r="X30" s="521"/>
      <c r="Y30" s="521"/>
      <c r="Z30" s="521"/>
      <c r="AA30" s="521"/>
      <c r="AB30" s="521"/>
      <c r="AC30" s="521"/>
      <c r="AD30" s="521"/>
      <c r="AE30" s="521"/>
    </row>
    <row r="31" spans="4:33" ht="46.2" customHeight="1" x14ac:dyDescent="0.3">
      <c r="D31" s="101" t="s">
        <v>228</v>
      </c>
      <c r="E31" s="117">
        <f>'Income Statement'!E19/'Income Statement'!E8</f>
        <v>5.7529610829103288E-2</v>
      </c>
      <c r="F31" s="117">
        <f>'Income Statement'!F19/'Income Statement'!F8</f>
        <v>9.3794778416350769E-2</v>
      </c>
      <c r="G31" s="117">
        <f>'Income Statement'!G19/'Income Statement'!G8</f>
        <v>6.139763477733743E-2</v>
      </c>
      <c r="H31" s="118">
        <f>'Income Statement'!H19/'Income Statement'!H8</f>
        <v>5.8605533853153133E-2</v>
      </c>
      <c r="I31" s="118">
        <f>'Income Statement'!I19/'Income Statement'!I8</f>
        <v>5.8939010640862252E-2</v>
      </c>
      <c r="J31" s="118">
        <f>'Income Statement'!J19/'Income Statement'!J8</f>
        <v>5.9161656299598651E-2</v>
      </c>
      <c r="K31" s="118">
        <f>'Income Statement'!K19/'Income Statement'!K8</f>
        <v>5.8496475321155178E-2</v>
      </c>
      <c r="L31" s="118">
        <f>'Income Statement'!L19/'Income Statement'!L8</f>
        <v>5.860444439262192E-2</v>
      </c>
      <c r="M31" s="104"/>
      <c r="O31" s="523" t="s">
        <v>397</v>
      </c>
      <c r="P31" s="523"/>
      <c r="Q31" s="523"/>
      <c r="R31" s="523"/>
      <c r="S31" s="523"/>
      <c r="T31" s="523"/>
      <c r="U31" s="523"/>
      <c r="V31" s="523"/>
      <c r="W31" s="523"/>
      <c r="X31" s="523"/>
      <c r="Y31" s="523"/>
      <c r="Z31" s="523"/>
      <c r="AA31" s="523"/>
      <c r="AB31" s="523"/>
      <c r="AC31" s="523"/>
      <c r="AD31" s="523"/>
      <c r="AE31" s="523"/>
    </row>
    <row r="32" spans="4:33" ht="54.6" customHeight="1" x14ac:dyDescent="0.3">
      <c r="D32" s="101" t="s">
        <v>229</v>
      </c>
      <c r="E32" s="117">
        <f>'Income Statement'!E8/'Balance Sheet'!E27</f>
        <v>1.6747271509280723</v>
      </c>
      <c r="F32" s="117">
        <f>'Income Statement'!F8/'Balance Sheet'!F27</f>
        <v>2.3945843668806535</v>
      </c>
      <c r="G32" s="117">
        <f>'Income Statement'!G8/'Balance Sheet'!G27</f>
        <v>2.7112122920508726</v>
      </c>
      <c r="H32" s="118">
        <f>'Income Statement'!H8/'Balance Sheet'!H27</f>
        <v>2.5118831902281791</v>
      </c>
      <c r="I32" s="118">
        <f>'Income Statement'!I8/'Balance Sheet'!I27</f>
        <v>2.3303082822670067</v>
      </c>
      <c r="J32" s="118">
        <f>'Income Statement'!J8/'Balance Sheet'!J27</f>
        <v>2.164352304066258</v>
      </c>
      <c r="K32" s="118">
        <f>'Income Statement'!K8/'Balance Sheet'!K27</f>
        <v>2.0157293911370622</v>
      </c>
      <c r="L32" s="118">
        <f>'Income Statement'!L8/'Balance Sheet'!L27</f>
        <v>1.8790948340472347</v>
      </c>
      <c r="M32" s="104"/>
      <c r="O32" s="523" t="s">
        <v>398</v>
      </c>
      <c r="P32" s="523"/>
      <c r="Q32" s="523"/>
      <c r="R32" s="523"/>
      <c r="S32" s="523"/>
      <c r="T32" s="523"/>
      <c r="U32" s="523"/>
      <c r="V32" s="523"/>
      <c r="W32" s="523"/>
      <c r="X32" s="523"/>
      <c r="Y32" s="523"/>
      <c r="Z32" s="523"/>
      <c r="AA32" s="523"/>
      <c r="AB32" s="523"/>
      <c r="AC32" s="523"/>
      <c r="AD32" s="523"/>
      <c r="AE32" s="523"/>
    </row>
    <row r="33" spans="4:31" ht="45.6" customHeight="1" x14ac:dyDescent="0.3">
      <c r="D33" s="101" t="s">
        <v>230</v>
      </c>
      <c r="E33" s="117">
        <f>'Balance Sheet'!E27/'Balance Sheet'!E34</f>
        <v>2.0529787622466986</v>
      </c>
      <c r="F33" s="117">
        <f>'Balance Sheet'!F27/'Balance Sheet'!F34</f>
        <v>2.0553692022735812</v>
      </c>
      <c r="G33" s="117">
        <f>'Balance Sheet'!G27/'Balance Sheet'!G34</f>
        <v>1.770680969320638</v>
      </c>
      <c r="H33" s="118">
        <f>'Balance Sheet'!H27/'Balance Sheet'!H34</f>
        <v>1.6757328010835386</v>
      </c>
      <c r="I33" s="118">
        <f>'Balance Sheet'!I27/'Balance Sheet'!I34</f>
        <v>1.5976915313029261</v>
      </c>
      <c r="J33" s="118">
        <f>'Balance Sheet'!J27/'Balance Sheet'!J34</f>
        <v>1.5324617001370726</v>
      </c>
      <c r="K33" s="118">
        <f>'Balance Sheet'!K27/'Balance Sheet'!K34</f>
        <v>1.4784061911172497</v>
      </c>
      <c r="L33" s="118">
        <f>'Balance Sheet'!L27/'Balance Sheet'!L34</f>
        <v>1.4319697466862578</v>
      </c>
      <c r="M33" s="104"/>
      <c r="O33" s="503" t="s">
        <v>399</v>
      </c>
      <c r="P33" s="503"/>
      <c r="Q33" s="503"/>
      <c r="R33" s="503"/>
      <c r="S33" s="503"/>
      <c r="T33" s="503"/>
      <c r="U33" s="503"/>
      <c r="V33" s="503"/>
      <c r="W33" s="503"/>
      <c r="X33" s="503"/>
      <c r="Y33" s="503"/>
      <c r="Z33" s="503"/>
      <c r="AA33" s="503"/>
      <c r="AB33" s="503"/>
      <c r="AC33" s="503"/>
      <c r="AD33" s="503"/>
      <c r="AE33" s="503"/>
    </row>
    <row r="34" spans="4:31" ht="43.2" customHeight="1" x14ac:dyDescent="0.3">
      <c r="D34" s="101" t="s">
        <v>92</v>
      </c>
      <c r="E34" s="117">
        <f t="shared" ref="E34:L34" si="1">E31*E32*E33</f>
        <v>0.19779711556015361</v>
      </c>
      <c r="F34" s="117">
        <f t="shared" si="1"/>
        <v>0.4616349158864233</v>
      </c>
      <c r="G34" s="117">
        <f t="shared" si="1"/>
        <v>0.2947511346668753</v>
      </c>
      <c r="H34" s="118">
        <f t="shared" si="1"/>
        <v>0.24668505352926162</v>
      </c>
      <c r="I34" s="118">
        <f t="shared" si="1"/>
        <v>0.21943664434113996</v>
      </c>
      <c r="J34" s="118">
        <f t="shared" si="1"/>
        <v>0.19622661319836282</v>
      </c>
      <c r="K34" s="118">
        <f t="shared" si="1"/>
        <v>0.17432340469278459</v>
      </c>
      <c r="L34" s="118">
        <f t="shared" si="1"/>
        <v>0.15769324647826155</v>
      </c>
      <c r="M34" s="104"/>
      <c r="O34" s="503" t="s">
        <v>400</v>
      </c>
      <c r="P34" s="503"/>
      <c r="Q34" s="503"/>
      <c r="R34" s="503"/>
      <c r="S34" s="503"/>
      <c r="T34" s="503"/>
      <c r="U34" s="503"/>
      <c r="V34" s="503"/>
      <c r="W34" s="503"/>
      <c r="X34" s="503"/>
      <c r="Y34" s="503"/>
      <c r="Z34" s="503"/>
      <c r="AA34" s="503"/>
      <c r="AB34" s="503"/>
      <c r="AC34" s="503"/>
      <c r="AD34" s="503"/>
      <c r="AE34" s="503"/>
    </row>
    <row r="35" spans="4:31" ht="14.4" customHeight="1" x14ac:dyDescent="0.3">
      <c r="E35" s="119"/>
      <c r="F35" s="119"/>
      <c r="G35" s="119"/>
      <c r="H35" s="119"/>
      <c r="I35" s="119"/>
      <c r="J35" s="119"/>
      <c r="K35" s="119"/>
      <c r="L35" s="119"/>
    </row>
  </sheetData>
  <mergeCells count="25">
    <mergeCell ref="O4:AE4"/>
    <mergeCell ref="O9:AE9"/>
    <mergeCell ref="O10:AE10"/>
    <mergeCell ref="D4:L4"/>
    <mergeCell ref="O17:AE17"/>
    <mergeCell ref="O18:AE18"/>
    <mergeCell ref="O19:AE19"/>
    <mergeCell ref="O33:AE33"/>
    <mergeCell ref="O11:AE11"/>
    <mergeCell ref="O12:AE12"/>
    <mergeCell ref="O13:AE13"/>
    <mergeCell ref="O14:AE15"/>
    <mergeCell ref="O16:AE16"/>
    <mergeCell ref="O34:AE34"/>
    <mergeCell ref="O28:AE28"/>
    <mergeCell ref="O29:AE30"/>
    <mergeCell ref="O20:AE20"/>
    <mergeCell ref="O21:AE21"/>
    <mergeCell ref="O22:AE22"/>
    <mergeCell ref="O23:AE23"/>
    <mergeCell ref="O24:AE25"/>
    <mergeCell ref="O26:AE26"/>
    <mergeCell ref="O27:AE27"/>
    <mergeCell ref="O31:AE31"/>
    <mergeCell ref="O32:AE32"/>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manualMax="0" manualMin="0" displayEmptyCellsAs="gap" markers="1" high="1" low="1" first="1" last="1" negative="1" xr2:uid="{C5B3CE2D-03E7-40CF-8F13-DF744A99B39D}">
          <x14:colorSeries rgb="FF376092"/>
          <x14:colorNegative rgb="FFD00000"/>
          <x14:colorAxis rgb="FF000000"/>
          <x14:colorMarkers rgb="FFD00000"/>
          <x14:colorFirst rgb="FFD00000"/>
          <x14:colorLast rgb="FFD00000"/>
          <x14:colorHigh rgb="FFD00000"/>
          <x14:colorLow rgb="FFD00000"/>
          <x14:sparklines>
            <x14:sparkline>
              <xm:f>'Ratio Analysis'!E21:L21</xm:f>
              <xm:sqref>M21</xm:sqref>
            </x14:sparkline>
            <x14:sparkline>
              <xm:f>'Ratio Analysis'!E22:L22</xm:f>
              <xm:sqref>M22</xm:sqref>
            </x14:sparkline>
            <x14:sparkline>
              <xm:f>'Ratio Analysis'!E23:L23</xm:f>
              <xm:sqref>M23</xm:sqref>
            </x14:sparkline>
            <x14:sparkline>
              <xm:f>'Ratio Analysis'!E24:L24</xm:f>
              <xm:sqref>M24</xm:sqref>
            </x14:sparkline>
            <x14:sparkline>
              <xm:f>'Ratio Analysis'!E25:L25</xm:f>
              <xm:sqref>M25</xm:sqref>
            </x14:sparkline>
            <x14:sparkline>
              <xm:f>'Ratio Analysis'!E26:L26</xm:f>
              <xm:sqref>M26</xm:sqref>
            </x14:sparkline>
            <x14:sparkline>
              <xm:f>'Ratio Analysis'!E27:L27</xm:f>
              <xm:sqref>M27</xm:sqref>
            </x14:sparkline>
            <x14:sparkline>
              <xm:f>'Ratio Analysis'!E28:L28</xm:f>
              <xm:sqref>M28</xm:sqref>
            </x14:sparkline>
          </x14:sparklines>
        </x14:sparklineGroup>
        <x14:sparklineGroup manualMax="0" manualMin="0" displayEmptyCellsAs="gap" markers="1" high="1" low="1" first="1" last="1" negative="1" xr2:uid="{D9E75065-3617-46CE-A7CC-619CAC14AC9A}">
          <x14:colorSeries rgb="FF376092"/>
          <x14:colorNegative rgb="FFD00000"/>
          <x14:colorAxis rgb="FF000000"/>
          <x14:colorMarkers rgb="FFD00000"/>
          <x14:colorFirst rgb="FFD00000"/>
          <x14:colorLast rgb="FFD00000"/>
          <x14:colorHigh rgb="FFD00000"/>
          <x14:colorLow rgb="FFD00000"/>
          <x14:sparklines>
            <x14:sparkline>
              <xm:f>'Ratio Analysis'!E29:L29</xm:f>
              <xm:sqref>M29</xm:sqref>
            </x14:sparkline>
            <x14:sparkline>
              <xm:f>'Ratio Analysis'!E30:L30</xm:f>
              <xm:sqref>M30</xm:sqref>
            </x14:sparkline>
            <x14:sparkline>
              <xm:f>'Ratio Analysis'!E31:L31</xm:f>
              <xm:sqref>M31</xm:sqref>
            </x14:sparkline>
            <x14:sparkline>
              <xm:f>'Ratio Analysis'!E32:L32</xm:f>
              <xm:sqref>M32</xm:sqref>
            </x14:sparkline>
            <x14:sparkline>
              <xm:f>'Ratio Analysis'!E33:L33</xm:f>
              <xm:sqref>M33</xm:sqref>
            </x14:sparkline>
            <x14:sparkline>
              <xm:f>'Ratio Analysis'!E34:L34</xm:f>
              <xm:sqref>M34</xm:sqref>
            </x14:sparkline>
          </x14:sparklines>
        </x14:sparklineGroup>
        <x14:sparklineGroup manualMax="0" manualMin="0" displayEmptyCellsAs="gap" markers="1" high="1" low="1" first="1" last="1" negative="1" xr2:uid="{5E0FBE40-BB16-49F0-A20A-CEFDBA549891}">
          <x14:colorSeries rgb="FF376092"/>
          <x14:colorNegative rgb="FFD00000"/>
          <x14:colorAxis rgb="FF000000"/>
          <x14:colorMarkers rgb="FFD00000"/>
          <x14:colorFirst rgb="FFD00000"/>
          <x14:colorLast rgb="FFD00000"/>
          <x14:colorHigh rgb="FFD00000"/>
          <x14:colorLow rgb="FFD00000"/>
          <x14:sparklines>
            <x14:sparkline>
              <xm:f>'Ratio Analysis'!E16:L16</xm:f>
              <xm:sqref>M16</xm:sqref>
            </x14:sparkline>
            <x14:sparkline>
              <xm:f>'Ratio Analysis'!E17:L17</xm:f>
              <xm:sqref>M17</xm:sqref>
            </x14:sparkline>
            <x14:sparkline>
              <xm:f>'Ratio Analysis'!E18:L18</xm:f>
              <xm:sqref>M18</xm:sqref>
            </x14:sparkline>
          </x14:sparklines>
        </x14:sparklineGroup>
        <x14:sparklineGroup manualMax="0" manualMin="0" displayEmptyCellsAs="gap" markers="1" high="1" low="1" first="1" last="1" negative="1" xr2:uid="{9AA7EBFC-0ACE-4839-A20D-B1E3C5430B25}">
          <x14:colorSeries rgb="FF376092"/>
          <x14:colorNegative rgb="FFD00000"/>
          <x14:colorAxis rgb="FF000000"/>
          <x14:colorMarkers rgb="FFD00000"/>
          <x14:colorFirst rgb="FFD00000"/>
          <x14:colorLast rgb="FFD00000"/>
          <x14:colorHigh rgb="FFD00000"/>
          <x14:colorLow rgb="FFD00000"/>
          <x14:sparklines>
            <x14:sparkline>
              <xm:f>'Ratio Analysis'!E9:L9</xm:f>
              <xm:sqref>M9</xm:sqref>
            </x14:sparkline>
            <x14:sparkline>
              <xm:f>'Ratio Analysis'!E10:L10</xm:f>
              <xm:sqref>M10</xm:sqref>
            </x14:sparkline>
            <x14:sparkline>
              <xm:f>'Ratio Analysis'!E11:L11</xm:f>
              <xm:sqref>M11</xm:sqref>
            </x14:sparkline>
            <x14:sparkline>
              <xm:f>'Ratio Analysis'!E12:L12</xm:f>
              <xm:sqref>M12</xm:sqref>
            </x14:sparkline>
            <x14:sparkline>
              <xm:f>'Ratio Analysis'!E13:L13</xm:f>
              <xm:sqref>M13</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426D8-9F96-485A-9BAF-791FEE4180FC}">
  <dimension ref="D3:AC541"/>
  <sheetViews>
    <sheetView showGridLines="0" topLeftCell="A4" workbookViewId="0">
      <selection activeCell="V11" sqref="V11"/>
    </sheetView>
  </sheetViews>
  <sheetFormatPr defaultColWidth="8.88671875" defaultRowHeight="13.8" x14ac:dyDescent="0.3"/>
  <cols>
    <col min="1" max="3" width="1.33203125" style="28" customWidth="1"/>
    <col min="4" max="4" width="12.109375" style="28" bestFit="1" customWidth="1"/>
    <col min="5" max="5" width="1.77734375" style="28" customWidth="1"/>
    <col min="6" max="6" width="11.88671875" style="28" bestFit="1" customWidth="1"/>
    <col min="7" max="7" width="1.77734375" style="28" customWidth="1"/>
    <col min="8" max="8" width="8.88671875" style="28"/>
    <col min="9" max="9" width="1.77734375" style="28" customWidth="1"/>
    <col min="10" max="10" width="11.5546875" style="28" bestFit="1" customWidth="1"/>
    <col min="11" max="11" width="1.77734375" style="28" customWidth="1"/>
    <col min="12" max="12" width="8.88671875" style="28"/>
    <col min="13" max="13" width="1.77734375" style="28" customWidth="1"/>
    <col min="14" max="14" width="12.88671875" style="28" bestFit="1" customWidth="1"/>
    <col min="15" max="15" width="1.77734375" style="28" customWidth="1"/>
    <col min="16" max="16" width="8.88671875" style="28"/>
    <col min="17" max="17" width="1.77734375" style="28" customWidth="1"/>
    <col min="18" max="18" width="9.6640625" style="28" bestFit="1" customWidth="1"/>
    <col min="19" max="19" width="1.77734375" style="28" customWidth="1"/>
    <col min="20" max="20" width="8.88671875" style="28"/>
    <col min="21" max="21" width="1.77734375" style="28" customWidth="1"/>
    <col min="22" max="22" width="9.6640625" style="28" bestFit="1" customWidth="1"/>
    <col min="23" max="23" width="1.77734375" style="28" customWidth="1"/>
    <col min="24" max="25" width="8.88671875" style="28"/>
    <col min="26" max="26" width="17.77734375" style="28" bestFit="1" customWidth="1"/>
    <col min="27" max="16384" width="8.88671875" style="28"/>
  </cols>
  <sheetData>
    <row r="3" spans="4:29" ht="15" customHeight="1" x14ac:dyDescent="0.3"/>
    <row r="4" spans="4:29" ht="16.95" customHeight="1" x14ac:dyDescent="0.3">
      <c r="D4" s="453" t="s">
        <v>135</v>
      </c>
      <c r="E4" s="453"/>
      <c r="F4" s="453"/>
      <c r="G4" s="453"/>
      <c r="H4" s="453"/>
      <c r="I4" s="453"/>
      <c r="J4" s="453"/>
    </row>
    <row r="6" spans="4:29" ht="16.95" customHeight="1" x14ac:dyDescent="0.3">
      <c r="D6" s="453" t="s">
        <v>136</v>
      </c>
      <c r="E6" s="453"/>
      <c r="F6" s="453"/>
      <c r="G6" s="453"/>
      <c r="H6" s="453"/>
      <c r="I6" s="453"/>
      <c r="J6" s="453"/>
      <c r="N6" s="314"/>
    </row>
    <row r="7" spans="4:29" ht="16.95" customHeight="1" x14ac:dyDescent="0.3">
      <c r="D7" s="46"/>
      <c r="E7" s="46"/>
      <c r="F7" s="46"/>
      <c r="G7" s="46"/>
      <c r="H7" s="46"/>
      <c r="I7" s="46"/>
    </row>
    <row r="9" spans="4:29" x14ac:dyDescent="0.3">
      <c r="D9" s="68" t="s">
        <v>78</v>
      </c>
      <c r="E9" s="315"/>
      <c r="F9" s="68" t="s">
        <v>288</v>
      </c>
      <c r="G9" s="315"/>
      <c r="H9" s="68" t="s">
        <v>146</v>
      </c>
      <c r="I9" s="315"/>
      <c r="J9" s="68" t="s">
        <v>290</v>
      </c>
      <c r="K9" s="315"/>
      <c r="L9" s="68" t="s">
        <v>146</v>
      </c>
      <c r="M9" s="315"/>
      <c r="N9" s="68" t="s">
        <v>289</v>
      </c>
      <c r="O9" s="315"/>
      <c r="P9" s="68" t="s">
        <v>146</v>
      </c>
      <c r="Q9" s="315"/>
      <c r="R9" s="68" t="s">
        <v>291</v>
      </c>
      <c r="S9" s="315"/>
      <c r="T9" s="68" t="s">
        <v>146</v>
      </c>
      <c r="U9" s="315"/>
      <c r="V9" s="68" t="s">
        <v>206</v>
      </c>
      <c r="W9" s="35"/>
      <c r="X9" s="68" t="s">
        <v>146</v>
      </c>
      <c r="Y9" s="35"/>
      <c r="Z9" s="51" t="s">
        <v>147</v>
      </c>
      <c r="AA9" s="51"/>
      <c r="AB9" s="135" t="s">
        <v>134</v>
      </c>
    </row>
    <row r="10" spans="4:29" x14ac:dyDescent="0.3">
      <c r="D10" s="35"/>
      <c r="E10" s="315"/>
      <c r="F10" s="35"/>
      <c r="G10" s="315"/>
      <c r="H10" s="35"/>
      <c r="I10" s="315"/>
      <c r="J10" s="35"/>
      <c r="K10" s="315"/>
      <c r="L10" s="35"/>
      <c r="M10" s="315"/>
      <c r="N10" s="35"/>
      <c r="O10" s="315"/>
      <c r="P10" s="35"/>
      <c r="Q10" s="315"/>
      <c r="R10" s="35"/>
      <c r="S10" s="315"/>
      <c r="T10" s="35"/>
      <c r="U10" s="315"/>
      <c r="V10" s="35"/>
      <c r="W10" s="35"/>
      <c r="X10" s="35"/>
      <c r="Y10" s="35"/>
      <c r="Z10" s="45"/>
      <c r="AA10" s="45"/>
      <c r="AB10" s="309"/>
    </row>
    <row r="11" spans="4:29" x14ac:dyDescent="0.3">
      <c r="D11" s="283">
        <v>45828</v>
      </c>
      <c r="E11" s="315"/>
      <c r="F11" s="316">
        <v>227.8</v>
      </c>
      <c r="G11" s="316"/>
      <c r="H11" s="316"/>
      <c r="I11" s="316"/>
      <c r="J11" s="316">
        <v>585.04999999999995</v>
      </c>
      <c r="K11" s="316"/>
      <c r="L11" s="316"/>
      <c r="M11" s="316"/>
      <c r="N11" s="316">
        <v>152.69999999999999</v>
      </c>
      <c r="O11" s="316"/>
      <c r="P11" s="316"/>
      <c r="Q11" s="316"/>
      <c r="R11" s="316">
        <v>186.95</v>
      </c>
      <c r="S11" s="316"/>
      <c r="T11" s="316"/>
      <c r="U11" s="316"/>
      <c r="V11" s="38">
        <v>25112.400000000001</v>
      </c>
      <c r="W11" s="35"/>
      <c r="X11" s="35"/>
      <c r="Y11" s="35"/>
      <c r="Z11" s="45"/>
      <c r="AA11" s="45"/>
      <c r="AB11" s="309"/>
    </row>
    <row r="12" spans="4:29" x14ac:dyDescent="0.3">
      <c r="D12" s="283">
        <v>45824</v>
      </c>
      <c r="E12" s="315"/>
      <c r="F12" s="316">
        <v>263.25</v>
      </c>
      <c r="G12" s="315"/>
      <c r="H12" s="263">
        <f>F12/F11-1</f>
        <v>0.15561896400351172</v>
      </c>
      <c r="I12" s="315"/>
      <c r="J12" s="316">
        <v>588.9</v>
      </c>
      <c r="K12" s="315"/>
      <c r="L12" s="263">
        <f>J12/J11-1</f>
        <v>6.5806341338348062E-3</v>
      </c>
      <c r="M12" s="315"/>
      <c r="N12" s="316">
        <v>157.80000000000001</v>
      </c>
      <c r="O12" s="315"/>
      <c r="P12" s="263">
        <f>N12/N11-1</f>
        <v>3.3398821218074914E-2</v>
      </c>
      <c r="Q12" s="315"/>
      <c r="R12" s="38">
        <v>190.5</v>
      </c>
      <c r="S12" s="315"/>
      <c r="T12" s="263">
        <f>R12/R11-1</f>
        <v>1.8989034501203594E-2</v>
      </c>
      <c r="U12" s="315"/>
      <c r="V12" s="38">
        <v>24703.599999999999</v>
      </c>
      <c r="W12" s="35"/>
      <c r="X12" s="263">
        <f>V12/V11-1</f>
        <v>-1.6278810468135396E-2</v>
      </c>
      <c r="Y12" s="35"/>
      <c r="Z12" s="133" t="s">
        <v>308</v>
      </c>
      <c r="AA12" s="317"/>
      <c r="AB12" s="318">
        <f>SLOPE(X12:X157,H12:H157)</f>
        <v>8.5776075778716973E-2</v>
      </c>
    </row>
    <row r="13" spans="4:29" x14ac:dyDescent="0.3">
      <c r="D13" s="283">
        <v>45817</v>
      </c>
      <c r="E13" s="315"/>
      <c r="F13" s="316">
        <v>269.35000000000002</v>
      </c>
      <c r="G13" s="316"/>
      <c r="H13" s="263">
        <f>F13/F12-1</f>
        <v>2.317188983855667E-2</v>
      </c>
      <c r="I13" s="316"/>
      <c r="J13" s="316">
        <v>626.75</v>
      </c>
      <c r="K13" s="316"/>
      <c r="L13" s="263">
        <f>J13/J12-1</f>
        <v>6.4272372219392082E-2</v>
      </c>
      <c r="M13" s="316"/>
      <c r="N13" s="316">
        <v>170</v>
      </c>
      <c r="O13" s="316"/>
      <c r="P13" s="263">
        <f>N13/N12-1</f>
        <v>7.7313054499366318E-2</v>
      </c>
      <c r="Q13" s="316"/>
      <c r="R13" s="316">
        <v>187.6</v>
      </c>
      <c r="S13" s="316"/>
      <c r="T13" s="263">
        <f>R13/R12-1</f>
        <v>-1.5223097112860962E-2</v>
      </c>
      <c r="U13" s="316"/>
      <c r="V13" s="38">
        <v>25103.200000000001</v>
      </c>
      <c r="W13" s="316"/>
      <c r="X13" s="263">
        <f>V13/V12-1</f>
        <v>1.6175780048252264E-2</v>
      </c>
      <c r="Z13" s="317" t="s">
        <v>290</v>
      </c>
      <c r="AA13" s="317"/>
      <c r="AB13" s="318">
        <f>SLOPE(X12:X36,L12:L36)</f>
        <v>0.17382715918210465</v>
      </c>
    </row>
    <row r="14" spans="4:29" x14ac:dyDescent="0.3">
      <c r="D14" s="283">
        <v>45810</v>
      </c>
      <c r="F14" s="316">
        <v>264.05</v>
      </c>
      <c r="H14" s="263">
        <f>F14/F13-1</f>
        <v>-1.9677000185632121E-2</v>
      </c>
      <c r="J14" s="146">
        <v>633.20000000000005</v>
      </c>
      <c r="L14" s="263">
        <f>J14/J13-1</f>
        <v>1.0291184682887922E-2</v>
      </c>
      <c r="N14" s="316">
        <v>163.44999999999999</v>
      </c>
      <c r="P14" s="263">
        <f>N14/N13-1</f>
        <v>-3.8529411764705923E-2</v>
      </c>
      <c r="R14" s="316">
        <v>202.5</v>
      </c>
      <c r="T14" s="263">
        <f>R14/R13-1</f>
        <v>7.9424307036247477E-2</v>
      </c>
      <c r="V14" s="38">
        <v>24750.9</v>
      </c>
      <c r="X14" s="263">
        <f>V14/V13-1</f>
        <v>-1.4034067369896985E-2</v>
      </c>
      <c r="Z14" s="317" t="s">
        <v>278</v>
      </c>
      <c r="AA14" s="319"/>
      <c r="AB14" s="318">
        <f>SLOPE(X12:X274,P12:P274)</f>
        <v>5.6157543013886375E-2</v>
      </c>
    </row>
    <row r="15" spans="4:29" x14ac:dyDescent="0.3">
      <c r="D15" s="37">
        <v>45803</v>
      </c>
      <c r="F15" s="316">
        <v>257.10000000000002</v>
      </c>
      <c r="H15" s="263">
        <f>F15/F14-1</f>
        <v>-2.6320772580950558E-2</v>
      </c>
      <c r="J15" s="316">
        <v>643.65</v>
      </c>
      <c r="L15" s="263">
        <f>J15/J14-1</f>
        <v>1.6503474415666242E-2</v>
      </c>
      <c r="N15" s="316">
        <v>167.55</v>
      </c>
      <c r="P15" s="263">
        <f>N15/N14-1</f>
        <v>2.5084123585194407E-2</v>
      </c>
      <c r="R15" s="316">
        <v>196.35</v>
      </c>
      <c r="T15" s="263">
        <f>R15/R14-1</f>
        <v>-3.0370370370370381E-2</v>
      </c>
      <c r="U15" s="263"/>
      <c r="V15" s="38">
        <v>24750.7</v>
      </c>
      <c r="W15" s="263"/>
      <c r="X15" s="263">
        <f>V15/V14-1</f>
        <v>-8.0805142439466238E-6</v>
      </c>
      <c r="Z15" s="317" t="s">
        <v>279</v>
      </c>
      <c r="AA15" s="317"/>
      <c r="AB15" s="318">
        <f>SLOPE(X12:X82,T12:T82)</f>
        <v>5.9485651910803274E-2</v>
      </c>
    </row>
    <row r="16" spans="4:29" x14ac:dyDescent="0.3">
      <c r="D16" s="37">
        <v>45796</v>
      </c>
      <c r="F16" s="316">
        <v>283</v>
      </c>
      <c r="H16" s="263">
        <f t="shared" ref="H16:H79" si="0">F16/F15-1</f>
        <v>0.10073901205756508</v>
      </c>
      <c r="J16" s="316">
        <v>665.9</v>
      </c>
      <c r="L16" s="263">
        <f t="shared" ref="L16:L36" si="1">J16/J15-1</f>
        <v>3.4568476656567926E-2</v>
      </c>
      <c r="N16" s="316">
        <v>176.65</v>
      </c>
      <c r="P16" s="263">
        <f t="shared" ref="P16:P79" si="2">N16/N15-1</f>
        <v>5.4312145628170549E-2</v>
      </c>
      <c r="R16" s="316">
        <v>210.15</v>
      </c>
      <c r="T16" s="263">
        <f t="shared" ref="T16:T79" si="3">R16/R15-1</f>
        <v>7.028265851795279E-2</v>
      </c>
      <c r="U16" s="263"/>
      <c r="V16" s="38">
        <v>24853.15</v>
      </c>
      <c r="W16" s="263"/>
      <c r="X16" s="263">
        <f t="shared" ref="X16:X79" si="4">V16/V15-1</f>
        <v>4.139276868937003E-3</v>
      </c>
      <c r="AC16" s="108"/>
    </row>
    <row r="17" spans="4:24" x14ac:dyDescent="0.3">
      <c r="D17" s="37">
        <v>45789</v>
      </c>
      <c r="F17" s="316">
        <v>283.10000000000002</v>
      </c>
      <c r="H17" s="263">
        <f t="shared" si="0"/>
        <v>3.5335689045945529E-4</v>
      </c>
      <c r="J17" s="316">
        <v>648.54999999999995</v>
      </c>
      <c r="L17" s="263">
        <f t="shared" si="1"/>
        <v>-2.6054963207688853E-2</v>
      </c>
      <c r="N17" s="316">
        <v>192</v>
      </c>
      <c r="P17" s="263">
        <f t="shared" si="2"/>
        <v>8.6894990093405067E-2</v>
      </c>
      <c r="R17" s="316">
        <v>219.25</v>
      </c>
      <c r="T17" s="263">
        <f t="shared" si="3"/>
        <v>4.3302403045443638E-2</v>
      </c>
      <c r="U17" s="263"/>
      <c r="V17" s="38">
        <v>25019.8</v>
      </c>
      <c r="W17" s="263"/>
      <c r="X17" s="263">
        <f t="shared" si="4"/>
        <v>6.705387445856914E-3</v>
      </c>
    </row>
    <row r="18" spans="4:24" x14ac:dyDescent="0.3">
      <c r="D18" s="37">
        <v>45782</v>
      </c>
      <c r="F18" s="316">
        <v>223.65</v>
      </c>
      <c r="H18" s="263">
        <f t="shared" si="0"/>
        <v>-0.20999646767926528</v>
      </c>
      <c r="J18" s="316">
        <v>547.85</v>
      </c>
      <c r="L18" s="263">
        <f t="shared" si="1"/>
        <v>-0.15526944722843261</v>
      </c>
      <c r="N18" s="316">
        <v>162.94999999999999</v>
      </c>
      <c r="P18" s="263">
        <f t="shared" si="2"/>
        <v>-0.15130208333333339</v>
      </c>
      <c r="R18" s="316">
        <v>211.25</v>
      </c>
      <c r="T18" s="263">
        <f t="shared" si="3"/>
        <v>-3.6488027366020526E-2</v>
      </c>
      <c r="U18" s="263"/>
      <c r="V18" s="38">
        <v>24008</v>
      </c>
      <c r="W18" s="263"/>
      <c r="X18" s="263">
        <f t="shared" si="4"/>
        <v>-4.0439971542538311E-2</v>
      </c>
    </row>
    <row r="19" spans="4:24" x14ac:dyDescent="0.3">
      <c r="D19" s="37">
        <v>45775</v>
      </c>
      <c r="F19" s="316">
        <v>232.25</v>
      </c>
      <c r="H19" s="263">
        <f t="shared" si="0"/>
        <v>3.8452939861390645E-2</v>
      </c>
      <c r="J19" s="316">
        <v>560.1</v>
      </c>
      <c r="L19" s="263">
        <f t="shared" si="1"/>
        <v>2.2360135073469012E-2</v>
      </c>
      <c r="N19" s="316">
        <v>180.4</v>
      </c>
      <c r="P19" s="263">
        <f t="shared" si="2"/>
        <v>0.10708806382325875</v>
      </c>
      <c r="R19" s="316">
        <v>216.2</v>
      </c>
      <c r="T19" s="263">
        <f t="shared" si="3"/>
        <v>2.34319526627218E-2</v>
      </c>
      <c r="U19" s="263"/>
      <c r="V19" s="38">
        <v>24346.7</v>
      </c>
      <c r="W19" s="263"/>
      <c r="X19" s="263">
        <f t="shared" si="4"/>
        <v>1.4107797400866318E-2</v>
      </c>
    </row>
    <row r="20" spans="4:24" x14ac:dyDescent="0.3">
      <c r="D20" s="37">
        <v>45768</v>
      </c>
      <c r="F20" s="316">
        <v>245.85</v>
      </c>
      <c r="H20" s="263">
        <f t="shared" si="0"/>
        <v>5.8557588805166816E-2</v>
      </c>
      <c r="J20" s="316">
        <v>602.6</v>
      </c>
      <c r="L20" s="263">
        <f t="shared" si="1"/>
        <v>7.5879307266559559E-2</v>
      </c>
      <c r="N20" s="316">
        <v>192.15</v>
      </c>
      <c r="P20" s="263">
        <f t="shared" si="2"/>
        <v>6.5133037694013352E-2</v>
      </c>
      <c r="R20" s="316">
        <v>221.05</v>
      </c>
      <c r="T20" s="263">
        <f t="shared" si="3"/>
        <v>2.2432932469935274E-2</v>
      </c>
      <c r="U20" s="263"/>
      <c r="V20" s="38">
        <v>24039.35</v>
      </c>
      <c r="W20" s="263"/>
      <c r="X20" s="263">
        <f t="shared" si="4"/>
        <v>-1.2623887426222113E-2</v>
      </c>
    </row>
    <row r="21" spans="4:24" x14ac:dyDescent="0.3">
      <c r="D21" s="37">
        <v>45761</v>
      </c>
      <c r="F21" s="316">
        <v>239.8</v>
      </c>
      <c r="H21" s="263">
        <f t="shared" si="0"/>
        <v>-2.460850111856816E-2</v>
      </c>
      <c r="J21" s="316">
        <v>623.5</v>
      </c>
      <c r="L21" s="263">
        <f t="shared" si="1"/>
        <v>3.4683040159309675E-2</v>
      </c>
      <c r="N21" s="316">
        <v>169.35</v>
      </c>
      <c r="P21" s="263">
        <f t="shared" si="2"/>
        <v>-0.11865729898516786</v>
      </c>
      <c r="R21" s="316">
        <v>230</v>
      </c>
      <c r="T21" s="263">
        <f t="shared" si="3"/>
        <v>4.0488577244967239E-2</v>
      </c>
      <c r="U21" s="263"/>
      <c r="V21" s="38">
        <v>23851.65</v>
      </c>
      <c r="W21" s="263"/>
      <c r="X21" s="263">
        <f t="shared" si="4"/>
        <v>-7.8080314151587338E-3</v>
      </c>
    </row>
    <row r="22" spans="4:24" x14ac:dyDescent="0.3">
      <c r="D22" s="37">
        <v>45754</v>
      </c>
      <c r="F22" s="316">
        <v>232.5</v>
      </c>
      <c r="H22" s="263">
        <f t="shared" si="0"/>
        <v>-3.0442035029191072E-2</v>
      </c>
      <c r="J22" s="316">
        <v>622.79999999999995</v>
      </c>
      <c r="L22" s="263">
        <f t="shared" si="1"/>
        <v>-1.1226944667201977E-3</v>
      </c>
      <c r="N22" s="316">
        <v>159.65</v>
      </c>
      <c r="P22" s="263">
        <f t="shared" si="2"/>
        <v>-5.7277826985532854E-2</v>
      </c>
      <c r="R22" s="316">
        <v>239.6</v>
      </c>
      <c r="T22" s="263">
        <f t="shared" si="3"/>
        <v>4.1739130434782501E-2</v>
      </c>
      <c r="U22" s="263"/>
      <c r="V22" s="38">
        <v>22828.55</v>
      </c>
      <c r="W22" s="263"/>
      <c r="X22" s="263">
        <f t="shared" si="4"/>
        <v>-4.2894307102443685E-2</v>
      </c>
    </row>
    <row r="23" spans="4:24" x14ac:dyDescent="0.3">
      <c r="D23" s="37">
        <v>45747</v>
      </c>
      <c r="F23" s="316">
        <v>224.8</v>
      </c>
      <c r="H23" s="263">
        <f t="shared" si="0"/>
        <v>-3.3118279569892439E-2</v>
      </c>
      <c r="J23" s="316">
        <v>679.5</v>
      </c>
      <c r="L23" s="263">
        <f t="shared" si="1"/>
        <v>9.1040462427745661E-2</v>
      </c>
      <c r="N23" s="316">
        <v>164.45</v>
      </c>
      <c r="P23" s="263">
        <f t="shared" si="2"/>
        <v>3.006576886940171E-2</v>
      </c>
      <c r="R23" s="316">
        <v>254.1</v>
      </c>
      <c r="T23" s="263">
        <f t="shared" si="3"/>
        <v>6.0517529215359023E-2</v>
      </c>
      <c r="U23" s="263"/>
      <c r="V23" s="38">
        <v>22904.45</v>
      </c>
      <c r="W23" s="263"/>
      <c r="X23" s="263">
        <f t="shared" si="4"/>
        <v>3.3247840971064591E-3</v>
      </c>
    </row>
    <row r="24" spans="4:24" x14ac:dyDescent="0.3">
      <c r="D24" s="37">
        <v>45740</v>
      </c>
      <c r="F24" s="316">
        <v>217.2</v>
      </c>
      <c r="H24" s="263">
        <f t="shared" si="0"/>
        <v>-3.380782918149472E-2</v>
      </c>
      <c r="J24" s="316">
        <v>671.35</v>
      </c>
      <c r="L24" s="263">
        <f t="shared" si="1"/>
        <v>-1.1994113318616551E-2</v>
      </c>
      <c r="N24" s="316">
        <v>158.19999999999999</v>
      </c>
      <c r="P24" s="263">
        <f t="shared" si="2"/>
        <v>-3.8005472788081529E-2</v>
      </c>
      <c r="R24" s="316">
        <v>235</v>
      </c>
      <c r="T24" s="263">
        <f t="shared" si="3"/>
        <v>-7.5167256985438802E-2</v>
      </c>
      <c r="U24" s="263"/>
      <c r="V24" s="38">
        <v>23519.35</v>
      </c>
      <c r="W24" s="263"/>
      <c r="X24" s="263">
        <f t="shared" si="4"/>
        <v>2.6846311524616251E-2</v>
      </c>
    </row>
    <row r="25" spans="4:24" x14ac:dyDescent="0.3">
      <c r="D25" s="37">
        <v>45733</v>
      </c>
      <c r="F25" s="316">
        <v>233.45</v>
      </c>
      <c r="H25" s="263">
        <f t="shared" si="0"/>
        <v>7.4815837937384888E-2</v>
      </c>
      <c r="J25" s="316">
        <v>655.6</v>
      </c>
      <c r="L25" s="263">
        <f t="shared" si="1"/>
        <v>-2.3460192150145276E-2</v>
      </c>
      <c r="N25" s="316">
        <v>174.85</v>
      </c>
      <c r="P25" s="263">
        <f t="shared" si="2"/>
        <v>0.10524652338811635</v>
      </c>
      <c r="R25" s="316">
        <v>251.35</v>
      </c>
      <c r="T25" s="263">
        <f t="shared" si="3"/>
        <v>6.9574468085106256E-2</v>
      </c>
      <c r="U25" s="263"/>
      <c r="V25" s="38">
        <v>23350.400000000001</v>
      </c>
      <c r="W25" s="263"/>
      <c r="X25" s="263">
        <f t="shared" si="4"/>
        <v>-7.1834468214468927E-3</v>
      </c>
    </row>
    <row r="26" spans="4:24" x14ac:dyDescent="0.3">
      <c r="D26" s="37">
        <v>45726</v>
      </c>
      <c r="F26" s="316">
        <v>218.4</v>
      </c>
      <c r="H26" s="263">
        <f t="shared" si="0"/>
        <v>-6.4467766116941494E-2</v>
      </c>
      <c r="J26" s="316">
        <v>577.4</v>
      </c>
      <c r="L26" s="263">
        <f t="shared" si="1"/>
        <v>-0.11928004881025023</v>
      </c>
      <c r="N26" s="316">
        <v>182.95</v>
      </c>
      <c r="P26" s="263">
        <f t="shared" si="2"/>
        <v>4.6325421790105681E-2</v>
      </c>
      <c r="R26" s="316">
        <v>228.1</v>
      </c>
      <c r="T26" s="263">
        <f t="shared" si="3"/>
        <v>-9.2500497314501717E-2</v>
      </c>
      <c r="U26" s="263"/>
      <c r="V26" s="38">
        <v>22397.200000000001</v>
      </c>
      <c r="W26" s="263"/>
      <c r="X26" s="263">
        <f t="shared" si="4"/>
        <v>-4.0821570508428162E-2</v>
      </c>
    </row>
    <row r="27" spans="4:24" x14ac:dyDescent="0.3">
      <c r="D27" s="37">
        <v>45719</v>
      </c>
      <c r="F27" s="316">
        <v>252</v>
      </c>
      <c r="H27" s="263">
        <f t="shared" si="0"/>
        <v>0.15384615384615374</v>
      </c>
      <c r="J27" s="316">
        <v>624.25</v>
      </c>
      <c r="L27" s="263">
        <f t="shared" si="1"/>
        <v>8.1139591271215838E-2</v>
      </c>
      <c r="N27" s="316">
        <v>162.19999999999999</v>
      </c>
      <c r="P27" s="263">
        <f t="shared" si="2"/>
        <v>-0.1134189669308554</v>
      </c>
      <c r="R27" s="316">
        <v>241.85</v>
      </c>
      <c r="T27" s="263">
        <f t="shared" si="3"/>
        <v>6.0280578693555409E-2</v>
      </c>
      <c r="U27" s="263"/>
      <c r="V27" s="38">
        <v>22552.5</v>
      </c>
      <c r="W27" s="263"/>
      <c r="X27" s="263">
        <f t="shared" si="4"/>
        <v>6.9339024520922443E-3</v>
      </c>
    </row>
    <row r="28" spans="4:24" x14ac:dyDescent="0.3">
      <c r="D28" s="37">
        <v>45712</v>
      </c>
      <c r="F28" s="316">
        <v>266.5</v>
      </c>
      <c r="H28" s="263">
        <f t="shared" si="0"/>
        <v>5.7539682539682557E-2</v>
      </c>
      <c r="J28" s="316">
        <v>556.4</v>
      </c>
      <c r="L28" s="263">
        <f t="shared" si="1"/>
        <v>-0.10869042851421706</v>
      </c>
      <c r="N28" s="316">
        <v>154</v>
      </c>
      <c r="P28" s="263">
        <f t="shared" si="2"/>
        <v>-5.0554870530209572E-2</v>
      </c>
      <c r="R28" s="316">
        <v>234.3</v>
      </c>
      <c r="T28" s="263">
        <f t="shared" si="3"/>
        <v>-3.1217696919578208E-2</v>
      </c>
      <c r="U28" s="263"/>
      <c r="V28" s="38">
        <v>22124.7</v>
      </c>
      <c r="W28" s="263"/>
      <c r="X28" s="263">
        <f t="shared" si="4"/>
        <v>-1.8969072164948475E-2</v>
      </c>
    </row>
    <row r="29" spans="4:24" x14ac:dyDescent="0.3">
      <c r="D29" s="37">
        <v>45705</v>
      </c>
      <c r="F29" s="316">
        <v>269.8</v>
      </c>
      <c r="H29" s="263">
        <f t="shared" si="0"/>
        <v>1.2382739212007499E-2</v>
      </c>
      <c r="J29" s="316">
        <v>620.54999999999995</v>
      </c>
      <c r="L29" s="263">
        <f t="shared" si="1"/>
        <v>0.1152947519769949</v>
      </c>
      <c r="N29" s="316">
        <v>193.1</v>
      </c>
      <c r="P29" s="263">
        <f t="shared" si="2"/>
        <v>0.25389610389610384</v>
      </c>
      <c r="R29" s="316">
        <v>261.89999999999998</v>
      </c>
      <c r="T29" s="263">
        <f t="shared" si="3"/>
        <v>0.11779769526248374</v>
      </c>
      <c r="U29" s="263"/>
      <c r="V29" s="38">
        <v>22795.9</v>
      </c>
      <c r="W29" s="263"/>
      <c r="X29" s="263">
        <f t="shared" si="4"/>
        <v>3.0337134514818231E-2</v>
      </c>
    </row>
    <row r="30" spans="4:24" x14ac:dyDescent="0.3">
      <c r="D30" s="37">
        <v>45698</v>
      </c>
      <c r="F30" s="316">
        <v>282.2</v>
      </c>
      <c r="H30" s="263">
        <f t="shared" si="0"/>
        <v>4.5959970348406154E-2</v>
      </c>
      <c r="J30" s="316">
        <v>612.85</v>
      </c>
      <c r="L30" s="263">
        <f t="shared" si="1"/>
        <v>-1.2408347433727984E-2</v>
      </c>
      <c r="N30" s="316">
        <v>180.85</v>
      </c>
      <c r="P30" s="263">
        <f t="shared" si="2"/>
        <v>-6.3438632832729103E-2</v>
      </c>
      <c r="R30" s="316">
        <v>267.60000000000002</v>
      </c>
      <c r="T30" s="263">
        <f t="shared" si="3"/>
        <v>2.1764032073310569E-2</v>
      </c>
      <c r="U30" s="263"/>
      <c r="V30" s="38">
        <v>22929.25</v>
      </c>
      <c r="W30" s="263"/>
      <c r="X30" s="263">
        <f t="shared" si="4"/>
        <v>5.8497361367613188E-3</v>
      </c>
    </row>
    <row r="31" spans="4:24" x14ac:dyDescent="0.3">
      <c r="D31" s="37">
        <v>45691</v>
      </c>
      <c r="F31" s="316">
        <v>361.2</v>
      </c>
      <c r="H31" s="263">
        <f t="shared" si="0"/>
        <v>0.27994330262225375</v>
      </c>
      <c r="J31" s="316">
        <v>756</v>
      </c>
      <c r="L31" s="263">
        <f t="shared" si="1"/>
        <v>0.2335808109651627</v>
      </c>
      <c r="N31" s="316">
        <v>222.7</v>
      </c>
      <c r="P31" s="263">
        <f t="shared" si="2"/>
        <v>0.23140724357202092</v>
      </c>
      <c r="R31" s="316">
        <v>338.3</v>
      </c>
      <c r="T31" s="263">
        <f t="shared" si="3"/>
        <v>0.26420029895366204</v>
      </c>
      <c r="U31" s="263"/>
      <c r="V31" s="38">
        <v>23559.95</v>
      </c>
      <c r="W31" s="263"/>
      <c r="X31" s="263">
        <f t="shared" si="4"/>
        <v>2.7506351058146361E-2</v>
      </c>
    </row>
    <row r="32" spans="4:24" x14ac:dyDescent="0.3">
      <c r="D32" s="37">
        <v>45684</v>
      </c>
      <c r="F32" s="316">
        <v>385.6</v>
      </c>
      <c r="H32" s="263">
        <f t="shared" si="0"/>
        <v>6.755260243632355E-2</v>
      </c>
      <c r="J32" s="316">
        <v>830.6</v>
      </c>
      <c r="L32" s="263">
        <f t="shared" si="1"/>
        <v>9.8677248677248697E-2</v>
      </c>
      <c r="N32" s="316">
        <v>253.85</v>
      </c>
      <c r="P32" s="263">
        <f t="shared" si="2"/>
        <v>0.1398742703188145</v>
      </c>
      <c r="R32" s="316">
        <v>330.65</v>
      </c>
      <c r="T32" s="263">
        <f t="shared" si="3"/>
        <v>-2.2613065326633319E-2</v>
      </c>
      <c r="U32" s="263"/>
      <c r="V32" s="38">
        <v>23508.400000000001</v>
      </c>
      <c r="W32" s="263"/>
      <c r="X32" s="263">
        <f t="shared" si="4"/>
        <v>-2.188035203809835E-3</v>
      </c>
    </row>
    <row r="33" spans="4:24" x14ac:dyDescent="0.3">
      <c r="D33" s="37">
        <v>45677</v>
      </c>
      <c r="F33" s="316">
        <v>354.5</v>
      </c>
      <c r="H33" s="263">
        <f t="shared" si="0"/>
        <v>-8.0653526970954403E-2</v>
      </c>
      <c r="J33" s="316">
        <v>807.4</v>
      </c>
      <c r="L33" s="263">
        <f t="shared" si="1"/>
        <v>-2.7931615699494428E-2</v>
      </c>
      <c r="N33" s="316">
        <v>250.15</v>
      </c>
      <c r="P33" s="263">
        <f t="shared" si="2"/>
        <v>-1.4575536734291905E-2</v>
      </c>
      <c r="R33" s="316">
        <v>377.05</v>
      </c>
      <c r="T33" s="263">
        <f t="shared" si="3"/>
        <v>0.14032965371238482</v>
      </c>
      <c r="U33" s="263"/>
      <c r="V33" s="38">
        <v>23092.2</v>
      </c>
      <c r="W33" s="263"/>
      <c r="X33" s="263">
        <f t="shared" si="4"/>
        <v>-1.7704309948784247E-2</v>
      </c>
    </row>
    <row r="34" spans="4:24" x14ac:dyDescent="0.3">
      <c r="D34" s="37">
        <v>45670</v>
      </c>
      <c r="F34" s="316">
        <v>364.25</v>
      </c>
      <c r="H34" s="263">
        <f t="shared" si="0"/>
        <v>2.7503526093088926E-2</v>
      </c>
      <c r="J34" s="316">
        <v>874.5</v>
      </c>
      <c r="L34" s="263">
        <f t="shared" si="1"/>
        <v>8.3106267029972702E-2</v>
      </c>
      <c r="N34" s="316">
        <v>275.39999999999998</v>
      </c>
      <c r="P34" s="263">
        <f t="shared" si="2"/>
        <v>0.10093943633819702</v>
      </c>
      <c r="R34" s="316">
        <v>381.9</v>
      </c>
      <c r="T34" s="263">
        <f t="shared" si="3"/>
        <v>1.2863015515183651E-2</v>
      </c>
      <c r="U34" s="263"/>
      <c r="V34" s="38">
        <v>23203.200000000001</v>
      </c>
      <c r="W34" s="263"/>
      <c r="X34" s="263">
        <f t="shared" si="4"/>
        <v>4.8068178865590117E-3</v>
      </c>
    </row>
    <row r="35" spans="4:24" x14ac:dyDescent="0.3">
      <c r="D35" s="37">
        <v>45663</v>
      </c>
      <c r="F35" s="316">
        <v>376.15</v>
      </c>
      <c r="H35" s="263">
        <f t="shared" si="0"/>
        <v>3.2669869595058243E-2</v>
      </c>
      <c r="J35" s="316">
        <v>902.35</v>
      </c>
      <c r="L35" s="263">
        <f t="shared" si="1"/>
        <v>3.1846769582618562E-2</v>
      </c>
      <c r="N35" s="316">
        <v>288.85000000000002</v>
      </c>
      <c r="P35" s="263">
        <f t="shared" si="2"/>
        <v>4.8838053740014598E-2</v>
      </c>
      <c r="R35" s="316">
        <v>370.3</v>
      </c>
      <c r="T35" s="263">
        <f t="shared" si="3"/>
        <v>-3.0374443571615561E-2</v>
      </c>
      <c r="U35" s="263"/>
      <c r="V35" s="38">
        <v>23431.5</v>
      </c>
      <c r="W35" s="263"/>
      <c r="X35" s="263">
        <f t="shared" si="4"/>
        <v>9.8391601158460684E-3</v>
      </c>
    </row>
    <row r="36" spans="4:24" x14ac:dyDescent="0.3">
      <c r="D36" s="37">
        <v>45656</v>
      </c>
      <c r="F36" s="316">
        <v>401.3</v>
      </c>
      <c r="H36" s="263">
        <f t="shared" si="0"/>
        <v>6.6861624351987281E-2</v>
      </c>
      <c r="J36" s="316">
        <v>970.4</v>
      </c>
      <c r="L36" s="263">
        <f t="shared" si="1"/>
        <v>7.541419626530721E-2</v>
      </c>
      <c r="N36" s="316">
        <v>343.45</v>
      </c>
      <c r="P36" s="263">
        <f t="shared" si="2"/>
        <v>0.18902544573307933</v>
      </c>
      <c r="R36" s="316">
        <v>381</v>
      </c>
      <c r="T36" s="263">
        <f t="shared" si="3"/>
        <v>2.8895490143127089E-2</v>
      </c>
      <c r="U36" s="263"/>
      <c r="V36" s="38">
        <v>24004.75</v>
      </c>
      <c r="W36" s="263"/>
      <c r="X36" s="263">
        <f t="shared" si="4"/>
        <v>2.4464929688666981E-2</v>
      </c>
    </row>
    <row r="37" spans="4:24" x14ac:dyDescent="0.3">
      <c r="D37" s="37">
        <v>45649</v>
      </c>
      <c r="F37" s="316">
        <v>392.65</v>
      </c>
      <c r="H37" s="263">
        <f t="shared" si="0"/>
        <v>-2.1554946424121701E-2</v>
      </c>
      <c r="J37" s="38"/>
      <c r="L37" s="263"/>
      <c r="N37" s="316">
        <v>320.10000000000002</v>
      </c>
      <c r="P37" s="263">
        <f t="shared" si="2"/>
        <v>-6.7986606492939194E-2</v>
      </c>
      <c r="R37" s="316">
        <v>341.6</v>
      </c>
      <c r="T37" s="263">
        <f t="shared" si="3"/>
        <v>-0.10341207349081361</v>
      </c>
      <c r="U37" s="263"/>
      <c r="V37" s="38">
        <v>23813.4</v>
      </c>
      <c r="W37" s="263"/>
      <c r="X37" s="263">
        <f t="shared" si="4"/>
        <v>-7.9713390058216982E-3</v>
      </c>
    </row>
    <row r="38" spans="4:24" x14ac:dyDescent="0.3">
      <c r="D38" s="37">
        <v>45642</v>
      </c>
      <c r="F38" s="316">
        <v>400.25</v>
      </c>
      <c r="H38" s="263">
        <f t="shared" si="0"/>
        <v>1.9355660257226681E-2</v>
      </c>
      <c r="J38" s="38"/>
      <c r="L38" s="263"/>
      <c r="N38" s="316">
        <v>305.39999999999998</v>
      </c>
      <c r="P38" s="263">
        <f t="shared" si="2"/>
        <v>-4.5923149015932641E-2</v>
      </c>
      <c r="R38" s="316">
        <v>355.85</v>
      </c>
      <c r="T38" s="263">
        <f t="shared" si="3"/>
        <v>4.1715456674473073E-2</v>
      </c>
      <c r="U38" s="263"/>
      <c r="V38" s="38">
        <v>23587.5</v>
      </c>
      <c r="W38" s="263"/>
      <c r="X38" s="263">
        <f t="shared" si="4"/>
        <v>-9.4862556375822082E-3</v>
      </c>
    </row>
    <row r="39" spans="4:24" x14ac:dyDescent="0.3">
      <c r="D39" s="37">
        <v>45635</v>
      </c>
      <c r="F39" s="316">
        <v>410.95</v>
      </c>
      <c r="H39" s="263">
        <f t="shared" si="0"/>
        <v>2.6733291692692118E-2</v>
      </c>
      <c r="J39" s="38"/>
      <c r="L39" s="263"/>
      <c r="N39" s="316">
        <v>328.65</v>
      </c>
      <c r="P39" s="263">
        <f t="shared" si="2"/>
        <v>7.6129666011787833E-2</v>
      </c>
      <c r="R39" s="316">
        <v>347</v>
      </c>
      <c r="T39" s="263">
        <f t="shared" si="3"/>
        <v>-2.4870029506814717E-2</v>
      </c>
      <c r="U39" s="263"/>
      <c r="V39" s="38">
        <v>24768.3</v>
      </c>
      <c r="W39" s="263"/>
      <c r="X39" s="263">
        <f t="shared" si="4"/>
        <v>5.0060413354531041E-2</v>
      </c>
    </row>
    <row r="40" spans="4:24" x14ac:dyDescent="0.3">
      <c r="D40" s="37">
        <v>45628</v>
      </c>
      <c r="F40" s="316">
        <v>425.75</v>
      </c>
      <c r="H40" s="263">
        <f t="shared" si="0"/>
        <v>3.6014113639128986E-2</v>
      </c>
      <c r="J40" s="38"/>
      <c r="L40" s="263"/>
      <c r="N40" s="316">
        <v>294.55</v>
      </c>
      <c r="P40" s="263">
        <f t="shared" si="2"/>
        <v>-0.10375779704853183</v>
      </c>
      <c r="R40" s="316">
        <v>334</v>
      </c>
      <c r="T40" s="263">
        <f t="shared" si="3"/>
        <v>-3.7463976945244948E-2</v>
      </c>
      <c r="U40" s="263"/>
      <c r="V40" s="38">
        <v>24677.8</v>
      </c>
      <c r="W40" s="263"/>
      <c r="X40" s="263">
        <f t="shared" si="4"/>
        <v>-3.653864011660013E-3</v>
      </c>
    </row>
    <row r="41" spans="4:24" x14ac:dyDescent="0.3">
      <c r="D41" s="37">
        <v>45621</v>
      </c>
      <c r="F41" s="316">
        <v>425.9</v>
      </c>
      <c r="H41" s="263">
        <f t="shared" si="0"/>
        <v>3.5231943628888374E-4</v>
      </c>
      <c r="J41" s="38"/>
      <c r="L41" s="263"/>
      <c r="N41" s="316">
        <v>252.6</v>
      </c>
      <c r="P41" s="263">
        <f t="shared" si="2"/>
        <v>-0.1424206416567646</v>
      </c>
      <c r="R41" s="316">
        <v>311.3</v>
      </c>
      <c r="T41" s="263">
        <f t="shared" si="3"/>
        <v>-6.7964071856287389E-2</v>
      </c>
      <c r="U41" s="263"/>
      <c r="V41" s="38">
        <v>24131.1</v>
      </c>
      <c r="W41" s="263"/>
      <c r="X41" s="263">
        <f t="shared" si="4"/>
        <v>-2.2153514494809179E-2</v>
      </c>
    </row>
    <row r="42" spans="4:24" x14ac:dyDescent="0.3">
      <c r="D42" s="37">
        <v>45614</v>
      </c>
      <c r="F42" s="316">
        <v>419.7</v>
      </c>
      <c r="H42" s="263">
        <f t="shared" si="0"/>
        <v>-1.4557407842216485E-2</v>
      </c>
      <c r="J42" s="38"/>
      <c r="L42" s="263"/>
      <c r="N42" s="316">
        <v>225.05</v>
      </c>
      <c r="P42" s="263">
        <f t="shared" si="2"/>
        <v>-0.10906571654790176</v>
      </c>
      <c r="R42" s="316">
        <v>245.2</v>
      </c>
      <c r="T42" s="263">
        <f t="shared" si="3"/>
        <v>-0.2123353678123997</v>
      </c>
      <c r="U42" s="263"/>
      <c r="V42" s="38">
        <v>23907.25</v>
      </c>
      <c r="W42" s="263"/>
      <c r="X42" s="263">
        <f t="shared" si="4"/>
        <v>-9.2764109385812255E-3</v>
      </c>
    </row>
    <row r="43" spans="4:24" x14ac:dyDescent="0.3">
      <c r="D43" s="37">
        <v>45607</v>
      </c>
      <c r="F43" s="316">
        <v>427.65</v>
      </c>
      <c r="H43" s="263">
        <f t="shared" si="0"/>
        <v>1.8942101501072228E-2</v>
      </c>
      <c r="J43" s="38"/>
      <c r="L43" s="263"/>
      <c r="N43" s="316">
        <v>230.8</v>
      </c>
      <c r="P43" s="263">
        <f t="shared" si="2"/>
        <v>2.5549877804932342E-2</v>
      </c>
      <c r="R43" s="316">
        <v>260.25</v>
      </c>
      <c r="T43" s="263">
        <f t="shared" si="3"/>
        <v>6.1378466557912015E-2</v>
      </c>
      <c r="U43" s="263"/>
      <c r="V43" s="38">
        <v>23532.7</v>
      </c>
      <c r="W43" s="263"/>
      <c r="X43" s="263">
        <f t="shared" si="4"/>
        <v>-1.5666795637306663E-2</v>
      </c>
    </row>
    <row r="44" spans="4:24" x14ac:dyDescent="0.3">
      <c r="D44" s="37">
        <v>45600</v>
      </c>
      <c r="F44" s="316">
        <v>462.35</v>
      </c>
      <c r="H44" s="263">
        <f t="shared" si="0"/>
        <v>8.1141120074827766E-2</v>
      </c>
      <c r="J44" s="38"/>
      <c r="L44" s="263"/>
      <c r="N44" s="316">
        <v>258.39999999999998</v>
      </c>
      <c r="P44" s="263">
        <f t="shared" si="2"/>
        <v>0.11958405545927198</v>
      </c>
      <c r="R44" s="316">
        <v>235.8</v>
      </c>
      <c r="T44" s="263">
        <f t="shared" si="3"/>
        <v>-9.394812680115272E-2</v>
      </c>
      <c r="U44" s="263"/>
      <c r="V44" s="38">
        <v>24148.2</v>
      </c>
      <c r="W44" s="263"/>
      <c r="X44" s="263">
        <f t="shared" si="4"/>
        <v>2.6155094825498049E-2</v>
      </c>
    </row>
    <row r="45" spans="4:24" x14ac:dyDescent="0.3">
      <c r="D45" s="37">
        <v>45593</v>
      </c>
      <c r="F45" s="316">
        <v>459.25</v>
      </c>
      <c r="H45" s="263">
        <f t="shared" si="0"/>
        <v>-6.7048772574889171E-3</v>
      </c>
      <c r="J45" s="38"/>
      <c r="L45" s="263"/>
      <c r="N45" s="316">
        <v>268.25</v>
      </c>
      <c r="P45" s="263">
        <f t="shared" si="2"/>
        <v>3.811919504643968E-2</v>
      </c>
      <c r="R45" s="316">
        <v>236.25</v>
      </c>
      <c r="T45" s="263">
        <f t="shared" si="3"/>
        <v>1.9083969465647499E-3</v>
      </c>
      <c r="U45" s="263"/>
      <c r="V45" s="38">
        <v>24304.35</v>
      </c>
      <c r="W45" s="263"/>
      <c r="X45" s="263">
        <f t="shared" si="4"/>
        <v>6.4663204710908584E-3</v>
      </c>
    </row>
    <row r="46" spans="4:24" x14ac:dyDescent="0.3">
      <c r="D46" s="37">
        <v>45586</v>
      </c>
      <c r="F46" s="316">
        <v>432.7</v>
      </c>
      <c r="H46" s="263">
        <f t="shared" si="0"/>
        <v>-5.7811649428415879E-2</v>
      </c>
      <c r="J46" s="38"/>
      <c r="L46" s="263"/>
      <c r="N46" s="316">
        <v>229.85</v>
      </c>
      <c r="P46" s="263">
        <f t="shared" si="2"/>
        <v>-0.14315004659832253</v>
      </c>
      <c r="R46" s="316">
        <v>221.6</v>
      </c>
      <c r="T46" s="263">
        <f t="shared" si="3"/>
        <v>-6.2010582010582072E-2</v>
      </c>
      <c r="U46" s="263"/>
      <c r="V46" s="38">
        <v>24180.799999999999</v>
      </c>
      <c r="W46" s="263"/>
      <c r="X46" s="263">
        <f t="shared" si="4"/>
        <v>-5.0834521392261189E-3</v>
      </c>
    </row>
    <row r="47" spans="4:24" x14ac:dyDescent="0.3">
      <c r="D47" s="37">
        <v>45579</v>
      </c>
      <c r="F47" s="316">
        <v>459.75</v>
      </c>
      <c r="H47" s="263">
        <f t="shared" si="0"/>
        <v>6.2514444187658835E-2</v>
      </c>
      <c r="J47" s="38"/>
      <c r="L47" s="263"/>
      <c r="N47" s="316">
        <v>241.7</v>
      </c>
      <c r="P47" s="263">
        <f t="shared" si="2"/>
        <v>5.1555362192734266E-2</v>
      </c>
      <c r="R47" s="316">
        <v>234.25</v>
      </c>
      <c r="T47" s="263">
        <f t="shared" si="3"/>
        <v>5.7084837545126277E-2</v>
      </c>
      <c r="U47" s="263"/>
      <c r="V47" s="38">
        <v>24854.05</v>
      </c>
      <c r="W47" s="263"/>
      <c r="X47" s="263">
        <f t="shared" si="4"/>
        <v>2.7842337722490562E-2</v>
      </c>
    </row>
    <row r="48" spans="4:24" x14ac:dyDescent="0.3">
      <c r="D48" s="37">
        <v>45572</v>
      </c>
      <c r="F48" s="316">
        <v>460.05</v>
      </c>
      <c r="H48" s="263">
        <f t="shared" si="0"/>
        <v>6.5252854812403172E-4</v>
      </c>
      <c r="J48" s="38"/>
      <c r="L48" s="263"/>
      <c r="N48" s="316">
        <v>281</v>
      </c>
      <c r="P48" s="263">
        <f t="shared" si="2"/>
        <v>0.16259826230864705</v>
      </c>
      <c r="R48" s="316">
        <v>244.85</v>
      </c>
      <c r="T48" s="263">
        <f t="shared" si="3"/>
        <v>4.5250800426894333E-2</v>
      </c>
      <c r="U48" s="263"/>
      <c r="V48" s="38">
        <v>24964.25</v>
      </c>
      <c r="W48" s="263"/>
      <c r="X48" s="263">
        <f t="shared" si="4"/>
        <v>4.4338850207512603E-3</v>
      </c>
    </row>
    <row r="49" spans="4:24" x14ac:dyDescent="0.3">
      <c r="D49" s="37">
        <v>45565</v>
      </c>
      <c r="F49" s="316">
        <v>462.3</v>
      </c>
      <c r="H49" s="263">
        <f t="shared" si="0"/>
        <v>4.8907727420932634E-3</v>
      </c>
      <c r="J49" s="38"/>
      <c r="L49" s="263"/>
      <c r="N49" s="316">
        <v>272.60000000000002</v>
      </c>
      <c r="P49" s="263">
        <f t="shared" si="2"/>
        <v>-2.9893238434163583E-2</v>
      </c>
      <c r="R49" s="316">
        <v>247.5</v>
      </c>
      <c r="T49" s="263">
        <f t="shared" si="3"/>
        <v>1.0822952828262178E-2</v>
      </c>
      <c r="U49" s="263"/>
      <c r="V49" s="38">
        <v>25014.6</v>
      </c>
      <c r="W49" s="263"/>
      <c r="X49" s="263">
        <f t="shared" si="4"/>
        <v>2.0168841443264363E-3</v>
      </c>
    </row>
    <row r="50" spans="4:24" x14ac:dyDescent="0.3">
      <c r="D50" s="37">
        <v>45558</v>
      </c>
      <c r="F50" s="316">
        <v>460.8</v>
      </c>
      <c r="H50" s="263">
        <f t="shared" si="0"/>
        <v>-3.2446463335495945E-3</v>
      </c>
      <c r="J50" s="38"/>
      <c r="L50" s="263"/>
      <c r="N50" s="316">
        <v>280.45</v>
      </c>
      <c r="P50" s="263">
        <f t="shared" si="2"/>
        <v>2.8796771826852474E-2</v>
      </c>
      <c r="R50" s="316">
        <v>260.43</v>
      </c>
      <c r="T50" s="263">
        <f t="shared" si="3"/>
        <v>5.2242424242424201E-2</v>
      </c>
      <c r="U50" s="263"/>
      <c r="V50" s="38">
        <v>26178.95</v>
      </c>
      <c r="W50" s="263"/>
      <c r="X50" s="263">
        <f t="shared" si="4"/>
        <v>4.6546816659071233E-2</v>
      </c>
    </row>
    <row r="51" spans="4:24" x14ac:dyDescent="0.3">
      <c r="D51" s="37">
        <v>45552</v>
      </c>
      <c r="F51" s="316">
        <v>499.85</v>
      </c>
      <c r="H51" s="263">
        <f t="shared" si="0"/>
        <v>8.474392361111116E-2</v>
      </c>
      <c r="J51" s="38"/>
      <c r="L51" s="263"/>
      <c r="N51" s="316">
        <v>271.5</v>
      </c>
      <c r="P51" s="263">
        <f t="shared" si="2"/>
        <v>-3.1912996969156726E-2</v>
      </c>
      <c r="R51" s="316">
        <v>229.65</v>
      </c>
      <c r="T51" s="263">
        <f t="shared" si="3"/>
        <v>-0.11818914871558572</v>
      </c>
      <c r="U51" s="263"/>
      <c r="V51" s="38">
        <v>25790.95</v>
      </c>
      <c r="W51" s="263"/>
      <c r="X51" s="263">
        <f t="shared" si="4"/>
        <v>-1.4821068071866894E-2</v>
      </c>
    </row>
    <row r="52" spans="4:24" x14ac:dyDescent="0.3">
      <c r="D52" s="37">
        <v>45551</v>
      </c>
      <c r="F52" s="316">
        <v>498.8</v>
      </c>
      <c r="H52" s="263">
        <f t="shared" si="0"/>
        <v>-2.100630189056707E-3</v>
      </c>
      <c r="J52" s="38"/>
      <c r="L52" s="263"/>
      <c r="N52" s="316">
        <v>293.85000000000002</v>
      </c>
      <c r="P52" s="263">
        <f t="shared" si="2"/>
        <v>8.2320441988950277E-2</v>
      </c>
      <c r="R52" s="316">
        <v>227.11</v>
      </c>
      <c r="T52" s="263">
        <f t="shared" si="3"/>
        <v>-1.1060309166122329E-2</v>
      </c>
      <c r="U52" s="263"/>
      <c r="V52" s="38">
        <v>25356.5</v>
      </c>
      <c r="W52" s="263"/>
      <c r="X52" s="263">
        <f t="shared" si="4"/>
        <v>-1.684505611464493E-2</v>
      </c>
    </row>
    <row r="53" spans="4:24" x14ac:dyDescent="0.3">
      <c r="D53" s="37">
        <v>45544</v>
      </c>
      <c r="F53" s="316">
        <v>495.36</v>
      </c>
      <c r="H53" s="263">
        <f t="shared" si="0"/>
        <v>-6.8965517241379448E-3</v>
      </c>
      <c r="J53" s="38"/>
      <c r="L53" s="263"/>
      <c r="N53" s="316">
        <v>309.39999999999998</v>
      </c>
      <c r="P53" s="263">
        <f t="shared" si="2"/>
        <v>5.2918155521524346E-2</v>
      </c>
      <c r="R53" s="316">
        <v>219.42</v>
      </c>
      <c r="T53" s="263">
        <f t="shared" si="3"/>
        <v>-3.3860243934657364E-2</v>
      </c>
      <c r="U53" s="263"/>
      <c r="V53" s="38">
        <v>24852.15</v>
      </c>
      <c r="W53" s="263"/>
      <c r="X53" s="263">
        <f t="shared" si="4"/>
        <v>-1.9890363417664036E-2</v>
      </c>
    </row>
    <row r="54" spans="4:24" x14ac:dyDescent="0.3">
      <c r="D54" s="37">
        <v>45537</v>
      </c>
      <c r="F54" s="316">
        <v>478.01</v>
      </c>
      <c r="H54" s="263">
        <f t="shared" si="0"/>
        <v>-3.5025032299741632E-2</v>
      </c>
      <c r="J54" s="38"/>
      <c r="L54" s="263"/>
      <c r="N54" s="316">
        <v>324.75</v>
      </c>
      <c r="P54" s="263">
        <f t="shared" si="2"/>
        <v>4.961215255332907E-2</v>
      </c>
      <c r="R54" s="316">
        <v>229.05</v>
      </c>
      <c r="T54" s="263">
        <f t="shared" si="3"/>
        <v>4.3888433141919814E-2</v>
      </c>
      <c r="U54" s="263"/>
      <c r="V54" s="38">
        <v>25235.9</v>
      </c>
      <c r="W54" s="263"/>
      <c r="X54" s="263">
        <f t="shared" si="4"/>
        <v>1.544131996628062E-2</v>
      </c>
    </row>
    <row r="55" spans="4:24" x14ac:dyDescent="0.3">
      <c r="D55" s="37">
        <v>45530</v>
      </c>
      <c r="F55" s="316">
        <v>453.39</v>
      </c>
      <c r="H55" s="263">
        <f t="shared" si="0"/>
        <v>-5.1505198636011773E-2</v>
      </c>
      <c r="J55" s="38"/>
      <c r="L55" s="263"/>
      <c r="N55" s="316">
        <v>339.65</v>
      </c>
      <c r="P55" s="263">
        <f t="shared" si="2"/>
        <v>4.5881447267128506E-2</v>
      </c>
      <c r="R55" s="316">
        <v>248.91</v>
      </c>
      <c r="T55" s="263">
        <f t="shared" si="3"/>
        <v>8.6705959397511467E-2</v>
      </c>
      <c r="U55" s="263"/>
      <c r="V55" s="38">
        <v>24823.15</v>
      </c>
      <c r="W55" s="263"/>
      <c r="X55" s="263">
        <f t="shared" si="4"/>
        <v>-1.6355667917530181E-2</v>
      </c>
    </row>
    <row r="56" spans="4:24" x14ac:dyDescent="0.3">
      <c r="D56" s="37">
        <v>45523</v>
      </c>
      <c r="F56" s="316">
        <v>441.77</v>
      </c>
      <c r="H56" s="263">
        <f t="shared" si="0"/>
        <v>-2.5629149297514253E-2</v>
      </c>
      <c r="J56" s="38"/>
      <c r="L56" s="263"/>
      <c r="N56" s="316">
        <v>318.5</v>
      </c>
      <c r="P56" s="263">
        <f t="shared" si="2"/>
        <v>-6.2269983806859885E-2</v>
      </c>
      <c r="R56" s="316">
        <v>263.43</v>
      </c>
      <c r="T56" s="263">
        <f t="shared" si="3"/>
        <v>5.8334337712426132E-2</v>
      </c>
      <c r="U56" s="263"/>
      <c r="V56" s="38">
        <v>24541.15</v>
      </c>
      <c r="W56" s="263"/>
      <c r="X56" s="263">
        <f t="shared" si="4"/>
        <v>-1.1360363209342861E-2</v>
      </c>
    </row>
    <row r="57" spans="4:24" x14ac:dyDescent="0.3">
      <c r="D57" s="37">
        <v>45516</v>
      </c>
      <c r="F57" s="316">
        <v>463.66</v>
      </c>
      <c r="H57" s="263">
        <f t="shared" si="0"/>
        <v>4.9550671163727911E-2</v>
      </c>
      <c r="J57" s="38"/>
      <c r="L57" s="263"/>
      <c r="N57" s="316">
        <v>342.5</v>
      </c>
      <c r="P57" s="263">
        <f t="shared" si="2"/>
        <v>7.5353218210361117E-2</v>
      </c>
      <c r="R57" s="316">
        <v>243.27</v>
      </c>
      <c r="T57" s="263">
        <f t="shared" si="3"/>
        <v>-7.6528869149299572E-2</v>
      </c>
      <c r="U57" s="263"/>
      <c r="V57" s="38">
        <v>24367.5</v>
      </c>
      <c r="W57" s="263"/>
      <c r="X57" s="263">
        <f t="shared" si="4"/>
        <v>-7.0758705276647849E-3</v>
      </c>
    </row>
    <row r="58" spans="4:24" x14ac:dyDescent="0.3">
      <c r="D58" s="37">
        <v>45509</v>
      </c>
      <c r="F58" s="316">
        <v>459.57</v>
      </c>
      <c r="H58" s="263">
        <f t="shared" si="0"/>
        <v>-8.821118923349025E-3</v>
      </c>
      <c r="J58" s="38"/>
      <c r="L58" s="263"/>
      <c r="N58" s="316">
        <v>364.25</v>
      </c>
      <c r="P58" s="263">
        <f t="shared" si="2"/>
        <v>6.3503649635036519E-2</v>
      </c>
      <c r="R58" s="316">
        <v>238.18</v>
      </c>
      <c r="T58" s="263">
        <f t="shared" si="3"/>
        <v>-2.0923253997615854E-2</v>
      </c>
      <c r="U58" s="263"/>
      <c r="V58" s="38">
        <v>24717.7</v>
      </c>
      <c r="W58" s="263"/>
      <c r="X58" s="263">
        <f t="shared" si="4"/>
        <v>1.4371601518415877E-2</v>
      </c>
    </row>
    <row r="59" spans="4:24" x14ac:dyDescent="0.3">
      <c r="D59" s="37">
        <v>45502</v>
      </c>
      <c r="F59" s="316">
        <v>471.23</v>
      </c>
      <c r="H59" s="263">
        <f t="shared" si="0"/>
        <v>2.5371542964075067E-2</v>
      </c>
      <c r="J59" s="38"/>
      <c r="L59" s="263"/>
      <c r="N59" s="316">
        <v>394.15</v>
      </c>
      <c r="P59" s="263">
        <f t="shared" si="2"/>
        <v>8.208647906657518E-2</v>
      </c>
      <c r="R59" s="316">
        <v>251.85</v>
      </c>
      <c r="T59" s="263">
        <f t="shared" si="3"/>
        <v>5.7393567889831187E-2</v>
      </c>
      <c r="U59" s="263"/>
      <c r="V59" s="38">
        <v>24834.85</v>
      </c>
      <c r="W59" s="263"/>
      <c r="X59" s="263">
        <f t="shared" si="4"/>
        <v>4.7395186445340354E-3</v>
      </c>
    </row>
    <row r="60" spans="4:24" x14ac:dyDescent="0.3">
      <c r="D60" s="37">
        <v>45495</v>
      </c>
      <c r="F60" s="316">
        <v>467</v>
      </c>
      <c r="H60" s="263">
        <f t="shared" si="0"/>
        <v>-8.9765082868238366E-3</v>
      </c>
      <c r="J60" s="38"/>
      <c r="L60" s="263"/>
      <c r="N60" s="316">
        <v>415.7</v>
      </c>
      <c r="P60" s="263">
        <f t="shared" si="2"/>
        <v>5.46746162628442E-2</v>
      </c>
      <c r="R60" s="316">
        <v>248.06</v>
      </c>
      <c r="T60" s="263">
        <f t="shared" si="3"/>
        <v>-1.5048640063529795E-2</v>
      </c>
      <c r="U60" s="263"/>
      <c r="V60" s="38">
        <v>24530.9</v>
      </c>
      <c r="W60" s="263"/>
      <c r="X60" s="263">
        <f t="shared" si="4"/>
        <v>-1.2238849842056476E-2</v>
      </c>
    </row>
    <row r="61" spans="4:24" x14ac:dyDescent="0.3">
      <c r="D61" s="37">
        <v>45488</v>
      </c>
      <c r="F61" s="316">
        <v>473.58</v>
      </c>
      <c r="H61" s="263">
        <f t="shared" si="0"/>
        <v>1.4089935760171368E-2</v>
      </c>
      <c r="J61" s="38"/>
      <c r="L61" s="263"/>
      <c r="N61" s="316">
        <v>397.45</v>
      </c>
      <c r="P61" s="263">
        <f t="shared" si="2"/>
        <v>-4.3901852297329791E-2</v>
      </c>
      <c r="R61" s="316">
        <v>278.44</v>
      </c>
      <c r="T61" s="263">
        <f t="shared" si="3"/>
        <v>0.12247037007175687</v>
      </c>
      <c r="U61" s="263"/>
      <c r="V61" s="38">
        <v>24502.15</v>
      </c>
      <c r="W61" s="263"/>
      <c r="X61" s="263">
        <f t="shared" si="4"/>
        <v>-1.1719912436967128E-3</v>
      </c>
    </row>
    <row r="62" spans="4:24" x14ac:dyDescent="0.3">
      <c r="D62" s="37">
        <v>45481</v>
      </c>
      <c r="F62" s="316">
        <v>478.46</v>
      </c>
      <c r="H62" s="263">
        <f t="shared" si="0"/>
        <v>1.0304489209848278E-2</v>
      </c>
      <c r="J62" s="38"/>
      <c r="L62" s="263"/>
      <c r="N62" s="316">
        <v>311.5</v>
      </c>
      <c r="P62" s="263">
        <f t="shared" si="2"/>
        <v>-0.2162536168071455</v>
      </c>
      <c r="R62" s="316">
        <v>281.58999999999997</v>
      </c>
      <c r="T62" s="263">
        <f t="shared" si="3"/>
        <v>1.1313029737106683E-2</v>
      </c>
      <c r="U62" s="263"/>
      <c r="V62" s="38">
        <v>24323.85</v>
      </c>
      <c r="W62" s="263"/>
      <c r="X62" s="263">
        <f t="shared" si="4"/>
        <v>-7.2769124342150215E-3</v>
      </c>
    </row>
    <row r="63" spans="4:24" x14ac:dyDescent="0.3">
      <c r="D63" s="37">
        <v>45474</v>
      </c>
      <c r="F63" s="316">
        <v>476.17</v>
      </c>
      <c r="H63" s="263">
        <f t="shared" si="0"/>
        <v>-4.7861890231157833E-3</v>
      </c>
      <c r="J63" s="38"/>
      <c r="L63" s="263"/>
      <c r="N63" s="316">
        <v>263.55</v>
      </c>
      <c r="P63" s="263">
        <f t="shared" si="2"/>
        <v>-0.15393258426966283</v>
      </c>
      <c r="R63" s="316">
        <v>282.52999999999997</v>
      </c>
      <c r="T63" s="263">
        <f t="shared" si="3"/>
        <v>3.3381867253807762E-3</v>
      </c>
      <c r="U63" s="263"/>
      <c r="V63" s="38">
        <v>24010.6</v>
      </c>
      <c r="W63" s="263"/>
      <c r="X63" s="263">
        <f t="shared" si="4"/>
        <v>-1.2878306682535867E-2</v>
      </c>
    </row>
    <row r="64" spans="4:24" x14ac:dyDescent="0.3">
      <c r="D64" s="37">
        <v>45467</v>
      </c>
      <c r="F64" s="316">
        <v>483</v>
      </c>
      <c r="H64" s="263">
        <f t="shared" si="0"/>
        <v>1.4343616775521317E-2</v>
      </c>
      <c r="J64" s="38"/>
      <c r="L64" s="263"/>
      <c r="N64" s="316">
        <v>282.25</v>
      </c>
      <c r="P64" s="263">
        <f t="shared" si="2"/>
        <v>7.095427812559274E-2</v>
      </c>
      <c r="R64" s="316">
        <v>289.37</v>
      </c>
      <c r="T64" s="263">
        <f t="shared" si="3"/>
        <v>2.420981842636194E-2</v>
      </c>
      <c r="U64" s="263"/>
      <c r="V64" s="38">
        <v>23501.1</v>
      </c>
      <c r="W64" s="263"/>
      <c r="X64" s="263">
        <f t="shared" si="4"/>
        <v>-2.1219794590722429E-2</v>
      </c>
    </row>
    <row r="65" spans="4:24" x14ac:dyDescent="0.3">
      <c r="D65" s="37">
        <v>45460</v>
      </c>
      <c r="F65" s="316">
        <v>479.41</v>
      </c>
      <c r="H65" s="263">
        <f t="shared" si="0"/>
        <v>-7.4327122153208247E-3</v>
      </c>
      <c r="J65" s="38"/>
      <c r="L65" s="263"/>
      <c r="N65" s="316">
        <v>271.60000000000002</v>
      </c>
      <c r="P65" s="263">
        <f t="shared" si="2"/>
        <v>-3.7732506643046837E-2</v>
      </c>
      <c r="R65" s="316">
        <v>294.20999999999998</v>
      </c>
      <c r="T65" s="263">
        <f t="shared" si="3"/>
        <v>1.6725990945847702E-2</v>
      </c>
      <c r="U65" s="263"/>
      <c r="V65" s="38">
        <v>23465.599999999999</v>
      </c>
      <c r="W65" s="263"/>
      <c r="X65" s="263">
        <f t="shared" si="4"/>
        <v>-1.5105675904532045E-3</v>
      </c>
    </row>
    <row r="66" spans="4:24" x14ac:dyDescent="0.3">
      <c r="D66" s="37">
        <v>45453</v>
      </c>
      <c r="F66" s="316">
        <v>473.18</v>
      </c>
      <c r="H66" s="263">
        <f t="shared" si="0"/>
        <v>-1.2995139859410587E-2</v>
      </c>
      <c r="J66" s="38"/>
      <c r="L66" s="263"/>
      <c r="N66" s="316">
        <v>229.45</v>
      </c>
      <c r="P66" s="263">
        <f t="shared" si="2"/>
        <v>-0.15519145802650969</v>
      </c>
      <c r="R66" s="316">
        <v>271.26</v>
      </c>
      <c r="T66" s="263">
        <f t="shared" si="3"/>
        <v>-7.8005506271030867E-2</v>
      </c>
      <c r="U66" s="263"/>
      <c r="V66" s="38">
        <v>23290.15</v>
      </c>
      <c r="W66" s="263"/>
      <c r="X66" s="263">
        <f t="shared" si="4"/>
        <v>-7.4769023591980677E-3</v>
      </c>
    </row>
    <row r="67" spans="4:24" x14ac:dyDescent="0.3">
      <c r="D67" s="37">
        <v>45446</v>
      </c>
      <c r="F67" s="316">
        <v>464.8</v>
      </c>
      <c r="H67" s="263">
        <f t="shared" si="0"/>
        <v>-1.7709962382180144E-2</v>
      </c>
      <c r="J67" s="38"/>
      <c r="L67" s="263"/>
      <c r="N67" s="316">
        <v>245.1</v>
      </c>
      <c r="P67" s="263">
        <f t="shared" si="2"/>
        <v>6.8206580954456308E-2</v>
      </c>
      <c r="R67" s="316">
        <v>268.37</v>
      </c>
      <c r="T67" s="263">
        <f t="shared" si="3"/>
        <v>-1.0653985106539809E-2</v>
      </c>
      <c r="U67" s="263"/>
      <c r="V67" s="38">
        <v>22530.7</v>
      </c>
      <c r="W67" s="263"/>
      <c r="X67" s="263">
        <f t="shared" si="4"/>
        <v>-3.2608205614820029E-2</v>
      </c>
    </row>
    <row r="68" spans="4:24" x14ac:dyDescent="0.3">
      <c r="D68" s="37">
        <v>45439</v>
      </c>
      <c r="F68" s="316">
        <v>522.78</v>
      </c>
      <c r="H68" s="263">
        <f t="shared" si="0"/>
        <v>0.12474182444061954</v>
      </c>
      <c r="J68" s="38"/>
      <c r="L68" s="263"/>
      <c r="N68" s="316">
        <v>277.55</v>
      </c>
      <c r="P68" s="263">
        <f t="shared" si="2"/>
        <v>0.13239494084047343</v>
      </c>
      <c r="R68" s="316">
        <v>267.97000000000003</v>
      </c>
      <c r="T68" s="263">
        <f t="shared" si="3"/>
        <v>-1.4904795617989297E-3</v>
      </c>
      <c r="U68" s="263"/>
      <c r="V68" s="38">
        <v>22957.1</v>
      </c>
      <c r="W68" s="263"/>
      <c r="X68" s="263">
        <f t="shared" si="4"/>
        <v>1.8925288606212787E-2</v>
      </c>
    </row>
    <row r="69" spans="4:24" x14ac:dyDescent="0.3">
      <c r="D69" s="37">
        <v>45432</v>
      </c>
      <c r="F69" s="316">
        <v>516.04999999999995</v>
      </c>
      <c r="H69" s="263">
        <f t="shared" si="0"/>
        <v>-1.2873484065955121E-2</v>
      </c>
      <c r="J69" s="38"/>
      <c r="L69" s="263"/>
      <c r="N69" s="316">
        <v>272.2</v>
      </c>
      <c r="P69" s="263">
        <f t="shared" si="2"/>
        <v>-1.9275806161052178E-2</v>
      </c>
      <c r="R69" s="316">
        <v>286.63</v>
      </c>
      <c r="T69" s="263">
        <f t="shared" si="3"/>
        <v>6.9634660596335385E-2</v>
      </c>
      <c r="U69" s="263"/>
      <c r="V69" s="38">
        <v>22466.1</v>
      </c>
      <c r="W69" s="263"/>
      <c r="X69" s="263">
        <f t="shared" si="4"/>
        <v>-2.1387718832082458E-2</v>
      </c>
    </row>
    <row r="70" spans="4:24" x14ac:dyDescent="0.3">
      <c r="D70" s="37">
        <v>45425</v>
      </c>
      <c r="F70" s="316">
        <v>511.81</v>
      </c>
      <c r="H70" s="263">
        <f t="shared" si="0"/>
        <v>-8.2162581145236446E-3</v>
      </c>
      <c r="J70" s="38"/>
      <c r="L70" s="263"/>
      <c r="N70" s="316">
        <v>258.64999999999998</v>
      </c>
      <c r="P70" s="263">
        <f t="shared" si="2"/>
        <v>-4.977957384276277E-2</v>
      </c>
      <c r="R70" s="316">
        <v>278.99</v>
      </c>
      <c r="T70" s="263">
        <f t="shared" si="3"/>
        <v>-2.6654572096430851E-2</v>
      </c>
      <c r="U70" s="263"/>
      <c r="V70" s="38">
        <v>22055.200000000001</v>
      </c>
      <c r="W70" s="263"/>
      <c r="X70" s="263">
        <f t="shared" si="4"/>
        <v>-1.8289778822314418E-2</v>
      </c>
    </row>
    <row r="71" spans="4:24" x14ac:dyDescent="0.3">
      <c r="D71" s="37">
        <v>45418</v>
      </c>
      <c r="F71" s="316">
        <v>527.32000000000005</v>
      </c>
      <c r="H71" s="263">
        <f t="shared" si="0"/>
        <v>3.0304214454582867E-2</v>
      </c>
      <c r="J71" s="38"/>
      <c r="L71" s="263"/>
      <c r="N71" s="316">
        <v>285.2</v>
      </c>
      <c r="P71" s="263">
        <f t="shared" si="2"/>
        <v>0.10264836651846121</v>
      </c>
      <c r="R71" s="316">
        <v>304.04000000000002</v>
      </c>
      <c r="T71" s="263">
        <f t="shared" si="3"/>
        <v>8.9788164450338659E-2</v>
      </c>
      <c r="U71" s="263"/>
      <c r="V71" s="38">
        <v>22475.85</v>
      </c>
      <c r="W71" s="263"/>
      <c r="X71" s="263">
        <f t="shared" si="4"/>
        <v>1.9072599659037293E-2</v>
      </c>
    </row>
    <row r="72" spans="4:24" x14ac:dyDescent="0.3">
      <c r="D72" s="37">
        <v>45411</v>
      </c>
      <c r="F72" s="316">
        <v>550.54999999999995</v>
      </c>
      <c r="H72" s="263">
        <f t="shared" si="0"/>
        <v>4.4052946977167329E-2</v>
      </c>
      <c r="J72" s="38"/>
      <c r="L72" s="263"/>
      <c r="N72" s="316">
        <v>299.25</v>
      </c>
      <c r="P72" s="263">
        <f t="shared" si="2"/>
        <v>4.9263674614305808E-2</v>
      </c>
      <c r="R72" s="316">
        <v>341.31</v>
      </c>
      <c r="T72" s="263">
        <f t="shared" si="3"/>
        <v>0.12258255492698322</v>
      </c>
      <c r="U72" s="263"/>
      <c r="V72" s="38">
        <v>22419.95</v>
      </c>
      <c r="W72" s="263"/>
      <c r="X72" s="263">
        <f t="shared" si="4"/>
        <v>-2.4871139467471659E-3</v>
      </c>
    </row>
    <row r="73" spans="4:24" x14ac:dyDescent="0.3">
      <c r="D73" s="37">
        <v>45404</v>
      </c>
      <c r="F73" s="316">
        <v>510.92</v>
      </c>
      <c r="H73" s="263">
        <f t="shared" si="0"/>
        <v>-7.1982562891653723E-2</v>
      </c>
      <c r="J73" s="38"/>
      <c r="L73" s="263"/>
      <c r="N73" s="316">
        <v>268.95</v>
      </c>
      <c r="P73" s="263">
        <f t="shared" si="2"/>
        <v>-0.10125313283208026</v>
      </c>
      <c r="R73" s="316">
        <v>309.58</v>
      </c>
      <c r="T73" s="263">
        <f t="shared" si="3"/>
        <v>-9.296533942749996E-2</v>
      </c>
      <c r="U73" s="263"/>
      <c r="V73" s="38">
        <v>22147</v>
      </c>
      <c r="W73" s="263"/>
      <c r="X73" s="263">
        <f t="shared" si="4"/>
        <v>-1.2174425009868428E-2</v>
      </c>
    </row>
    <row r="74" spans="4:24" x14ac:dyDescent="0.3">
      <c r="D74" s="37">
        <v>45397</v>
      </c>
      <c r="F74" s="316">
        <v>516.15</v>
      </c>
      <c r="H74" s="263">
        <f t="shared" si="0"/>
        <v>1.0236436232678336E-2</v>
      </c>
      <c r="J74" s="38"/>
      <c r="L74" s="263"/>
      <c r="N74" s="316">
        <v>258.10000000000002</v>
      </c>
      <c r="P74" s="263">
        <f t="shared" si="2"/>
        <v>-4.0342071016917558E-2</v>
      </c>
      <c r="R74" s="316">
        <v>337.12</v>
      </c>
      <c r="T74" s="263">
        <f t="shared" si="3"/>
        <v>8.8959235092706423E-2</v>
      </c>
      <c r="U74" s="263"/>
      <c r="V74" s="38">
        <v>22519.4</v>
      </c>
      <c r="W74" s="263"/>
      <c r="X74" s="263">
        <f t="shared" si="4"/>
        <v>1.6814918499119536E-2</v>
      </c>
    </row>
    <row r="75" spans="4:24" x14ac:dyDescent="0.3">
      <c r="D75" s="37">
        <v>45390</v>
      </c>
      <c r="F75" s="316">
        <v>524.08000000000004</v>
      </c>
      <c r="H75" s="263">
        <f t="shared" si="0"/>
        <v>1.5363750847621871E-2</v>
      </c>
      <c r="J75" s="38"/>
      <c r="L75" s="263"/>
      <c r="N75" s="316">
        <v>253.4</v>
      </c>
      <c r="P75" s="263">
        <f t="shared" si="2"/>
        <v>-1.8209996125532757E-2</v>
      </c>
      <c r="R75" s="316">
        <v>346.4</v>
      </c>
      <c r="T75" s="263">
        <f t="shared" si="3"/>
        <v>2.7527289985761705E-2</v>
      </c>
      <c r="U75" s="263"/>
      <c r="V75" s="38">
        <v>22513.7</v>
      </c>
      <c r="W75" s="263"/>
      <c r="X75" s="263">
        <f t="shared" si="4"/>
        <v>-2.5311509187642134E-4</v>
      </c>
    </row>
    <row r="76" spans="4:24" x14ac:dyDescent="0.3">
      <c r="D76" s="37">
        <v>45383</v>
      </c>
      <c r="F76" s="316">
        <v>486.74</v>
      </c>
      <c r="H76" s="263">
        <f t="shared" si="0"/>
        <v>-7.1248664326057143E-2</v>
      </c>
      <c r="J76" s="38"/>
      <c r="L76" s="263"/>
      <c r="N76" s="316">
        <v>244</v>
      </c>
      <c r="P76" s="263">
        <f t="shared" si="2"/>
        <v>-3.7095501183899038E-2</v>
      </c>
      <c r="R76" s="316">
        <v>373.44</v>
      </c>
      <c r="T76" s="263">
        <f t="shared" si="3"/>
        <v>7.8060046189376564E-2</v>
      </c>
      <c r="U76" s="263"/>
      <c r="V76" s="38">
        <v>22326.9</v>
      </c>
      <c r="W76" s="263"/>
      <c r="X76" s="263">
        <f t="shared" si="4"/>
        <v>-8.2971701674979803E-3</v>
      </c>
    </row>
    <row r="77" spans="4:24" x14ac:dyDescent="0.3">
      <c r="D77" s="37">
        <v>45376</v>
      </c>
      <c r="F77" s="316">
        <v>476.82</v>
      </c>
      <c r="H77" s="263">
        <f t="shared" si="0"/>
        <v>-2.0380490611003887E-2</v>
      </c>
      <c r="J77" s="38"/>
      <c r="L77" s="263"/>
      <c r="N77" s="316">
        <v>243.1</v>
      </c>
      <c r="P77" s="263">
        <f t="shared" si="2"/>
        <v>-3.6885245901639996E-3</v>
      </c>
      <c r="R77" s="316">
        <v>393.59</v>
      </c>
      <c r="T77" s="263">
        <f t="shared" si="3"/>
        <v>5.3957797772065108E-2</v>
      </c>
      <c r="U77" s="263"/>
      <c r="V77" s="38">
        <v>22096.75</v>
      </c>
      <c r="W77" s="263"/>
      <c r="X77" s="263">
        <f t="shared" si="4"/>
        <v>-1.0308193255669229E-2</v>
      </c>
    </row>
    <row r="78" spans="4:24" x14ac:dyDescent="0.3">
      <c r="D78" s="37">
        <v>45369</v>
      </c>
      <c r="F78" s="316">
        <v>480.81</v>
      </c>
      <c r="H78" s="263">
        <f t="shared" si="0"/>
        <v>8.3679375865106653E-3</v>
      </c>
      <c r="J78" s="38"/>
      <c r="L78" s="263"/>
      <c r="N78" s="316">
        <v>237.1</v>
      </c>
      <c r="P78" s="263">
        <f t="shared" si="2"/>
        <v>-2.46812011517894E-2</v>
      </c>
      <c r="R78" s="316">
        <v>392.2</v>
      </c>
      <c r="T78" s="263">
        <f t="shared" si="3"/>
        <v>-3.5315937904926153E-3</v>
      </c>
      <c r="U78" s="263"/>
      <c r="V78" s="38">
        <v>22023.35</v>
      </c>
      <c r="W78" s="263"/>
      <c r="X78" s="263">
        <f t="shared" si="4"/>
        <v>-3.3217554617761547E-3</v>
      </c>
    </row>
    <row r="79" spans="4:24" x14ac:dyDescent="0.3">
      <c r="D79" s="37">
        <v>45362</v>
      </c>
      <c r="F79" s="316">
        <v>499</v>
      </c>
      <c r="H79" s="263">
        <f t="shared" si="0"/>
        <v>3.7831991847091295E-2</v>
      </c>
      <c r="J79" s="38"/>
      <c r="L79" s="263"/>
      <c r="N79" s="316">
        <v>260</v>
      </c>
      <c r="P79" s="263">
        <f t="shared" si="2"/>
        <v>9.6583719949388414E-2</v>
      </c>
      <c r="R79" s="316">
        <v>437.85</v>
      </c>
      <c r="T79" s="263">
        <f t="shared" si="3"/>
        <v>0.11639469658337598</v>
      </c>
      <c r="U79" s="263"/>
      <c r="V79" s="38">
        <v>22493.55</v>
      </c>
      <c r="W79" s="263"/>
      <c r="X79" s="263">
        <f t="shared" si="4"/>
        <v>2.1350067087886337E-2</v>
      </c>
    </row>
    <row r="80" spans="4:24" x14ac:dyDescent="0.3">
      <c r="D80" s="37">
        <v>45355</v>
      </c>
      <c r="F80" s="316">
        <v>531.4</v>
      </c>
      <c r="H80" s="263">
        <f t="shared" ref="H80:H143" si="5">F80/F79-1</f>
        <v>6.4929859719438765E-2</v>
      </c>
      <c r="J80" s="38"/>
      <c r="L80" s="263"/>
      <c r="N80" s="316">
        <v>283.95</v>
      </c>
      <c r="P80" s="263">
        <f t="shared" ref="P80:P143" si="6">N80/N79-1</f>
        <v>9.2115384615384599E-2</v>
      </c>
      <c r="R80" s="316">
        <v>437.85</v>
      </c>
      <c r="T80" s="263">
        <f t="shared" ref="T80:T82" si="7">R80/R79-1</f>
        <v>0</v>
      </c>
      <c r="U80" s="263"/>
      <c r="V80" s="38">
        <v>22338.75</v>
      </c>
      <c r="W80" s="263"/>
      <c r="X80" s="263">
        <f t="shared" ref="X80:X143" si="8">V80/V79-1</f>
        <v>-6.8819728322118134E-3</v>
      </c>
    </row>
    <row r="81" spans="4:24" x14ac:dyDescent="0.3">
      <c r="D81" s="37">
        <v>45348</v>
      </c>
      <c r="F81" s="316">
        <v>494.91</v>
      </c>
      <c r="H81" s="263">
        <f t="shared" si="5"/>
        <v>-6.8667670304854989E-2</v>
      </c>
      <c r="J81" s="38"/>
      <c r="L81" s="263"/>
      <c r="N81" s="316">
        <v>272.3</v>
      </c>
      <c r="P81" s="263">
        <f t="shared" si="6"/>
        <v>-4.1028350061630525E-2</v>
      </c>
      <c r="R81" s="316">
        <v>393.24</v>
      </c>
      <c r="T81" s="263">
        <f t="shared" si="7"/>
        <v>-0.10188420692017819</v>
      </c>
      <c r="U81" s="263"/>
      <c r="V81" s="38">
        <v>22212.7</v>
      </c>
      <c r="W81" s="263"/>
      <c r="X81" s="263">
        <f t="shared" si="8"/>
        <v>-5.6426612948351496E-3</v>
      </c>
    </row>
    <row r="82" spans="4:24" x14ac:dyDescent="0.3">
      <c r="D82" s="37">
        <v>45341</v>
      </c>
      <c r="F82" s="316">
        <v>504.34</v>
      </c>
      <c r="H82" s="263">
        <f t="shared" si="5"/>
        <v>1.9053969408579174E-2</v>
      </c>
      <c r="J82" s="38"/>
      <c r="L82" s="263"/>
      <c r="N82" s="316">
        <v>261.14999999999998</v>
      </c>
      <c r="P82" s="263">
        <f t="shared" si="6"/>
        <v>-4.0947484392214628E-2</v>
      </c>
      <c r="R82" s="316">
        <v>349.94</v>
      </c>
      <c r="T82" s="263">
        <f t="shared" si="7"/>
        <v>-0.11011087376665651</v>
      </c>
      <c r="U82" s="263"/>
      <c r="V82" s="38">
        <v>22040.7</v>
      </c>
      <c r="W82" s="263"/>
      <c r="X82" s="263">
        <f t="shared" si="8"/>
        <v>-7.7433180117680855E-3</v>
      </c>
    </row>
    <row r="83" spans="4:24" x14ac:dyDescent="0.3">
      <c r="D83" s="37">
        <v>45334</v>
      </c>
      <c r="F83" s="316">
        <v>512.96</v>
      </c>
      <c r="H83" s="263">
        <f t="shared" si="5"/>
        <v>1.7091644525518701E-2</v>
      </c>
      <c r="J83" s="38"/>
      <c r="L83" s="263"/>
      <c r="N83" s="316">
        <v>256</v>
      </c>
      <c r="P83" s="263">
        <f t="shared" si="6"/>
        <v>-1.9720467164464739E-2</v>
      </c>
      <c r="R83" s="38"/>
      <c r="T83" s="263"/>
      <c r="U83" s="263"/>
      <c r="V83" s="38">
        <v>21782.5</v>
      </c>
      <c r="W83" s="263"/>
      <c r="X83" s="263">
        <f t="shared" si="8"/>
        <v>-1.1714691457167858E-2</v>
      </c>
    </row>
    <row r="84" spans="4:24" x14ac:dyDescent="0.3">
      <c r="D84" s="37">
        <v>45327</v>
      </c>
      <c r="F84" s="316">
        <v>548.1</v>
      </c>
      <c r="H84" s="263">
        <f t="shared" si="5"/>
        <v>6.8504366812226936E-2</v>
      </c>
      <c r="J84" s="38"/>
      <c r="L84" s="263"/>
      <c r="N84" s="316">
        <v>263.89999999999998</v>
      </c>
      <c r="P84" s="263">
        <f t="shared" si="6"/>
        <v>3.0859374999999911E-2</v>
      </c>
      <c r="R84" s="38"/>
      <c r="T84" s="263"/>
      <c r="U84" s="263"/>
      <c r="V84" s="38">
        <v>21853.8</v>
      </c>
      <c r="W84" s="263"/>
      <c r="X84" s="263">
        <f t="shared" si="8"/>
        <v>3.273269826695735E-3</v>
      </c>
    </row>
    <row r="85" spans="4:24" x14ac:dyDescent="0.3">
      <c r="D85" s="37">
        <v>45320</v>
      </c>
      <c r="F85" s="316">
        <v>549.04999999999995</v>
      </c>
      <c r="H85" s="263">
        <f t="shared" si="5"/>
        <v>1.7332603539499392E-3</v>
      </c>
      <c r="J85" s="38"/>
      <c r="L85" s="263"/>
      <c r="N85" s="316">
        <v>245.9</v>
      </c>
      <c r="P85" s="263">
        <f t="shared" si="6"/>
        <v>-6.82076544145509E-2</v>
      </c>
      <c r="R85" s="38"/>
      <c r="T85" s="263"/>
      <c r="U85" s="263"/>
      <c r="V85" s="38">
        <v>21352.6</v>
      </c>
      <c r="W85" s="263"/>
      <c r="X85" s="263">
        <f t="shared" si="8"/>
        <v>-2.2934226541837188E-2</v>
      </c>
    </row>
    <row r="86" spans="4:24" x14ac:dyDescent="0.3">
      <c r="D86" s="37">
        <v>45313</v>
      </c>
      <c r="F86" s="316">
        <v>528.16</v>
      </c>
      <c r="H86" s="263">
        <f t="shared" si="5"/>
        <v>-3.8047536654220893E-2</v>
      </c>
      <c r="J86" s="38"/>
      <c r="L86" s="263"/>
      <c r="N86" s="316">
        <v>275.25</v>
      </c>
      <c r="P86" s="263">
        <f t="shared" si="6"/>
        <v>0.11935746238308242</v>
      </c>
      <c r="R86" s="38"/>
      <c r="T86" s="263"/>
      <c r="U86" s="263"/>
      <c r="V86" s="38">
        <v>21622.400000000001</v>
      </c>
      <c r="W86" s="263"/>
      <c r="X86" s="263">
        <f t="shared" si="8"/>
        <v>1.2635463596939234E-2</v>
      </c>
    </row>
    <row r="87" spans="4:24" x14ac:dyDescent="0.3">
      <c r="D87" s="37">
        <v>45306</v>
      </c>
      <c r="F87" s="316">
        <v>545.30999999999995</v>
      </c>
      <c r="H87" s="263">
        <f t="shared" si="5"/>
        <v>3.2471220842168913E-2</v>
      </c>
      <c r="J87" s="38"/>
      <c r="L87" s="263"/>
      <c r="N87" s="316">
        <v>272.10000000000002</v>
      </c>
      <c r="P87" s="263">
        <f t="shared" si="6"/>
        <v>-1.1444141689373244E-2</v>
      </c>
      <c r="R87" s="38"/>
      <c r="T87" s="263"/>
      <c r="U87" s="263"/>
      <c r="V87" s="38">
        <v>21894.55</v>
      </c>
      <c r="W87" s="263"/>
      <c r="X87" s="263">
        <f t="shared" si="8"/>
        <v>1.2586484386561958E-2</v>
      </c>
    </row>
    <row r="88" spans="4:24" x14ac:dyDescent="0.3">
      <c r="D88" s="37">
        <v>45299</v>
      </c>
      <c r="F88" s="316">
        <v>563.21</v>
      </c>
      <c r="H88" s="263">
        <f t="shared" si="5"/>
        <v>3.2825365388494898E-2</v>
      </c>
      <c r="J88" s="38"/>
      <c r="L88" s="263"/>
      <c r="N88" s="316">
        <v>295.60000000000002</v>
      </c>
      <c r="P88" s="263">
        <f t="shared" si="6"/>
        <v>8.6365306872473457E-2</v>
      </c>
      <c r="R88" s="38"/>
      <c r="T88" s="263"/>
      <c r="U88" s="263"/>
      <c r="V88" s="38">
        <v>21710.799999999999</v>
      </c>
      <c r="W88" s="263"/>
      <c r="X88" s="263">
        <f t="shared" si="8"/>
        <v>-8.3924995033010097E-3</v>
      </c>
    </row>
    <row r="89" spans="4:24" x14ac:dyDescent="0.3">
      <c r="D89" s="37">
        <v>45292</v>
      </c>
      <c r="F89" s="316">
        <v>539.23</v>
      </c>
      <c r="H89" s="263">
        <f t="shared" si="5"/>
        <v>-4.2577369009783261E-2</v>
      </c>
      <c r="J89" s="38"/>
      <c r="L89" s="263"/>
      <c r="N89" s="316">
        <v>231.75</v>
      </c>
      <c r="P89" s="263">
        <f t="shared" si="6"/>
        <v>-0.21600135317997304</v>
      </c>
      <c r="R89" s="38"/>
      <c r="T89" s="263"/>
      <c r="U89" s="263"/>
      <c r="V89" s="38">
        <v>21731.4</v>
      </c>
      <c r="W89" s="263"/>
      <c r="X89" s="263">
        <f t="shared" si="8"/>
        <v>9.4883652375776784E-4</v>
      </c>
    </row>
    <row r="90" spans="4:24" x14ac:dyDescent="0.3">
      <c r="D90" s="37">
        <v>45285</v>
      </c>
      <c r="F90" s="316">
        <v>540.38</v>
      </c>
      <c r="H90" s="263">
        <f t="shared" si="5"/>
        <v>2.1326706600151013E-3</v>
      </c>
      <c r="J90" s="38"/>
      <c r="L90" s="263"/>
      <c r="N90" s="316">
        <v>224.05</v>
      </c>
      <c r="P90" s="263">
        <f t="shared" si="6"/>
        <v>-3.3225458468176816E-2</v>
      </c>
      <c r="R90" s="38"/>
      <c r="T90" s="263"/>
      <c r="U90" s="263"/>
      <c r="V90" s="38">
        <v>21349.4</v>
      </c>
      <c r="W90" s="263"/>
      <c r="X90" s="263">
        <f t="shared" si="8"/>
        <v>-1.7578250825993735E-2</v>
      </c>
    </row>
    <row r="91" spans="4:24" x14ac:dyDescent="0.3">
      <c r="D91" s="37">
        <v>45278</v>
      </c>
      <c r="F91" s="316">
        <v>543.02</v>
      </c>
      <c r="H91" s="263">
        <f t="shared" si="5"/>
        <v>4.8854509789406642E-3</v>
      </c>
      <c r="J91" s="38"/>
      <c r="L91" s="263"/>
      <c r="N91" s="316">
        <v>175.65</v>
      </c>
      <c r="P91" s="263">
        <f t="shared" si="6"/>
        <v>-0.21602320910511053</v>
      </c>
      <c r="R91" s="38"/>
      <c r="T91" s="263"/>
      <c r="U91" s="263"/>
      <c r="V91" s="38">
        <v>21456.65</v>
      </c>
      <c r="W91" s="263"/>
      <c r="X91" s="263">
        <f t="shared" si="8"/>
        <v>5.023560381087977E-3</v>
      </c>
    </row>
    <row r="92" spans="4:24" x14ac:dyDescent="0.3">
      <c r="D92" s="37">
        <v>45271</v>
      </c>
      <c r="F92" s="316">
        <v>532.65</v>
      </c>
      <c r="H92" s="263">
        <f t="shared" si="5"/>
        <v>-1.9096902508194957E-2</v>
      </c>
      <c r="J92" s="38"/>
      <c r="L92" s="263"/>
      <c r="N92" s="316">
        <v>160.9</v>
      </c>
      <c r="P92" s="263">
        <f t="shared" si="6"/>
        <v>-8.397381155707373E-2</v>
      </c>
      <c r="R92" s="38"/>
      <c r="T92" s="263"/>
      <c r="U92" s="263"/>
      <c r="V92" s="38">
        <v>20969.400000000001</v>
      </c>
      <c r="W92" s="263"/>
      <c r="X92" s="263">
        <f t="shared" si="8"/>
        <v>-2.2708577527246754E-2</v>
      </c>
    </row>
    <row r="93" spans="4:24" x14ac:dyDescent="0.3">
      <c r="D93" s="37">
        <v>45264</v>
      </c>
      <c r="F93" s="316">
        <v>553.69000000000005</v>
      </c>
      <c r="H93" s="263">
        <f t="shared" si="5"/>
        <v>3.9500610156763427E-2</v>
      </c>
      <c r="J93" s="38"/>
      <c r="L93" s="263"/>
      <c r="N93" s="316">
        <v>126.35</v>
      </c>
      <c r="P93" s="263">
        <f t="shared" si="6"/>
        <v>-0.21472964574269737</v>
      </c>
      <c r="R93" s="38"/>
      <c r="T93" s="263"/>
      <c r="U93" s="263"/>
      <c r="V93" s="38">
        <v>20267.900000000001</v>
      </c>
      <c r="W93" s="263"/>
      <c r="X93" s="263">
        <f t="shared" si="8"/>
        <v>-3.3453508445639879E-2</v>
      </c>
    </row>
    <row r="94" spans="4:24" x14ac:dyDescent="0.3">
      <c r="D94" s="37">
        <v>45257</v>
      </c>
      <c r="F94" s="316">
        <v>545.41</v>
      </c>
      <c r="H94" s="263">
        <f t="shared" si="5"/>
        <v>-1.4954216258195152E-2</v>
      </c>
      <c r="J94" s="38"/>
      <c r="L94" s="263"/>
      <c r="N94" s="316">
        <v>131.30000000000001</v>
      </c>
      <c r="P94" s="263">
        <f t="shared" si="6"/>
        <v>3.9176889592402286E-2</v>
      </c>
      <c r="R94" s="38"/>
      <c r="T94" s="263"/>
      <c r="U94" s="263"/>
      <c r="V94" s="38">
        <v>19794.7</v>
      </c>
      <c r="W94" s="263"/>
      <c r="X94" s="263">
        <f t="shared" si="8"/>
        <v>-2.3347263406667706E-2</v>
      </c>
    </row>
    <row r="95" spans="4:24" x14ac:dyDescent="0.3">
      <c r="D95" s="37">
        <v>45250</v>
      </c>
      <c r="F95" s="316">
        <v>559.91999999999996</v>
      </c>
      <c r="H95" s="263">
        <f t="shared" si="5"/>
        <v>2.6603839313543931E-2</v>
      </c>
      <c r="J95" s="38"/>
      <c r="L95" s="263"/>
      <c r="N95" s="316">
        <v>114.9</v>
      </c>
      <c r="P95" s="263">
        <f t="shared" si="6"/>
        <v>-0.12490479817212496</v>
      </c>
      <c r="R95" s="38"/>
      <c r="T95" s="263"/>
      <c r="U95" s="263"/>
      <c r="V95" s="38">
        <v>19731.8</v>
      </c>
      <c r="W95" s="263"/>
      <c r="X95" s="263">
        <f t="shared" si="8"/>
        <v>-3.1776182513502116E-3</v>
      </c>
    </row>
    <row r="96" spans="4:24" x14ac:dyDescent="0.3">
      <c r="D96" s="37">
        <v>45243</v>
      </c>
      <c r="F96" s="316">
        <v>509.12</v>
      </c>
      <c r="H96" s="263">
        <f t="shared" si="5"/>
        <v>-9.0727246749535584E-2</v>
      </c>
      <c r="J96" s="38"/>
      <c r="L96" s="263"/>
      <c r="N96" s="316">
        <v>117.25</v>
      </c>
      <c r="P96" s="263">
        <f t="shared" si="6"/>
        <v>2.0452567449956494E-2</v>
      </c>
      <c r="R96" s="38"/>
      <c r="T96" s="263"/>
      <c r="U96" s="263"/>
      <c r="V96" s="38">
        <v>19425.349999999999</v>
      </c>
      <c r="W96" s="263"/>
      <c r="X96" s="263">
        <f t="shared" si="8"/>
        <v>-1.5530767593427863E-2</v>
      </c>
    </row>
    <row r="97" spans="4:24" x14ac:dyDescent="0.3">
      <c r="D97" s="37">
        <v>45236</v>
      </c>
      <c r="F97" s="316">
        <v>521.09</v>
      </c>
      <c r="H97" s="263">
        <f t="shared" si="5"/>
        <v>2.3511156505342523E-2</v>
      </c>
      <c r="J97" s="38"/>
      <c r="L97" s="263"/>
      <c r="N97" s="316">
        <v>120.4</v>
      </c>
      <c r="P97" s="263">
        <f t="shared" si="6"/>
        <v>2.6865671641790989E-2</v>
      </c>
      <c r="R97" s="38"/>
      <c r="T97" s="263"/>
      <c r="U97" s="263"/>
      <c r="V97" s="38">
        <v>19230.599999999999</v>
      </c>
      <c r="W97" s="263"/>
      <c r="X97" s="263">
        <f t="shared" si="8"/>
        <v>-1.0025559385030358E-2</v>
      </c>
    </row>
    <row r="98" spans="4:24" x14ac:dyDescent="0.3">
      <c r="D98" s="37">
        <v>45229</v>
      </c>
      <c r="F98" s="316">
        <v>488.33</v>
      </c>
      <c r="H98" s="263">
        <f t="shared" si="5"/>
        <v>-6.286821854190261E-2</v>
      </c>
      <c r="J98" s="38"/>
      <c r="L98" s="263"/>
      <c r="N98" s="316">
        <v>122.65</v>
      </c>
      <c r="P98" s="263">
        <f t="shared" si="6"/>
        <v>1.8687707641195983E-2</v>
      </c>
      <c r="R98" s="38"/>
      <c r="T98" s="263"/>
      <c r="U98" s="263"/>
      <c r="V98" s="38">
        <v>19047.25</v>
      </c>
      <c r="W98" s="263"/>
      <c r="X98" s="263">
        <f t="shared" si="8"/>
        <v>-9.5342839016983039E-3</v>
      </c>
    </row>
    <row r="99" spans="4:24" x14ac:dyDescent="0.3">
      <c r="D99" s="37">
        <v>45222</v>
      </c>
      <c r="F99" s="316">
        <v>495.61</v>
      </c>
      <c r="H99" s="263">
        <f t="shared" si="5"/>
        <v>1.4907951590113377E-2</v>
      </c>
      <c r="J99" s="38"/>
      <c r="L99" s="263"/>
      <c r="N99" s="316">
        <v>117.02</v>
      </c>
      <c r="P99" s="263">
        <f t="shared" si="6"/>
        <v>-4.5902975947819114E-2</v>
      </c>
      <c r="R99" s="38"/>
      <c r="T99" s="263"/>
      <c r="U99" s="263"/>
      <c r="V99" s="38">
        <v>19542.650000000001</v>
      </c>
      <c r="W99" s="263"/>
      <c r="X99" s="263">
        <f t="shared" si="8"/>
        <v>2.6009003924451157E-2</v>
      </c>
    </row>
    <row r="100" spans="4:24" x14ac:dyDescent="0.3">
      <c r="D100" s="37">
        <v>45215</v>
      </c>
      <c r="F100" s="316">
        <v>489.08</v>
      </c>
      <c r="H100" s="263">
        <f t="shared" si="5"/>
        <v>-1.3175682492282292E-2</v>
      </c>
      <c r="J100" s="38"/>
      <c r="L100" s="263"/>
      <c r="N100" s="316">
        <v>106.01</v>
      </c>
      <c r="P100" s="263">
        <f t="shared" si="6"/>
        <v>-9.4086480943428419E-2</v>
      </c>
      <c r="R100" s="38"/>
      <c r="T100" s="263"/>
      <c r="U100" s="263"/>
      <c r="V100" s="38">
        <v>19751.05</v>
      </c>
      <c r="W100" s="263"/>
      <c r="X100" s="263">
        <f t="shared" si="8"/>
        <v>1.0663855720692839E-2</v>
      </c>
    </row>
    <row r="101" spans="4:24" x14ac:dyDescent="0.3">
      <c r="D101" s="37">
        <v>45208</v>
      </c>
      <c r="F101" s="316">
        <v>510.42</v>
      </c>
      <c r="H101" s="263">
        <f t="shared" si="5"/>
        <v>4.3632943485728326E-2</v>
      </c>
      <c r="J101" s="38"/>
      <c r="L101" s="263"/>
      <c r="N101" s="316">
        <v>96.05</v>
      </c>
      <c r="P101" s="263">
        <f t="shared" si="6"/>
        <v>-9.3953400622582839E-2</v>
      </c>
      <c r="R101" s="38"/>
      <c r="T101" s="263"/>
      <c r="U101" s="263"/>
      <c r="V101" s="38">
        <v>19653.5</v>
      </c>
      <c r="W101" s="263"/>
      <c r="X101" s="263">
        <f t="shared" si="8"/>
        <v>-4.9389779277556611E-3</v>
      </c>
    </row>
    <row r="102" spans="4:24" x14ac:dyDescent="0.3">
      <c r="D102" s="37">
        <v>45201</v>
      </c>
      <c r="F102" s="316">
        <v>503.39</v>
      </c>
      <c r="H102" s="263">
        <f t="shared" si="5"/>
        <v>-1.3772971278554924E-2</v>
      </c>
      <c r="J102" s="38"/>
      <c r="L102" s="263"/>
      <c r="N102" s="316">
        <v>88.75</v>
      </c>
      <c r="P102" s="263">
        <f t="shared" si="6"/>
        <v>-7.6002082248828762E-2</v>
      </c>
      <c r="R102" s="38"/>
      <c r="T102" s="263"/>
      <c r="U102" s="263"/>
      <c r="V102" s="38">
        <v>19638.3</v>
      </c>
      <c r="W102" s="263"/>
      <c r="X102" s="263">
        <f t="shared" si="8"/>
        <v>-7.7339914010232658E-4</v>
      </c>
    </row>
    <row r="103" spans="4:24" x14ac:dyDescent="0.3">
      <c r="D103" s="37">
        <v>45194</v>
      </c>
      <c r="F103" s="316">
        <v>467.5</v>
      </c>
      <c r="H103" s="263">
        <f t="shared" si="5"/>
        <v>-7.1296608991040733E-2</v>
      </c>
      <c r="J103" s="38"/>
      <c r="L103" s="263"/>
      <c r="N103" s="316">
        <v>82.83</v>
      </c>
      <c r="P103" s="263">
        <f t="shared" si="6"/>
        <v>-6.6704225352112734E-2</v>
      </c>
      <c r="R103" s="38"/>
      <c r="T103" s="263"/>
      <c r="U103" s="263"/>
      <c r="V103" s="38">
        <v>19674.25</v>
      </c>
      <c r="W103" s="263"/>
      <c r="X103" s="263">
        <f t="shared" si="8"/>
        <v>1.8306065188942178E-3</v>
      </c>
    </row>
    <row r="104" spans="4:24" x14ac:dyDescent="0.3">
      <c r="D104" s="37">
        <v>45187</v>
      </c>
      <c r="F104" s="316">
        <v>492.82</v>
      </c>
      <c r="H104" s="263">
        <f t="shared" si="5"/>
        <v>5.4160427807486533E-2</v>
      </c>
      <c r="J104" s="38"/>
      <c r="L104" s="263"/>
      <c r="N104" s="316">
        <v>80.069999999999993</v>
      </c>
      <c r="P104" s="263">
        <f t="shared" si="6"/>
        <v>-3.332126041289396E-2</v>
      </c>
      <c r="R104" s="38"/>
      <c r="T104" s="263"/>
      <c r="U104" s="263"/>
      <c r="V104" s="38">
        <v>20192.349999999999</v>
      </c>
      <c r="W104" s="263"/>
      <c r="X104" s="263">
        <f t="shared" si="8"/>
        <v>2.6333913618054039E-2</v>
      </c>
    </row>
    <row r="105" spans="4:24" x14ac:dyDescent="0.3">
      <c r="D105" s="37">
        <v>45180</v>
      </c>
      <c r="F105" s="316">
        <v>505.88</v>
      </c>
      <c r="H105" s="263">
        <f t="shared" si="5"/>
        <v>2.6500547867375435E-2</v>
      </c>
      <c r="J105" s="38"/>
      <c r="L105" s="263"/>
      <c r="N105" s="316">
        <v>85.09</v>
      </c>
      <c r="P105" s="263">
        <f t="shared" si="6"/>
        <v>6.269514175096802E-2</v>
      </c>
      <c r="R105" s="38"/>
      <c r="T105" s="263"/>
      <c r="U105" s="263"/>
      <c r="V105" s="38">
        <v>19819.95</v>
      </c>
      <c r="W105" s="263"/>
      <c r="X105" s="263">
        <f t="shared" si="8"/>
        <v>-1.8442628024969765E-2</v>
      </c>
    </row>
    <row r="106" spans="4:24" x14ac:dyDescent="0.3">
      <c r="D106" s="37">
        <v>45173</v>
      </c>
      <c r="F106" s="316">
        <v>505.33</v>
      </c>
      <c r="H106" s="263">
        <f t="shared" si="5"/>
        <v>-1.0872143591366124E-3</v>
      </c>
      <c r="J106" s="38"/>
      <c r="L106" s="263"/>
      <c r="N106" s="316">
        <v>77.62</v>
      </c>
      <c r="P106" s="263">
        <f t="shared" si="6"/>
        <v>-8.77893994593959E-2</v>
      </c>
      <c r="R106" s="38"/>
      <c r="T106" s="263"/>
      <c r="U106" s="263"/>
      <c r="V106" s="38">
        <v>19435.3</v>
      </c>
      <c r="W106" s="263"/>
      <c r="X106" s="263">
        <f t="shared" si="8"/>
        <v>-1.940721343898455E-2</v>
      </c>
    </row>
    <row r="107" spans="4:24" x14ac:dyDescent="0.3">
      <c r="D107" s="37">
        <v>45166</v>
      </c>
      <c r="F107" s="316">
        <v>485.06</v>
      </c>
      <c r="H107" s="263">
        <f t="shared" si="5"/>
        <v>-4.0112401796845609E-2</v>
      </c>
      <c r="J107" s="38"/>
      <c r="L107" s="263"/>
      <c r="N107" s="316">
        <v>64.2</v>
      </c>
      <c r="P107" s="263">
        <f t="shared" si="6"/>
        <v>-0.17289358412780209</v>
      </c>
      <c r="R107" s="38"/>
      <c r="T107" s="263"/>
      <c r="U107" s="263"/>
      <c r="V107" s="38">
        <v>19265.8</v>
      </c>
      <c r="W107" s="263"/>
      <c r="X107" s="263">
        <f t="shared" si="8"/>
        <v>-8.7212443337638668E-3</v>
      </c>
    </row>
    <row r="108" spans="4:24" x14ac:dyDescent="0.3">
      <c r="D108" s="37">
        <v>45160</v>
      </c>
      <c r="F108" s="316">
        <v>517.58000000000004</v>
      </c>
      <c r="H108" s="263">
        <f t="shared" si="5"/>
        <v>6.7043252381148832E-2</v>
      </c>
      <c r="J108" s="38"/>
      <c r="L108" s="263"/>
      <c r="N108" s="316">
        <v>61.21</v>
      </c>
      <c r="P108" s="263">
        <f t="shared" si="6"/>
        <v>-4.657320872274151E-2</v>
      </c>
      <c r="R108" s="38"/>
      <c r="T108" s="263"/>
      <c r="U108" s="263"/>
      <c r="V108" s="38">
        <v>19310.150000000001</v>
      </c>
      <c r="W108" s="263"/>
      <c r="X108" s="263">
        <f t="shared" si="8"/>
        <v>2.3020066646597392E-3</v>
      </c>
    </row>
    <row r="109" spans="4:24" x14ac:dyDescent="0.3">
      <c r="D109" s="37">
        <v>45159</v>
      </c>
      <c r="F109" s="316">
        <v>561.9</v>
      </c>
      <c r="H109" s="263">
        <f t="shared" si="5"/>
        <v>8.5629274701495284E-2</v>
      </c>
      <c r="J109" s="38"/>
      <c r="L109" s="263"/>
      <c r="N109" s="316">
        <v>61.5</v>
      </c>
      <c r="P109" s="263">
        <f t="shared" si="6"/>
        <v>4.7377879431464986E-3</v>
      </c>
      <c r="R109" s="38"/>
      <c r="T109" s="263"/>
      <c r="U109" s="263"/>
      <c r="V109" s="38">
        <v>19428.3</v>
      </c>
      <c r="W109" s="263"/>
      <c r="X109" s="263">
        <f t="shared" si="8"/>
        <v>6.1185438745943177E-3</v>
      </c>
    </row>
    <row r="110" spans="4:24" x14ac:dyDescent="0.3">
      <c r="D110" s="37">
        <v>45152</v>
      </c>
      <c r="F110" s="316">
        <v>774.65</v>
      </c>
      <c r="H110" s="263">
        <f t="shared" si="5"/>
        <v>0.37862609005161052</v>
      </c>
      <c r="J110" s="38"/>
      <c r="L110" s="263"/>
      <c r="N110" s="316">
        <v>64.53</v>
      </c>
      <c r="P110" s="263">
        <f t="shared" si="6"/>
        <v>4.9268292682926873E-2</v>
      </c>
      <c r="R110" s="38"/>
      <c r="T110" s="263"/>
      <c r="U110" s="263"/>
      <c r="V110" s="38">
        <v>19517</v>
      </c>
      <c r="W110" s="263"/>
      <c r="X110" s="263">
        <f t="shared" si="8"/>
        <v>4.5655049592605579E-3</v>
      </c>
    </row>
    <row r="111" spans="4:24" x14ac:dyDescent="0.3">
      <c r="D111" s="37">
        <v>45145</v>
      </c>
      <c r="F111" s="316">
        <v>777.54</v>
      </c>
      <c r="H111" s="263">
        <f t="shared" si="5"/>
        <v>3.7307170980442894E-3</v>
      </c>
      <c r="J111" s="38"/>
      <c r="L111" s="263"/>
      <c r="N111" s="316">
        <v>65.89</v>
      </c>
      <c r="P111" s="263">
        <f t="shared" si="6"/>
        <v>2.1075468774213624E-2</v>
      </c>
      <c r="R111" s="38"/>
      <c r="T111" s="263"/>
      <c r="U111" s="263"/>
      <c r="V111" s="38">
        <v>19646.05</v>
      </c>
      <c r="W111" s="263"/>
      <c r="X111" s="263">
        <f t="shared" si="8"/>
        <v>6.6121842496285055E-3</v>
      </c>
    </row>
    <row r="112" spans="4:24" x14ac:dyDescent="0.3">
      <c r="D112" s="37">
        <v>45138</v>
      </c>
      <c r="F112" s="316">
        <v>777.73</v>
      </c>
      <c r="H112" s="263">
        <f t="shared" si="5"/>
        <v>2.4436041875675052E-4</v>
      </c>
      <c r="J112" s="38"/>
      <c r="L112" s="263"/>
      <c r="N112" s="316">
        <v>65.52</v>
      </c>
      <c r="P112" s="263">
        <f t="shared" si="6"/>
        <v>-5.6154196387919741E-3</v>
      </c>
      <c r="R112" s="38"/>
      <c r="T112" s="263"/>
      <c r="U112" s="263"/>
      <c r="V112" s="38">
        <v>19745</v>
      </c>
      <c r="W112" s="263"/>
      <c r="X112" s="263">
        <f t="shared" si="8"/>
        <v>5.0366358631888097E-3</v>
      </c>
    </row>
    <row r="113" spans="4:24" x14ac:dyDescent="0.3">
      <c r="D113" s="37">
        <v>45131</v>
      </c>
      <c r="F113" s="316">
        <v>681.07</v>
      </c>
      <c r="H113" s="263">
        <f t="shared" si="5"/>
        <v>-0.12428477749347455</v>
      </c>
      <c r="J113" s="38"/>
      <c r="L113" s="263"/>
      <c r="N113" s="316">
        <v>56.09</v>
      </c>
      <c r="P113" s="263">
        <f t="shared" si="6"/>
        <v>-0.14392551892551886</v>
      </c>
      <c r="R113" s="38"/>
      <c r="T113" s="263"/>
      <c r="U113" s="263"/>
      <c r="V113" s="38">
        <v>19564.5</v>
      </c>
      <c r="W113" s="263"/>
      <c r="X113" s="263">
        <f t="shared" si="8"/>
        <v>-9.1415548240060263E-3</v>
      </c>
    </row>
    <row r="114" spans="4:24" x14ac:dyDescent="0.3">
      <c r="D114" s="37">
        <v>45124</v>
      </c>
      <c r="F114" s="316">
        <v>654.42999999999995</v>
      </c>
      <c r="H114" s="263">
        <f t="shared" si="5"/>
        <v>-3.9114922107859829E-2</v>
      </c>
      <c r="J114" s="38"/>
      <c r="L114" s="263"/>
      <c r="N114" s="316">
        <v>51.87</v>
      </c>
      <c r="P114" s="263">
        <f t="shared" si="6"/>
        <v>-7.5236227491531582E-2</v>
      </c>
      <c r="R114" s="38"/>
      <c r="T114" s="263"/>
      <c r="U114" s="263"/>
      <c r="V114" s="38">
        <v>19331.8</v>
      </c>
      <c r="W114" s="263"/>
      <c r="X114" s="263">
        <f t="shared" si="8"/>
        <v>-1.1893991668583404E-2</v>
      </c>
    </row>
    <row r="115" spans="4:24" x14ac:dyDescent="0.3">
      <c r="D115" s="37">
        <v>45117</v>
      </c>
      <c r="F115" s="316">
        <v>641.38</v>
      </c>
      <c r="H115" s="263">
        <f t="shared" si="5"/>
        <v>-1.9941017373897862E-2</v>
      </c>
      <c r="J115" s="38"/>
      <c r="L115" s="263"/>
      <c r="N115" s="316">
        <v>47.22</v>
      </c>
      <c r="P115" s="263">
        <f t="shared" si="6"/>
        <v>-8.9647194910352779E-2</v>
      </c>
      <c r="R115" s="38"/>
      <c r="T115" s="263"/>
      <c r="U115" s="263"/>
      <c r="V115" s="38">
        <v>19189.05</v>
      </c>
      <c r="W115" s="263"/>
      <c r="X115" s="263">
        <f t="shared" si="8"/>
        <v>-7.3842063336058139E-3</v>
      </c>
    </row>
    <row r="116" spans="4:24" x14ac:dyDescent="0.3">
      <c r="D116" s="37">
        <v>45110</v>
      </c>
      <c r="F116" s="316">
        <v>567.28</v>
      </c>
      <c r="H116" s="263">
        <f t="shared" si="5"/>
        <v>-0.11553213383641525</v>
      </c>
      <c r="J116" s="38"/>
      <c r="L116" s="263"/>
      <c r="N116" s="316">
        <v>42</v>
      </c>
      <c r="P116" s="263">
        <f t="shared" si="6"/>
        <v>-0.11054637865311312</v>
      </c>
      <c r="R116" s="38"/>
      <c r="T116" s="263"/>
      <c r="U116" s="263"/>
      <c r="V116" s="38">
        <v>18665.5</v>
      </c>
      <c r="W116" s="263"/>
      <c r="X116" s="263">
        <f t="shared" si="8"/>
        <v>-2.7283789452838936E-2</v>
      </c>
    </row>
    <row r="117" spans="4:24" x14ac:dyDescent="0.3">
      <c r="D117" s="37">
        <v>45103</v>
      </c>
      <c r="F117" s="316">
        <v>580.17999999999995</v>
      </c>
      <c r="H117" s="263">
        <f t="shared" si="5"/>
        <v>2.2740093075729773E-2</v>
      </c>
      <c r="J117" s="38"/>
      <c r="L117" s="263"/>
      <c r="N117" s="316">
        <v>45.22</v>
      </c>
      <c r="P117" s="263">
        <f t="shared" si="6"/>
        <v>7.6666666666666661E-2</v>
      </c>
      <c r="R117" s="38"/>
      <c r="T117" s="263"/>
      <c r="U117" s="263"/>
      <c r="V117" s="38">
        <v>18826</v>
      </c>
      <c r="W117" s="263"/>
      <c r="X117" s="263">
        <f t="shared" si="8"/>
        <v>8.598751707695973E-3</v>
      </c>
    </row>
    <row r="118" spans="4:24" x14ac:dyDescent="0.3">
      <c r="D118" s="37">
        <v>45096</v>
      </c>
      <c r="F118" s="316">
        <v>597.16</v>
      </c>
      <c r="H118" s="263">
        <f t="shared" si="5"/>
        <v>2.9266779275397337E-2</v>
      </c>
      <c r="J118" s="38"/>
      <c r="L118" s="263"/>
      <c r="N118" s="316">
        <v>42.49</v>
      </c>
      <c r="P118" s="263">
        <f t="shared" si="6"/>
        <v>-6.0371517027863697E-2</v>
      </c>
      <c r="R118" s="38"/>
      <c r="T118" s="263"/>
      <c r="U118" s="263"/>
      <c r="V118" s="38">
        <v>18563.400000000001</v>
      </c>
      <c r="W118" s="263"/>
      <c r="X118" s="263">
        <f t="shared" si="8"/>
        <v>-1.3948794220758454E-2</v>
      </c>
    </row>
    <row r="119" spans="4:24" x14ac:dyDescent="0.3">
      <c r="D119" s="37">
        <v>45089</v>
      </c>
      <c r="F119" s="316">
        <v>571.61</v>
      </c>
      <c r="H119" s="263">
        <f t="shared" si="5"/>
        <v>-4.2785853037711763E-2</v>
      </c>
      <c r="J119" s="38"/>
      <c r="L119" s="263"/>
      <c r="N119" s="316">
        <v>39.22</v>
      </c>
      <c r="P119" s="263">
        <f t="shared" si="6"/>
        <v>-7.6959284537538308E-2</v>
      </c>
      <c r="R119" s="38"/>
      <c r="T119" s="263"/>
      <c r="U119" s="263"/>
      <c r="V119" s="38">
        <v>18534.099999999999</v>
      </c>
      <c r="W119" s="263"/>
      <c r="X119" s="263">
        <f t="shared" si="8"/>
        <v>-1.5783746511954799E-3</v>
      </c>
    </row>
    <row r="120" spans="4:24" x14ac:dyDescent="0.3">
      <c r="D120" s="37">
        <v>45082</v>
      </c>
      <c r="F120" s="316">
        <v>566.38</v>
      </c>
      <c r="H120" s="263">
        <f t="shared" si="5"/>
        <v>-9.1495950035863638E-3</v>
      </c>
      <c r="J120" s="38"/>
      <c r="L120" s="263"/>
      <c r="N120" s="316">
        <v>41.19</v>
      </c>
      <c r="P120" s="263">
        <f t="shared" si="6"/>
        <v>5.0229474757776726E-2</v>
      </c>
      <c r="R120" s="38"/>
      <c r="T120" s="263"/>
      <c r="U120" s="263"/>
      <c r="V120" s="38">
        <v>18499.349999999999</v>
      </c>
      <c r="W120" s="263"/>
      <c r="X120" s="263">
        <f t="shared" si="8"/>
        <v>-1.874922440258775E-3</v>
      </c>
    </row>
    <row r="121" spans="4:24" x14ac:dyDescent="0.3">
      <c r="D121" s="37">
        <v>45075</v>
      </c>
      <c r="F121" s="316">
        <v>492.03</v>
      </c>
      <c r="H121" s="263">
        <f t="shared" si="5"/>
        <v>-0.13127229068823054</v>
      </c>
      <c r="J121" s="38"/>
      <c r="L121" s="263"/>
      <c r="N121" s="316">
        <v>42</v>
      </c>
      <c r="P121" s="263">
        <f t="shared" si="6"/>
        <v>1.9664967225054619E-2</v>
      </c>
      <c r="R121" s="38"/>
      <c r="T121" s="263"/>
      <c r="U121" s="263"/>
      <c r="V121" s="38">
        <v>18203.400000000001</v>
      </c>
      <c r="W121" s="263"/>
      <c r="X121" s="263">
        <f t="shared" si="8"/>
        <v>-1.599785938424847E-2</v>
      </c>
    </row>
    <row r="122" spans="4:24" x14ac:dyDescent="0.3">
      <c r="D122" s="37">
        <v>45068</v>
      </c>
      <c r="F122" s="316">
        <v>483.31</v>
      </c>
      <c r="H122" s="263">
        <f t="shared" si="5"/>
        <v>-1.7722496595735993E-2</v>
      </c>
      <c r="J122" s="38"/>
      <c r="L122" s="263"/>
      <c r="N122" s="316">
        <v>40.81</v>
      </c>
      <c r="P122" s="263">
        <f t="shared" si="6"/>
        <v>-2.8333333333333321E-2</v>
      </c>
      <c r="R122" s="38"/>
      <c r="T122" s="263"/>
      <c r="U122" s="263"/>
      <c r="V122" s="38">
        <v>18314.8</v>
      </c>
      <c r="W122" s="263"/>
      <c r="X122" s="263">
        <f t="shared" si="8"/>
        <v>6.1197358735181062E-3</v>
      </c>
    </row>
    <row r="123" spans="4:24" x14ac:dyDescent="0.3">
      <c r="D123" s="37">
        <v>45061</v>
      </c>
      <c r="F123" s="316">
        <v>426.79</v>
      </c>
      <c r="H123" s="263">
        <f t="shared" si="5"/>
        <v>-0.11694357658645582</v>
      </c>
      <c r="J123" s="38"/>
      <c r="L123" s="263"/>
      <c r="N123" s="316">
        <v>37.520000000000003</v>
      </c>
      <c r="P123" s="263">
        <f t="shared" si="6"/>
        <v>-8.0617495711835296E-2</v>
      </c>
      <c r="R123" s="38"/>
      <c r="T123" s="263"/>
      <c r="U123" s="263"/>
      <c r="V123" s="38">
        <v>18069</v>
      </c>
      <c r="W123" s="263"/>
      <c r="X123" s="263">
        <f t="shared" si="8"/>
        <v>-1.3420839976412524E-2</v>
      </c>
    </row>
    <row r="124" spans="4:24" x14ac:dyDescent="0.3">
      <c r="D124" s="37">
        <v>45054</v>
      </c>
      <c r="F124" s="316">
        <v>438.34</v>
      </c>
      <c r="H124" s="263">
        <f t="shared" si="5"/>
        <v>2.7062489749056784E-2</v>
      </c>
      <c r="J124" s="38"/>
      <c r="L124" s="263"/>
      <c r="N124" s="316">
        <v>35.86</v>
      </c>
      <c r="P124" s="263">
        <f t="shared" si="6"/>
        <v>-4.4243070362473436E-2</v>
      </c>
      <c r="R124" s="38"/>
      <c r="T124" s="263"/>
      <c r="U124" s="263"/>
      <c r="V124" s="38">
        <v>18065</v>
      </c>
      <c r="W124" s="263"/>
      <c r="X124" s="263">
        <f t="shared" si="8"/>
        <v>-2.2137362333274346E-4</v>
      </c>
    </row>
    <row r="125" spans="4:24" x14ac:dyDescent="0.3">
      <c r="D125" s="37">
        <v>45047</v>
      </c>
      <c r="F125" s="316">
        <v>434.56</v>
      </c>
      <c r="H125" s="263">
        <f t="shared" si="5"/>
        <v>-8.6234429894601616E-3</v>
      </c>
      <c r="J125" s="38"/>
      <c r="L125" s="263"/>
      <c r="N125" s="316">
        <v>44.54</v>
      </c>
      <c r="P125" s="263">
        <f t="shared" si="6"/>
        <v>0.24205242610150579</v>
      </c>
      <c r="R125" s="38"/>
      <c r="T125" s="263"/>
      <c r="U125" s="263"/>
      <c r="V125" s="38">
        <v>17624.05</v>
      </c>
      <c r="W125" s="263"/>
      <c r="X125" s="263">
        <f t="shared" si="8"/>
        <v>-2.4409078328259115E-2</v>
      </c>
    </row>
    <row r="126" spans="4:24" x14ac:dyDescent="0.3">
      <c r="D126" s="37">
        <v>45040</v>
      </c>
      <c r="F126" s="316">
        <v>445.66</v>
      </c>
      <c r="H126" s="263">
        <f t="shared" si="5"/>
        <v>2.5543078055964674E-2</v>
      </c>
      <c r="J126" s="38"/>
      <c r="L126" s="263"/>
      <c r="N126" s="316">
        <v>39.369999999999997</v>
      </c>
      <c r="P126" s="263">
        <f t="shared" si="6"/>
        <v>-0.11607543780871132</v>
      </c>
      <c r="R126" s="38"/>
      <c r="T126" s="263"/>
      <c r="U126" s="263"/>
      <c r="V126" s="38">
        <v>17828</v>
      </c>
      <c r="W126" s="263"/>
      <c r="X126" s="263">
        <f t="shared" si="8"/>
        <v>1.15722549584234E-2</v>
      </c>
    </row>
    <row r="127" spans="4:24" x14ac:dyDescent="0.3">
      <c r="D127" s="37">
        <v>45033</v>
      </c>
      <c r="F127" s="316">
        <v>435.26</v>
      </c>
      <c r="H127" s="263">
        <f t="shared" si="5"/>
        <v>-2.3336175559843908E-2</v>
      </c>
      <c r="J127" s="38"/>
      <c r="L127" s="263"/>
      <c r="N127" s="316">
        <v>39.75</v>
      </c>
      <c r="P127" s="263">
        <f t="shared" si="6"/>
        <v>9.6520193040385838E-3</v>
      </c>
      <c r="R127" s="38"/>
      <c r="T127" s="263"/>
      <c r="U127" s="263"/>
      <c r="V127" s="38">
        <v>17599.150000000001</v>
      </c>
      <c r="W127" s="263"/>
      <c r="X127" s="263">
        <f t="shared" si="8"/>
        <v>-1.2836549248373297E-2</v>
      </c>
    </row>
    <row r="128" spans="4:24" x14ac:dyDescent="0.3">
      <c r="D128" s="37">
        <v>45026</v>
      </c>
      <c r="F128" s="316">
        <v>429.83</v>
      </c>
      <c r="H128" s="263">
        <f t="shared" si="5"/>
        <v>-1.247530211827419E-2</v>
      </c>
      <c r="J128" s="38"/>
      <c r="L128" s="263"/>
      <c r="N128" s="316">
        <v>39.22</v>
      </c>
      <c r="P128" s="263">
        <f t="shared" si="6"/>
        <v>-1.3333333333333308E-2</v>
      </c>
      <c r="R128" s="38"/>
      <c r="T128" s="263"/>
      <c r="U128" s="263"/>
      <c r="V128" s="38">
        <v>17359.75</v>
      </c>
      <c r="W128" s="263"/>
      <c r="X128" s="263">
        <f t="shared" si="8"/>
        <v>-1.3602929686945209E-2</v>
      </c>
    </row>
    <row r="129" spans="4:24" x14ac:dyDescent="0.3">
      <c r="D129" s="37">
        <v>45019</v>
      </c>
      <c r="F129" s="316">
        <v>416.23</v>
      </c>
      <c r="H129" s="263">
        <f t="shared" si="5"/>
        <v>-3.1640415978409941E-2</v>
      </c>
      <c r="J129" s="38"/>
      <c r="L129" s="263"/>
      <c r="N129" s="316">
        <v>38.020000000000003</v>
      </c>
      <c r="P129" s="263">
        <f t="shared" si="6"/>
        <v>-3.05966343702192E-2</v>
      </c>
      <c r="R129" s="38"/>
      <c r="T129" s="263"/>
      <c r="U129" s="263"/>
      <c r="V129" s="38">
        <v>16945.05</v>
      </c>
      <c r="W129" s="263"/>
      <c r="X129" s="263">
        <f t="shared" si="8"/>
        <v>-2.388859286568068E-2</v>
      </c>
    </row>
    <row r="130" spans="4:24" x14ac:dyDescent="0.3">
      <c r="D130" s="37">
        <v>45012</v>
      </c>
      <c r="F130" s="316">
        <v>422.46</v>
      </c>
      <c r="H130" s="263">
        <f t="shared" si="5"/>
        <v>1.496768613506938E-2</v>
      </c>
      <c r="J130" s="38"/>
      <c r="L130" s="263"/>
      <c r="N130" s="316">
        <v>43.75</v>
      </c>
      <c r="P130" s="263">
        <f t="shared" si="6"/>
        <v>0.15071015255128861</v>
      </c>
      <c r="R130" s="38"/>
      <c r="T130" s="263"/>
      <c r="U130" s="263"/>
      <c r="V130" s="38">
        <v>17100.05</v>
      </c>
      <c r="W130" s="263"/>
      <c r="X130" s="263">
        <f t="shared" si="8"/>
        <v>9.1472140831687643E-3</v>
      </c>
    </row>
    <row r="131" spans="4:24" x14ac:dyDescent="0.3">
      <c r="D131" s="37">
        <v>45005</v>
      </c>
      <c r="F131" s="316">
        <v>425.64</v>
      </c>
      <c r="H131" s="263">
        <f t="shared" si="5"/>
        <v>7.5273398664963409E-3</v>
      </c>
      <c r="J131" s="38"/>
      <c r="L131" s="263"/>
      <c r="N131" s="316">
        <v>51.64</v>
      </c>
      <c r="P131" s="263">
        <f t="shared" si="6"/>
        <v>0.18034285714285714</v>
      </c>
      <c r="R131" s="38"/>
      <c r="T131" s="263"/>
      <c r="U131" s="263"/>
      <c r="V131" s="38">
        <v>17412.900000000001</v>
      </c>
      <c r="W131" s="263"/>
      <c r="X131" s="263">
        <f t="shared" si="8"/>
        <v>1.829526814249105E-2</v>
      </c>
    </row>
    <row r="132" spans="4:24" x14ac:dyDescent="0.3">
      <c r="D132" s="37">
        <v>44998</v>
      </c>
      <c r="F132" s="316">
        <v>462.5</v>
      </c>
      <c r="H132" s="263">
        <f t="shared" si="5"/>
        <v>8.6599003853021328E-2</v>
      </c>
      <c r="J132" s="38"/>
      <c r="L132" s="263"/>
      <c r="N132" s="316">
        <v>52.55</v>
      </c>
      <c r="P132" s="263">
        <f t="shared" si="6"/>
        <v>1.7621998450813248E-2</v>
      </c>
      <c r="R132" s="38"/>
      <c r="T132" s="263"/>
      <c r="U132" s="263"/>
      <c r="V132" s="38">
        <v>17594.349999999999</v>
      </c>
      <c r="W132" s="263"/>
      <c r="X132" s="263">
        <f t="shared" si="8"/>
        <v>1.0420435424311592E-2</v>
      </c>
    </row>
    <row r="133" spans="4:24" x14ac:dyDescent="0.3">
      <c r="D133" s="37">
        <v>44991</v>
      </c>
      <c r="F133" s="316">
        <v>426.39</v>
      </c>
      <c r="H133" s="263">
        <f t="shared" si="5"/>
        <v>-7.8075675675675749E-2</v>
      </c>
      <c r="J133" s="38"/>
      <c r="L133" s="263"/>
      <c r="N133" s="316">
        <v>52.05</v>
      </c>
      <c r="P133" s="263">
        <f t="shared" si="6"/>
        <v>-9.5147478591817158E-3</v>
      </c>
      <c r="R133" s="38"/>
      <c r="T133" s="263"/>
      <c r="U133" s="263"/>
      <c r="V133" s="38">
        <v>17465.8</v>
      </c>
      <c r="W133" s="263"/>
      <c r="X133" s="263">
        <f t="shared" si="8"/>
        <v>-7.3063227683887177E-3</v>
      </c>
    </row>
    <row r="134" spans="4:24" x14ac:dyDescent="0.3">
      <c r="D134" s="37">
        <v>44984</v>
      </c>
      <c r="F134" s="316">
        <v>414.74</v>
      </c>
      <c r="H134" s="263">
        <f t="shared" si="5"/>
        <v>-2.7322404371584619E-2</v>
      </c>
      <c r="J134" s="38"/>
      <c r="L134" s="263"/>
      <c r="N134" s="316">
        <v>53.65</v>
      </c>
      <c r="P134" s="263">
        <f t="shared" si="6"/>
        <v>3.0739673390970168E-2</v>
      </c>
      <c r="R134" s="38"/>
      <c r="T134" s="263"/>
      <c r="U134" s="263"/>
      <c r="V134" s="38">
        <v>17944.2</v>
      </c>
      <c r="W134" s="263"/>
      <c r="X134" s="263">
        <f t="shared" si="8"/>
        <v>2.7390672056247123E-2</v>
      </c>
    </row>
    <row r="135" spans="4:24" x14ac:dyDescent="0.3">
      <c r="D135" s="37">
        <v>44977</v>
      </c>
      <c r="F135" s="316">
        <v>396.26</v>
      </c>
      <c r="H135" s="263">
        <f t="shared" si="5"/>
        <v>-4.4558036360129227E-2</v>
      </c>
      <c r="J135" s="38"/>
      <c r="L135" s="263"/>
      <c r="N135" s="316">
        <v>59.7</v>
      </c>
      <c r="P135" s="263">
        <f t="shared" si="6"/>
        <v>0.11276794035414728</v>
      </c>
      <c r="R135" s="38"/>
      <c r="T135" s="263"/>
      <c r="U135" s="263"/>
      <c r="V135" s="38">
        <v>17856.5</v>
      </c>
      <c r="W135" s="263"/>
      <c r="X135" s="263">
        <f t="shared" si="8"/>
        <v>-4.8873730787664105E-3</v>
      </c>
    </row>
    <row r="136" spans="4:24" x14ac:dyDescent="0.3">
      <c r="D136" s="37">
        <v>44970</v>
      </c>
      <c r="F136" s="316">
        <v>368.18</v>
      </c>
      <c r="H136" s="263">
        <f t="shared" si="5"/>
        <v>-7.086256498258714E-2</v>
      </c>
      <c r="J136" s="38"/>
      <c r="L136" s="263"/>
      <c r="N136" s="316">
        <v>59.9</v>
      </c>
      <c r="P136" s="263">
        <f t="shared" si="6"/>
        <v>3.3500837520936688E-3</v>
      </c>
      <c r="R136" s="38"/>
      <c r="T136" s="263"/>
      <c r="U136" s="263"/>
      <c r="V136" s="38">
        <v>17854.05</v>
      </c>
      <c r="W136" s="263"/>
      <c r="X136" s="263">
        <f t="shared" si="8"/>
        <v>-1.3720493937785516E-4</v>
      </c>
    </row>
    <row r="137" spans="4:24" x14ac:dyDescent="0.3">
      <c r="D137" s="37">
        <v>44963</v>
      </c>
      <c r="F137" s="316">
        <v>372.36</v>
      </c>
      <c r="H137" s="263">
        <f t="shared" si="5"/>
        <v>1.1353142484654244E-2</v>
      </c>
      <c r="J137" s="38"/>
      <c r="L137" s="263"/>
      <c r="N137" s="316">
        <v>61.9</v>
      </c>
      <c r="P137" s="263">
        <f t="shared" si="6"/>
        <v>3.3388981636060189E-2</v>
      </c>
      <c r="R137" s="38"/>
      <c r="T137" s="263"/>
      <c r="U137" s="263"/>
      <c r="V137" s="38">
        <v>17604.349999999999</v>
      </c>
      <c r="W137" s="263"/>
      <c r="X137" s="263">
        <f t="shared" si="8"/>
        <v>-1.3985622309784063E-2</v>
      </c>
    </row>
    <row r="138" spans="4:24" x14ac:dyDescent="0.3">
      <c r="D138" s="37">
        <v>44956</v>
      </c>
      <c r="F138" s="316">
        <v>406.12</v>
      </c>
      <c r="H138" s="263">
        <f t="shared" si="5"/>
        <v>9.0664947899881776E-2</v>
      </c>
      <c r="J138" s="38"/>
      <c r="L138" s="263"/>
      <c r="N138" s="316">
        <v>69.75</v>
      </c>
      <c r="P138" s="263">
        <f t="shared" si="6"/>
        <v>0.12681744749596136</v>
      </c>
      <c r="R138" s="38"/>
      <c r="T138" s="263"/>
      <c r="U138" s="263"/>
      <c r="V138" s="38">
        <v>18027.650000000001</v>
      </c>
      <c r="W138" s="263"/>
      <c r="X138" s="263">
        <f t="shared" si="8"/>
        <v>2.4045193375501039E-2</v>
      </c>
    </row>
    <row r="139" spans="4:24" x14ac:dyDescent="0.3">
      <c r="D139" s="37">
        <v>44949</v>
      </c>
      <c r="F139" s="316">
        <v>372.41</v>
      </c>
      <c r="H139" s="263">
        <f t="shared" si="5"/>
        <v>-8.3005023145868218E-2</v>
      </c>
      <c r="J139" s="38"/>
      <c r="L139" s="263"/>
      <c r="N139" s="316">
        <v>78.05</v>
      </c>
      <c r="P139" s="263">
        <f t="shared" si="6"/>
        <v>0.11899641577060938</v>
      </c>
      <c r="R139" s="38"/>
      <c r="T139" s="263"/>
      <c r="U139" s="263"/>
      <c r="V139" s="38">
        <v>17956.599999999999</v>
      </c>
      <c r="W139" s="263"/>
      <c r="X139" s="263">
        <f t="shared" si="8"/>
        <v>-3.9411681500363116E-3</v>
      </c>
    </row>
    <row r="140" spans="4:24" x14ac:dyDescent="0.3">
      <c r="D140" s="37">
        <v>44942</v>
      </c>
      <c r="F140" s="316">
        <v>375.25</v>
      </c>
      <c r="H140" s="263">
        <f t="shared" si="5"/>
        <v>7.6260035981847718E-3</v>
      </c>
      <c r="J140" s="38"/>
      <c r="L140" s="263"/>
      <c r="N140" s="316">
        <v>75.849999999999994</v>
      </c>
      <c r="P140" s="263">
        <f t="shared" si="6"/>
        <v>-2.818705957719414E-2</v>
      </c>
      <c r="R140" s="38"/>
      <c r="T140" s="263"/>
      <c r="U140" s="263"/>
      <c r="V140" s="38">
        <v>17859.45</v>
      </c>
      <c r="W140" s="263"/>
      <c r="X140" s="263">
        <f t="shared" si="8"/>
        <v>-5.4102669770444978E-3</v>
      </c>
    </row>
    <row r="141" spans="4:24" x14ac:dyDescent="0.3">
      <c r="D141" s="37">
        <v>44935</v>
      </c>
      <c r="F141" s="316">
        <v>363</v>
      </c>
      <c r="H141" s="263">
        <f t="shared" si="5"/>
        <v>-3.2644903397734848E-2</v>
      </c>
      <c r="J141" s="38"/>
      <c r="L141" s="263"/>
      <c r="N141" s="316">
        <v>75.349999999999994</v>
      </c>
      <c r="P141" s="263">
        <f t="shared" si="6"/>
        <v>-6.5919578114700395E-3</v>
      </c>
      <c r="R141" s="38"/>
      <c r="T141" s="263"/>
      <c r="U141" s="263"/>
      <c r="V141" s="38">
        <v>18105.3</v>
      </c>
      <c r="W141" s="263"/>
      <c r="X141" s="263">
        <f t="shared" si="8"/>
        <v>1.3765821455867799E-2</v>
      </c>
    </row>
    <row r="142" spans="4:24" x14ac:dyDescent="0.3">
      <c r="D142" s="37">
        <v>44928</v>
      </c>
      <c r="F142" s="316">
        <v>364.54</v>
      </c>
      <c r="H142" s="263">
        <f t="shared" si="5"/>
        <v>4.2424242424243808E-3</v>
      </c>
      <c r="J142" s="38"/>
      <c r="L142" s="263"/>
      <c r="N142" s="316">
        <v>85.5</v>
      </c>
      <c r="P142" s="263">
        <f t="shared" si="6"/>
        <v>0.1347047113470472</v>
      </c>
      <c r="R142" s="38"/>
      <c r="T142" s="263"/>
      <c r="U142" s="263"/>
      <c r="V142" s="38">
        <v>17806.8</v>
      </c>
      <c r="W142" s="263"/>
      <c r="X142" s="263">
        <f t="shared" si="8"/>
        <v>-1.6486885055757128E-2</v>
      </c>
    </row>
    <row r="143" spans="4:24" x14ac:dyDescent="0.3">
      <c r="D143" s="37">
        <v>44921</v>
      </c>
      <c r="F143" s="316">
        <v>382.17</v>
      </c>
      <c r="H143" s="263">
        <f t="shared" si="5"/>
        <v>4.8362319635705253E-2</v>
      </c>
      <c r="J143" s="38"/>
      <c r="L143" s="263"/>
      <c r="N143" s="316">
        <v>101.25</v>
      </c>
      <c r="P143" s="263">
        <f t="shared" si="6"/>
        <v>0.18421052631578938</v>
      </c>
      <c r="R143" s="38"/>
      <c r="T143" s="263"/>
      <c r="U143" s="263"/>
      <c r="V143" s="38">
        <v>18269</v>
      </c>
      <c r="W143" s="263"/>
      <c r="X143" s="263">
        <f t="shared" si="8"/>
        <v>2.5956376215827692E-2</v>
      </c>
    </row>
    <row r="144" spans="4:24" x14ac:dyDescent="0.3">
      <c r="D144" s="37">
        <v>44914</v>
      </c>
      <c r="F144" s="316">
        <v>373.65</v>
      </c>
      <c r="H144" s="263">
        <f t="shared" ref="H144:H157" si="9">F144/F143-1</f>
        <v>-2.229374362194847E-2</v>
      </c>
      <c r="J144" s="38"/>
      <c r="L144" s="263"/>
      <c r="N144" s="316">
        <v>105</v>
      </c>
      <c r="P144" s="263">
        <f t="shared" ref="P144:P207" si="10">N144/N143-1</f>
        <v>3.7037037037036979E-2</v>
      </c>
      <c r="R144" s="38"/>
      <c r="T144" s="263"/>
      <c r="U144" s="263"/>
      <c r="V144" s="38">
        <v>18496.599999999999</v>
      </c>
      <c r="W144" s="263"/>
      <c r="X144" s="263">
        <f t="shared" ref="X144:X207" si="11">V144/V143-1</f>
        <v>1.2458262630685724E-2</v>
      </c>
    </row>
    <row r="145" spans="4:24" x14ac:dyDescent="0.3">
      <c r="D145" s="37">
        <v>44907</v>
      </c>
      <c r="F145" s="316">
        <v>372.76</v>
      </c>
      <c r="H145" s="263">
        <f t="shared" si="9"/>
        <v>-2.3819082028636585E-3</v>
      </c>
      <c r="J145" s="38"/>
      <c r="L145" s="263"/>
      <c r="N145" s="316">
        <v>106.8</v>
      </c>
      <c r="P145" s="263">
        <f t="shared" si="10"/>
        <v>1.7142857142857126E-2</v>
      </c>
      <c r="R145" s="38"/>
      <c r="T145" s="263"/>
      <c r="U145" s="263"/>
      <c r="V145" s="38">
        <v>18696.099999999999</v>
      </c>
      <c r="W145" s="263"/>
      <c r="X145" s="263">
        <f t="shared" si="11"/>
        <v>1.0785766032676225E-2</v>
      </c>
    </row>
    <row r="146" spans="4:24" x14ac:dyDescent="0.3">
      <c r="D146" s="37">
        <v>44900</v>
      </c>
      <c r="F146" s="316">
        <v>370.12</v>
      </c>
      <c r="H146" s="263">
        <f t="shared" si="9"/>
        <v>-7.0823049683441663E-3</v>
      </c>
      <c r="J146" s="38"/>
      <c r="L146" s="263"/>
      <c r="N146" s="316">
        <v>104.5</v>
      </c>
      <c r="P146" s="263">
        <f t="shared" si="10"/>
        <v>-2.1535580524344566E-2</v>
      </c>
      <c r="R146" s="38"/>
      <c r="T146" s="263"/>
      <c r="U146" s="263"/>
      <c r="V146" s="38">
        <v>18512.75</v>
      </c>
      <c r="W146" s="263"/>
      <c r="X146" s="263">
        <f t="shared" si="11"/>
        <v>-9.8068581147938705E-3</v>
      </c>
    </row>
    <row r="147" spans="4:24" x14ac:dyDescent="0.3">
      <c r="D147" s="37">
        <v>44893</v>
      </c>
      <c r="F147" s="316">
        <v>379.68</v>
      </c>
      <c r="H147" s="263">
        <f t="shared" si="9"/>
        <v>2.5829460715443675E-2</v>
      </c>
      <c r="J147" s="38"/>
      <c r="L147" s="263"/>
      <c r="N147" s="316">
        <v>122</v>
      </c>
      <c r="P147" s="263">
        <f t="shared" si="10"/>
        <v>0.16746411483253598</v>
      </c>
      <c r="R147" s="38"/>
      <c r="T147" s="263"/>
      <c r="U147" s="263"/>
      <c r="V147" s="38">
        <v>18307.650000000001</v>
      </c>
      <c r="W147" s="263"/>
      <c r="X147" s="263">
        <f t="shared" si="11"/>
        <v>-1.1078851062105821E-2</v>
      </c>
    </row>
    <row r="148" spans="4:24" x14ac:dyDescent="0.3">
      <c r="D148" s="37">
        <v>44886</v>
      </c>
      <c r="F148" s="316">
        <v>393.22</v>
      </c>
      <c r="H148" s="263">
        <f t="shared" si="9"/>
        <v>3.5661609776654002E-2</v>
      </c>
      <c r="J148" s="38"/>
      <c r="L148" s="263"/>
      <c r="N148" s="316">
        <v>120</v>
      </c>
      <c r="P148" s="263">
        <f t="shared" si="10"/>
        <v>-1.6393442622950838E-2</v>
      </c>
      <c r="R148" s="38"/>
      <c r="T148" s="263"/>
      <c r="U148" s="263"/>
      <c r="V148" s="38">
        <v>18349.7</v>
      </c>
      <c r="W148" s="263"/>
      <c r="X148" s="263">
        <f t="shared" si="11"/>
        <v>2.296854047351804E-3</v>
      </c>
    </row>
    <row r="149" spans="4:24" x14ac:dyDescent="0.3">
      <c r="D149" s="37">
        <v>44879</v>
      </c>
      <c r="F149" s="316">
        <v>436.1</v>
      </c>
      <c r="H149" s="263">
        <f t="shared" si="9"/>
        <v>0.10904836986928435</v>
      </c>
      <c r="J149" s="38"/>
      <c r="L149" s="263"/>
      <c r="N149" s="316">
        <v>122.6</v>
      </c>
      <c r="P149" s="263">
        <f t="shared" si="10"/>
        <v>2.1666666666666723E-2</v>
      </c>
      <c r="R149" s="38"/>
      <c r="T149" s="263"/>
      <c r="U149" s="263"/>
      <c r="V149" s="38">
        <v>18117.150000000001</v>
      </c>
      <c r="W149" s="263"/>
      <c r="X149" s="263">
        <f t="shared" si="11"/>
        <v>-1.2673231714959932E-2</v>
      </c>
    </row>
    <row r="150" spans="4:24" x14ac:dyDescent="0.3">
      <c r="D150" s="37">
        <v>44872</v>
      </c>
      <c r="F150" s="316">
        <v>418.22</v>
      </c>
      <c r="H150" s="263">
        <f t="shared" si="9"/>
        <v>-4.0999770694794768E-2</v>
      </c>
      <c r="J150" s="38"/>
      <c r="L150" s="263"/>
      <c r="N150" s="316">
        <v>124.25</v>
      </c>
      <c r="P150" s="263">
        <f t="shared" si="10"/>
        <v>1.3458401305057155E-2</v>
      </c>
      <c r="R150" s="38"/>
      <c r="T150" s="263"/>
      <c r="U150" s="263"/>
      <c r="V150" s="38">
        <v>17786.8</v>
      </c>
      <c r="W150" s="263"/>
      <c r="X150" s="263">
        <f t="shared" si="11"/>
        <v>-1.8234104149935426E-2</v>
      </c>
    </row>
    <row r="151" spans="4:24" x14ac:dyDescent="0.3">
      <c r="D151" s="37">
        <v>44865</v>
      </c>
      <c r="F151" s="316">
        <v>400.65</v>
      </c>
      <c r="H151" s="263">
        <f t="shared" si="9"/>
        <v>-4.201138156950901E-2</v>
      </c>
      <c r="J151" s="38"/>
      <c r="L151" s="263"/>
      <c r="N151" s="316">
        <v>118.95</v>
      </c>
      <c r="P151" s="263">
        <f t="shared" si="10"/>
        <v>-4.2655935613682083E-2</v>
      </c>
      <c r="R151" s="38"/>
      <c r="T151" s="263"/>
      <c r="U151" s="263"/>
      <c r="V151" s="38">
        <v>17576.3</v>
      </c>
      <c r="W151" s="263"/>
      <c r="X151" s="263">
        <f t="shared" si="11"/>
        <v>-1.1834618930892549E-2</v>
      </c>
    </row>
    <row r="152" spans="4:24" x14ac:dyDescent="0.3">
      <c r="D152" s="37">
        <v>44858</v>
      </c>
      <c r="F152" s="316">
        <v>398.2</v>
      </c>
      <c r="H152" s="263">
        <f t="shared" si="9"/>
        <v>-6.1150630225882407E-3</v>
      </c>
      <c r="J152" s="38"/>
      <c r="L152" s="263"/>
      <c r="N152" s="316">
        <v>113.2</v>
      </c>
      <c r="P152" s="263">
        <f t="shared" si="10"/>
        <v>-4.8339638503572924E-2</v>
      </c>
      <c r="R152" s="38"/>
      <c r="T152" s="263"/>
      <c r="U152" s="263"/>
      <c r="V152" s="38">
        <v>17185.7</v>
      </c>
      <c r="W152" s="263"/>
      <c r="X152" s="263">
        <f t="shared" si="11"/>
        <v>-2.2223107252379526E-2</v>
      </c>
    </row>
    <row r="153" spans="4:24" x14ac:dyDescent="0.3">
      <c r="D153" s="37">
        <v>44851</v>
      </c>
      <c r="F153" s="316">
        <v>373.7</v>
      </c>
      <c r="H153" s="263">
        <f t="shared" si="9"/>
        <v>-6.1526870919136112E-2</v>
      </c>
      <c r="J153" s="38"/>
      <c r="L153" s="263"/>
      <c r="N153" s="316">
        <v>102.95</v>
      </c>
      <c r="P153" s="263">
        <f t="shared" si="10"/>
        <v>-9.0547703180211991E-2</v>
      </c>
      <c r="R153" s="38"/>
      <c r="T153" s="263"/>
      <c r="U153" s="263"/>
      <c r="V153" s="38">
        <v>17314.650000000001</v>
      </c>
      <c r="W153" s="263"/>
      <c r="X153" s="263">
        <f t="shared" si="11"/>
        <v>7.5033312579644296E-3</v>
      </c>
    </row>
    <row r="154" spans="4:24" x14ac:dyDescent="0.3">
      <c r="D154" s="37">
        <v>44844</v>
      </c>
      <c r="F154" s="316">
        <v>370.67</v>
      </c>
      <c r="H154" s="263">
        <f t="shared" si="9"/>
        <v>-8.1081081081080253E-3</v>
      </c>
      <c r="J154" s="38"/>
      <c r="L154" s="263"/>
      <c r="N154" s="316">
        <v>119.15</v>
      </c>
      <c r="P154" s="263">
        <f t="shared" si="10"/>
        <v>0.15735794074793596</v>
      </c>
      <c r="R154" s="38"/>
      <c r="T154" s="263"/>
      <c r="U154" s="263"/>
      <c r="V154" s="38">
        <v>17094.349999999999</v>
      </c>
      <c r="W154" s="263"/>
      <c r="X154" s="263">
        <f t="shared" si="11"/>
        <v>-1.2723329665918937E-2</v>
      </c>
    </row>
    <row r="155" spans="4:24" x14ac:dyDescent="0.3">
      <c r="D155" s="37">
        <v>44837</v>
      </c>
      <c r="F155" s="316">
        <v>386.7</v>
      </c>
      <c r="H155" s="263">
        <f t="shared" si="9"/>
        <v>4.3246013974694408E-2</v>
      </c>
      <c r="J155" s="38"/>
      <c r="L155" s="263"/>
      <c r="N155" s="316">
        <v>118.3</v>
      </c>
      <c r="P155" s="263">
        <f t="shared" si="10"/>
        <v>-7.133864876206486E-3</v>
      </c>
      <c r="R155" s="38"/>
      <c r="T155" s="263"/>
      <c r="U155" s="263"/>
      <c r="V155" s="38">
        <v>17327.349999999999</v>
      </c>
      <c r="W155" s="263"/>
      <c r="X155" s="263">
        <f t="shared" si="11"/>
        <v>1.3630234551182063E-2</v>
      </c>
    </row>
    <row r="156" spans="4:24" x14ac:dyDescent="0.3">
      <c r="D156" s="37">
        <v>44830</v>
      </c>
      <c r="F156" s="316">
        <v>393.77</v>
      </c>
      <c r="H156" s="263">
        <f t="shared" si="9"/>
        <v>1.8282906645978869E-2</v>
      </c>
      <c r="J156" s="38"/>
      <c r="L156" s="263"/>
      <c r="N156" s="316">
        <v>118.95</v>
      </c>
      <c r="P156" s="263">
        <f t="shared" si="10"/>
        <v>5.494505494505475E-3</v>
      </c>
      <c r="R156" s="38"/>
      <c r="T156" s="263"/>
      <c r="U156" s="263"/>
      <c r="V156" s="38">
        <v>17530.849999999999</v>
      </c>
      <c r="W156" s="263"/>
      <c r="X156" s="263">
        <f t="shared" si="11"/>
        <v>1.1744438705283855E-2</v>
      </c>
    </row>
    <row r="157" spans="4:24" x14ac:dyDescent="0.3">
      <c r="D157" s="37">
        <v>44823</v>
      </c>
      <c r="F157" s="316">
        <v>429.08</v>
      </c>
      <c r="H157" s="263">
        <f t="shared" si="9"/>
        <v>8.9671635726439325E-2</v>
      </c>
      <c r="J157" s="38"/>
      <c r="L157" s="263"/>
      <c r="N157" s="316">
        <v>118.45</v>
      </c>
      <c r="P157" s="263">
        <f t="shared" si="10"/>
        <v>-4.2034468263976166E-3</v>
      </c>
      <c r="R157" s="38"/>
      <c r="T157" s="263"/>
      <c r="U157" s="263"/>
      <c r="V157" s="38">
        <v>17833.349999999999</v>
      </c>
      <c r="W157" s="263"/>
      <c r="X157" s="263">
        <f t="shared" si="11"/>
        <v>1.7255295664500014E-2</v>
      </c>
    </row>
    <row r="158" spans="4:24" x14ac:dyDescent="0.3">
      <c r="D158" s="37">
        <v>44816</v>
      </c>
      <c r="F158" s="38"/>
      <c r="H158" s="263"/>
      <c r="J158" s="38"/>
      <c r="L158" s="263"/>
      <c r="N158" s="316">
        <v>121.95</v>
      </c>
      <c r="P158" s="263">
        <f t="shared" si="10"/>
        <v>2.954833262980161E-2</v>
      </c>
      <c r="R158" s="38"/>
      <c r="T158" s="263"/>
      <c r="U158" s="263"/>
      <c r="V158" s="38">
        <v>17539.45</v>
      </c>
      <c r="W158" s="263"/>
      <c r="X158" s="263">
        <f t="shared" si="11"/>
        <v>-1.6480358429571407E-2</v>
      </c>
    </row>
    <row r="159" spans="4:24" x14ac:dyDescent="0.3">
      <c r="D159" s="37">
        <v>44809</v>
      </c>
      <c r="F159" s="38"/>
      <c r="H159" s="263"/>
      <c r="J159" s="38"/>
      <c r="L159" s="263"/>
      <c r="N159" s="316">
        <v>121.55</v>
      </c>
      <c r="P159" s="263">
        <f t="shared" si="10"/>
        <v>-3.2800328003280699E-3</v>
      </c>
      <c r="R159" s="38"/>
      <c r="T159" s="263"/>
      <c r="U159" s="263"/>
      <c r="V159" s="38">
        <v>17558.900000000001</v>
      </c>
      <c r="W159" s="263"/>
      <c r="X159" s="263">
        <f t="shared" si="11"/>
        <v>1.1089287292360694E-3</v>
      </c>
    </row>
    <row r="160" spans="4:24" x14ac:dyDescent="0.3">
      <c r="D160" s="320">
        <v>44774</v>
      </c>
      <c r="F160" s="38"/>
      <c r="H160" s="263"/>
      <c r="J160" s="38"/>
      <c r="L160" s="263"/>
      <c r="N160" s="316">
        <v>111.35</v>
      </c>
      <c r="P160" s="263">
        <f t="shared" si="10"/>
        <v>-8.3916083916083961E-2</v>
      </c>
      <c r="R160" s="38"/>
      <c r="T160" s="263"/>
      <c r="U160" s="263"/>
      <c r="V160" s="38">
        <v>17758.45</v>
      </c>
      <c r="W160" s="263"/>
      <c r="X160" s="263">
        <f t="shared" si="11"/>
        <v>1.1364607122313908E-2</v>
      </c>
    </row>
    <row r="161" spans="4:24" x14ac:dyDescent="0.3">
      <c r="D161" s="320">
        <v>44767</v>
      </c>
      <c r="F161" s="38"/>
      <c r="H161" s="263"/>
      <c r="J161" s="38"/>
      <c r="L161" s="263"/>
      <c r="N161" s="316">
        <v>119.65</v>
      </c>
      <c r="P161" s="263">
        <f t="shared" si="10"/>
        <v>7.4539739559946305E-2</v>
      </c>
      <c r="R161" s="38"/>
      <c r="T161" s="263"/>
      <c r="U161" s="263"/>
      <c r="V161" s="38">
        <v>17698.150000000001</v>
      </c>
      <c r="W161" s="263"/>
      <c r="X161" s="263">
        <f t="shared" si="11"/>
        <v>-3.3955666175820021E-3</v>
      </c>
    </row>
    <row r="162" spans="4:24" x14ac:dyDescent="0.3">
      <c r="D162" s="320">
        <v>44760</v>
      </c>
      <c r="F162" s="38"/>
      <c r="H162" s="263"/>
      <c r="J162" s="38"/>
      <c r="L162" s="263"/>
      <c r="N162" s="316">
        <v>111.45</v>
      </c>
      <c r="P162" s="263">
        <f t="shared" si="10"/>
        <v>-6.8533221897200236E-2</v>
      </c>
      <c r="R162" s="38"/>
      <c r="T162" s="263"/>
      <c r="U162" s="263"/>
      <c r="V162" s="38">
        <v>17397.5</v>
      </c>
      <c r="W162" s="263"/>
      <c r="X162" s="263">
        <f t="shared" si="11"/>
        <v>-1.6987651251684555E-2</v>
      </c>
    </row>
    <row r="163" spans="4:24" x14ac:dyDescent="0.3">
      <c r="D163" s="320">
        <v>44753</v>
      </c>
      <c r="F163" s="38"/>
      <c r="H163" s="263"/>
      <c r="J163" s="38"/>
      <c r="L163" s="263"/>
      <c r="N163" s="316">
        <v>111</v>
      </c>
      <c r="P163" s="263">
        <f t="shared" si="10"/>
        <v>-4.0376850605653436E-3</v>
      </c>
      <c r="R163" s="38"/>
      <c r="T163" s="263"/>
      <c r="U163" s="263"/>
      <c r="V163" s="38">
        <v>17158.25</v>
      </c>
      <c r="W163" s="263"/>
      <c r="X163" s="263">
        <f t="shared" si="11"/>
        <v>-1.3751975858600329E-2</v>
      </c>
    </row>
    <row r="164" spans="4:24" x14ac:dyDescent="0.3">
      <c r="D164" s="320">
        <v>44746</v>
      </c>
      <c r="F164" s="38"/>
      <c r="H164" s="263"/>
      <c r="J164" s="38"/>
      <c r="L164" s="263"/>
      <c r="N164" s="316">
        <v>114.25</v>
      </c>
      <c r="P164" s="263">
        <f t="shared" si="10"/>
        <v>2.9279279279279313E-2</v>
      </c>
      <c r="R164" s="38"/>
      <c r="T164" s="263"/>
      <c r="U164" s="263"/>
      <c r="V164" s="38">
        <v>16719.45</v>
      </c>
      <c r="W164" s="263"/>
      <c r="X164" s="263">
        <f t="shared" si="11"/>
        <v>-2.5573703611965093E-2</v>
      </c>
    </row>
    <row r="165" spans="4:24" x14ac:dyDescent="0.3">
      <c r="D165" s="320">
        <v>44739</v>
      </c>
      <c r="F165" s="38"/>
      <c r="H165" s="263"/>
      <c r="J165" s="38"/>
      <c r="L165" s="263"/>
      <c r="N165" s="316">
        <v>114.2</v>
      </c>
      <c r="P165" s="263">
        <f t="shared" si="10"/>
        <v>-4.3763676148789177E-4</v>
      </c>
      <c r="R165" s="38"/>
      <c r="T165" s="263"/>
      <c r="U165" s="263"/>
      <c r="V165" s="38">
        <v>16049.2</v>
      </c>
      <c r="W165" s="263"/>
      <c r="X165" s="263">
        <f t="shared" si="11"/>
        <v>-4.0088041173603206E-2</v>
      </c>
    </row>
    <row r="166" spans="4:24" x14ac:dyDescent="0.3">
      <c r="D166" s="320">
        <v>44732</v>
      </c>
      <c r="F166" s="38"/>
      <c r="H166" s="263"/>
      <c r="J166" s="38"/>
      <c r="L166" s="263"/>
      <c r="N166" s="316">
        <v>117</v>
      </c>
      <c r="P166" s="263">
        <f t="shared" si="10"/>
        <v>2.4518388791593626E-2</v>
      </c>
      <c r="R166" s="38"/>
      <c r="T166" s="263"/>
      <c r="U166" s="263"/>
      <c r="V166" s="38">
        <v>16220.6</v>
      </c>
      <c r="W166" s="263"/>
      <c r="X166" s="263">
        <f t="shared" si="11"/>
        <v>1.0679660045360473E-2</v>
      </c>
    </row>
    <row r="167" spans="4:24" x14ac:dyDescent="0.3">
      <c r="D167" s="320">
        <v>44725</v>
      </c>
      <c r="F167" s="38"/>
      <c r="H167" s="263"/>
      <c r="J167" s="38"/>
      <c r="L167" s="263"/>
      <c r="N167" s="316">
        <v>118.95</v>
      </c>
      <c r="P167" s="263">
        <f t="shared" si="10"/>
        <v>1.6666666666666607E-2</v>
      </c>
      <c r="R167" s="38"/>
      <c r="T167" s="263"/>
      <c r="U167" s="263"/>
      <c r="V167" s="38">
        <v>15752.05</v>
      </c>
      <c r="W167" s="263"/>
      <c r="X167" s="263">
        <f t="shared" si="11"/>
        <v>-2.8886107788861137E-2</v>
      </c>
    </row>
    <row r="168" spans="4:24" x14ac:dyDescent="0.3">
      <c r="D168" s="320">
        <v>44718</v>
      </c>
      <c r="F168" s="38"/>
      <c r="H168" s="263"/>
      <c r="J168" s="38"/>
      <c r="L168" s="263"/>
      <c r="N168" s="316">
        <v>119.25</v>
      </c>
      <c r="P168" s="263">
        <f t="shared" si="10"/>
        <v>2.5220680958386588E-3</v>
      </c>
      <c r="R168" s="38"/>
      <c r="T168" s="263"/>
      <c r="U168" s="263"/>
      <c r="V168" s="38">
        <v>15699.25</v>
      </c>
      <c r="W168" s="263"/>
      <c r="X168" s="263">
        <f t="shared" si="11"/>
        <v>-3.3519446675194242E-3</v>
      </c>
    </row>
    <row r="169" spans="4:24" x14ac:dyDescent="0.3">
      <c r="D169" s="320">
        <v>44711</v>
      </c>
      <c r="F169" s="38"/>
      <c r="H169" s="263"/>
      <c r="J169" s="38"/>
      <c r="L169" s="263"/>
      <c r="N169" s="316">
        <v>117.1</v>
      </c>
      <c r="P169" s="263">
        <f t="shared" si="10"/>
        <v>-1.8029350104821873E-2</v>
      </c>
      <c r="R169" s="38"/>
      <c r="T169" s="263"/>
      <c r="U169" s="263"/>
      <c r="V169" s="38">
        <v>15293.5</v>
      </c>
      <c r="W169" s="263"/>
      <c r="X169" s="263">
        <f t="shared" si="11"/>
        <v>-2.5845183687118856E-2</v>
      </c>
    </row>
    <row r="170" spans="4:24" x14ac:dyDescent="0.3">
      <c r="D170" s="320">
        <v>44704</v>
      </c>
      <c r="F170" s="38"/>
      <c r="H170" s="263"/>
      <c r="J170" s="38"/>
      <c r="L170" s="263"/>
      <c r="N170" s="316">
        <v>126.05</v>
      </c>
      <c r="P170" s="263">
        <f t="shared" si="10"/>
        <v>7.6430401366353484E-2</v>
      </c>
      <c r="R170" s="38"/>
      <c r="T170" s="263"/>
      <c r="U170" s="263"/>
      <c r="V170" s="38">
        <v>16201.8</v>
      </c>
      <c r="W170" s="263"/>
      <c r="X170" s="263">
        <f t="shared" si="11"/>
        <v>5.9391244646418428E-2</v>
      </c>
    </row>
    <row r="171" spans="4:24" x14ac:dyDescent="0.3">
      <c r="D171" s="320">
        <v>44697</v>
      </c>
      <c r="F171" s="38"/>
      <c r="H171" s="263"/>
      <c r="J171" s="38"/>
      <c r="L171" s="263"/>
      <c r="N171" s="316">
        <v>120.1</v>
      </c>
      <c r="P171" s="263">
        <f t="shared" si="10"/>
        <v>-4.7203490678302318E-2</v>
      </c>
      <c r="R171" s="38"/>
      <c r="T171" s="263"/>
      <c r="U171" s="263"/>
      <c r="V171" s="38">
        <v>16584.3</v>
      </c>
      <c r="W171" s="263"/>
      <c r="X171" s="263">
        <f t="shared" si="11"/>
        <v>2.3608487945783851E-2</v>
      </c>
    </row>
    <row r="172" spans="4:24" x14ac:dyDescent="0.3">
      <c r="D172" s="320">
        <v>44690</v>
      </c>
      <c r="F172" s="38"/>
      <c r="H172" s="263"/>
      <c r="J172" s="38"/>
      <c r="L172" s="263"/>
      <c r="N172" s="316">
        <v>115.55</v>
      </c>
      <c r="P172" s="263">
        <f t="shared" si="10"/>
        <v>-3.7885095753538711E-2</v>
      </c>
      <c r="R172" s="38"/>
      <c r="T172" s="263"/>
      <c r="U172" s="263"/>
      <c r="V172" s="38">
        <v>16352.45</v>
      </c>
      <c r="W172" s="263"/>
      <c r="X172" s="263">
        <f t="shared" si="11"/>
        <v>-1.3980089602817047E-2</v>
      </c>
    </row>
    <row r="173" spans="4:24" x14ac:dyDescent="0.3">
      <c r="D173" s="320">
        <v>44683</v>
      </c>
      <c r="F173" s="38"/>
      <c r="H173" s="263"/>
      <c r="J173" s="38"/>
      <c r="L173" s="263"/>
      <c r="N173" s="316">
        <v>119</v>
      </c>
      <c r="P173" s="263">
        <f t="shared" si="10"/>
        <v>2.9857204673301663E-2</v>
      </c>
      <c r="R173" s="38"/>
      <c r="T173" s="263"/>
      <c r="U173" s="263"/>
      <c r="V173" s="38">
        <v>16266.15</v>
      </c>
      <c r="W173" s="263"/>
      <c r="X173" s="263">
        <f t="shared" si="11"/>
        <v>-5.2774966442338256E-3</v>
      </c>
    </row>
    <row r="174" spans="4:24" x14ac:dyDescent="0.3">
      <c r="D174" s="320">
        <v>44676</v>
      </c>
      <c r="F174" s="38"/>
      <c r="H174" s="263"/>
      <c r="J174" s="38"/>
      <c r="L174" s="263"/>
      <c r="N174" s="316">
        <v>114.9</v>
      </c>
      <c r="P174" s="263">
        <f t="shared" si="10"/>
        <v>-3.4453781512605031E-2</v>
      </c>
      <c r="R174" s="38"/>
      <c r="T174" s="263"/>
      <c r="U174" s="263"/>
      <c r="V174" s="38">
        <v>15782.15</v>
      </c>
      <c r="W174" s="263"/>
      <c r="X174" s="263">
        <f t="shared" si="11"/>
        <v>-2.975504344912594E-2</v>
      </c>
    </row>
    <row r="175" spans="4:24" x14ac:dyDescent="0.3">
      <c r="D175" s="320">
        <v>44669</v>
      </c>
      <c r="F175" s="38"/>
      <c r="H175" s="263"/>
      <c r="J175" s="38"/>
      <c r="L175" s="263"/>
      <c r="N175" s="316">
        <v>126.65</v>
      </c>
      <c r="P175" s="263">
        <f t="shared" si="10"/>
        <v>0.10226283724978247</v>
      </c>
      <c r="R175" s="38"/>
      <c r="T175" s="263"/>
      <c r="U175" s="263"/>
      <c r="V175" s="38">
        <v>16411.25</v>
      </c>
      <c r="W175" s="263"/>
      <c r="X175" s="263">
        <f t="shared" si="11"/>
        <v>3.9861489087354984E-2</v>
      </c>
    </row>
    <row r="176" spans="4:24" x14ac:dyDescent="0.3">
      <c r="D176" s="320">
        <v>44662</v>
      </c>
      <c r="F176" s="38"/>
      <c r="H176" s="263"/>
      <c r="J176" s="38"/>
      <c r="L176" s="263"/>
      <c r="N176" s="316">
        <v>126.25</v>
      </c>
      <c r="P176" s="263">
        <f t="shared" si="10"/>
        <v>-3.1583103039873883E-3</v>
      </c>
      <c r="R176" s="38"/>
      <c r="T176" s="263"/>
      <c r="U176" s="263"/>
      <c r="V176" s="38">
        <v>17102.55</v>
      </c>
      <c r="W176" s="263"/>
      <c r="X176" s="263">
        <f t="shared" si="11"/>
        <v>4.2123543301089139E-2</v>
      </c>
    </row>
    <row r="177" spans="4:24" x14ac:dyDescent="0.3">
      <c r="D177" s="320">
        <v>44655</v>
      </c>
      <c r="F177" s="38"/>
      <c r="H177" s="263"/>
      <c r="J177" s="38"/>
      <c r="L177" s="263"/>
      <c r="N177" s="316">
        <v>139.9</v>
      </c>
      <c r="P177" s="263">
        <f t="shared" si="10"/>
        <v>0.10811881188118821</v>
      </c>
      <c r="R177" s="38"/>
      <c r="T177" s="263"/>
      <c r="U177" s="263"/>
      <c r="V177" s="38">
        <v>17171.95</v>
      </c>
      <c r="W177" s="263"/>
      <c r="X177" s="263">
        <f t="shared" si="11"/>
        <v>4.0578744105412845E-3</v>
      </c>
    </row>
    <row r="178" spans="4:24" x14ac:dyDescent="0.3">
      <c r="D178" s="320">
        <v>44648</v>
      </c>
      <c r="F178" s="38"/>
      <c r="H178" s="263"/>
      <c r="J178" s="38"/>
      <c r="L178" s="263"/>
      <c r="N178" s="316">
        <v>122.7</v>
      </c>
      <c r="P178" s="263">
        <f t="shared" si="10"/>
        <v>-0.12294496068620442</v>
      </c>
      <c r="R178" s="38"/>
      <c r="T178" s="263"/>
      <c r="U178" s="263"/>
      <c r="V178" s="38">
        <v>17475.650000000001</v>
      </c>
      <c r="W178" s="263"/>
      <c r="X178" s="263">
        <f t="shared" si="11"/>
        <v>1.7685819024630289E-2</v>
      </c>
    </row>
    <row r="179" spans="4:24" x14ac:dyDescent="0.3">
      <c r="D179" s="320">
        <v>44641</v>
      </c>
      <c r="F179" s="38"/>
      <c r="H179" s="263"/>
      <c r="J179" s="38"/>
      <c r="L179" s="263"/>
      <c r="N179" s="316">
        <v>122.8</v>
      </c>
      <c r="P179" s="263">
        <f t="shared" si="10"/>
        <v>8.1499592502032314E-4</v>
      </c>
      <c r="R179" s="38"/>
      <c r="T179" s="263"/>
      <c r="U179" s="263"/>
      <c r="V179" s="38">
        <v>17784.349999999999</v>
      </c>
      <c r="W179" s="263"/>
      <c r="X179" s="263">
        <f t="shared" si="11"/>
        <v>1.7664578999922576E-2</v>
      </c>
    </row>
    <row r="180" spans="4:24" x14ac:dyDescent="0.3">
      <c r="D180" s="320">
        <v>44634</v>
      </c>
      <c r="F180" s="38"/>
      <c r="H180" s="263"/>
      <c r="J180" s="38"/>
      <c r="L180" s="263"/>
      <c r="N180" s="316">
        <v>120.2</v>
      </c>
      <c r="P180" s="263">
        <f t="shared" si="10"/>
        <v>-2.1172638436482094E-2</v>
      </c>
      <c r="R180" s="38"/>
      <c r="T180" s="263"/>
      <c r="U180" s="263"/>
      <c r="V180" s="38">
        <v>17670.45</v>
      </c>
      <c r="W180" s="263"/>
      <c r="X180" s="263">
        <f t="shared" si="11"/>
        <v>-6.4045073336949088E-3</v>
      </c>
    </row>
    <row r="181" spans="4:24" x14ac:dyDescent="0.3">
      <c r="D181" s="320">
        <v>44627</v>
      </c>
      <c r="F181" s="38"/>
      <c r="H181" s="263"/>
      <c r="J181" s="38"/>
      <c r="L181" s="263"/>
      <c r="N181" s="316">
        <v>122.2</v>
      </c>
      <c r="P181" s="263">
        <f t="shared" si="10"/>
        <v>1.6638935108153063E-2</v>
      </c>
      <c r="R181" s="38"/>
      <c r="T181" s="263"/>
      <c r="U181" s="263"/>
      <c r="V181" s="38">
        <v>17153</v>
      </c>
      <c r="W181" s="263"/>
      <c r="X181" s="263">
        <f t="shared" si="11"/>
        <v>-2.928335158414197E-2</v>
      </c>
    </row>
    <row r="182" spans="4:24" x14ac:dyDescent="0.3">
      <c r="D182" s="320">
        <v>44620</v>
      </c>
      <c r="F182" s="38"/>
      <c r="H182" s="263"/>
      <c r="J182" s="38"/>
      <c r="L182" s="263"/>
      <c r="N182" s="316">
        <v>123.4</v>
      </c>
      <c r="P182" s="263">
        <f t="shared" si="10"/>
        <v>9.8199672667758087E-3</v>
      </c>
      <c r="R182" s="38"/>
      <c r="T182" s="263"/>
      <c r="U182" s="263"/>
      <c r="V182" s="38">
        <v>17287.05</v>
      </c>
      <c r="W182" s="263"/>
      <c r="X182" s="263">
        <f t="shared" si="11"/>
        <v>7.8149594823062607E-3</v>
      </c>
    </row>
    <row r="183" spans="4:24" x14ac:dyDescent="0.3">
      <c r="D183" s="320">
        <v>44613</v>
      </c>
      <c r="F183" s="38"/>
      <c r="H183" s="263"/>
      <c r="J183" s="38"/>
      <c r="L183" s="263"/>
      <c r="N183" s="316">
        <v>123.2</v>
      </c>
      <c r="P183" s="263">
        <f t="shared" si="10"/>
        <v>-1.6207455429497752E-3</v>
      </c>
      <c r="R183" s="38"/>
      <c r="T183" s="263"/>
      <c r="U183" s="263"/>
      <c r="V183" s="38">
        <v>16630.45</v>
      </c>
      <c r="W183" s="263"/>
      <c r="X183" s="263">
        <f t="shared" si="11"/>
        <v>-3.7982188979611808E-2</v>
      </c>
    </row>
    <row r="184" spans="4:24" x14ac:dyDescent="0.3">
      <c r="D184" s="320">
        <v>44606</v>
      </c>
      <c r="F184" s="38"/>
      <c r="H184" s="263"/>
      <c r="J184" s="38"/>
      <c r="L184" s="263"/>
      <c r="N184" s="316">
        <v>111.85</v>
      </c>
      <c r="P184" s="263">
        <f t="shared" si="10"/>
        <v>-9.2126623376623473E-2</v>
      </c>
      <c r="R184" s="38"/>
      <c r="T184" s="263"/>
      <c r="U184" s="263"/>
      <c r="V184" s="38">
        <v>16245.35</v>
      </c>
      <c r="W184" s="263"/>
      <c r="X184" s="263">
        <f t="shared" si="11"/>
        <v>-2.3156318680492727E-2</v>
      </c>
    </row>
    <row r="185" spans="4:24" x14ac:dyDescent="0.3">
      <c r="D185" s="320">
        <v>44599</v>
      </c>
      <c r="F185" s="38"/>
      <c r="H185" s="263"/>
      <c r="J185" s="38"/>
      <c r="L185" s="263"/>
      <c r="N185" s="316">
        <v>109.9</v>
      </c>
      <c r="P185" s="263">
        <f t="shared" si="10"/>
        <v>-1.7434063477872019E-2</v>
      </c>
      <c r="R185" s="38"/>
      <c r="T185" s="263"/>
      <c r="U185" s="263"/>
      <c r="V185" s="38">
        <v>16658.400000000001</v>
      </c>
      <c r="W185" s="263"/>
      <c r="X185" s="263">
        <f t="shared" si="11"/>
        <v>2.5425737210955868E-2</v>
      </c>
    </row>
    <row r="186" spans="4:24" x14ac:dyDescent="0.3">
      <c r="D186" s="320">
        <v>44592</v>
      </c>
      <c r="F186" s="38"/>
      <c r="H186" s="263"/>
      <c r="J186" s="38"/>
      <c r="L186" s="263"/>
      <c r="N186" s="316">
        <v>115.75</v>
      </c>
      <c r="P186" s="263">
        <f t="shared" si="10"/>
        <v>5.3230209281164731E-2</v>
      </c>
      <c r="R186" s="38"/>
      <c r="T186" s="263"/>
      <c r="U186" s="263"/>
      <c r="V186" s="38">
        <v>17276.3</v>
      </c>
      <c r="W186" s="263"/>
      <c r="X186" s="263">
        <f t="shared" si="11"/>
        <v>3.7092397829323165E-2</v>
      </c>
    </row>
    <row r="187" spans="4:24" x14ac:dyDescent="0.3">
      <c r="D187" s="320">
        <v>44585</v>
      </c>
      <c r="F187" s="38"/>
      <c r="H187" s="263"/>
      <c r="J187" s="38"/>
      <c r="L187" s="263"/>
      <c r="N187" s="316">
        <v>123.55</v>
      </c>
      <c r="P187" s="263">
        <f t="shared" si="10"/>
        <v>6.738660907127425E-2</v>
      </c>
      <c r="R187" s="38"/>
      <c r="T187" s="263"/>
      <c r="U187" s="263"/>
      <c r="V187" s="38">
        <v>17374.75</v>
      </c>
      <c r="W187" s="263"/>
      <c r="X187" s="263">
        <f t="shared" si="11"/>
        <v>5.6985581403425911E-3</v>
      </c>
    </row>
    <row r="188" spans="4:24" x14ac:dyDescent="0.3">
      <c r="D188" s="320">
        <v>44578</v>
      </c>
      <c r="F188" s="38"/>
      <c r="H188" s="263"/>
      <c r="J188" s="38"/>
      <c r="L188" s="263"/>
      <c r="N188" s="316">
        <v>133.69999999999999</v>
      </c>
      <c r="P188" s="263">
        <f t="shared" si="10"/>
        <v>8.2152974504249299E-2</v>
      </c>
      <c r="R188" s="38"/>
      <c r="T188" s="263"/>
      <c r="U188" s="263"/>
      <c r="V188" s="38">
        <v>17516.3</v>
      </c>
      <c r="W188" s="263"/>
      <c r="X188" s="263">
        <f t="shared" si="11"/>
        <v>8.1468798112203089E-3</v>
      </c>
    </row>
    <row r="189" spans="4:24" x14ac:dyDescent="0.3">
      <c r="D189" s="320">
        <v>44571</v>
      </c>
      <c r="F189" s="38"/>
      <c r="H189" s="263"/>
      <c r="J189" s="38"/>
      <c r="L189" s="263"/>
      <c r="N189" s="316">
        <v>131.25</v>
      </c>
      <c r="P189" s="263">
        <f t="shared" si="10"/>
        <v>-1.8324607329842868E-2</v>
      </c>
      <c r="R189" s="38"/>
      <c r="T189" s="263"/>
      <c r="U189" s="263"/>
      <c r="V189" s="38">
        <v>17101.95</v>
      </c>
      <c r="W189" s="263"/>
      <c r="X189" s="263">
        <f t="shared" si="11"/>
        <v>-2.3655109812003583E-2</v>
      </c>
    </row>
    <row r="190" spans="4:24" x14ac:dyDescent="0.3">
      <c r="D190" s="320">
        <v>44564</v>
      </c>
      <c r="F190" s="38"/>
      <c r="H190" s="263"/>
      <c r="J190" s="38"/>
      <c r="L190" s="263"/>
      <c r="N190" s="316">
        <v>129.05000000000001</v>
      </c>
      <c r="P190" s="263">
        <f t="shared" si="10"/>
        <v>-1.6761904761904645E-2</v>
      </c>
      <c r="R190" s="38"/>
      <c r="T190" s="263"/>
      <c r="U190" s="263"/>
      <c r="V190" s="38">
        <v>17617.150000000001</v>
      </c>
      <c r="W190" s="263"/>
      <c r="X190" s="263">
        <f t="shared" si="11"/>
        <v>3.0125219638696299E-2</v>
      </c>
    </row>
    <row r="191" spans="4:24" x14ac:dyDescent="0.3">
      <c r="D191" s="320">
        <v>44557</v>
      </c>
      <c r="F191" s="38"/>
      <c r="H191" s="263"/>
      <c r="J191" s="38"/>
      <c r="L191" s="263"/>
      <c r="N191" s="316">
        <v>110</v>
      </c>
      <c r="P191" s="263">
        <f t="shared" si="10"/>
        <v>-0.14761720263463785</v>
      </c>
      <c r="R191" s="38"/>
      <c r="T191" s="263"/>
      <c r="U191" s="263"/>
      <c r="V191" s="38">
        <v>18255.75</v>
      </c>
      <c r="W191" s="263"/>
      <c r="X191" s="263">
        <f t="shared" si="11"/>
        <v>3.6248768955250865E-2</v>
      </c>
    </row>
    <row r="192" spans="4:24" x14ac:dyDescent="0.3">
      <c r="D192" s="320">
        <v>44550</v>
      </c>
      <c r="F192" s="38"/>
      <c r="H192" s="263"/>
      <c r="J192" s="38"/>
      <c r="L192" s="263"/>
      <c r="N192" s="316">
        <v>113.9</v>
      </c>
      <c r="P192" s="263">
        <f t="shared" si="10"/>
        <v>3.5454545454545405E-2</v>
      </c>
      <c r="R192" s="38"/>
      <c r="T192" s="263"/>
      <c r="U192" s="263"/>
      <c r="V192" s="38">
        <v>17812.7</v>
      </c>
      <c r="W192" s="263"/>
      <c r="X192" s="263">
        <f t="shared" si="11"/>
        <v>-2.4269065910740406E-2</v>
      </c>
    </row>
    <row r="193" spans="4:24" x14ac:dyDescent="0.3">
      <c r="D193" s="320">
        <v>44543</v>
      </c>
      <c r="F193" s="38"/>
      <c r="H193" s="263"/>
      <c r="J193" s="38"/>
      <c r="L193" s="263"/>
      <c r="N193" s="316">
        <v>111.3</v>
      </c>
      <c r="P193" s="263">
        <f t="shared" si="10"/>
        <v>-2.2827041264266934E-2</v>
      </c>
      <c r="R193" s="38"/>
      <c r="T193" s="263"/>
      <c r="U193" s="263"/>
      <c r="V193" s="38">
        <v>17354.05</v>
      </c>
      <c r="W193" s="263"/>
      <c r="X193" s="263">
        <f t="shared" si="11"/>
        <v>-2.5748482824052621E-2</v>
      </c>
    </row>
    <row r="194" spans="4:24" x14ac:dyDescent="0.3">
      <c r="D194" s="320">
        <v>44536</v>
      </c>
      <c r="F194" s="38"/>
      <c r="H194" s="263"/>
      <c r="J194" s="38"/>
      <c r="L194" s="263"/>
      <c r="N194" s="316">
        <v>113.05</v>
      </c>
      <c r="P194" s="263">
        <f t="shared" si="10"/>
        <v>1.572327044025168E-2</v>
      </c>
      <c r="R194" s="38"/>
      <c r="T194" s="263"/>
      <c r="U194" s="263"/>
      <c r="V194" s="38">
        <v>17003.75</v>
      </c>
      <c r="W194" s="263"/>
      <c r="X194" s="263">
        <f t="shared" si="11"/>
        <v>-2.0185489842428628E-2</v>
      </c>
    </row>
    <row r="195" spans="4:24" x14ac:dyDescent="0.3">
      <c r="D195" s="320">
        <v>44529</v>
      </c>
      <c r="F195" s="38"/>
      <c r="H195" s="263"/>
      <c r="J195" s="38"/>
      <c r="L195" s="263"/>
      <c r="N195" s="316">
        <v>112.15</v>
      </c>
      <c r="P195" s="263">
        <f t="shared" si="10"/>
        <v>-7.9610791685094107E-3</v>
      </c>
      <c r="R195" s="38"/>
      <c r="T195" s="263"/>
      <c r="U195" s="263"/>
      <c r="V195" s="38">
        <v>16985.2</v>
      </c>
      <c r="W195" s="263"/>
      <c r="X195" s="263">
        <f t="shared" si="11"/>
        <v>-1.0909358229801436E-3</v>
      </c>
    </row>
    <row r="196" spans="4:24" x14ac:dyDescent="0.3">
      <c r="D196" s="320">
        <v>44522</v>
      </c>
      <c r="F196" s="38"/>
      <c r="H196" s="263"/>
      <c r="J196" s="38"/>
      <c r="L196" s="263"/>
      <c r="N196" s="316">
        <v>117.65</v>
      </c>
      <c r="P196" s="263">
        <f t="shared" si="10"/>
        <v>4.9041462327240382E-2</v>
      </c>
      <c r="R196" s="38"/>
      <c r="T196" s="263"/>
      <c r="U196" s="263"/>
      <c r="V196" s="38">
        <v>17511.3</v>
      </c>
      <c r="W196" s="263"/>
      <c r="X196" s="263">
        <f t="shared" si="11"/>
        <v>3.0974024444810677E-2</v>
      </c>
    </row>
    <row r="197" spans="4:24" x14ac:dyDescent="0.3">
      <c r="D197" s="320">
        <v>44515</v>
      </c>
      <c r="F197" s="38"/>
      <c r="H197" s="263"/>
      <c r="J197" s="38"/>
      <c r="L197" s="263"/>
      <c r="N197" s="316">
        <v>113.5</v>
      </c>
      <c r="P197" s="263">
        <f t="shared" si="10"/>
        <v>-3.5274118147046396E-2</v>
      </c>
      <c r="R197" s="38"/>
      <c r="T197" s="263"/>
      <c r="U197" s="263"/>
      <c r="V197" s="38">
        <v>17196.7</v>
      </c>
      <c r="W197" s="263"/>
      <c r="X197" s="263">
        <f t="shared" si="11"/>
        <v>-1.7965542249861466E-2</v>
      </c>
    </row>
    <row r="198" spans="4:24" x14ac:dyDescent="0.3">
      <c r="D198" s="320">
        <v>44508</v>
      </c>
      <c r="F198" s="38"/>
      <c r="H198" s="263"/>
      <c r="J198" s="38"/>
      <c r="L198" s="263"/>
      <c r="N198" s="316">
        <v>109.15</v>
      </c>
      <c r="P198" s="263">
        <f t="shared" si="10"/>
        <v>-3.8325991189427255E-2</v>
      </c>
      <c r="R198" s="38"/>
      <c r="T198" s="263"/>
      <c r="U198" s="263"/>
      <c r="V198" s="38">
        <v>17026.45</v>
      </c>
      <c r="W198" s="263"/>
      <c r="X198" s="263">
        <f t="shared" si="11"/>
        <v>-9.900155262346888E-3</v>
      </c>
    </row>
    <row r="199" spans="4:24" x14ac:dyDescent="0.3">
      <c r="D199" s="320">
        <v>44501</v>
      </c>
      <c r="F199" s="38"/>
      <c r="H199" s="263"/>
      <c r="J199" s="38"/>
      <c r="L199" s="263"/>
      <c r="N199" s="316">
        <v>144.25</v>
      </c>
      <c r="P199" s="263">
        <f t="shared" si="10"/>
        <v>0.32157581310123673</v>
      </c>
      <c r="R199" s="38"/>
      <c r="T199" s="263"/>
      <c r="U199" s="263"/>
      <c r="V199" s="38">
        <v>17764.8</v>
      </c>
      <c r="W199" s="263"/>
      <c r="X199" s="263">
        <f t="shared" si="11"/>
        <v>4.3364882286090145E-2</v>
      </c>
    </row>
    <row r="200" spans="4:24" x14ac:dyDescent="0.3">
      <c r="D200" s="320">
        <v>44494</v>
      </c>
      <c r="F200" s="38"/>
      <c r="H200" s="263"/>
      <c r="J200" s="38"/>
      <c r="L200" s="263"/>
      <c r="N200" s="316">
        <v>115.95</v>
      </c>
      <c r="P200" s="263">
        <f t="shared" si="10"/>
        <v>-0.1961871750433275</v>
      </c>
      <c r="R200" s="38"/>
      <c r="T200" s="263"/>
      <c r="U200" s="263"/>
      <c r="V200" s="38">
        <v>18102.75</v>
      </c>
      <c r="W200" s="263"/>
      <c r="X200" s="263">
        <f t="shared" si="11"/>
        <v>1.9023574709537971E-2</v>
      </c>
    </row>
    <row r="201" spans="4:24" x14ac:dyDescent="0.3">
      <c r="D201" s="320">
        <v>44487</v>
      </c>
      <c r="F201" s="38"/>
      <c r="H201" s="263"/>
      <c r="J201" s="38"/>
      <c r="L201" s="263"/>
      <c r="N201" s="316">
        <v>107.4</v>
      </c>
      <c r="P201" s="263">
        <f t="shared" si="10"/>
        <v>-7.3738680465717965E-2</v>
      </c>
      <c r="R201" s="38"/>
      <c r="T201" s="263"/>
      <c r="U201" s="263"/>
      <c r="V201" s="38">
        <v>17916.8</v>
      </c>
      <c r="W201" s="263"/>
      <c r="X201" s="263">
        <f t="shared" si="11"/>
        <v>-1.0271920012152935E-2</v>
      </c>
    </row>
    <row r="202" spans="4:24" x14ac:dyDescent="0.3">
      <c r="D202" s="320">
        <v>44480</v>
      </c>
      <c r="F202" s="38"/>
      <c r="H202" s="263"/>
      <c r="J202" s="38"/>
      <c r="L202" s="263"/>
      <c r="N202" s="316">
        <v>102.65</v>
      </c>
      <c r="P202" s="263">
        <f t="shared" si="10"/>
        <v>-4.4227188081936708E-2</v>
      </c>
      <c r="R202" s="38"/>
      <c r="T202" s="263"/>
      <c r="U202" s="263"/>
      <c r="V202" s="38">
        <v>17671.650000000001</v>
      </c>
      <c r="W202" s="263"/>
      <c r="X202" s="263">
        <f t="shared" si="11"/>
        <v>-1.3682688873012938E-2</v>
      </c>
    </row>
    <row r="203" spans="4:24" x14ac:dyDescent="0.3">
      <c r="D203" s="320">
        <v>44473</v>
      </c>
      <c r="F203" s="38"/>
      <c r="H203" s="263"/>
      <c r="J203" s="38"/>
      <c r="L203" s="263"/>
      <c r="N203" s="316">
        <v>88.35</v>
      </c>
      <c r="P203" s="263">
        <f t="shared" si="10"/>
        <v>-0.13930832927423298</v>
      </c>
      <c r="R203" s="38"/>
      <c r="T203" s="263"/>
      <c r="U203" s="263"/>
      <c r="V203" s="38">
        <v>18114.900000000001</v>
      </c>
      <c r="W203" s="263"/>
      <c r="X203" s="263">
        <f t="shared" si="11"/>
        <v>2.5082547470100414E-2</v>
      </c>
    </row>
    <row r="204" spans="4:24" x14ac:dyDescent="0.3">
      <c r="D204" s="320">
        <v>44466</v>
      </c>
      <c r="F204" s="38"/>
      <c r="H204" s="263"/>
      <c r="J204" s="38"/>
      <c r="L204" s="263"/>
      <c r="N204" s="316">
        <v>94.4</v>
      </c>
      <c r="P204" s="263">
        <f t="shared" si="10"/>
        <v>6.847764572722137E-2</v>
      </c>
      <c r="R204" s="38"/>
      <c r="T204" s="263"/>
      <c r="U204" s="263"/>
      <c r="V204" s="38">
        <v>18338.55</v>
      </c>
      <c r="W204" s="263"/>
      <c r="X204" s="263">
        <f t="shared" si="11"/>
        <v>1.2346190152857428E-2</v>
      </c>
    </row>
    <row r="205" spans="4:24" x14ac:dyDescent="0.3">
      <c r="D205" s="320">
        <v>44459</v>
      </c>
      <c r="F205" s="38"/>
      <c r="H205" s="263"/>
      <c r="J205" s="38"/>
      <c r="L205" s="263"/>
      <c r="N205" s="316">
        <v>94.2</v>
      </c>
      <c r="P205" s="263">
        <f t="shared" si="10"/>
        <v>-2.1186440677966045E-3</v>
      </c>
      <c r="R205" s="38"/>
      <c r="T205" s="263"/>
      <c r="U205" s="263"/>
      <c r="V205" s="38">
        <v>17895.2</v>
      </c>
      <c r="W205" s="263"/>
      <c r="X205" s="263">
        <f t="shared" si="11"/>
        <v>-2.4175848145027712E-2</v>
      </c>
    </row>
    <row r="206" spans="4:24" x14ac:dyDescent="0.3">
      <c r="D206" s="320">
        <v>44452</v>
      </c>
      <c r="F206" s="38"/>
      <c r="H206" s="263"/>
      <c r="J206" s="38"/>
      <c r="L206" s="263"/>
      <c r="N206" s="316">
        <v>85</v>
      </c>
      <c r="P206" s="263">
        <f t="shared" si="10"/>
        <v>-9.7664543524416114E-2</v>
      </c>
      <c r="R206" s="38"/>
      <c r="T206" s="263"/>
      <c r="U206" s="263"/>
      <c r="V206" s="38">
        <v>17532.05</v>
      </c>
      <c r="W206" s="263"/>
      <c r="X206" s="263">
        <f t="shared" si="11"/>
        <v>-2.0293151236085771E-2</v>
      </c>
    </row>
    <row r="207" spans="4:24" x14ac:dyDescent="0.3">
      <c r="D207" s="320">
        <v>44445</v>
      </c>
      <c r="F207" s="38"/>
      <c r="H207" s="263"/>
      <c r="J207" s="38"/>
      <c r="L207" s="263"/>
      <c r="N207" s="316">
        <v>85.05</v>
      </c>
      <c r="P207" s="263">
        <f t="shared" si="10"/>
        <v>5.8823529411755615E-4</v>
      </c>
      <c r="R207" s="38"/>
      <c r="T207" s="263"/>
      <c r="U207" s="263"/>
      <c r="V207" s="38">
        <v>17853.2</v>
      </c>
      <c r="W207" s="263"/>
      <c r="X207" s="263">
        <f t="shared" si="11"/>
        <v>1.8317880681380849E-2</v>
      </c>
    </row>
    <row r="208" spans="4:24" x14ac:dyDescent="0.3">
      <c r="D208" s="320">
        <v>44438</v>
      </c>
      <c r="F208" s="38"/>
      <c r="H208" s="263"/>
      <c r="J208" s="38"/>
      <c r="L208" s="263"/>
      <c r="N208" s="316">
        <v>86.55</v>
      </c>
      <c r="P208" s="263">
        <f t="shared" ref="P208:P271" si="12">N208/N207-1</f>
        <v>1.763668430335108E-2</v>
      </c>
      <c r="R208" s="38"/>
      <c r="T208" s="263"/>
      <c r="U208" s="263"/>
      <c r="V208" s="38">
        <v>17585.150000000001</v>
      </c>
      <c r="W208" s="263"/>
      <c r="X208" s="263">
        <f t="shared" ref="X208:X271" si="13">V208/V207-1</f>
        <v>-1.5014115116617655E-2</v>
      </c>
    </row>
    <row r="209" spans="4:24" x14ac:dyDescent="0.3">
      <c r="D209" s="320">
        <v>44431</v>
      </c>
      <c r="F209" s="38"/>
      <c r="H209" s="263"/>
      <c r="J209" s="38"/>
      <c r="L209" s="263"/>
      <c r="N209" s="316">
        <v>85.15</v>
      </c>
      <c r="P209" s="263">
        <f t="shared" si="12"/>
        <v>-1.6175621028307274E-2</v>
      </c>
      <c r="R209" s="38"/>
      <c r="T209" s="263"/>
      <c r="U209" s="263"/>
      <c r="V209" s="38">
        <v>17369.25</v>
      </c>
      <c r="W209" s="263"/>
      <c r="X209" s="263">
        <f t="shared" si="13"/>
        <v>-1.2277404514604684E-2</v>
      </c>
    </row>
    <row r="210" spans="4:24" x14ac:dyDescent="0.3">
      <c r="D210" s="320">
        <v>44424</v>
      </c>
      <c r="F210" s="38"/>
      <c r="H210" s="263"/>
      <c r="J210" s="38"/>
      <c r="L210" s="263"/>
      <c r="N210" s="316">
        <v>75.7</v>
      </c>
      <c r="P210" s="263">
        <f t="shared" si="12"/>
        <v>-0.11098062243100415</v>
      </c>
      <c r="R210" s="38"/>
      <c r="T210" s="263"/>
      <c r="U210" s="263"/>
      <c r="V210" s="38">
        <v>17323.599999999999</v>
      </c>
      <c r="W210" s="263"/>
      <c r="X210" s="263">
        <f t="shared" si="13"/>
        <v>-2.6282078961383792E-3</v>
      </c>
    </row>
    <row r="211" spans="4:24" x14ac:dyDescent="0.3">
      <c r="D211" s="320">
        <v>44417</v>
      </c>
      <c r="F211" s="38"/>
      <c r="H211" s="263"/>
      <c r="J211" s="38"/>
      <c r="L211" s="263"/>
      <c r="N211" s="316">
        <v>71.45</v>
      </c>
      <c r="P211" s="263">
        <f t="shared" si="12"/>
        <v>-5.6142668428005305E-2</v>
      </c>
      <c r="R211" s="38"/>
      <c r="T211" s="263"/>
      <c r="U211" s="263"/>
      <c r="V211" s="38">
        <v>16705.2</v>
      </c>
      <c r="W211" s="263"/>
      <c r="X211" s="263">
        <f t="shared" si="13"/>
        <v>-3.5696968297582399E-2</v>
      </c>
    </row>
    <row r="212" spans="4:24" x14ac:dyDescent="0.3">
      <c r="D212" s="320">
        <v>44410</v>
      </c>
      <c r="F212" s="38"/>
      <c r="H212" s="263"/>
      <c r="J212" s="38"/>
      <c r="L212" s="263"/>
      <c r="N212" s="316">
        <v>60.75</v>
      </c>
      <c r="P212" s="263">
        <f t="shared" si="12"/>
        <v>-0.14975507347795669</v>
      </c>
      <c r="R212" s="38"/>
      <c r="T212" s="263"/>
      <c r="U212" s="263"/>
      <c r="V212" s="38">
        <v>16450.5</v>
      </c>
      <c r="W212" s="263"/>
      <c r="X212" s="263">
        <f t="shared" si="13"/>
        <v>-1.5246749515121061E-2</v>
      </c>
    </row>
    <row r="213" spans="4:24" x14ac:dyDescent="0.3">
      <c r="D213" s="320">
        <v>44403</v>
      </c>
      <c r="F213" s="38"/>
      <c r="H213" s="263"/>
      <c r="J213" s="38"/>
      <c r="L213" s="263"/>
      <c r="N213" s="316">
        <v>60.15</v>
      </c>
      <c r="P213" s="263">
        <f t="shared" si="12"/>
        <v>-9.8765432098765205E-3</v>
      </c>
      <c r="R213" s="38"/>
      <c r="T213" s="263"/>
      <c r="U213" s="263"/>
      <c r="V213" s="38">
        <v>16529.099999999999</v>
      </c>
      <c r="W213" s="263"/>
      <c r="X213" s="263">
        <f t="shared" si="13"/>
        <v>4.7779702744596975E-3</v>
      </c>
    </row>
    <row r="214" spans="4:24" x14ac:dyDescent="0.3">
      <c r="D214" s="320">
        <v>44396</v>
      </c>
      <c r="F214" s="38"/>
      <c r="H214" s="263"/>
      <c r="J214" s="38"/>
      <c r="L214" s="263"/>
      <c r="N214" s="316">
        <v>59.6</v>
      </c>
      <c r="P214" s="263">
        <f t="shared" si="12"/>
        <v>-9.1438071487945916E-3</v>
      </c>
      <c r="R214" s="38"/>
      <c r="T214" s="263"/>
      <c r="U214" s="263"/>
      <c r="V214" s="38">
        <v>16238.2</v>
      </c>
      <c r="W214" s="263"/>
      <c r="X214" s="263">
        <f t="shared" si="13"/>
        <v>-1.7599264327761266E-2</v>
      </c>
    </row>
    <row r="215" spans="4:24" x14ac:dyDescent="0.3">
      <c r="D215" s="320">
        <v>44389</v>
      </c>
      <c r="F215" s="38"/>
      <c r="H215" s="263"/>
      <c r="J215" s="38"/>
      <c r="L215" s="263"/>
      <c r="N215" s="316">
        <v>57.2</v>
      </c>
      <c r="P215" s="263">
        <f t="shared" si="12"/>
        <v>-4.0268456375838868E-2</v>
      </c>
      <c r="R215" s="38"/>
      <c r="T215" s="263"/>
      <c r="U215" s="263"/>
      <c r="V215" s="38">
        <v>15763.05</v>
      </c>
      <c r="W215" s="263"/>
      <c r="X215" s="263">
        <f t="shared" si="13"/>
        <v>-2.9261248167900433E-2</v>
      </c>
    </row>
    <row r="216" spans="4:24" x14ac:dyDescent="0.3">
      <c r="D216" s="320">
        <v>44382</v>
      </c>
      <c r="F216" s="38"/>
      <c r="H216" s="263"/>
      <c r="J216" s="38"/>
      <c r="L216" s="263"/>
      <c r="N216" s="316">
        <v>58.35</v>
      </c>
      <c r="P216" s="263">
        <f t="shared" si="12"/>
        <v>2.0104895104894993E-2</v>
      </c>
      <c r="R216" s="38"/>
      <c r="T216" s="263"/>
      <c r="U216" s="263"/>
      <c r="V216" s="38">
        <v>15856.05</v>
      </c>
      <c r="W216" s="263"/>
      <c r="X216" s="263">
        <f t="shared" si="13"/>
        <v>5.899873438198755E-3</v>
      </c>
    </row>
    <row r="217" spans="4:24" x14ac:dyDescent="0.3">
      <c r="D217" s="320">
        <v>44375</v>
      </c>
      <c r="F217" s="38"/>
      <c r="H217" s="263"/>
      <c r="J217" s="38"/>
      <c r="L217" s="263"/>
      <c r="N217" s="316">
        <v>56.75</v>
      </c>
      <c r="P217" s="263">
        <f t="shared" si="12"/>
        <v>-2.7420736932305068E-2</v>
      </c>
      <c r="R217" s="38"/>
      <c r="T217" s="263"/>
      <c r="U217" s="263"/>
      <c r="V217" s="38">
        <v>15923.4</v>
      </c>
      <c r="W217" s="263"/>
      <c r="X217" s="263">
        <f t="shared" si="13"/>
        <v>4.2475900366105712E-3</v>
      </c>
    </row>
    <row r="218" spans="4:24" x14ac:dyDescent="0.3">
      <c r="D218" s="320">
        <v>44368</v>
      </c>
      <c r="F218" s="38"/>
      <c r="H218" s="263"/>
      <c r="J218" s="38"/>
      <c r="L218" s="263"/>
      <c r="N218" s="316">
        <v>51.2</v>
      </c>
      <c r="P218" s="263">
        <f t="shared" si="12"/>
        <v>-9.7797356828193793E-2</v>
      </c>
      <c r="R218" s="38"/>
      <c r="T218" s="263"/>
      <c r="U218" s="263"/>
      <c r="V218" s="38">
        <v>15689.8</v>
      </c>
      <c r="W218" s="263"/>
      <c r="X218" s="263">
        <f t="shared" si="13"/>
        <v>-1.4670233744049632E-2</v>
      </c>
    </row>
    <row r="219" spans="4:24" x14ac:dyDescent="0.3">
      <c r="D219" s="320">
        <v>44361</v>
      </c>
      <c r="F219" s="38"/>
      <c r="H219" s="263"/>
      <c r="J219" s="38"/>
      <c r="L219" s="263"/>
      <c r="N219" s="316">
        <v>50.9</v>
      </c>
      <c r="P219" s="263">
        <f t="shared" si="12"/>
        <v>-5.859375000000111E-3</v>
      </c>
      <c r="R219" s="38"/>
      <c r="T219" s="263"/>
      <c r="U219" s="263"/>
      <c r="V219" s="38">
        <v>15722.2</v>
      </c>
      <c r="W219" s="263"/>
      <c r="X219" s="263">
        <f t="shared" si="13"/>
        <v>2.0650358831852955E-3</v>
      </c>
    </row>
    <row r="220" spans="4:24" x14ac:dyDescent="0.3">
      <c r="D220" s="320">
        <v>44354</v>
      </c>
      <c r="F220" s="38"/>
      <c r="H220" s="263"/>
      <c r="J220" s="38"/>
      <c r="L220" s="263"/>
      <c r="N220" s="316">
        <v>51.8</v>
      </c>
      <c r="P220" s="263">
        <f t="shared" si="12"/>
        <v>1.7681728880157177E-2</v>
      </c>
      <c r="R220" s="38"/>
      <c r="T220" s="263"/>
      <c r="U220" s="263"/>
      <c r="V220" s="38">
        <v>15860.35</v>
      </c>
      <c r="W220" s="263"/>
      <c r="X220" s="263">
        <f t="shared" si="13"/>
        <v>8.7869382147536257E-3</v>
      </c>
    </row>
    <row r="221" spans="4:24" x14ac:dyDescent="0.3">
      <c r="D221" s="320">
        <v>44347</v>
      </c>
      <c r="F221" s="38"/>
      <c r="H221" s="263"/>
      <c r="J221" s="38"/>
      <c r="L221" s="263"/>
      <c r="N221" s="316">
        <v>53.3</v>
      </c>
      <c r="P221" s="263">
        <f t="shared" si="12"/>
        <v>2.8957528957529011E-2</v>
      </c>
      <c r="R221" s="38"/>
      <c r="T221" s="263"/>
      <c r="U221" s="263"/>
      <c r="V221" s="38">
        <v>15683.35</v>
      </c>
      <c r="W221" s="263"/>
      <c r="X221" s="263">
        <f t="shared" si="13"/>
        <v>-1.1159905046231655E-2</v>
      </c>
    </row>
    <row r="222" spans="4:24" x14ac:dyDescent="0.3">
      <c r="D222" s="320">
        <v>44340</v>
      </c>
      <c r="F222" s="38"/>
      <c r="H222" s="263"/>
      <c r="J222" s="38"/>
      <c r="L222" s="263"/>
      <c r="N222" s="316">
        <v>57.6</v>
      </c>
      <c r="P222" s="263">
        <f t="shared" si="12"/>
        <v>8.0675422138836828E-2</v>
      </c>
      <c r="R222" s="38"/>
      <c r="T222" s="263"/>
      <c r="U222" s="263"/>
      <c r="V222" s="38">
        <v>15799.35</v>
      </c>
      <c r="W222" s="263"/>
      <c r="X222" s="263">
        <f t="shared" si="13"/>
        <v>7.3963789624027498E-3</v>
      </c>
    </row>
    <row r="223" spans="4:24" x14ac:dyDescent="0.3">
      <c r="D223" s="320">
        <v>44333</v>
      </c>
      <c r="F223" s="38"/>
      <c r="H223" s="263"/>
      <c r="J223" s="38"/>
      <c r="L223" s="263"/>
      <c r="N223" s="316">
        <v>53.25</v>
      </c>
      <c r="P223" s="263">
        <f t="shared" si="12"/>
        <v>-7.552083333333337E-2</v>
      </c>
      <c r="R223" s="38"/>
      <c r="T223" s="263"/>
      <c r="U223" s="263"/>
      <c r="V223" s="38">
        <v>15670.25</v>
      </c>
      <c r="W223" s="263"/>
      <c r="X223" s="263">
        <f t="shared" si="13"/>
        <v>-8.1712222338260476E-3</v>
      </c>
    </row>
    <row r="224" spans="4:24" x14ac:dyDescent="0.3">
      <c r="D224" s="320">
        <v>44326</v>
      </c>
      <c r="F224" s="38"/>
      <c r="H224" s="263"/>
      <c r="J224" s="38"/>
      <c r="L224" s="263"/>
      <c r="N224" s="316">
        <v>55.35</v>
      </c>
      <c r="P224" s="263">
        <f t="shared" si="12"/>
        <v>3.9436619718309807E-2</v>
      </c>
      <c r="R224" s="38"/>
      <c r="T224" s="263"/>
      <c r="U224" s="263"/>
      <c r="V224" s="38">
        <v>15435.65</v>
      </c>
      <c r="W224" s="263"/>
      <c r="X224" s="263">
        <f t="shared" si="13"/>
        <v>-1.4971043856990218E-2</v>
      </c>
    </row>
    <row r="225" spans="4:24" x14ac:dyDescent="0.3">
      <c r="D225" s="320">
        <v>44319</v>
      </c>
      <c r="F225" s="38"/>
      <c r="H225" s="263"/>
      <c r="J225" s="38"/>
      <c r="L225" s="263"/>
      <c r="N225" s="316">
        <v>54</v>
      </c>
      <c r="P225" s="263">
        <f t="shared" si="12"/>
        <v>-2.4390243902439046E-2</v>
      </c>
      <c r="R225" s="38"/>
      <c r="T225" s="263"/>
      <c r="U225" s="263"/>
      <c r="V225" s="38">
        <v>15175.3</v>
      </c>
      <c r="W225" s="263"/>
      <c r="X225" s="263">
        <f t="shared" si="13"/>
        <v>-1.6866798612303335E-2</v>
      </c>
    </row>
    <row r="226" spans="4:24" x14ac:dyDescent="0.3">
      <c r="D226" s="320">
        <v>44312</v>
      </c>
      <c r="F226" s="38"/>
      <c r="H226" s="263"/>
      <c r="J226" s="38"/>
      <c r="L226" s="263"/>
      <c r="N226" s="316">
        <v>56.1</v>
      </c>
      <c r="P226" s="263">
        <f t="shared" si="12"/>
        <v>3.8888888888888973E-2</v>
      </c>
      <c r="R226" s="38"/>
      <c r="T226" s="263"/>
      <c r="U226" s="263"/>
      <c r="V226" s="38">
        <v>14677.8</v>
      </c>
      <c r="W226" s="263"/>
      <c r="X226" s="263">
        <f t="shared" si="13"/>
        <v>-3.2783536404552116E-2</v>
      </c>
    </row>
    <row r="227" spans="4:24" x14ac:dyDescent="0.3">
      <c r="D227" s="320">
        <v>44305</v>
      </c>
      <c r="F227" s="38"/>
      <c r="H227" s="263"/>
      <c r="J227" s="38"/>
      <c r="L227" s="263"/>
      <c r="N227" s="316">
        <v>56.45</v>
      </c>
      <c r="P227" s="263">
        <f t="shared" si="12"/>
        <v>6.2388591800357496E-3</v>
      </c>
      <c r="R227" s="38"/>
      <c r="T227" s="263"/>
      <c r="U227" s="263"/>
      <c r="V227" s="38">
        <v>14823.15</v>
      </c>
      <c r="W227" s="263"/>
      <c r="X227" s="263">
        <f t="shared" si="13"/>
        <v>9.9027102154274349E-3</v>
      </c>
    </row>
    <row r="228" spans="4:24" x14ac:dyDescent="0.3">
      <c r="D228" s="320">
        <v>44298</v>
      </c>
      <c r="F228" s="38"/>
      <c r="H228" s="263"/>
      <c r="J228" s="38"/>
      <c r="L228" s="263"/>
      <c r="N228" s="316">
        <v>55.95</v>
      </c>
      <c r="P228" s="263">
        <f t="shared" si="12"/>
        <v>-8.8573959255978663E-3</v>
      </c>
      <c r="R228" s="38"/>
      <c r="T228" s="263"/>
      <c r="U228" s="263"/>
      <c r="V228" s="38">
        <v>14631.1</v>
      </c>
      <c r="W228" s="263"/>
      <c r="X228" s="263">
        <f t="shared" si="13"/>
        <v>-1.2956085582349175E-2</v>
      </c>
    </row>
    <row r="229" spans="4:24" x14ac:dyDescent="0.3">
      <c r="D229" s="320">
        <v>44291</v>
      </c>
      <c r="F229" s="38"/>
      <c r="H229" s="263"/>
      <c r="J229" s="38"/>
      <c r="L229" s="263"/>
      <c r="N229" s="316">
        <v>52.45</v>
      </c>
      <c r="P229" s="263">
        <f t="shared" si="12"/>
        <v>-6.2555853440571907E-2</v>
      </c>
      <c r="R229" s="38"/>
      <c r="T229" s="263"/>
      <c r="U229" s="263"/>
      <c r="V229" s="38">
        <v>14341.35</v>
      </c>
      <c r="W229" s="263"/>
      <c r="X229" s="263">
        <f t="shared" si="13"/>
        <v>-1.980370580475832E-2</v>
      </c>
    </row>
    <row r="230" spans="4:24" x14ac:dyDescent="0.3">
      <c r="D230" s="320">
        <v>44284</v>
      </c>
      <c r="F230" s="38"/>
      <c r="H230" s="263"/>
      <c r="J230" s="38"/>
      <c r="L230" s="263"/>
      <c r="N230" s="316">
        <v>53.95</v>
      </c>
      <c r="P230" s="263">
        <f t="shared" si="12"/>
        <v>2.8598665395614953E-2</v>
      </c>
      <c r="R230" s="38"/>
      <c r="T230" s="263"/>
      <c r="U230" s="263"/>
      <c r="V230" s="38">
        <v>14617.85</v>
      </c>
      <c r="W230" s="263"/>
      <c r="X230" s="263">
        <f t="shared" si="13"/>
        <v>1.927991437347254E-2</v>
      </c>
    </row>
    <row r="231" spans="4:24" x14ac:dyDescent="0.3">
      <c r="D231" s="320">
        <v>44277</v>
      </c>
      <c r="F231" s="38"/>
      <c r="H231" s="263"/>
      <c r="J231" s="38"/>
      <c r="L231" s="263"/>
      <c r="N231" s="316">
        <v>54.15</v>
      </c>
      <c r="P231" s="263">
        <f t="shared" si="12"/>
        <v>3.707136237256714E-3</v>
      </c>
      <c r="R231" s="38"/>
      <c r="T231" s="263"/>
      <c r="U231" s="263"/>
      <c r="V231" s="38">
        <v>14834.85</v>
      </c>
      <c r="W231" s="263"/>
      <c r="X231" s="263">
        <f t="shared" si="13"/>
        <v>1.4844864326833296E-2</v>
      </c>
    </row>
    <row r="232" spans="4:24" x14ac:dyDescent="0.3">
      <c r="D232" s="320">
        <v>44270</v>
      </c>
      <c r="F232" s="38"/>
      <c r="H232" s="263"/>
      <c r="J232" s="38"/>
      <c r="L232" s="263"/>
      <c r="N232" s="316">
        <v>53.3</v>
      </c>
      <c r="P232" s="263">
        <f t="shared" si="12"/>
        <v>-1.5697137580794163E-2</v>
      </c>
      <c r="R232" s="38"/>
      <c r="T232" s="263"/>
      <c r="U232" s="263"/>
      <c r="V232" s="38">
        <v>14867.35</v>
      </c>
      <c r="W232" s="263"/>
      <c r="X232" s="263">
        <f t="shared" si="13"/>
        <v>2.1907872341142554E-3</v>
      </c>
    </row>
    <row r="233" spans="4:24" x14ac:dyDescent="0.3">
      <c r="D233" s="320">
        <v>44263</v>
      </c>
      <c r="F233" s="38"/>
      <c r="H233" s="263"/>
      <c r="J233" s="38"/>
      <c r="L233" s="263"/>
      <c r="N233" s="316">
        <v>55.1</v>
      </c>
      <c r="P233" s="263">
        <f t="shared" si="12"/>
        <v>3.3771106941838713E-2</v>
      </c>
      <c r="R233" s="38"/>
      <c r="T233" s="263"/>
      <c r="U233" s="263"/>
      <c r="V233" s="38">
        <v>14507.3</v>
      </c>
      <c r="W233" s="263"/>
      <c r="X233" s="263">
        <f t="shared" si="13"/>
        <v>-2.4217496729410537E-2</v>
      </c>
    </row>
    <row r="234" spans="4:24" x14ac:dyDescent="0.3">
      <c r="D234" s="320">
        <v>44256</v>
      </c>
      <c r="F234" s="38"/>
      <c r="H234" s="263"/>
      <c r="J234" s="38"/>
      <c r="L234" s="263"/>
      <c r="N234" s="316">
        <v>51.95</v>
      </c>
      <c r="P234" s="263">
        <f t="shared" si="12"/>
        <v>-5.7168784029038133E-2</v>
      </c>
      <c r="R234" s="38"/>
      <c r="T234" s="263"/>
      <c r="U234" s="263"/>
      <c r="V234" s="38">
        <v>14744</v>
      </c>
      <c r="W234" s="263"/>
      <c r="X234" s="263">
        <f t="shared" si="13"/>
        <v>1.6315923707374891E-2</v>
      </c>
    </row>
    <row r="235" spans="4:24" x14ac:dyDescent="0.3">
      <c r="D235" s="320">
        <v>44249</v>
      </c>
      <c r="F235" s="38"/>
      <c r="H235" s="263"/>
      <c r="J235" s="38"/>
      <c r="L235" s="263"/>
      <c r="N235" s="316">
        <v>57.4</v>
      </c>
      <c r="P235" s="263">
        <f t="shared" si="12"/>
        <v>0.10490856592877762</v>
      </c>
      <c r="R235" s="38"/>
      <c r="T235" s="263"/>
      <c r="U235" s="263"/>
      <c r="V235" s="38">
        <v>15030.95</v>
      </c>
      <c r="W235" s="263"/>
      <c r="X235" s="263">
        <f t="shared" si="13"/>
        <v>1.9462154096581807E-2</v>
      </c>
    </row>
    <row r="236" spans="4:24" x14ac:dyDescent="0.3">
      <c r="D236" s="320">
        <v>44242</v>
      </c>
      <c r="F236" s="38"/>
      <c r="H236" s="263"/>
      <c r="J236" s="38"/>
      <c r="L236" s="263"/>
      <c r="N236" s="316">
        <v>56.8</v>
      </c>
      <c r="P236" s="263">
        <f t="shared" si="12"/>
        <v>-1.0452961672473893E-2</v>
      </c>
      <c r="R236" s="38"/>
      <c r="T236" s="263"/>
      <c r="U236" s="263"/>
      <c r="V236" s="38">
        <v>14938.1</v>
      </c>
      <c r="W236" s="263"/>
      <c r="X236" s="263">
        <f t="shared" si="13"/>
        <v>-6.1772542653658613E-3</v>
      </c>
    </row>
    <row r="237" spans="4:24" x14ac:dyDescent="0.3">
      <c r="D237" s="320">
        <v>44235</v>
      </c>
      <c r="F237" s="38"/>
      <c r="H237" s="263"/>
      <c r="J237" s="38"/>
      <c r="L237" s="263"/>
      <c r="N237" s="316">
        <v>53.75</v>
      </c>
      <c r="P237" s="263">
        <f t="shared" si="12"/>
        <v>-5.3697183098591506E-2</v>
      </c>
      <c r="R237" s="38"/>
      <c r="T237" s="263"/>
      <c r="U237" s="263"/>
      <c r="V237" s="38">
        <v>14529.15</v>
      </c>
      <c r="W237" s="263"/>
      <c r="X237" s="263">
        <f t="shared" si="13"/>
        <v>-2.7376306223683144E-2</v>
      </c>
    </row>
    <row r="238" spans="4:24" x14ac:dyDescent="0.3">
      <c r="D238" s="320">
        <v>44228</v>
      </c>
      <c r="F238" s="38"/>
      <c r="H238" s="263"/>
      <c r="J238" s="38"/>
      <c r="L238" s="263"/>
      <c r="N238" s="316">
        <v>55.45</v>
      </c>
      <c r="P238" s="263">
        <f t="shared" si="12"/>
        <v>3.1627906976744224E-2</v>
      </c>
      <c r="R238" s="38"/>
      <c r="T238" s="263"/>
      <c r="U238" s="263"/>
      <c r="V238" s="38">
        <v>14981.75</v>
      </c>
      <c r="W238" s="263"/>
      <c r="X238" s="263">
        <f t="shared" si="13"/>
        <v>3.1151168512955074E-2</v>
      </c>
    </row>
    <row r="239" spans="4:24" x14ac:dyDescent="0.3">
      <c r="D239" s="320">
        <v>44221</v>
      </c>
      <c r="F239" s="38"/>
      <c r="H239" s="263"/>
      <c r="J239" s="38"/>
      <c r="L239" s="263"/>
      <c r="N239" s="316">
        <v>52.1</v>
      </c>
      <c r="P239" s="263">
        <f t="shared" si="12"/>
        <v>-6.0414788097385097E-2</v>
      </c>
      <c r="R239" s="38"/>
      <c r="T239" s="263"/>
      <c r="U239" s="263"/>
      <c r="V239" s="38">
        <v>15163.3</v>
      </c>
      <c r="W239" s="263"/>
      <c r="X239" s="263">
        <f t="shared" si="13"/>
        <v>1.2118076993675508E-2</v>
      </c>
    </row>
    <row r="240" spans="4:24" x14ac:dyDescent="0.3">
      <c r="D240" s="320">
        <v>44214</v>
      </c>
      <c r="F240" s="38"/>
      <c r="H240" s="263"/>
      <c r="J240" s="38"/>
      <c r="L240" s="263"/>
      <c r="N240" s="316">
        <v>55.5</v>
      </c>
      <c r="P240" s="263">
        <f t="shared" si="12"/>
        <v>6.5259117082533624E-2</v>
      </c>
      <c r="R240" s="38"/>
      <c r="T240" s="263"/>
      <c r="U240" s="263"/>
      <c r="V240" s="38">
        <v>14924.25</v>
      </c>
      <c r="W240" s="263"/>
      <c r="X240" s="263">
        <f t="shared" si="13"/>
        <v>-1.5765037953479721E-2</v>
      </c>
    </row>
    <row r="241" spans="4:24" x14ac:dyDescent="0.3">
      <c r="D241" s="320">
        <v>44207</v>
      </c>
      <c r="F241" s="38"/>
      <c r="H241" s="263"/>
      <c r="J241" s="38"/>
      <c r="L241" s="263"/>
      <c r="N241" s="316">
        <v>54.05</v>
      </c>
      <c r="P241" s="263">
        <f t="shared" si="12"/>
        <v>-2.6126126126126192E-2</v>
      </c>
      <c r="R241" s="38"/>
      <c r="T241" s="263"/>
      <c r="U241" s="263"/>
      <c r="V241" s="38">
        <v>13634.6</v>
      </c>
      <c r="W241" s="263"/>
      <c r="X241" s="263">
        <f t="shared" si="13"/>
        <v>-8.6413052582206773E-2</v>
      </c>
    </row>
    <row r="242" spans="4:24" x14ac:dyDescent="0.3">
      <c r="D242" s="320">
        <v>44200</v>
      </c>
      <c r="F242" s="38"/>
      <c r="H242" s="263"/>
      <c r="J242" s="38"/>
      <c r="L242" s="263"/>
      <c r="N242" s="316">
        <v>49.55</v>
      </c>
      <c r="P242" s="263">
        <f t="shared" si="12"/>
        <v>-8.3256244218316344E-2</v>
      </c>
      <c r="R242" s="38"/>
      <c r="T242" s="263"/>
      <c r="U242" s="263"/>
      <c r="V242" s="38">
        <v>14371.9</v>
      </c>
      <c r="W242" s="263"/>
      <c r="X242" s="263">
        <f t="shared" si="13"/>
        <v>5.4075660452085117E-2</v>
      </c>
    </row>
    <row r="243" spans="4:24" x14ac:dyDescent="0.3">
      <c r="D243" s="320">
        <v>44193</v>
      </c>
      <c r="F243" s="38"/>
      <c r="H243" s="263"/>
      <c r="J243" s="38"/>
      <c r="L243" s="263"/>
      <c r="N243" s="316">
        <v>44.35</v>
      </c>
      <c r="P243" s="263">
        <f t="shared" si="12"/>
        <v>-0.10494450050454074</v>
      </c>
      <c r="R243" s="38"/>
      <c r="T243" s="263"/>
      <c r="U243" s="263"/>
      <c r="V243" s="38">
        <v>14433.7</v>
      </c>
      <c r="W243" s="263"/>
      <c r="X243" s="263">
        <f t="shared" si="13"/>
        <v>4.3000577515848182E-3</v>
      </c>
    </row>
    <row r="244" spans="4:24" x14ac:dyDescent="0.3">
      <c r="D244" s="320">
        <v>44186</v>
      </c>
      <c r="F244" s="38"/>
      <c r="H244" s="263"/>
      <c r="J244" s="38"/>
      <c r="L244" s="263"/>
      <c r="N244" s="316">
        <v>47</v>
      </c>
      <c r="P244" s="263">
        <f t="shared" si="12"/>
        <v>5.9751972942502674E-2</v>
      </c>
      <c r="R244" s="38"/>
      <c r="T244" s="263"/>
      <c r="U244" s="263"/>
      <c r="V244" s="38">
        <v>14347.25</v>
      </c>
      <c r="W244" s="263"/>
      <c r="X244" s="263">
        <f t="shared" si="13"/>
        <v>-5.9894552332389051E-3</v>
      </c>
    </row>
    <row r="245" spans="4:24" x14ac:dyDescent="0.3">
      <c r="D245" s="320">
        <v>44179</v>
      </c>
      <c r="F245" s="38"/>
      <c r="H245" s="263"/>
      <c r="J245" s="38"/>
      <c r="L245" s="263"/>
      <c r="N245" s="316">
        <v>46.05</v>
      </c>
      <c r="P245" s="263">
        <f t="shared" si="12"/>
        <v>-2.0212765957446921E-2</v>
      </c>
      <c r="R245" s="38"/>
      <c r="T245" s="263"/>
      <c r="U245" s="263"/>
      <c r="V245" s="38">
        <v>14018.5</v>
      </c>
      <c r="W245" s="263"/>
      <c r="X245" s="263">
        <f t="shared" si="13"/>
        <v>-2.2913798811618924E-2</v>
      </c>
    </row>
    <row r="246" spans="4:24" x14ac:dyDescent="0.3">
      <c r="D246" s="320">
        <v>44172</v>
      </c>
      <c r="F246" s="38"/>
      <c r="H246" s="263"/>
      <c r="J246" s="38"/>
      <c r="L246" s="263"/>
      <c r="N246" s="316">
        <v>42.8</v>
      </c>
      <c r="P246" s="263">
        <f t="shared" si="12"/>
        <v>-7.0575461454940314E-2</v>
      </c>
      <c r="R246" s="38"/>
      <c r="T246" s="263"/>
      <c r="U246" s="263"/>
      <c r="V246" s="38">
        <v>13749.25</v>
      </c>
      <c r="W246" s="263"/>
      <c r="X246" s="263">
        <f t="shared" si="13"/>
        <v>-1.9206762492420704E-2</v>
      </c>
    </row>
    <row r="247" spans="4:24" x14ac:dyDescent="0.3">
      <c r="D247" s="320">
        <v>44165</v>
      </c>
      <c r="F247" s="38"/>
      <c r="H247" s="263"/>
      <c r="J247" s="38"/>
      <c r="L247" s="263"/>
      <c r="N247" s="316">
        <v>42.15</v>
      </c>
      <c r="P247" s="263">
        <f t="shared" si="12"/>
        <v>-1.5186915887850483E-2</v>
      </c>
      <c r="R247" s="38"/>
      <c r="T247" s="263"/>
      <c r="U247" s="263"/>
      <c r="V247" s="38">
        <v>13760.55</v>
      </c>
      <c r="W247" s="263"/>
      <c r="X247" s="263">
        <f t="shared" si="13"/>
        <v>8.2186301070952261E-4</v>
      </c>
    </row>
    <row r="248" spans="4:24" x14ac:dyDescent="0.3">
      <c r="D248" s="320">
        <v>44158</v>
      </c>
      <c r="F248" s="38"/>
      <c r="H248" s="263"/>
      <c r="J248" s="38"/>
      <c r="L248" s="263"/>
      <c r="N248" s="316">
        <v>44.45</v>
      </c>
      <c r="P248" s="263">
        <f t="shared" si="12"/>
        <v>5.4567022538552834E-2</v>
      </c>
      <c r="R248" s="38"/>
      <c r="T248" s="263"/>
      <c r="U248" s="263"/>
      <c r="V248" s="38">
        <v>13513.85</v>
      </c>
      <c r="W248" s="263"/>
      <c r="X248" s="263">
        <f t="shared" si="13"/>
        <v>-1.7928062468433259E-2</v>
      </c>
    </row>
    <row r="249" spans="4:24" x14ac:dyDescent="0.3">
      <c r="D249" s="320">
        <v>44151</v>
      </c>
      <c r="F249" s="38"/>
      <c r="H249" s="263"/>
      <c r="J249" s="38"/>
      <c r="L249" s="263"/>
      <c r="N249" s="316">
        <v>44.5</v>
      </c>
      <c r="P249" s="263">
        <f t="shared" si="12"/>
        <v>1.1248593925758943E-3</v>
      </c>
      <c r="R249" s="38"/>
      <c r="T249" s="263"/>
      <c r="U249" s="263"/>
      <c r="V249" s="38">
        <v>13258.55</v>
      </c>
      <c r="W249" s="263"/>
      <c r="X249" s="263">
        <f t="shared" si="13"/>
        <v>-1.8891729595933104E-2</v>
      </c>
    </row>
    <row r="250" spans="4:24" x14ac:dyDescent="0.3">
      <c r="D250" s="320">
        <v>44144</v>
      </c>
      <c r="F250" s="38"/>
      <c r="H250" s="263"/>
      <c r="J250" s="38"/>
      <c r="L250" s="263"/>
      <c r="N250" s="316">
        <v>39.5</v>
      </c>
      <c r="P250" s="263">
        <f t="shared" si="12"/>
        <v>-0.11235955056179781</v>
      </c>
      <c r="R250" s="38"/>
      <c r="T250" s="263"/>
      <c r="U250" s="263"/>
      <c r="V250" s="38">
        <v>12968.95</v>
      </c>
      <c r="W250" s="263"/>
      <c r="X250" s="263">
        <f t="shared" si="13"/>
        <v>-2.1842509173325753E-2</v>
      </c>
    </row>
    <row r="251" spans="4:24" x14ac:dyDescent="0.3">
      <c r="D251" s="320">
        <v>44137</v>
      </c>
      <c r="F251" s="38"/>
      <c r="H251" s="263"/>
      <c r="J251" s="38"/>
      <c r="L251" s="263"/>
      <c r="N251" s="316">
        <v>38.9</v>
      </c>
      <c r="P251" s="263">
        <f t="shared" si="12"/>
        <v>-1.51898734177216E-2</v>
      </c>
      <c r="R251" s="38"/>
      <c r="T251" s="263"/>
      <c r="U251" s="263"/>
      <c r="V251" s="38">
        <v>12859.05</v>
      </c>
      <c r="W251" s="263"/>
      <c r="X251" s="263">
        <f t="shared" si="13"/>
        <v>-8.4740861827674596E-3</v>
      </c>
    </row>
    <row r="252" spans="4:24" x14ac:dyDescent="0.3">
      <c r="D252" s="320">
        <v>44130</v>
      </c>
      <c r="F252" s="38"/>
      <c r="H252" s="263"/>
      <c r="J252" s="38"/>
      <c r="L252" s="263"/>
      <c r="N252" s="316">
        <v>39.15</v>
      </c>
      <c r="P252" s="263">
        <f t="shared" si="12"/>
        <v>6.4267352185090054E-3</v>
      </c>
      <c r="R252" s="38"/>
      <c r="T252" s="263"/>
      <c r="U252" s="263"/>
      <c r="V252" s="38">
        <v>12719.95</v>
      </c>
      <c r="W252" s="263"/>
      <c r="X252" s="263">
        <f t="shared" si="13"/>
        <v>-1.0817284325047249E-2</v>
      </c>
    </row>
    <row r="253" spans="4:24" x14ac:dyDescent="0.3">
      <c r="D253" s="320">
        <v>44123</v>
      </c>
      <c r="F253" s="38"/>
      <c r="H253" s="263"/>
      <c r="J253" s="38"/>
      <c r="L253" s="263"/>
      <c r="N253" s="316">
        <v>39.200000000000003</v>
      </c>
      <c r="P253" s="263">
        <f t="shared" si="12"/>
        <v>1.2771392081738497E-3</v>
      </c>
      <c r="R253" s="38"/>
      <c r="T253" s="263"/>
      <c r="U253" s="263"/>
      <c r="V253" s="38">
        <v>12263.55</v>
      </c>
      <c r="W253" s="263"/>
      <c r="X253" s="263">
        <f t="shared" si="13"/>
        <v>-3.5880644184922206E-2</v>
      </c>
    </row>
    <row r="254" spans="4:24" x14ac:dyDescent="0.3">
      <c r="D254" s="320">
        <v>44116</v>
      </c>
      <c r="F254" s="38"/>
      <c r="H254" s="263"/>
      <c r="J254" s="38"/>
      <c r="L254" s="263"/>
      <c r="N254" s="316">
        <v>37.950000000000003</v>
      </c>
      <c r="P254" s="263">
        <f t="shared" si="12"/>
        <v>-3.1887755102040782E-2</v>
      </c>
      <c r="R254" s="38"/>
      <c r="T254" s="263"/>
      <c r="U254" s="263"/>
      <c r="V254" s="38">
        <v>11642.4</v>
      </c>
      <c r="W254" s="263"/>
      <c r="X254" s="263">
        <f t="shared" si="13"/>
        <v>-5.0650097239380076E-2</v>
      </c>
    </row>
    <row r="255" spans="4:24" x14ac:dyDescent="0.3">
      <c r="D255" s="320">
        <v>44109</v>
      </c>
      <c r="F255" s="38"/>
      <c r="H255" s="263"/>
      <c r="J255" s="38"/>
      <c r="L255" s="263"/>
      <c r="N255" s="316">
        <v>36.700000000000003</v>
      </c>
      <c r="P255" s="263">
        <f t="shared" si="12"/>
        <v>-3.2938076416337281E-2</v>
      </c>
      <c r="R255" s="38"/>
      <c r="T255" s="263"/>
      <c r="U255" s="263"/>
      <c r="V255" s="38">
        <v>11930.35</v>
      </c>
      <c r="W255" s="263"/>
      <c r="X255" s="263">
        <f t="shared" si="13"/>
        <v>2.4732872947158757E-2</v>
      </c>
    </row>
    <row r="256" spans="4:24" x14ac:dyDescent="0.3">
      <c r="D256" s="320">
        <v>44102</v>
      </c>
      <c r="F256" s="38"/>
      <c r="H256" s="263"/>
      <c r="J256" s="38"/>
      <c r="L256" s="263"/>
      <c r="N256" s="316">
        <v>37.15</v>
      </c>
      <c r="P256" s="263">
        <f t="shared" si="12"/>
        <v>1.2261580381471182E-2</v>
      </c>
      <c r="R256" s="38"/>
      <c r="T256" s="263"/>
      <c r="U256" s="263"/>
      <c r="V256" s="38">
        <v>11762.45</v>
      </c>
      <c r="W256" s="263"/>
      <c r="X256" s="263">
        <f t="shared" si="13"/>
        <v>-1.4073350739919555E-2</v>
      </c>
    </row>
    <row r="257" spans="4:24" x14ac:dyDescent="0.3">
      <c r="D257" s="320">
        <v>44095</v>
      </c>
      <c r="F257" s="38"/>
      <c r="H257" s="263"/>
      <c r="J257" s="38"/>
      <c r="L257" s="263"/>
      <c r="N257" s="316">
        <v>38</v>
      </c>
      <c r="P257" s="263">
        <f t="shared" si="12"/>
        <v>2.2880215343203281E-2</v>
      </c>
      <c r="R257" s="38"/>
      <c r="T257" s="263"/>
      <c r="U257" s="263"/>
      <c r="V257" s="38">
        <v>11914.2</v>
      </c>
      <c r="W257" s="263"/>
      <c r="X257" s="263">
        <f t="shared" si="13"/>
        <v>1.2901223809665519E-2</v>
      </c>
    </row>
    <row r="258" spans="4:24" x14ac:dyDescent="0.3">
      <c r="D258" s="320">
        <v>44088</v>
      </c>
      <c r="F258" s="38"/>
      <c r="H258" s="263"/>
      <c r="J258" s="38"/>
      <c r="L258" s="263"/>
      <c r="N258" s="316">
        <v>39</v>
      </c>
      <c r="P258" s="263">
        <f t="shared" si="12"/>
        <v>2.6315789473684292E-2</v>
      </c>
      <c r="R258" s="38"/>
      <c r="T258" s="263"/>
      <c r="U258" s="263"/>
      <c r="V258" s="38">
        <v>11416.95</v>
      </c>
      <c r="W258" s="263"/>
      <c r="X258" s="263">
        <f t="shared" si="13"/>
        <v>-4.173591176914937E-2</v>
      </c>
    </row>
    <row r="259" spans="4:24" x14ac:dyDescent="0.3">
      <c r="D259" s="320">
        <v>44081</v>
      </c>
      <c r="F259" s="38"/>
      <c r="H259" s="263"/>
      <c r="J259" s="38"/>
      <c r="L259" s="263"/>
      <c r="N259" s="316">
        <v>39</v>
      </c>
      <c r="P259" s="263">
        <f t="shared" si="12"/>
        <v>0</v>
      </c>
      <c r="R259" s="38"/>
      <c r="T259" s="263"/>
      <c r="U259" s="263"/>
      <c r="V259" s="38">
        <v>11050.25</v>
      </c>
      <c r="W259" s="263"/>
      <c r="X259" s="263">
        <f t="shared" si="13"/>
        <v>-3.2118910917539378E-2</v>
      </c>
    </row>
    <row r="260" spans="4:24" x14ac:dyDescent="0.3">
      <c r="D260" s="320">
        <v>44074</v>
      </c>
      <c r="F260" s="38"/>
      <c r="H260" s="263"/>
      <c r="J260" s="38"/>
      <c r="L260" s="263"/>
      <c r="N260" s="316">
        <v>39.049999999999997</v>
      </c>
      <c r="P260" s="263">
        <f t="shared" si="12"/>
        <v>1.2820512820512775E-3</v>
      </c>
      <c r="R260" s="38"/>
      <c r="T260" s="263"/>
      <c r="U260" s="263"/>
      <c r="V260" s="38">
        <v>11504.95</v>
      </c>
      <c r="W260" s="263"/>
      <c r="X260" s="263">
        <f t="shared" si="13"/>
        <v>4.1148390307911731E-2</v>
      </c>
    </row>
    <row r="261" spans="4:24" x14ac:dyDescent="0.3">
      <c r="D261" s="320">
        <v>44067</v>
      </c>
      <c r="F261" s="38"/>
      <c r="H261" s="263"/>
      <c r="J261" s="38"/>
      <c r="L261" s="263"/>
      <c r="N261" s="316">
        <v>39.65</v>
      </c>
      <c r="P261" s="263">
        <f t="shared" si="12"/>
        <v>1.5364916773367598E-2</v>
      </c>
      <c r="R261" s="38"/>
      <c r="T261" s="263"/>
      <c r="U261" s="263"/>
      <c r="V261" s="38">
        <v>11464.45</v>
      </c>
      <c r="W261" s="263"/>
      <c r="X261" s="263">
        <f t="shared" si="13"/>
        <v>-3.5202239036240535E-3</v>
      </c>
    </row>
    <row r="262" spans="4:24" x14ac:dyDescent="0.3">
      <c r="D262" s="320">
        <v>44060</v>
      </c>
      <c r="F262" s="38"/>
      <c r="H262" s="263"/>
      <c r="J262" s="38"/>
      <c r="L262" s="263"/>
      <c r="N262" s="316">
        <v>41.2</v>
      </c>
      <c r="P262" s="263">
        <f t="shared" si="12"/>
        <v>3.9092055485498323E-2</v>
      </c>
      <c r="R262" s="38"/>
      <c r="T262" s="263"/>
      <c r="U262" s="263"/>
      <c r="V262" s="38">
        <v>11333.85</v>
      </c>
      <c r="W262" s="263"/>
      <c r="X262" s="263">
        <f t="shared" si="13"/>
        <v>-1.1391737065450158E-2</v>
      </c>
    </row>
    <row r="263" spans="4:24" x14ac:dyDescent="0.3">
      <c r="D263" s="320">
        <v>44053</v>
      </c>
      <c r="F263" s="38"/>
      <c r="H263" s="263"/>
      <c r="J263" s="38"/>
      <c r="L263" s="263"/>
      <c r="N263" s="316">
        <v>41.85</v>
      </c>
      <c r="P263" s="263">
        <f t="shared" si="12"/>
        <v>1.5776699029126151E-2</v>
      </c>
      <c r="R263" s="38"/>
      <c r="T263" s="263"/>
      <c r="U263" s="263"/>
      <c r="V263" s="38">
        <v>11647.6</v>
      </c>
      <c r="W263" s="263"/>
      <c r="X263" s="263">
        <f t="shared" si="13"/>
        <v>2.7682561530283145E-2</v>
      </c>
    </row>
    <row r="264" spans="4:24" x14ac:dyDescent="0.3">
      <c r="D264" s="320">
        <v>44046</v>
      </c>
      <c r="F264" s="38"/>
      <c r="H264" s="263"/>
      <c r="J264" s="38"/>
      <c r="L264" s="263"/>
      <c r="N264" s="316">
        <v>44.15</v>
      </c>
      <c r="P264" s="263">
        <f t="shared" si="12"/>
        <v>5.4958183990442055E-2</v>
      </c>
      <c r="R264" s="38"/>
      <c r="T264" s="263"/>
      <c r="U264" s="263"/>
      <c r="V264" s="38">
        <v>11371.6</v>
      </c>
      <c r="W264" s="263"/>
      <c r="X264" s="263">
        <f t="shared" si="13"/>
        <v>-2.3695868676808951E-2</v>
      </c>
    </row>
    <row r="265" spans="4:24" x14ac:dyDescent="0.3">
      <c r="D265" s="320">
        <v>44039</v>
      </c>
      <c r="F265" s="38"/>
      <c r="H265" s="263"/>
      <c r="J265" s="38"/>
      <c r="L265" s="263"/>
      <c r="N265" s="316">
        <v>41.55</v>
      </c>
      <c r="P265" s="263">
        <f t="shared" si="12"/>
        <v>-5.8890147225368117E-2</v>
      </c>
      <c r="R265" s="38"/>
      <c r="T265" s="263"/>
      <c r="U265" s="263"/>
      <c r="V265" s="38">
        <v>11178.4</v>
      </c>
      <c r="W265" s="263"/>
      <c r="X265" s="263">
        <f t="shared" si="13"/>
        <v>-1.6989693622709301E-2</v>
      </c>
    </row>
    <row r="266" spans="4:24" x14ac:dyDescent="0.3">
      <c r="D266" s="320">
        <v>44032</v>
      </c>
      <c r="F266" s="38"/>
      <c r="H266" s="263"/>
      <c r="J266" s="38"/>
      <c r="L266" s="263"/>
      <c r="N266" s="316">
        <v>40.700000000000003</v>
      </c>
      <c r="P266" s="263">
        <f t="shared" si="12"/>
        <v>-2.0457280385078103E-2</v>
      </c>
      <c r="R266" s="38"/>
      <c r="T266" s="263"/>
      <c r="U266" s="263"/>
      <c r="V266" s="38">
        <v>11214.05</v>
      </c>
      <c r="W266" s="263"/>
      <c r="X266" s="263">
        <f t="shared" si="13"/>
        <v>3.1891862878408173E-3</v>
      </c>
    </row>
    <row r="267" spans="4:24" x14ac:dyDescent="0.3">
      <c r="D267" s="320">
        <v>44025</v>
      </c>
      <c r="F267" s="38"/>
      <c r="H267" s="263"/>
      <c r="J267" s="38"/>
      <c r="L267" s="263"/>
      <c r="N267" s="316">
        <v>38.65</v>
      </c>
      <c r="P267" s="263">
        <f t="shared" si="12"/>
        <v>-5.036855036855048E-2</v>
      </c>
      <c r="R267" s="38"/>
      <c r="T267" s="263"/>
      <c r="U267" s="263"/>
      <c r="V267" s="38">
        <v>11073.45</v>
      </c>
      <c r="W267" s="263"/>
      <c r="X267" s="263">
        <f t="shared" si="13"/>
        <v>-1.2537843152117034E-2</v>
      </c>
    </row>
    <row r="268" spans="4:24" x14ac:dyDescent="0.3">
      <c r="D268" s="320">
        <v>44018</v>
      </c>
      <c r="F268" s="38"/>
      <c r="H268" s="263"/>
      <c r="J268" s="38"/>
      <c r="L268" s="263"/>
      <c r="N268" s="316">
        <v>42.25</v>
      </c>
      <c r="P268" s="263">
        <f t="shared" si="12"/>
        <v>9.314359637774916E-2</v>
      </c>
      <c r="R268" s="38"/>
      <c r="T268" s="263"/>
      <c r="U268" s="263"/>
      <c r="V268" s="38">
        <v>11194.15</v>
      </c>
      <c r="W268" s="263"/>
      <c r="X268" s="263">
        <f t="shared" si="13"/>
        <v>1.0899945364813979E-2</v>
      </c>
    </row>
    <row r="269" spans="4:24" x14ac:dyDescent="0.3">
      <c r="D269" s="320">
        <v>44011</v>
      </c>
      <c r="F269" s="38"/>
      <c r="H269" s="263"/>
      <c r="J269" s="38"/>
      <c r="L269" s="263"/>
      <c r="N269" s="316">
        <v>36.4</v>
      </c>
      <c r="P269" s="263">
        <f t="shared" si="12"/>
        <v>-0.13846153846153852</v>
      </c>
      <c r="R269" s="38"/>
      <c r="T269" s="263"/>
      <c r="U269" s="263"/>
      <c r="V269" s="38">
        <v>10901.7</v>
      </c>
      <c r="W269" s="263"/>
      <c r="X269" s="263">
        <f t="shared" si="13"/>
        <v>-2.612525292228518E-2</v>
      </c>
    </row>
    <row r="270" spans="4:24" x14ac:dyDescent="0.3">
      <c r="D270" s="320">
        <v>44004</v>
      </c>
      <c r="F270" s="38"/>
      <c r="H270" s="263"/>
      <c r="J270" s="38"/>
      <c r="L270" s="263"/>
      <c r="N270" s="316">
        <v>36.85</v>
      </c>
      <c r="P270" s="263">
        <f t="shared" si="12"/>
        <v>1.2362637362637541E-2</v>
      </c>
      <c r="R270" s="38"/>
      <c r="T270" s="263"/>
      <c r="U270" s="263"/>
      <c r="V270" s="38">
        <v>10768.05</v>
      </c>
      <c r="W270" s="263"/>
      <c r="X270" s="263">
        <f t="shared" si="13"/>
        <v>-1.2259555849087889E-2</v>
      </c>
    </row>
    <row r="271" spans="4:24" x14ac:dyDescent="0.3">
      <c r="D271" s="320">
        <v>43997</v>
      </c>
      <c r="F271" s="38"/>
      <c r="H271" s="263"/>
      <c r="J271" s="38"/>
      <c r="L271" s="263"/>
      <c r="N271" s="316">
        <v>45.05</v>
      </c>
      <c r="P271" s="263">
        <f t="shared" si="12"/>
        <v>0.22252374491180449</v>
      </c>
      <c r="R271" s="38"/>
      <c r="T271" s="263"/>
      <c r="U271" s="263"/>
      <c r="V271" s="38">
        <v>10607.35</v>
      </c>
      <c r="W271" s="263"/>
      <c r="X271" s="263">
        <f t="shared" si="13"/>
        <v>-1.4923779142927307E-2</v>
      </c>
    </row>
    <row r="272" spans="4:24" x14ac:dyDescent="0.3">
      <c r="D272" s="320">
        <v>43990</v>
      </c>
      <c r="F272" s="38"/>
      <c r="H272" s="263"/>
      <c r="J272" s="38"/>
      <c r="L272" s="263"/>
      <c r="N272" s="316">
        <v>40.6</v>
      </c>
      <c r="P272" s="263">
        <f>N272/N271-1</f>
        <v>-9.8779134295227444E-2</v>
      </c>
      <c r="R272" s="38"/>
      <c r="T272" s="263"/>
      <c r="U272" s="263"/>
      <c r="V272" s="38">
        <v>10383</v>
      </c>
      <c r="W272" s="263"/>
      <c r="X272" s="263">
        <f t="shared" ref="X272:X274" si="14">V272/V271-1</f>
        <v>-2.1150428712166547E-2</v>
      </c>
    </row>
    <row r="273" spans="4:24" x14ac:dyDescent="0.3">
      <c r="D273" s="320">
        <v>43983</v>
      </c>
      <c r="F273" s="38"/>
      <c r="H273" s="263"/>
      <c r="J273" s="38"/>
      <c r="L273" s="263"/>
      <c r="N273" s="316">
        <v>33</v>
      </c>
      <c r="P273" s="263">
        <f>N273/N272-1</f>
        <v>-0.18719211822660098</v>
      </c>
      <c r="R273" s="38"/>
      <c r="T273" s="263"/>
      <c r="U273" s="263"/>
      <c r="V273" s="38">
        <v>10244.4</v>
      </c>
      <c r="W273" s="263"/>
      <c r="X273" s="263">
        <f t="shared" si="14"/>
        <v>-1.3348743137821528E-2</v>
      </c>
    </row>
    <row r="274" spans="4:24" x14ac:dyDescent="0.3">
      <c r="D274" s="320">
        <v>43976</v>
      </c>
      <c r="F274" s="38"/>
      <c r="H274" s="263"/>
      <c r="J274" s="38"/>
      <c r="L274" s="263"/>
      <c r="N274" s="316">
        <v>30.7</v>
      </c>
      <c r="P274" s="263">
        <f>N274/N273-1</f>
        <v>-6.9696969696969702E-2</v>
      </c>
      <c r="R274" s="38"/>
      <c r="T274" s="263"/>
      <c r="U274" s="263"/>
      <c r="V274" s="38">
        <v>9972.9</v>
      </c>
      <c r="W274" s="263"/>
      <c r="X274" s="263">
        <f t="shared" si="14"/>
        <v>-2.6502284174768631E-2</v>
      </c>
    </row>
    <row r="275" spans="4:24" x14ac:dyDescent="0.3">
      <c r="D275" s="320"/>
      <c r="F275" s="38"/>
      <c r="H275" s="263"/>
      <c r="J275" s="38"/>
      <c r="L275" s="263"/>
      <c r="N275" s="316"/>
      <c r="P275" s="263"/>
      <c r="R275" s="38"/>
      <c r="T275" s="263"/>
      <c r="U275" s="263"/>
      <c r="V275" s="38"/>
      <c r="W275" s="263"/>
    </row>
    <row r="276" spans="4:24" ht="14.4" x14ac:dyDescent="0.3">
      <c r="D276" s="36"/>
      <c r="F276" s="38"/>
      <c r="H276" s="263"/>
      <c r="N276" s="190"/>
      <c r="V276" s="38"/>
    </row>
    <row r="277" spans="4:24" ht="14.4" x14ac:dyDescent="0.3">
      <c r="D277" s="36"/>
      <c r="F277" s="38"/>
      <c r="H277" s="263"/>
    </row>
    <row r="278" spans="4:24" ht="14.4" x14ac:dyDescent="0.3">
      <c r="D278" s="36"/>
      <c r="F278" s="38"/>
      <c r="H278" s="263"/>
    </row>
    <row r="279" spans="4:24" ht="14.4" x14ac:dyDescent="0.3">
      <c r="D279" s="36"/>
      <c r="F279" s="38"/>
      <c r="H279" s="263"/>
    </row>
    <row r="280" spans="4:24" ht="14.4" x14ac:dyDescent="0.3">
      <c r="D280" s="36"/>
      <c r="F280" s="38"/>
      <c r="H280" s="263"/>
    </row>
    <row r="281" spans="4:24" ht="14.4" x14ac:dyDescent="0.3">
      <c r="D281" s="36"/>
      <c r="F281" s="38"/>
      <c r="H281" s="263"/>
    </row>
    <row r="282" spans="4:24" ht="14.4" x14ac:dyDescent="0.3">
      <c r="D282" s="36"/>
      <c r="F282" s="38"/>
      <c r="H282" s="263"/>
    </row>
    <row r="283" spans="4:24" ht="14.4" x14ac:dyDescent="0.3">
      <c r="D283" s="36"/>
      <c r="F283" s="38"/>
      <c r="H283" s="263"/>
    </row>
    <row r="284" spans="4:24" ht="14.4" x14ac:dyDescent="0.3">
      <c r="D284" s="36"/>
      <c r="F284" s="38"/>
      <c r="H284" s="263"/>
    </row>
    <row r="285" spans="4:24" ht="14.4" x14ac:dyDescent="0.3">
      <c r="D285" s="36"/>
      <c r="F285" s="38"/>
      <c r="H285" s="263"/>
    </row>
    <row r="286" spans="4:24" ht="14.4" x14ac:dyDescent="0.3">
      <c r="D286" s="36"/>
      <c r="F286" s="38"/>
      <c r="H286" s="263"/>
    </row>
    <row r="287" spans="4:24" ht="14.4" x14ac:dyDescent="0.3">
      <c r="D287" s="36"/>
      <c r="F287" s="38"/>
      <c r="H287" s="263"/>
    </row>
    <row r="288" spans="4:24" ht="14.4" x14ac:dyDescent="0.3">
      <c r="D288" s="36"/>
      <c r="F288" s="38"/>
      <c r="H288" s="263"/>
    </row>
    <row r="289" spans="4:8" ht="14.4" x14ac:dyDescent="0.3">
      <c r="D289" s="36"/>
      <c r="F289" s="38"/>
      <c r="H289" s="263"/>
    </row>
    <row r="290" spans="4:8" ht="14.4" x14ac:dyDescent="0.3">
      <c r="D290" s="36"/>
      <c r="F290" s="38"/>
      <c r="H290" s="263"/>
    </row>
    <row r="291" spans="4:8" ht="14.4" x14ac:dyDescent="0.3">
      <c r="D291" s="36"/>
      <c r="F291" s="38"/>
      <c r="H291" s="263"/>
    </row>
    <row r="292" spans="4:8" ht="14.4" x14ac:dyDescent="0.3">
      <c r="D292" s="36"/>
      <c r="F292" s="38"/>
      <c r="H292" s="263"/>
    </row>
    <row r="293" spans="4:8" ht="14.4" x14ac:dyDescent="0.3">
      <c r="D293" s="36"/>
      <c r="F293" s="38"/>
      <c r="H293" s="263"/>
    </row>
    <row r="294" spans="4:8" ht="14.4" x14ac:dyDescent="0.3">
      <c r="D294" s="36"/>
      <c r="F294" s="38"/>
      <c r="H294" s="263"/>
    </row>
    <row r="295" spans="4:8" ht="14.4" x14ac:dyDescent="0.3">
      <c r="D295" s="36"/>
      <c r="F295" s="38"/>
      <c r="H295" s="263"/>
    </row>
    <row r="296" spans="4:8" ht="14.4" x14ac:dyDescent="0.3">
      <c r="D296" s="36"/>
      <c r="F296" s="38"/>
      <c r="H296" s="263"/>
    </row>
    <row r="297" spans="4:8" ht="14.4" x14ac:dyDescent="0.3">
      <c r="D297" s="36"/>
      <c r="F297" s="38"/>
      <c r="H297" s="263"/>
    </row>
    <row r="298" spans="4:8" ht="14.4" x14ac:dyDescent="0.3">
      <c r="D298" s="36"/>
      <c r="F298" s="38"/>
      <c r="H298" s="263"/>
    </row>
    <row r="299" spans="4:8" ht="14.4" x14ac:dyDescent="0.3">
      <c r="D299" s="36"/>
      <c r="F299" s="38"/>
      <c r="H299" s="263"/>
    </row>
    <row r="300" spans="4:8" ht="14.4" x14ac:dyDescent="0.3">
      <c r="D300" s="36"/>
      <c r="F300" s="38"/>
      <c r="H300" s="263"/>
    </row>
    <row r="301" spans="4:8" ht="14.4" x14ac:dyDescent="0.3">
      <c r="D301" s="36"/>
      <c r="F301" s="38"/>
      <c r="H301" s="263"/>
    </row>
    <row r="302" spans="4:8" ht="14.4" x14ac:dyDescent="0.3">
      <c r="D302" s="36"/>
      <c r="F302" s="38"/>
      <c r="H302" s="263"/>
    </row>
    <row r="303" spans="4:8" ht="14.4" x14ac:dyDescent="0.3">
      <c r="D303" s="36"/>
      <c r="F303" s="38"/>
      <c r="H303" s="263"/>
    </row>
    <row r="304" spans="4:8" ht="14.4" x14ac:dyDescent="0.3">
      <c r="D304" s="36"/>
      <c r="F304" s="38"/>
      <c r="H304" s="263"/>
    </row>
    <row r="305" spans="4:8" ht="14.4" x14ac:dyDescent="0.3">
      <c r="D305" s="36"/>
      <c r="F305" s="38"/>
      <c r="H305" s="263"/>
    </row>
    <row r="306" spans="4:8" ht="14.4" x14ac:dyDescent="0.3">
      <c r="D306" s="36"/>
      <c r="F306" s="38"/>
      <c r="H306" s="263"/>
    </row>
    <row r="307" spans="4:8" ht="14.4" x14ac:dyDescent="0.3">
      <c r="D307" s="36"/>
      <c r="F307" s="38"/>
      <c r="H307" s="263"/>
    </row>
    <row r="308" spans="4:8" ht="14.4" x14ac:dyDescent="0.3">
      <c r="D308" s="36"/>
      <c r="F308" s="38"/>
      <c r="H308" s="263"/>
    </row>
    <row r="309" spans="4:8" ht="14.4" x14ac:dyDescent="0.3">
      <c r="D309" s="36"/>
      <c r="F309" s="38"/>
      <c r="H309" s="263"/>
    </row>
    <row r="310" spans="4:8" ht="14.4" x14ac:dyDescent="0.3">
      <c r="D310" s="36"/>
      <c r="F310" s="38"/>
      <c r="H310" s="263"/>
    </row>
    <row r="311" spans="4:8" ht="14.4" x14ac:dyDescent="0.3">
      <c r="D311" s="36"/>
      <c r="F311" s="38"/>
      <c r="H311" s="263"/>
    </row>
    <row r="312" spans="4:8" ht="14.4" x14ac:dyDescent="0.3">
      <c r="D312" s="36"/>
      <c r="F312" s="38"/>
      <c r="H312" s="263"/>
    </row>
    <row r="313" spans="4:8" ht="14.4" x14ac:dyDescent="0.3">
      <c r="D313" s="36"/>
      <c r="F313" s="38"/>
      <c r="H313" s="263"/>
    </row>
    <row r="314" spans="4:8" ht="14.4" x14ac:dyDescent="0.3">
      <c r="D314" s="36"/>
      <c r="F314" s="38"/>
      <c r="H314" s="263"/>
    </row>
    <row r="315" spans="4:8" ht="14.4" x14ac:dyDescent="0.3">
      <c r="D315" s="36"/>
      <c r="F315" s="38"/>
      <c r="H315" s="263"/>
    </row>
    <row r="316" spans="4:8" ht="14.4" x14ac:dyDescent="0.3">
      <c r="D316" s="36"/>
      <c r="F316" s="38"/>
      <c r="H316" s="263"/>
    </row>
    <row r="317" spans="4:8" ht="14.4" x14ac:dyDescent="0.3">
      <c r="D317" s="36"/>
      <c r="F317" s="38"/>
      <c r="H317" s="263"/>
    </row>
    <row r="318" spans="4:8" ht="14.4" x14ac:dyDescent="0.3">
      <c r="D318" s="36"/>
      <c r="F318" s="38"/>
      <c r="H318" s="263"/>
    </row>
    <row r="319" spans="4:8" ht="14.4" x14ac:dyDescent="0.3">
      <c r="D319" s="36"/>
      <c r="F319" s="38"/>
      <c r="H319" s="263"/>
    </row>
    <row r="320" spans="4:8" ht="14.4" x14ac:dyDescent="0.3">
      <c r="D320" s="36"/>
      <c r="F320" s="38"/>
      <c r="H320" s="263"/>
    </row>
    <row r="321" spans="4:8" ht="14.4" x14ac:dyDescent="0.3">
      <c r="D321" s="36"/>
      <c r="F321" s="38"/>
      <c r="H321" s="263"/>
    </row>
    <row r="322" spans="4:8" ht="14.4" x14ac:dyDescent="0.3">
      <c r="D322" s="36"/>
      <c r="F322" s="38"/>
      <c r="H322" s="263"/>
    </row>
    <row r="323" spans="4:8" ht="14.4" x14ac:dyDescent="0.3">
      <c r="D323" s="36"/>
      <c r="F323" s="38"/>
      <c r="H323" s="263"/>
    </row>
    <row r="324" spans="4:8" ht="14.4" x14ac:dyDescent="0.3">
      <c r="D324" s="36"/>
      <c r="F324" s="38"/>
      <c r="H324" s="263"/>
    </row>
    <row r="325" spans="4:8" ht="14.4" x14ac:dyDescent="0.3">
      <c r="D325" s="36"/>
      <c r="F325" s="38"/>
      <c r="H325" s="263"/>
    </row>
    <row r="326" spans="4:8" ht="14.4" x14ac:dyDescent="0.3">
      <c r="D326" s="36"/>
      <c r="F326" s="38"/>
      <c r="H326" s="263"/>
    </row>
    <row r="327" spans="4:8" ht="14.4" x14ac:dyDescent="0.3">
      <c r="D327" s="36"/>
      <c r="F327" s="38"/>
      <c r="H327" s="263"/>
    </row>
    <row r="328" spans="4:8" ht="14.4" x14ac:dyDescent="0.3">
      <c r="D328" s="36"/>
      <c r="F328" s="38"/>
      <c r="H328" s="263"/>
    </row>
    <row r="329" spans="4:8" ht="14.4" x14ac:dyDescent="0.3">
      <c r="D329" s="36"/>
      <c r="F329" s="38"/>
      <c r="H329" s="263"/>
    </row>
    <row r="330" spans="4:8" ht="14.4" x14ac:dyDescent="0.3">
      <c r="D330" s="36"/>
      <c r="F330" s="38"/>
      <c r="H330" s="263"/>
    </row>
    <row r="331" spans="4:8" ht="14.4" x14ac:dyDescent="0.3">
      <c r="D331" s="36"/>
      <c r="F331" s="38"/>
      <c r="H331" s="263"/>
    </row>
    <row r="332" spans="4:8" ht="14.4" x14ac:dyDescent="0.3">
      <c r="D332" s="36"/>
      <c r="F332" s="38"/>
      <c r="H332" s="263"/>
    </row>
    <row r="333" spans="4:8" ht="14.4" x14ac:dyDescent="0.3">
      <c r="D333" s="36"/>
      <c r="F333" s="38"/>
      <c r="H333" s="263"/>
    </row>
    <row r="334" spans="4:8" ht="14.4" x14ac:dyDescent="0.3">
      <c r="D334" s="36"/>
      <c r="F334" s="38"/>
      <c r="H334" s="263"/>
    </row>
    <row r="335" spans="4:8" ht="14.4" x14ac:dyDescent="0.3">
      <c r="D335" s="36"/>
      <c r="F335" s="38"/>
      <c r="H335" s="263"/>
    </row>
    <row r="336" spans="4:8" ht="14.4" x14ac:dyDescent="0.3">
      <c r="D336" s="36"/>
      <c r="F336" s="38"/>
      <c r="H336" s="263"/>
    </row>
    <row r="337" spans="4:8" ht="14.4" x14ac:dyDescent="0.3">
      <c r="D337" s="36"/>
      <c r="F337" s="38"/>
      <c r="H337" s="263"/>
    </row>
    <row r="338" spans="4:8" ht="14.4" x14ac:dyDescent="0.3">
      <c r="D338" s="36"/>
      <c r="F338" s="38"/>
      <c r="H338" s="263"/>
    </row>
    <row r="339" spans="4:8" ht="14.4" x14ac:dyDescent="0.3">
      <c r="D339" s="36"/>
      <c r="F339" s="38"/>
      <c r="H339" s="263"/>
    </row>
    <row r="340" spans="4:8" ht="14.4" x14ac:dyDescent="0.3">
      <c r="D340" s="36"/>
      <c r="F340" s="38"/>
      <c r="H340" s="263"/>
    </row>
    <row r="341" spans="4:8" ht="14.4" x14ac:dyDescent="0.3">
      <c r="D341" s="36"/>
      <c r="F341" s="38"/>
      <c r="H341" s="263"/>
    </row>
    <row r="342" spans="4:8" ht="14.4" x14ac:dyDescent="0.3">
      <c r="D342" s="36"/>
      <c r="F342" s="38"/>
      <c r="H342" s="263"/>
    </row>
    <row r="343" spans="4:8" ht="14.4" x14ac:dyDescent="0.3">
      <c r="D343" s="36"/>
      <c r="F343" s="38"/>
      <c r="H343" s="263"/>
    </row>
    <row r="344" spans="4:8" ht="14.4" x14ac:dyDescent="0.3">
      <c r="D344" s="36"/>
      <c r="F344" s="38"/>
      <c r="H344" s="263"/>
    </row>
    <row r="345" spans="4:8" ht="14.4" x14ac:dyDescent="0.3">
      <c r="D345" s="36"/>
      <c r="F345" s="38"/>
      <c r="H345" s="263"/>
    </row>
    <row r="346" spans="4:8" ht="14.4" x14ac:dyDescent="0.3">
      <c r="D346" s="36"/>
      <c r="F346" s="38"/>
      <c r="H346" s="263"/>
    </row>
    <row r="347" spans="4:8" ht="14.4" x14ac:dyDescent="0.3">
      <c r="D347" s="36"/>
      <c r="F347" s="38"/>
      <c r="H347" s="263"/>
    </row>
    <row r="348" spans="4:8" ht="14.4" x14ac:dyDescent="0.3">
      <c r="D348" s="36"/>
      <c r="F348" s="38"/>
      <c r="H348" s="263"/>
    </row>
    <row r="349" spans="4:8" ht="14.4" x14ac:dyDescent="0.3">
      <c r="D349" s="36"/>
      <c r="F349" s="38"/>
      <c r="H349" s="263"/>
    </row>
    <row r="350" spans="4:8" ht="14.4" x14ac:dyDescent="0.3">
      <c r="D350" s="36"/>
      <c r="F350" s="38"/>
      <c r="H350" s="263"/>
    </row>
    <row r="351" spans="4:8" ht="14.4" x14ac:dyDescent="0.3">
      <c r="D351" s="36"/>
      <c r="F351" s="38"/>
      <c r="H351" s="263"/>
    </row>
    <row r="352" spans="4:8" ht="14.4" x14ac:dyDescent="0.3">
      <c r="D352" s="36"/>
      <c r="F352" s="38"/>
      <c r="H352" s="263"/>
    </row>
    <row r="353" spans="4:8" ht="14.4" x14ac:dyDescent="0.3">
      <c r="D353" s="36"/>
      <c r="F353" s="38"/>
      <c r="H353" s="263"/>
    </row>
    <row r="354" spans="4:8" ht="14.4" x14ac:dyDescent="0.3">
      <c r="D354" s="36"/>
      <c r="F354" s="38"/>
      <c r="H354" s="263"/>
    </row>
    <row r="355" spans="4:8" ht="14.4" x14ac:dyDescent="0.3">
      <c r="D355" s="36"/>
      <c r="F355" s="38"/>
      <c r="H355" s="263"/>
    </row>
    <row r="356" spans="4:8" ht="14.4" x14ac:dyDescent="0.3">
      <c r="D356" s="36"/>
      <c r="F356" s="38"/>
      <c r="H356" s="263"/>
    </row>
    <row r="357" spans="4:8" ht="14.4" x14ac:dyDescent="0.3">
      <c r="D357" s="36"/>
      <c r="F357" s="38"/>
      <c r="H357" s="263"/>
    </row>
    <row r="358" spans="4:8" ht="14.4" x14ac:dyDescent="0.3">
      <c r="D358" s="36"/>
      <c r="F358" s="38"/>
      <c r="H358" s="263"/>
    </row>
    <row r="359" spans="4:8" ht="14.4" x14ac:dyDescent="0.3">
      <c r="D359" s="36"/>
      <c r="F359" s="38"/>
      <c r="H359" s="263"/>
    </row>
    <row r="360" spans="4:8" ht="14.4" x14ac:dyDescent="0.3">
      <c r="D360" s="36"/>
      <c r="F360" s="38"/>
      <c r="H360" s="263"/>
    </row>
    <row r="361" spans="4:8" ht="14.4" x14ac:dyDescent="0.3">
      <c r="D361" s="36"/>
      <c r="F361" s="38"/>
      <c r="H361" s="263"/>
    </row>
    <row r="362" spans="4:8" ht="14.4" x14ac:dyDescent="0.3">
      <c r="D362" s="36"/>
      <c r="F362" s="38"/>
      <c r="H362" s="263"/>
    </row>
    <row r="363" spans="4:8" ht="14.4" x14ac:dyDescent="0.3">
      <c r="D363" s="36"/>
      <c r="F363" s="38"/>
      <c r="H363" s="263"/>
    </row>
    <row r="364" spans="4:8" ht="14.4" x14ac:dyDescent="0.3">
      <c r="D364" s="36"/>
      <c r="F364" s="38"/>
      <c r="H364" s="263"/>
    </row>
    <row r="365" spans="4:8" ht="14.4" x14ac:dyDescent="0.3">
      <c r="D365" s="36"/>
      <c r="F365" s="38"/>
      <c r="H365" s="263"/>
    </row>
    <row r="366" spans="4:8" ht="14.4" x14ac:dyDescent="0.3">
      <c r="D366" s="36"/>
      <c r="F366" s="38"/>
      <c r="H366" s="263"/>
    </row>
    <row r="367" spans="4:8" ht="14.4" x14ac:dyDescent="0.3">
      <c r="D367" s="36"/>
      <c r="F367" s="38"/>
      <c r="H367" s="263"/>
    </row>
    <row r="368" spans="4:8" ht="14.4" x14ac:dyDescent="0.3">
      <c r="D368" s="36"/>
      <c r="F368" s="38"/>
      <c r="H368" s="263"/>
    </row>
    <row r="369" spans="4:8" ht="14.4" x14ac:dyDescent="0.3">
      <c r="D369" s="36"/>
      <c r="F369" s="38"/>
      <c r="H369" s="263"/>
    </row>
    <row r="370" spans="4:8" ht="14.4" x14ac:dyDescent="0.3">
      <c r="D370" s="36"/>
      <c r="F370" s="38"/>
      <c r="H370" s="263"/>
    </row>
    <row r="371" spans="4:8" ht="14.4" x14ac:dyDescent="0.3">
      <c r="D371" s="36"/>
      <c r="F371" s="38"/>
      <c r="H371" s="263"/>
    </row>
    <row r="372" spans="4:8" ht="14.4" x14ac:dyDescent="0.3">
      <c r="D372" s="36"/>
      <c r="F372" s="38"/>
      <c r="H372" s="263"/>
    </row>
    <row r="373" spans="4:8" ht="14.4" x14ac:dyDescent="0.3">
      <c r="D373" s="36"/>
      <c r="F373" s="38"/>
      <c r="H373" s="263"/>
    </row>
    <row r="374" spans="4:8" ht="14.4" x14ac:dyDescent="0.3">
      <c r="D374" s="36"/>
      <c r="F374" s="38"/>
      <c r="H374" s="263"/>
    </row>
    <row r="375" spans="4:8" ht="14.4" x14ac:dyDescent="0.3">
      <c r="D375" s="36"/>
      <c r="F375" s="38"/>
      <c r="H375" s="263"/>
    </row>
    <row r="376" spans="4:8" ht="14.4" x14ac:dyDescent="0.3">
      <c r="D376" s="36"/>
      <c r="F376" s="38"/>
      <c r="H376" s="263"/>
    </row>
    <row r="377" spans="4:8" ht="14.4" x14ac:dyDescent="0.3">
      <c r="D377" s="36"/>
      <c r="F377" s="38"/>
      <c r="H377" s="263"/>
    </row>
    <row r="378" spans="4:8" ht="14.4" x14ac:dyDescent="0.3">
      <c r="D378" s="36"/>
      <c r="F378" s="38"/>
      <c r="H378" s="263"/>
    </row>
    <row r="379" spans="4:8" ht="14.4" x14ac:dyDescent="0.3">
      <c r="D379" s="36"/>
      <c r="F379" s="38"/>
      <c r="H379" s="263"/>
    </row>
    <row r="380" spans="4:8" ht="14.4" x14ac:dyDescent="0.3">
      <c r="D380" s="36"/>
      <c r="F380" s="38"/>
      <c r="H380" s="263"/>
    </row>
    <row r="381" spans="4:8" ht="14.4" x14ac:dyDescent="0.3">
      <c r="D381" s="36"/>
      <c r="F381" s="38"/>
      <c r="H381" s="263"/>
    </row>
    <row r="382" spans="4:8" ht="14.4" x14ac:dyDescent="0.3">
      <c r="D382" s="36"/>
      <c r="F382" s="38"/>
      <c r="H382" s="263"/>
    </row>
    <row r="383" spans="4:8" ht="14.4" x14ac:dyDescent="0.3">
      <c r="D383" s="36"/>
      <c r="F383" s="38"/>
      <c r="H383" s="263"/>
    </row>
    <row r="384" spans="4:8" ht="14.4" x14ac:dyDescent="0.3">
      <c r="D384" s="36"/>
      <c r="F384" s="38"/>
      <c r="H384" s="263"/>
    </row>
    <row r="385" spans="4:8" ht="14.4" x14ac:dyDescent="0.3">
      <c r="D385" s="36"/>
      <c r="F385" s="38"/>
      <c r="H385" s="263"/>
    </row>
    <row r="386" spans="4:8" ht="14.4" x14ac:dyDescent="0.3">
      <c r="D386" s="36"/>
      <c r="F386" s="38"/>
      <c r="H386" s="263"/>
    </row>
    <row r="387" spans="4:8" ht="14.4" x14ac:dyDescent="0.3">
      <c r="D387" s="36"/>
      <c r="F387" s="38"/>
      <c r="H387" s="263"/>
    </row>
    <row r="388" spans="4:8" ht="14.4" x14ac:dyDescent="0.3">
      <c r="D388" s="36"/>
      <c r="F388" s="38"/>
      <c r="H388" s="263"/>
    </row>
    <row r="389" spans="4:8" ht="14.4" x14ac:dyDescent="0.3">
      <c r="D389" s="36"/>
      <c r="F389" s="38"/>
      <c r="H389" s="263"/>
    </row>
    <row r="390" spans="4:8" ht="14.4" x14ac:dyDescent="0.3">
      <c r="D390" s="36"/>
      <c r="F390" s="38"/>
      <c r="H390" s="263"/>
    </row>
    <row r="391" spans="4:8" ht="14.4" x14ac:dyDescent="0.3">
      <c r="D391" s="36"/>
      <c r="F391" s="38"/>
      <c r="H391" s="263"/>
    </row>
    <row r="392" spans="4:8" ht="14.4" x14ac:dyDescent="0.3">
      <c r="D392" s="36"/>
      <c r="F392" s="38"/>
      <c r="H392" s="263"/>
    </row>
    <row r="393" spans="4:8" ht="14.4" x14ac:dyDescent="0.3">
      <c r="D393" s="36"/>
      <c r="F393" s="38"/>
      <c r="H393" s="263"/>
    </row>
    <row r="394" spans="4:8" ht="14.4" x14ac:dyDescent="0.3">
      <c r="D394" s="36"/>
      <c r="F394" s="38"/>
      <c r="H394" s="263"/>
    </row>
    <row r="395" spans="4:8" ht="14.4" x14ac:dyDescent="0.3">
      <c r="D395" s="36"/>
      <c r="F395" s="38"/>
      <c r="H395" s="263"/>
    </row>
    <row r="396" spans="4:8" ht="14.4" x14ac:dyDescent="0.3">
      <c r="D396" s="36"/>
      <c r="F396" s="38"/>
      <c r="H396" s="263"/>
    </row>
    <row r="397" spans="4:8" ht="14.4" x14ac:dyDescent="0.3">
      <c r="D397" s="36"/>
      <c r="F397" s="38"/>
      <c r="H397" s="263"/>
    </row>
    <row r="398" spans="4:8" ht="14.4" x14ac:dyDescent="0.3">
      <c r="D398" s="36"/>
      <c r="F398" s="38"/>
      <c r="H398" s="263"/>
    </row>
    <row r="399" spans="4:8" ht="14.4" x14ac:dyDescent="0.3">
      <c r="D399" s="36"/>
      <c r="F399" s="38"/>
      <c r="H399" s="263"/>
    </row>
    <row r="400" spans="4:8" ht="14.4" x14ac:dyDescent="0.3">
      <c r="D400" s="36"/>
      <c r="F400" s="38"/>
      <c r="H400" s="263"/>
    </row>
    <row r="401" spans="4:8" ht="14.4" x14ac:dyDescent="0.3">
      <c r="D401" s="36"/>
      <c r="F401" s="38"/>
      <c r="H401" s="263"/>
    </row>
    <row r="402" spans="4:8" ht="14.4" x14ac:dyDescent="0.3">
      <c r="D402" s="36"/>
      <c r="F402" s="38"/>
      <c r="H402" s="263"/>
    </row>
    <row r="403" spans="4:8" ht="14.4" x14ac:dyDescent="0.3">
      <c r="D403" s="36"/>
      <c r="F403" s="38"/>
      <c r="H403" s="263"/>
    </row>
    <row r="404" spans="4:8" ht="14.4" x14ac:dyDescent="0.3">
      <c r="D404" s="36"/>
      <c r="F404" s="38"/>
      <c r="H404" s="263"/>
    </row>
    <row r="405" spans="4:8" ht="14.4" x14ac:dyDescent="0.3">
      <c r="D405" s="36"/>
      <c r="F405" s="38"/>
      <c r="H405" s="263"/>
    </row>
    <row r="406" spans="4:8" ht="14.4" x14ac:dyDescent="0.3">
      <c r="D406" s="36"/>
      <c r="F406" s="38"/>
      <c r="H406" s="263"/>
    </row>
    <row r="407" spans="4:8" ht="14.4" x14ac:dyDescent="0.3">
      <c r="D407" s="36"/>
      <c r="F407" s="38"/>
      <c r="H407" s="263"/>
    </row>
    <row r="408" spans="4:8" ht="14.4" x14ac:dyDescent="0.3">
      <c r="D408" s="36"/>
      <c r="F408" s="38"/>
      <c r="H408" s="263"/>
    </row>
    <row r="409" spans="4:8" ht="14.4" x14ac:dyDescent="0.3">
      <c r="D409" s="36"/>
      <c r="F409" s="38"/>
      <c r="H409" s="263"/>
    </row>
    <row r="410" spans="4:8" ht="14.4" x14ac:dyDescent="0.3">
      <c r="D410" s="36"/>
      <c r="F410" s="38"/>
      <c r="H410" s="263"/>
    </row>
    <row r="411" spans="4:8" ht="14.4" x14ac:dyDescent="0.3">
      <c r="D411" s="36"/>
      <c r="F411" s="38"/>
      <c r="H411" s="263"/>
    </row>
    <row r="412" spans="4:8" ht="14.4" x14ac:dyDescent="0.3">
      <c r="D412" s="36"/>
      <c r="F412" s="38"/>
      <c r="H412" s="263"/>
    </row>
    <row r="413" spans="4:8" ht="14.4" x14ac:dyDescent="0.3">
      <c r="D413" s="36"/>
      <c r="F413" s="38"/>
      <c r="H413" s="263"/>
    </row>
    <row r="414" spans="4:8" ht="14.4" x14ac:dyDescent="0.3">
      <c r="D414" s="36"/>
      <c r="F414" s="38"/>
      <c r="H414" s="263"/>
    </row>
    <row r="415" spans="4:8" ht="14.4" x14ac:dyDescent="0.3">
      <c r="D415" s="36"/>
      <c r="F415" s="38"/>
      <c r="H415" s="263"/>
    </row>
    <row r="416" spans="4:8" ht="14.4" x14ac:dyDescent="0.3">
      <c r="D416" s="36"/>
      <c r="F416" s="38"/>
      <c r="H416" s="263"/>
    </row>
    <row r="417" spans="4:8" ht="14.4" x14ac:dyDescent="0.3">
      <c r="D417" s="36"/>
      <c r="F417" s="38"/>
      <c r="H417" s="263"/>
    </row>
    <row r="418" spans="4:8" ht="14.4" x14ac:dyDescent="0.3">
      <c r="D418" s="36"/>
      <c r="F418" s="38"/>
      <c r="H418" s="263"/>
    </row>
    <row r="419" spans="4:8" ht="14.4" x14ac:dyDescent="0.3">
      <c r="D419" s="36"/>
      <c r="F419" s="38"/>
      <c r="H419" s="263"/>
    </row>
    <row r="420" spans="4:8" ht="14.4" x14ac:dyDescent="0.3">
      <c r="D420" s="36"/>
      <c r="F420" s="38"/>
      <c r="H420" s="263"/>
    </row>
    <row r="421" spans="4:8" ht="14.4" x14ac:dyDescent="0.3">
      <c r="D421" s="36"/>
      <c r="F421" s="38"/>
      <c r="H421" s="263"/>
    </row>
    <row r="422" spans="4:8" ht="14.4" x14ac:dyDescent="0.3">
      <c r="D422" s="36"/>
      <c r="F422" s="38"/>
      <c r="H422" s="263"/>
    </row>
    <row r="423" spans="4:8" ht="14.4" x14ac:dyDescent="0.3">
      <c r="D423" s="36"/>
      <c r="F423" s="38"/>
      <c r="H423" s="263"/>
    </row>
    <row r="424" spans="4:8" ht="14.4" x14ac:dyDescent="0.3">
      <c r="D424" s="36"/>
      <c r="F424" s="38"/>
      <c r="H424" s="263"/>
    </row>
    <row r="425" spans="4:8" ht="14.4" x14ac:dyDescent="0.3">
      <c r="D425" s="36"/>
      <c r="F425" s="38"/>
      <c r="H425" s="263"/>
    </row>
    <row r="426" spans="4:8" ht="14.4" x14ac:dyDescent="0.3">
      <c r="D426" s="36"/>
      <c r="F426" s="38"/>
      <c r="H426" s="263"/>
    </row>
    <row r="427" spans="4:8" ht="14.4" x14ac:dyDescent="0.3">
      <c r="D427" s="36"/>
      <c r="F427" s="38"/>
      <c r="H427" s="263"/>
    </row>
    <row r="428" spans="4:8" ht="14.4" x14ac:dyDescent="0.3">
      <c r="D428" s="36"/>
      <c r="F428" s="38"/>
      <c r="H428" s="263"/>
    </row>
    <row r="429" spans="4:8" ht="14.4" x14ac:dyDescent="0.3">
      <c r="D429" s="36"/>
      <c r="F429" s="38"/>
      <c r="H429" s="263"/>
    </row>
    <row r="430" spans="4:8" ht="14.4" x14ac:dyDescent="0.3">
      <c r="D430" s="36"/>
      <c r="F430" s="38"/>
      <c r="H430" s="263"/>
    </row>
    <row r="431" spans="4:8" ht="14.4" x14ac:dyDescent="0.3">
      <c r="D431" s="36"/>
      <c r="F431" s="38"/>
      <c r="H431" s="263"/>
    </row>
    <row r="432" spans="4:8" ht="14.4" x14ac:dyDescent="0.3">
      <c r="D432" s="36"/>
      <c r="F432" s="38"/>
      <c r="H432" s="263"/>
    </row>
    <row r="433" spans="4:8" ht="14.4" x14ac:dyDescent="0.3">
      <c r="D433" s="36"/>
      <c r="F433" s="38"/>
      <c r="H433" s="263"/>
    </row>
    <row r="434" spans="4:8" ht="14.4" x14ac:dyDescent="0.3">
      <c r="D434" s="36"/>
      <c r="F434" s="38"/>
      <c r="H434" s="263"/>
    </row>
    <row r="435" spans="4:8" ht="14.4" x14ac:dyDescent="0.3">
      <c r="D435" s="36"/>
      <c r="F435" s="38"/>
      <c r="H435" s="263"/>
    </row>
    <row r="436" spans="4:8" ht="14.4" x14ac:dyDescent="0.3">
      <c r="D436" s="36"/>
      <c r="F436" s="38"/>
      <c r="H436" s="263"/>
    </row>
    <row r="437" spans="4:8" ht="14.4" x14ac:dyDescent="0.3">
      <c r="D437" s="36"/>
      <c r="F437" s="38"/>
      <c r="H437" s="263"/>
    </row>
    <row r="438" spans="4:8" ht="14.4" x14ac:dyDescent="0.3">
      <c r="D438" s="36"/>
      <c r="F438" s="38"/>
      <c r="H438" s="263"/>
    </row>
    <row r="439" spans="4:8" ht="14.4" x14ac:dyDescent="0.3">
      <c r="D439" s="36"/>
      <c r="F439" s="38"/>
      <c r="H439" s="263"/>
    </row>
    <row r="440" spans="4:8" ht="14.4" x14ac:dyDescent="0.3">
      <c r="D440" s="36"/>
      <c r="F440" s="38"/>
      <c r="H440" s="263"/>
    </row>
    <row r="441" spans="4:8" ht="14.4" x14ac:dyDescent="0.3">
      <c r="D441" s="36"/>
      <c r="F441" s="38"/>
      <c r="H441" s="263"/>
    </row>
    <row r="442" spans="4:8" ht="14.4" x14ac:dyDescent="0.3">
      <c r="D442" s="36"/>
      <c r="F442" s="38"/>
      <c r="H442" s="263"/>
    </row>
    <row r="443" spans="4:8" ht="14.4" x14ac:dyDescent="0.3">
      <c r="D443" s="36"/>
      <c r="F443" s="38"/>
      <c r="H443" s="263"/>
    </row>
    <row r="444" spans="4:8" ht="14.4" x14ac:dyDescent="0.3">
      <c r="D444" s="36"/>
      <c r="F444" s="38"/>
      <c r="H444" s="263"/>
    </row>
    <row r="445" spans="4:8" ht="14.4" x14ac:dyDescent="0.3">
      <c r="D445" s="36"/>
      <c r="F445" s="38"/>
      <c r="H445" s="263"/>
    </row>
    <row r="446" spans="4:8" ht="14.4" x14ac:dyDescent="0.3">
      <c r="D446" s="36"/>
      <c r="F446" s="38"/>
      <c r="H446" s="263"/>
    </row>
    <row r="447" spans="4:8" ht="14.4" x14ac:dyDescent="0.3">
      <c r="D447" s="36"/>
      <c r="F447" s="38"/>
      <c r="H447" s="263"/>
    </row>
    <row r="448" spans="4:8" ht="14.4" x14ac:dyDescent="0.3">
      <c r="D448" s="36"/>
      <c r="F448" s="38"/>
      <c r="H448" s="263"/>
    </row>
    <row r="449" spans="4:8" ht="14.4" x14ac:dyDescent="0.3">
      <c r="D449" s="36"/>
      <c r="F449" s="38"/>
      <c r="H449" s="263"/>
    </row>
    <row r="450" spans="4:8" ht="14.4" x14ac:dyDescent="0.3">
      <c r="D450" s="36"/>
      <c r="F450" s="38"/>
      <c r="H450" s="263"/>
    </row>
    <row r="451" spans="4:8" ht="14.4" x14ac:dyDescent="0.3">
      <c r="D451" s="36"/>
      <c r="F451" s="38"/>
      <c r="H451" s="263"/>
    </row>
    <row r="452" spans="4:8" ht="14.4" x14ac:dyDescent="0.3">
      <c r="D452" s="36"/>
      <c r="F452" s="38"/>
      <c r="H452" s="263"/>
    </row>
    <row r="453" spans="4:8" ht="14.4" x14ac:dyDescent="0.3">
      <c r="D453" s="36"/>
      <c r="F453" s="38"/>
      <c r="H453" s="263"/>
    </row>
    <row r="454" spans="4:8" ht="14.4" x14ac:dyDescent="0.3">
      <c r="D454" s="36"/>
      <c r="F454" s="38"/>
      <c r="H454" s="263"/>
    </row>
    <row r="455" spans="4:8" ht="14.4" x14ac:dyDescent="0.3">
      <c r="D455" s="36"/>
      <c r="F455" s="38"/>
      <c r="H455" s="263"/>
    </row>
    <row r="456" spans="4:8" ht="14.4" x14ac:dyDescent="0.3">
      <c r="D456" s="36"/>
      <c r="F456" s="38"/>
      <c r="H456" s="263"/>
    </row>
    <row r="457" spans="4:8" ht="14.4" x14ac:dyDescent="0.3">
      <c r="D457" s="36"/>
      <c r="F457" s="38"/>
      <c r="H457" s="263"/>
    </row>
    <row r="458" spans="4:8" ht="14.4" x14ac:dyDescent="0.3">
      <c r="D458" s="36"/>
      <c r="F458" s="38"/>
      <c r="H458" s="263"/>
    </row>
    <row r="459" spans="4:8" ht="14.4" x14ac:dyDescent="0.3">
      <c r="D459" s="36"/>
      <c r="F459" s="38"/>
      <c r="H459" s="263"/>
    </row>
    <row r="460" spans="4:8" ht="14.4" x14ac:dyDescent="0.3">
      <c r="D460" s="36"/>
      <c r="F460" s="38"/>
      <c r="H460" s="263"/>
    </row>
    <row r="461" spans="4:8" ht="14.4" x14ac:dyDescent="0.3">
      <c r="D461" s="36"/>
      <c r="F461" s="38"/>
      <c r="H461" s="263"/>
    </row>
    <row r="462" spans="4:8" ht="14.4" x14ac:dyDescent="0.3">
      <c r="D462" s="36"/>
      <c r="F462" s="38"/>
      <c r="H462" s="263"/>
    </row>
    <row r="463" spans="4:8" ht="14.4" x14ac:dyDescent="0.3">
      <c r="D463" s="36"/>
      <c r="F463" s="38"/>
      <c r="H463" s="263"/>
    </row>
    <row r="464" spans="4:8" ht="14.4" x14ac:dyDescent="0.3">
      <c r="D464" s="36"/>
      <c r="F464" s="38"/>
      <c r="H464" s="263"/>
    </row>
    <row r="465" spans="4:8" ht="14.4" x14ac:dyDescent="0.3">
      <c r="D465" s="36"/>
      <c r="F465" s="38"/>
      <c r="H465" s="263"/>
    </row>
    <row r="466" spans="4:8" ht="14.4" x14ac:dyDescent="0.3">
      <c r="D466" s="36"/>
      <c r="F466" s="38"/>
      <c r="H466" s="263"/>
    </row>
    <row r="467" spans="4:8" ht="14.4" x14ac:dyDescent="0.3">
      <c r="D467" s="36"/>
      <c r="F467" s="38"/>
      <c r="H467" s="263"/>
    </row>
    <row r="468" spans="4:8" ht="14.4" x14ac:dyDescent="0.3">
      <c r="D468" s="36"/>
      <c r="F468" s="38"/>
      <c r="H468" s="263"/>
    </row>
    <row r="469" spans="4:8" ht="14.4" x14ac:dyDescent="0.3">
      <c r="D469" s="36"/>
      <c r="F469" s="38"/>
      <c r="H469" s="263"/>
    </row>
    <row r="470" spans="4:8" ht="14.4" x14ac:dyDescent="0.3">
      <c r="D470" s="36"/>
      <c r="F470" s="38"/>
      <c r="H470" s="263"/>
    </row>
    <row r="471" spans="4:8" ht="14.4" x14ac:dyDescent="0.3">
      <c r="D471" s="36"/>
      <c r="F471" s="38"/>
      <c r="H471" s="263"/>
    </row>
    <row r="472" spans="4:8" ht="14.4" x14ac:dyDescent="0.3">
      <c r="D472" s="36"/>
      <c r="F472" s="38"/>
      <c r="H472" s="263"/>
    </row>
    <row r="473" spans="4:8" ht="14.4" x14ac:dyDescent="0.3">
      <c r="D473" s="36"/>
      <c r="F473" s="38"/>
      <c r="H473" s="263"/>
    </row>
    <row r="474" spans="4:8" ht="14.4" x14ac:dyDescent="0.3">
      <c r="D474" s="36"/>
      <c r="F474" s="38"/>
      <c r="H474" s="263"/>
    </row>
    <row r="475" spans="4:8" ht="14.4" x14ac:dyDescent="0.3">
      <c r="D475" s="36"/>
      <c r="F475" s="38"/>
      <c r="H475" s="263"/>
    </row>
    <row r="476" spans="4:8" ht="14.4" x14ac:dyDescent="0.3">
      <c r="D476" s="36"/>
      <c r="F476" s="38"/>
      <c r="H476" s="263"/>
    </row>
    <row r="477" spans="4:8" ht="14.4" x14ac:dyDescent="0.3">
      <c r="D477" s="36"/>
      <c r="F477" s="38"/>
      <c r="H477" s="263"/>
    </row>
    <row r="478" spans="4:8" ht="14.4" x14ac:dyDescent="0.3">
      <c r="D478" s="36"/>
      <c r="F478" s="38"/>
      <c r="H478" s="263"/>
    </row>
    <row r="479" spans="4:8" ht="14.4" x14ac:dyDescent="0.3">
      <c r="D479" s="36"/>
      <c r="F479" s="38"/>
      <c r="H479" s="263"/>
    </row>
    <row r="480" spans="4:8" ht="14.4" x14ac:dyDescent="0.3">
      <c r="D480" s="36"/>
      <c r="F480" s="38"/>
      <c r="H480" s="263"/>
    </row>
    <row r="481" spans="4:8" ht="14.4" x14ac:dyDescent="0.3">
      <c r="D481" s="36"/>
      <c r="F481" s="38"/>
      <c r="H481" s="263"/>
    </row>
    <row r="482" spans="4:8" ht="14.4" x14ac:dyDescent="0.3">
      <c r="D482" s="36"/>
      <c r="F482" s="38"/>
      <c r="H482" s="263"/>
    </row>
    <row r="483" spans="4:8" ht="14.4" x14ac:dyDescent="0.3">
      <c r="D483" s="36"/>
      <c r="F483" s="38"/>
      <c r="H483" s="263"/>
    </row>
    <row r="484" spans="4:8" ht="14.4" x14ac:dyDescent="0.3">
      <c r="D484" s="36"/>
      <c r="F484" s="38"/>
      <c r="H484" s="263"/>
    </row>
    <row r="485" spans="4:8" ht="14.4" x14ac:dyDescent="0.3">
      <c r="D485" s="36"/>
      <c r="F485" s="38"/>
      <c r="H485" s="263"/>
    </row>
    <row r="486" spans="4:8" ht="14.4" x14ac:dyDescent="0.3">
      <c r="D486" s="36"/>
      <c r="F486" s="38"/>
      <c r="H486" s="263"/>
    </row>
    <row r="487" spans="4:8" ht="14.4" x14ac:dyDescent="0.3">
      <c r="D487" s="36"/>
      <c r="F487" s="38"/>
      <c r="H487" s="263"/>
    </row>
    <row r="488" spans="4:8" ht="14.4" x14ac:dyDescent="0.3">
      <c r="D488" s="36"/>
      <c r="F488" s="38"/>
      <c r="H488" s="263"/>
    </row>
    <row r="489" spans="4:8" ht="14.4" x14ac:dyDescent="0.3">
      <c r="D489" s="36"/>
      <c r="F489" s="38"/>
      <c r="H489" s="263"/>
    </row>
    <row r="490" spans="4:8" ht="14.4" x14ac:dyDescent="0.3">
      <c r="D490" s="36"/>
      <c r="F490" s="38"/>
      <c r="H490" s="263"/>
    </row>
    <row r="491" spans="4:8" ht="14.4" x14ac:dyDescent="0.3">
      <c r="D491" s="36"/>
      <c r="F491" s="38"/>
      <c r="H491" s="263"/>
    </row>
    <row r="492" spans="4:8" ht="14.4" x14ac:dyDescent="0.3">
      <c r="D492" s="36"/>
      <c r="F492" s="38"/>
      <c r="H492" s="263"/>
    </row>
    <row r="493" spans="4:8" ht="14.4" x14ac:dyDescent="0.3">
      <c r="D493" s="36"/>
      <c r="F493" s="38"/>
      <c r="H493" s="263"/>
    </row>
    <row r="494" spans="4:8" ht="14.4" x14ac:dyDescent="0.3">
      <c r="D494" s="36"/>
      <c r="F494" s="38"/>
      <c r="H494" s="263"/>
    </row>
    <row r="495" spans="4:8" ht="14.4" x14ac:dyDescent="0.3">
      <c r="D495" s="36"/>
      <c r="F495" s="38"/>
      <c r="H495" s="263"/>
    </row>
    <row r="496" spans="4:8" ht="14.4" x14ac:dyDescent="0.3">
      <c r="D496" s="36"/>
      <c r="F496" s="38"/>
      <c r="H496" s="263"/>
    </row>
    <row r="497" spans="4:8" ht="14.4" x14ac:dyDescent="0.3">
      <c r="D497" s="36"/>
      <c r="F497" s="38"/>
      <c r="H497" s="263"/>
    </row>
    <row r="498" spans="4:8" ht="14.4" x14ac:dyDescent="0.3">
      <c r="D498" s="36"/>
      <c r="F498" s="38"/>
      <c r="H498" s="263"/>
    </row>
    <row r="499" spans="4:8" ht="14.4" x14ac:dyDescent="0.3">
      <c r="D499" s="36"/>
      <c r="F499" s="38"/>
      <c r="H499" s="263"/>
    </row>
    <row r="500" spans="4:8" ht="14.4" x14ac:dyDescent="0.3">
      <c r="D500" s="36"/>
      <c r="F500" s="38"/>
      <c r="H500" s="263"/>
    </row>
    <row r="501" spans="4:8" ht="14.4" x14ac:dyDescent="0.3">
      <c r="D501" s="36"/>
      <c r="F501" s="38"/>
      <c r="H501" s="263"/>
    </row>
    <row r="502" spans="4:8" ht="14.4" x14ac:dyDescent="0.3">
      <c r="D502" s="36"/>
      <c r="F502" s="38"/>
      <c r="H502" s="263"/>
    </row>
    <row r="503" spans="4:8" ht="14.4" x14ac:dyDescent="0.3">
      <c r="D503" s="36"/>
      <c r="F503" s="38"/>
      <c r="H503" s="263"/>
    </row>
    <row r="504" spans="4:8" ht="14.4" x14ac:dyDescent="0.3">
      <c r="D504" s="36"/>
      <c r="F504" s="38"/>
      <c r="H504" s="263"/>
    </row>
    <row r="505" spans="4:8" ht="14.4" x14ac:dyDescent="0.3">
      <c r="D505" s="36"/>
      <c r="F505" s="38"/>
      <c r="H505" s="263"/>
    </row>
    <row r="506" spans="4:8" ht="14.4" x14ac:dyDescent="0.3">
      <c r="D506" s="36"/>
      <c r="F506" s="38"/>
      <c r="H506" s="263"/>
    </row>
    <row r="507" spans="4:8" ht="14.4" x14ac:dyDescent="0.3">
      <c r="D507" s="36"/>
      <c r="F507" s="38"/>
      <c r="H507" s="263"/>
    </row>
    <row r="508" spans="4:8" ht="14.4" x14ac:dyDescent="0.3">
      <c r="D508" s="36"/>
      <c r="F508" s="38"/>
      <c r="H508" s="263"/>
    </row>
    <row r="509" spans="4:8" ht="14.4" x14ac:dyDescent="0.3">
      <c r="D509" s="36"/>
      <c r="F509" s="38"/>
      <c r="H509" s="263"/>
    </row>
    <row r="510" spans="4:8" ht="14.4" x14ac:dyDescent="0.3">
      <c r="D510" s="36"/>
      <c r="F510" s="38"/>
      <c r="H510" s="263"/>
    </row>
    <row r="511" spans="4:8" ht="14.4" x14ac:dyDescent="0.3">
      <c r="D511" s="36"/>
      <c r="F511" s="38"/>
      <c r="H511" s="263"/>
    </row>
    <row r="512" spans="4:8" ht="14.4" x14ac:dyDescent="0.3">
      <c r="D512" s="36"/>
      <c r="F512" s="38"/>
      <c r="H512" s="263"/>
    </row>
    <row r="513" spans="4:8" ht="14.4" x14ac:dyDescent="0.3">
      <c r="D513" s="36"/>
      <c r="F513" s="38"/>
      <c r="H513" s="263"/>
    </row>
    <row r="514" spans="4:8" ht="14.4" x14ac:dyDescent="0.3">
      <c r="D514" s="36"/>
      <c r="F514" s="38"/>
      <c r="H514" s="263"/>
    </row>
    <row r="515" spans="4:8" ht="14.4" x14ac:dyDescent="0.3">
      <c r="D515" s="36"/>
      <c r="F515" s="38"/>
      <c r="H515" s="263"/>
    </row>
    <row r="516" spans="4:8" ht="14.4" x14ac:dyDescent="0.3">
      <c r="D516" s="36"/>
      <c r="F516" s="38"/>
      <c r="H516" s="263"/>
    </row>
    <row r="517" spans="4:8" ht="14.4" x14ac:dyDescent="0.3">
      <c r="D517" s="36"/>
      <c r="F517" s="38"/>
      <c r="H517" s="263"/>
    </row>
    <row r="518" spans="4:8" ht="14.4" x14ac:dyDescent="0.3">
      <c r="D518" s="36"/>
      <c r="F518" s="38"/>
      <c r="H518" s="263"/>
    </row>
    <row r="519" spans="4:8" ht="14.4" x14ac:dyDescent="0.3">
      <c r="D519" s="36"/>
      <c r="F519" s="38"/>
      <c r="H519" s="263"/>
    </row>
    <row r="520" spans="4:8" ht="14.4" x14ac:dyDescent="0.3">
      <c r="D520" s="36"/>
      <c r="F520" s="38"/>
      <c r="H520" s="263"/>
    </row>
    <row r="521" spans="4:8" ht="14.4" x14ac:dyDescent="0.3">
      <c r="D521" s="36"/>
      <c r="F521" s="38"/>
      <c r="H521" s="263"/>
    </row>
    <row r="522" spans="4:8" ht="14.4" x14ac:dyDescent="0.3">
      <c r="D522" s="36"/>
      <c r="F522" s="38"/>
      <c r="H522" s="263"/>
    </row>
    <row r="523" spans="4:8" ht="14.4" x14ac:dyDescent="0.3">
      <c r="D523" s="36"/>
      <c r="F523" s="38"/>
      <c r="H523" s="263"/>
    </row>
    <row r="524" spans="4:8" ht="14.4" x14ac:dyDescent="0.3">
      <c r="D524" s="36"/>
      <c r="F524" s="38"/>
      <c r="H524" s="263"/>
    </row>
    <row r="525" spans="4:8" ht="14.4" x14ac:dyDescent="0.3">
      <c r="D525" s="36"/>
      <c r="F525" s="38"/>
      <c r="H525" s="263"/>
    </row>
    <row r="526" spans="4:8" ht="14.4" x14ac:dyDescent="0.3">
      <c r="D526" s="36"/>
      <c r="F526" s="38"/>
      <c r="H526" s="263"/>
    </row>
    <row r="527" spans="4:8" ht="14.4" x14ac:dyDescent="0.3">
      <c r="D527" s="36"/>
      <c r="F527" s="38"/>
      <c r="H527" s="263"/>
    </row>
    <row r="528" spans="4:8" ht="14.4" x14ac:dyDescent="0.3">
      <c r="D528" s="36"/>
      <c r="F528" s="38"/>
      <c r="H528" s="263"/>
    </row>
    <row r="529" spans="4:8" ht="14.4" x14ac:dyDescent="0.3">
      <c r="D529" s="36"/>
      <c r="F529" s="38"/>
      <c r="H529" s="263"/>
    </row>
    <row r="530" spans="4:8" ht="14.4" x14ac:dyDescent="0.3">
      <c r="D530" s="36"/>
      <c r="F530" s="38"/>
      <c r="H530" s="263"/>
    </row>
    <row r="531" spans="4:8" ht="14.4" x14ac:dyDescent="0.3">
      <c r="D531" s="36"/>
      <c r="F531" s="38"/>
      <c r="H531" s="263"/>
    </row>
    <row r="532" spans="4:8" ht="14.4" x14ac:dyDescent="0.3">
      <c r="D532" s="36"/>
      <c r="F532" s="38"/>
      <c r="H532" s="263"/>
    </row>
    <row r="533" spans="4:8" ht="14.4" x14ac:dyDescent="0.3">
      <c r="D533" s="36"/>
      <c r="F533" s="38"/>
      <c r="H533" s="263"/>
    </row>
    <row r="534" spans="4:8" ht="14.4" x14ac:dyDescent="0.3">
      <c r="D534" s="36"/>
      <c r="F534" s="38"/>
      <c r="H534" s="263"/>
    </row>
    <row r="535" spans="4:8" ht="14.4" x14ac:dyDescent="0.3">
      <c r="D535" s="36"/>
      <c r="F535" s="38"/>
      <c r="H535" s="263"/>
    </row>
    <row r="536" spans="4:8" ht="14.4" x14ac:dyDescent="0.3">
      <c r="D536" s="36"/>
      <c r="F536" s="38"/>
      <c r="H536" s="263"/>
    </row>
    <row r="537" spans="4:8" ht="14.4" x14ac:dyDescent="0.3">
      <c r="D537" s="36"/>
      <c r="F537" s="38"/>
      <c r="H537" s="263"/>
    </row>
    <row r="538" spans="4:8" ht="14.4" x14ac:dyDescent="0.3">
      <c r="D538" s="36"/>
      <c r="F538" s="38"/>
      <c r="H538" s="263"/>
    </row>
    <row r="539" spans="4:8" ht="14.4" x14ac:dyDescent="0.3">
      <c r="D539" s="36"/>
      <c r="F539" s="38"/>
      <c r="H539" s="263"/>
    </row>
    <row r="540" spans="4:8" ht="14.4" x14ac:dyDescent="0.3">
      <c r="D540" s="36"/>
      <c r="F540" s="38"/>
      <c r="H540" s="263"/>
    </row>
    <row r="541" spans="4:8" ht="14.4" x14ac:dyDescent="0.3">
      <c r="D541" s="36"/>
      <c r="F541" s="38"/>
      <c r="H541" s="263"/>
    </row>
  </sheetData>
  <mergeCells count="2">
    <mergeCell ref="D4:J4"/>
    <mergeCell ref="D6:J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D49C0-C791-43B6-B038-0C938DB97334}">
  <dimension ref="D3:Q47"/>
  <sheetViews>
    <sheetView showGridLines="0" topLeftCell="A25" workbookViewId="0">
      <selection activeCell="E42" sqref="E42"/>
    </sheetView>
  </sheetViews>
  <sheetFormatPr defaultColWidth="8.88671875" defaultRowHeight="14.4" x14ac:dyDescent="0.3"/>
  <cols>
    <col min="1" max="3" width="1.33203125" style="19" customWidth="1"/>
    <col min="4" max="4" width="35.77734375" style="19" customWidth="1"/>
    <col min="5" max="5" width="11.88671875" style="19" customWidth="1"/>
    <col min="6" max="13" width="10.77734375" style="19" customWidth="1"/>
    <col min="14" max="16384" width="8.88671875" style="19"/>
  </cols>
  <sheetData>
    <row r="3" spans="4:15" x14ac:dyDescent="0.3">
      <c r="L3" s="141" t="s">
        <v>310</v>
      </c>
    </row>
    <row r="4" spans="4:15" ht="16.95" customHeight="1" x14ac:dyDescent="0.3">
      <c r="D4" s="453" t="s">
        <v>137</v>
      </c>
      <c r="E4" s="453"/>
      <c r="F4" s="453"/>
      <c r="G4" s="453"/>
      <c r="H4" s="453"/>
      <c r="I4" s="453"/>
      <c r="J4" s="453"/>
      <c r="K4" s="453"/>
      <c r="L4" s="453"/>
      <c r="M4" s="44"/>
      <c r="N4" s="44"/>
      <c r="O4" s="44"/>
    </row>
    <row r="5" spans="4:15" x14ac:dyDescent="0.3">
      <c r="D5" s="28"/>
      <c r="E5" s="28"/>
      <c r="F5" s="28"/>
      <c r="G5" s="28"/>
      <c r="H5" s="28"/>
      <c r="I5" s="28"/>
      <c r="J5" s="28"/>
      <c r="K5" s="28"/>
      <c r="L5" s="28"/>
    </row>
    <row r="6" spans="4:15" x14ac:dyDescent="0.3">
      <c r="D6" s="527" t="s">
        <v>138</v>
      </c>
      <c r="E6" s="527"/>
      <c r="F6" s="527"/>
      <c r="G6" s="527"/>
      <c r="H6" s="527"/>
      <c r="I6" s="527"/>
      <c r="J6" s="527"/>
      <c r="K6" s="527"/>
      <c r="L6" s="527"/>
      <c r="M6" s="45"/>
      <c r="N6" s="45"/>
      <c r="O6" s="45"/>
    </row>
    <row r="7" spans="4:15" x14ac:dyDescent="0.3">
      <c r="D7" s="144"/>
      <c r="E7" s="144"/>
      <c r="F7" s="321" t="s">
        <v>11</v>
      </c>
      <c r="G7" s="321" t="s">
        <v>18</v>
      </c>
      <c r="H7" s="321" t="s">
        <v>139</v>
      </c>
      <c r="I7" s="321" t="s">
        <v>139</v>
      </c>
      <c r="J7" s="321" t="s">
        <v>61</v>
      </c>
      <c r="K7" s="321" t="s">
        <v>140</v>
      </c>
      <c r="L7" s="321" t="s">
        <v>141</v>
      </c>
      <c r="M7" s="29"/>
      <c r="N7" s="29"/>
      <c r="O7" s="29"/>
    </row>
    <row r="8" spans="4:15" x14ac:dyDescent="0.3">
      <c r="D8" s="322" t="s">
        <v>41</v>
      </c>
      <c r="E8" s="323"/>
      <c r="F8" s="324" t="s">
        <v>142</v>
      </c>
      <c r="G8" s="324" t="s">
        <v>70</v>
      </c>
      <c r="H8" s="324" t="s">
        <v>11</v>
      </c>
      <c r="I8" s="324" t="s">
        <v>143</v>
      </c>
      <c r="J8" s="324" t="s">
        <v>144</v>
      </c>
      <c r="K8" s="324" t="s">
        <v>134</v>
      </c>
      <c r="L8" s="324" t="s">
        <v>134</v>
      </c>
      <c r="M8" s="29"/>
      <c r="N8" s="29"/>
      <c r="O8" s="29"/>
    </row>
    <row r="9" spans="4:15" x14ac:dyDescent="0.3">
      <c r="D9" s="29"/>
      <c r="E9" s="29"/>
      <c r="F9" s="29"/>
      <c r="G9" s="29"/>
      <c r="H9" s="29"/>
      <c r="I9" s="29"/>
      <c r="J9" s="29"/>
      <c r="K9" s="29"/>
      <c r="L9" s="29"/>
      <c r="M9" s="29"/>
      <c r="N9" s="29"/>
      <c r="O9" s="29"/>
    </row>
    <row r="10" spans="4:15" x14ac:dyDescent="0.3">
      <c r="D10" s="28" t="str">
        <f>'Comps Data'!D9</f>
        <v>Eco Recyc.</v>
      </c>
      <c r="E10" s="28"/>
      <c r="F10" s="147">
        <f>Comps!H10</f>
        <v>123770.9</v>
      </c>
      <c r="G10" s="147">
        <f>'Comps Data'!F9</f>
        <v>719</v>
      </c>
      <c r="H10" s="108">
        <f t="shared" ref="H10:H12" si="0">G10/F10</f>
        <v>5.8091199142932632E-3</v>
      </c>
      <c r="I10" s="108">
        <f>G10/(G10+H10)</f>
        <v>0.99999192062172437</v>
      </c>
      <c r="J10" s="325">
        <f>'Comps Data'!N9</f>
        <v>0.1</v>
      </c>
      <c r="K10" s="326">
        <f>'Equity Beta'!AB13</f>
        <v>0.17382715918210465</v>
      </c>
      <c r="L10" s="108">
        <f>K10/(1-(1-J10)*H10)</f>
        <v>0.17474074010396329</v>
      </c>
      <c r="M10" s="29"/>
      <c r="N10" s="29"/>
      <c r="O10" s="29"/>
    </row>
    <row r="11" spans="4:15" x14ac:dyDescent="0.3">
      <c r="D11" s="28" t="str">
        <f>'Comps Data'!D10</f>
        <v>Oriental Rail</v>
      </c>
      <c r="E11" s="29"/>
      <c r="F11" s="147">
        <f>Comps!H11</f>
        <v>114955.7</v>
      </c>
      <c r="G11" s="147">
        <f>'Comps Data'!F10</f>
        <v>28461.000000000004</v>
      </c>
      <c r="H11" s="108">
        <f t="shared" si="0"/>
        <v>0.24758232954085796</v>
      </c>
      <c r="I11" s="225">
        <f>G11/(F11+G11)</f>
        <v>0.19844969239983909</v>
      </c>
      <c r="J11" s="325">
        <f>'Comps Data'!N10</f>
        <v>0.24</v>
      </c>
      <c r="K11" s="326">
        <f>'Equity Beta'!AB14</f>
        <v>5.6157543013886375E-2</v>
      </c>
      <c r="L11" s="108">
        <f t="shared" ref="L11:L12" si="1">K11/(1-(1-J11)*H11)</f>
        <v>6.9173384928910189E-2</v>
      </c>
      <c r="M11" s="29"/>
      <c r="N11" s="29"/>
      <c r="O11" s="29"/>
    </row>
    <row r="12" spans="4:15" x14ac:dyDescent="0.3">
      <c r="D12" s="28" t="str">
        <f>'Comps Data'!D11</f>
        <v>Signpost India</v>
      </c>
      <c r="E12" s="29"/>
      <c r="F12" s="147">
        <f>Comps!H12</f>
        <v>113747.34</v>
      </c>
      <c r="G12" s="147">
        <f>'Comps Data'!F11</f>
        <v>13700</v>
      </c>
      <c r="H12" s="108">
        <f t="shared" si="0"/>
        <v>0.12044237693822116</v>
      </c>
      <c r="I12" s="225">
        <f>G12/(F12+G12)</f>
        <v>0.10749537809106098</v>
      </c>
      <c r="J12" s="325">
        <f>'Comps Data'!N11</f>
        <v>0.2</v>
      </c>
      <c r="K12" s="326">
        <f>'Equity Beta'!AB15</f>
        <v>5.9485651910803274E-2</v>
      </c>
      <c r="L12" s="108">
        <f t="shared" si="1"/>
        <v>6.5828483089646936E-2</v>
      </c>
      <c r="M12" s="29"/>
      <c r="N12" s="29"/>
      <c r="O12" s="29"/>
    </row>
    <row r="13" spans="4:15" x14ac:dyDescent="0.3">
      <c r="D13" s="29"/>
      <c r="E13" s="29"/>
      <c r="F13" s="29"/>
      <c r="G13" s="29"/>
      <c r="H13" s="29"/>
      <c r="I13" s="29"/>
      <c r="J13" s="29"/>
      <c r="K13" s="29"/>
      <c r="L13" s="29"/>
      <c r="M13" s="29"/>
      <c r="N13" s="29"/>
      <c r="O13" s="29"/>
    </row>
    <row r="14" spans="4:15" x14ac:dyDescent="0.3">
      <c r="D14" s="51" t="s">
        <v>164</v>
      </c>
      <c r="E14" s="51"/>
      <c r="F14" s="51"/>
      <c r="G14" s="51"/>
      <c r="H14" s="51"/>
      <c r="I14" s="327"/>
      <c r="J14" s="327"/>
      <c r="K14" s="328">
        <f>AVERAGE(K11:K12)</f>
        <v>5.7821597462344825E-2</v>
      </c>
      <c r="L14" s="328">
        <f>AVERAGE(L11:L12)</f>
        <v>6.7500934009278563E-2</v>
      </c>
      <c r="M14" s="29"/>
      <c r="N14" s="29"/>
      <c r="O14" s="29"/>
    </row>
    <row r="15" spans="4:15" x14ac:dyDescent="0.3">
      <c r="D15" s="51" t="s">
        <v>165</v>
      </c>
      <c r="E15" s="51"/>
      <c r="F15" s="51"/>
      <c r="G15" s="51"/>
      <c r="H15" s="51"/>
      <c r="I15" s="327"/>
      <c r="J15" s="327"/>
      <c r="K15" s="328">
        <f>MEDIAN(K11:K12)</f>
        <v>5.7821597462344825E-2</v>
      </c>
      <c r="L15" s="328">
        <f>MEDIAN(L11:L12)</f>
        <v>6.7500934009278563E-2</v>
      </c>
      <c r="M15" s="29"/>
      <c r="N15" s="29"/>
      <c r="O15" s="29"/>
    </row>
    <row r="16" spans="4:15" x14ac:dyDescent="0.3">
      <c r="D16" s="29"/>
      <c r="E16" s="29"/>
      <c r="F16" s="29"/>
      <c r="G16" s="29"/>
      <c r="H16" s="29"/>
      <c r="I16" s="29"/>
      <c r="J16" s="29"/>
      <c r="K16" s="29"/>
      <c r="L16" s="29"/>
      <c r="M16" s="29"/>
      <c r="N16" s="29"/>
      <c r="O16" s="29"/>
    </row>
    <row r="17" spans="4:16" x14ac:dyDescent="0.3">
      <c r="D17" s="152" t="s">
        <v>300</v>
      </c>
      <c r="E17" s="152"/>
      <c r="F17" s="156">
        <f>Comps!H17</f>
        <v>136229.47</v>
      </c>
      <c r="G17" s="156">
        <f>'Comps Data'!F8</f>
        <v>1064</v>
      </c>
      <c r="H17" s="329">
        <f>G17/F17</f>
        <v>7.8103511670419038E-3</v>
      </c>
      <c r="I17" s="329">
        <f>G17/(H17+G17)</f>
        <v>0.9999926594982752</v>
      </c>
      <c r="J17" s="330">
        <f>'Comps Data'!N8</f>
        <v>0.27</v>
      </c>
      <c r="K17" s="331">
        <f>'Equity Beta'!AB12</f>
        <v>8.5776075778716973E-2</v>
      </c>
      <c r="L17" s="329">
        <f>K17/(1-(1-J17)*H17)</f>
        <v>8.6267937284510279E-2</v>
      </c>
      <c r="M17" s="29"/>
      <c r="N17" s="29"/>
      <c r="O17" s="29"/>
    </row>
    <row r="18" spans="4:16" x14ac:dyDescent="0.3">
      <c r="D18" s="29"/>
      <c r="E18" s="29"/>
      <c r="F18" s="29"/>
      <c r="G18" s="29"/>
      <c r="H18" s="29"/>
      <c r="I18" s="29"/>
      <c r="J18" s="29"/>
      <c r="K18" s="29"/>
      <c r="L18" s="29"/>
      <c r="M18" s="29"/>
      <c r="N18" s="29"/>
      <c r="O18" s="29"/>
    </row>
    <row r="19" spans="4:16" ht="16.95" customHeight="1" x14ac:dyDescent="0.3">
      <c r="D19" s="528" t="s">
        <v>171</v>
      </c>
      <c r="E19" s="528"/>
      <c r="F19" s="528"/>
      <c r="G19" s="528"/>
      <c r="H19" s="528"/>
      <c r="I19" s="528"/>
      <c r="J19" s="528"/>
      <c r="K19" s="528"/>
      <c r="L19" s="528"/>
      <c r="M19" s="29"/>
      <c r="N19" s="29"/>
      <c r="O19" s="29"/>
    </row>
    <row r="20" spans="4:16" x14ac:dyDescent="0.3">
      <c r="D20" s="29"/>
      <c r="E20" s="29"/>
      <c r="F20" s="29"/>
      <c r="G20" s="29"/>
      <c r="H20" s="29"/>
      <c r="I20" s="29"/>
      <c r="J20" s="29"/>
      <c r="K20" s="29"/>
      <c r="L20" s="29"/>
      <c r="M20" s="29"/>
      <c r="N20" s="29"/>
      <c r="O20" s="29"/>
    </row>
    <row r="21" spans="4:16" x14ac:dyDescent="0.3">
      <c r="D21" s="332" t="s">
        <v>172</v>
      </c>
      <c r="E21" s="333"/>
      <c r="F21" s="29"/>
      <c r="G21" s="29"/>
      <c r="H21" s="29"/>
      <c r="I21" s="29"/>
      <c r="J21" s="29"/>
      <c r="K21" s="29"/>
      <c r="L21" s="29"/>
      <c r="M21" s="29"/>
      <c r="N21" s="29"/>
      <c r="O21" s="29"/>
    </row>
    <row r="22" spans="4:16" x14ac:dyDescent="0.3">
      <c r="D22" s="144" t="s">
        <v>173</v>
      </c>
      <c r="E22" s="334">
        <f>G17/(F17+G17)</f>
        <v>7.7498223331379122E-3</v>
      </c>
      <c r="F22" s="29"/>
      <c r="G22" s="29"/>
      <c r="H22" s="29"/>
      <c r="I22" s="29"/>
      <c r="J22" s="29"/>
      <c r="K22" s="29"/>
      <c r="L22" s="29"/>
      <c r="M22" s="29"/>
      <c r="N22" s="29"/>
      <c r="O22" s="29"/>
      <c r="P22" s="29"/>
    </row>
    <row r="23" spans="4:16" x14ac:dyDescent="0.3">
      <c r="D23" s="144" t="s">
        <v>174</v>
      </c>
      <c r="E23" s="117">
        <f>1-E22</f>
        <v>0.99225017766686208</v>
      </c>
      <c r="F23" s="29"/>
      <c r="G23" s="29"/>
      <c r="H23" s="29"/>
      <c r="I23" s="29"/>
      <c r="J23" s="29"/>
      <c r="K23" s="29"/>
      <c r="L23" s="29"/>
      <c r="M23" s="29"/>
      <c r="N23" s="29"/>
      <c r="O23" s="29"/>
    </row>
    <row r="24" spans="4:16" x14ac:dyDescent="0.3">
      <c r="D24" s="144"/>
      <c r="E24" s="29"/>
      <c r="F24" s="29"/>
      <c r="G24" s="29"/>
      <c r="H24" s="29"/>
      <c r="I24" s="29"/>
      <c r="J24" s="29"/>
      <c r="K24" s="29"/>
      <c r="L24" s="29"/>
      <c r="M24" s="29"/>
      <c r="N24" s="29"/>
      <c r="O24" s="29"/>
    </row>
    <row r="25" spans="4:16" x14ac:dyDescent="0.3">
      <c r="D25" s="332" t="s">
        <v>175</v>
      </c>
      <c r="E25" s="333"/>
      <c r="F25" s="29"/>
      <c r="G25" s="29"/>
      <c r="H25" s="29"/>
      <c r="I25" s="29"/>
      <c r="J25" s="29"/>
      <c r="K25" s="29"/>
      <c r="L25" s="29"/>
      <c r="M25" s="29"/>
      <c r="N25" s="29"/>
      <c r="O25" s="29"/>
    </row>
    <row r="26" spans="4:16" x14ac:dyDescent="0.3">
      <c r="D26" s="144" t="s">
        <v>124</v>
      </c>
      <c r="E26" s="147">
        <f>F17</f>
        <v>136229.47</v>
      </c>
      <c r="F26" s="29"/>
      <c r="G26" s="29"/>
      <c r="H26" s="29"/>
      <c r="I26" s="29"/>
      <c r="J26" s="29"/>
      <c r="K26" s="29"/>
      <c r="L26" s="29"/>
      <c r="M26" s="29"/>
      <c r="N26" s="29"/>
      <c r="O26" s="29"/>
    </row>
    <row r="27" spans="4:16" x14ac:dyDescent="0.3">
      <c r="D27" s="144" t="s">
        <v>176</v>
      </c>
      <c r="E27" s="147">
        <f>G17</f>
        <v>1064</v>
      </c>
      <c r="F27" s="29"/>
      <c r="G27" s="29"/>
      <c r="H27" s="29"/>
      <c r="I27" s="29"/>
      <c r="J27" s="29"/>
      <c r="K27" s="29"/>
      <c r="L27" s="29"/>
      <c r="M27" s="29"/>
      <c r="N27" s="29"/>
      <c r="O27" s="29"/>
    </row>
    <row r="28" spans="4:16" x14ac:dyDescent="0.3">
      <c r="D28" s="335" t="s">
        <v>177</v>
      </c>
      <c r="E28" s="336">
        <f>E27/E26</f>
        <v>7.8103511670419038E-3</v>
      </c>
      <c r="F28" s="29"/>
      <c r="G28" s="29"/>
      <c r="H28" s="29"/>
      <c r="I28" s="29"/>
      <c r="J28" s="29"/>
      <c r="K28" s="29"/>
      <c r="L28" s="29"/>
      <c r="M28" s="29"/>
      <c r="N28" s="29"/>
      <c r="O28" s="29"/>
    </row>
    <row r="29" spans="4:16" x14ac:dyDescent="0.3">
      <c r="D29" s="144"/>
      <c r="E29" s="29"/>
      <c r="F29" s="29"/>
      <c r="G29" s="29"/>
      <c r="H29" s="29"/>
      <c r="I29" s="29"/>
      <c r="J29" s="29"/>
      <c r="K29" s="29"/>
      <c r="L29" s="29"/>
      <c r="M29" s="29"/>
      <c r="N29" s="29"/>
      <c r="O29" s="29"/>
    </row>
    <row r="30" spans="4:16" x14ac:dyDescent="0.3">
      <c r="D30" s="332" t="s">
        <v>178</v>
      </c>
      <c r="E30" s="333"/>
      <c r="F30" s="29"/>
      <c r="G30" s="29"/>
      <c r="H30" s="29"/>
      <c r="I30" s="29"/>
      <c r="J30" s="29"/>
      <c r="K30" s="29"/>
      <c r="L30" s="29"/>
      <c r="M30" s="29"/>
      <c r="N30" s="29"/>
      <c r="O30" s="29"/>
    </row>
    <row r="31" spans="4:16" x14ac:dyDescent="0.3">
      <c r="D31" s="144" t="s">
        <v>179</v>
      </c>
      <c r="E31" s="337">
        <f>'Cost Buildup'!G20</f>
        <v>0.19040602488539621</v>
      </c>
      <c r="F31" s="29"/>
      <c r="G31" s="29"/>
      <c r="H31" s="29"/>
      <c r="I31" s="29"/>
      <c r="J31" s="29"/>
      <c r="K31" s="29"/>
      <c r="L31" s="29"/>
      <c r="M31" s="29"/>
      <c r="N31" s="29"/>
      <c r="O31" s="29"/>
    </row>
    <row r="32" spans="4:16" x14ac:dyDescent="0.3">
      <c r="D32" s="144" t="s">
        <v>103</v>
      </c>
      <c r="E32" s="337">
        <f>'Cost Buildup'!G25</f>
        <v>0.25659572198218378</v>
      </c>
      <c r="F32" s="29"/>
      <c r="G32" s="29"/>
      <c r="H32" s="29"/>
      <c r="I32" s="29"/>
      <c r="J32" s="29"/>
      <c r="K32" s="29"/>
      <c r="L32" s="29"/>
      <c r="M32" s="29"/>
      <c r="N32" s="29"/>
      <c r="O32" s="29"/>
    </row>
    <row r="33" spans="4:17" x14ac:dyDescent="0.3">
      <c r="D33" s="335" t="s">
        <v>180</v>
      </c>
      <c r="E33" s="338">
        <f>E31*(1-E32)</f>
        <v>0.14154865346017032</v>
      </c>
      <c r="F33" s="29"/>
      <c r="G33" s="29"/>
      <c r="H33" s="29"/>
      <c r="I33" s="29"/>
      <c r="J33" s="29"/>
      <c r="K33" s="29"/>
      <c r="L33" s="29"/>
      <c r="M33" s="29"/>
      <c r="N33" s="29"/>
      <c r="O33" s="29"/>
    </row>
    <row r="34" spans="4:17" x14ac:dyDescent="0.3">
      <c r="D34" s="144"/>
      <c r="E34" s="29"/>
      <c r="F34" s="29"/>
      <c r="G34" s="29"/>
      <c r="H34" s="29"/>
      <c r="I34" s="29"/>
      <c r="J34" s="29"/>
      <c r="K34" s="29"/>
      <c r="L34" s="29"/>
      <c r="M34" s="29"/>
      <c r="N34" s="29"/>
      <c r="O34" s="29"/>
    </row>
    <row r="35" spans="4:17" x14ac:dyDescent="0.3">
      <c r="D35" s="332" t="s">
        <v>181</v>
      </c>
      <c r="E35" s="333"/>
      <c r="F35" s="29"/>
      <c r="G35" s="29"/>
      <c r="H35" s="29"/>
      <c r="I35" s="29"/>
      <c r="J35" s="29"/>
      <c r="K35" s="29"/>
      <c r="L35" s="29"/>
      <c r="M35" s="29"/>
      <c r="N35" s="29"/>
      <c r="O35" s="29"/>
      <c r="P35" s="29"/>
      <c r="Q35" s="29"/>
    </row>
    <row r="36" spans="4:17" x14ac:dyDescent="0.3">
      <c r="D36" s="144" t="s">
        <v>182</v>
      </c>
      <c r="E36" s="339">
        <v>6.6699999999999995E-2</v>
      </c>
      <c r="F36" s="340" t="s">
        <v>187</v>
      </c>
      <c r="G36" s="29"/>
      <c r="H36" s="29"/>
      <c r="I36" s="29"/>
      <c r="J36" s="29"/>
      <c r="K36" s="29"/>
      <c r="L36" s="29"/>
      <c r="M36" s="29"/>
      <c r="N36" s="29"/>
      <c r="O36" s="29"/>
      <c r="P36" s="29"/>
      <c r="Q36" s="29"/>
    </row>
    <row r="37" spans="4:17" x14ac:dyDescent="0.3">
      <c r="D37" s="144" t="s">
        <v>183</v>
      </c>
      <c r="E37" s="337">
        <f>'Market Return'!J15</f>
        <v>0.11448250170195617</v>
      </c>
      <c r="F37" s="29"/>
      <c r="G37" s="29"/>
      <c r="H37" s="29"/>
      <c r="I37" s="29"/>
      <c r="J37" s="29"/>
      <c r="K37" s="29"/>
      <c r="L37" s="29"/>
      <c r="M37" s="29"/>
      <c r="N37" s="29"/>
      <c r="O37" s="29"/>
      <c r="P37" s="29"/>
      <c r="Q37" s="29"/>
    </row>
    <row r="38" spans="4:17" x14ac:dyDescent="0.3">
      <c r="D38" s="144" t="s">
        <v>184</v>
      </c>
      <c r="E38" s="117">
        <f>E37-E36</f>
        <v>4.7782501701956179E-2</v>
      </c>
      <c r="F38" s="29"/>
      <c r="G38" s="29"/>
      <c r="H38" s="29"/>
      <c r="I38" s="29"/>
      <c r="J38" s="29"/>
      <c r="K38" s="29"/>
      <c r="L38" s="29"/>
      <c r="M38" s="29"/>
      <c r="N38" s="29"/>
      <c r="O38" s="29"/>
      <c r="P38" s="29"/>
      <c r="Q38" s="29"/>
    </row>
    <row r="39" spans="4:17" x14ac:dyDescent="0.3">
      <c r="D39" s="144" t="s">
        <v>185</v>
      </c>
      <c r="E39" s="108">
        <f>L15*(1+(1-E32)*E28)</f>
        <v>6.7892861204120539E-2</v>
      </c>
      <c r="F39" s="29"/>
      <c r="G39" s="29"/>
      <c r="H39" s="29"/>
      <c r="I39" s="29"/>
      <c r="J39" s="29"/>
      <c r="K39" s="29"/>
      <c r="L39" s="29"/>
      <c r="M39" s="29"/>
      <c r="N39" s="29"/>
      <c r="O39" s="29"/>
      <c r="P39" s="29"/>
      <c r="Q39" s="29"/>
    </row>
    <row r="40" spans="4:17" x14ac:dyDescent="0.3">
      <c r="D40" s="335" t="s">
        <v>181</v>
      </c>
      <c r="E40" s="338">
        <f>(E36+E39*E38)</f>
        <v>6.9944090756036553E-2</v>
      </c>
      <c r="F40" s="29"/>
      <c r="G40" s="29"/>
      <c r="H40" s="29"/>
      <c r="I40" s="29"/>
      <c r="J40" s="29"/>
      <c r="K40" s="29"/>
      <c r="L40" s="29"/>
      <c r="M40" s="29"/>
      <c r="N40" s="29"/>
      <c r="O40" s="29"/>
      <c r="P40" s="29"/>
      <c r="Q40" s="29"/>
    </row>
    <row r="41" spans="4:17" ht="15" thickBot="1" x14ac:dyDescent="0.35">
      <c r="D41" s="144"/>
      <c r="E41" s="29"/>
      <c r="F41" s="29"/>
      <c r="G41" s="29"/>
      <c r="H41" s="29"/>
      <c r="I41" s="29"/>
      <c r="J41" s="29"/>
      <c r="K41" s="29"/>
      <c r="L41" s="29"/>
      <c r="M41" s="29"/>
      <c r="N41" s="29"/>
      <c r="O41" s="29"/>
      <c r="P41" s="29"/>
      <c r="Q41" s="29"/>
    </row>
    <row r="42" spans="4:17" ht="15.6" thickTop="1" thickBot="1" x14ac:dyDescent="0.35">
      <c r="D42" s="341" t="s">
        <v>186</v>
      </c>
      <c r="E42" s="446">
        <f>(E40*E23)+(E33*E22)</f>
        <v>7.0499013395235621E-2</v>
      </c>
      <c r="F42" s="29"/>
      <c r="G42" s="29"/>
      <c r="H42" s="29"/>
      <c r="I42" s="29"/>
      <c r="J42" s="29"/>
      <c r="K42" s="29"/>
      <c r="L42" s="29"/>
      <c r="M42" s="29"/>
      <c r="N42" s="29"/>
      <c r="O42" s="29"/>
      <c r="P42" s="29"/>
      <c r="Q42" s="29"/>
    </row>
    <row r="43" spans="4:17" ht="15" thickTop="1" x14ac:dyDescent="0.3">
      <c r="D43" s="29"/>
      <c r="E43" s="29"/>
      <c r="F43" s="29"/>
      <c r="G43" s="29"/>
      <c r="H43" s="29"/>
      <c r="I43" s="29"/>
      <c r="J43" s="29"/>
      <c r="K43" s="29"/>
      <c r="L43" s="29"/>
      <c r="M43" s="29"/>
      <c r="N43" s="29"/>
      <c r="O43" s="29"/>
    </row>
    <row r="44" spans="4:17" x14ac:dyDescent="0.3">
      <c r="D44" s="29"/>
      <c r="E44" s="444"/>
      <c r="F44" s="29"/>
      <c r="G44" s="29"/>
      <c r="H44" s="29"/>
      <c r="I44" s="29"/>
      <c r="J44" s="29"/>
      <c r="K44" s="29"/>
      <c r="L44" s="29"/>
      <c r="M44" s="29"/>
      <c r="N44" s="29"/>
      <c r="O44" s="29"/>
    </row>
    <row r="45" spans="4:17" x14ac:dyDescent="0.3">
      <c r="H45" s="29"/>
      <c r="I45" s="29"/>
      <c r="J45" s="29"/>
      <c r="K45" s="29"/>
    </row>
    <row r="46" spans="4:17" x14ac:dyDescent="0.3">
      <c r="H46" s="29"/>
      <c r="I46" s="29"/>
      <c r="J46" s="29"/>
      <c r="K46" s="29"/>
    </row>
    <row r="47" spans="4:17" x14ac:dyDescent="0.3">
      <c r="H47" s="29"/>
      <c r="I47" s="29"/>
      <c r="J47" s="29"/>
      <c r="K47" s="29"/>
    </row>
  </sheetData>
  <mergeCells count="3">
    <mergeCell ref="D4:L4"/>
    <mergeCell ref="D6:L6"/>
    <mergeCell ref="D19:L19"/>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3CBA-8885-4A5D-8D38-2BF0F02A0751}">
  <dimension ref="D4:S2500"/>
  <sheetViews>
    <sheetView showGridLines="0" workbookViewId="0">
      <selection activeCell="J13" sqref="J13"/>
    </sheetView>
  </sheetViews>
  <sheetFormatPr defaultColWidth="8.88671875" defaultRowHeight="13.8" x14ac:dyDescent="0.3"/>
  <cols>
    <col min="1" max="3" width="1.33203125" style="28" customWidth="1"/>
    <col min="4" max="4" width="11.88671875" style="28" bestFit="1" customWidth="1"/>
    <col min="5" max="5" width="8.88671875" style="28"/>
    <col min="6" max="6" width="11.33203125" style="28" customWidth="1"/>
    <col min="7" max="8" width="8.88671875" style="28"/>
    <col min="9" max="9" width="17.21875" style="28" bestFit="1" customWidth="1"/>
    <col min="10" max="10" width="15.77734375" style="28" customWidth="1"/>
    <col min="11" max="15" width="8.88671875" style="28"/>
    <col min="16" max="16" width="11.88671875" style="28" bestFit="1" customWidth="1"/>
    <col min="17" max="18" width="8.88671875" style="28"/>
    <col min="19" max="19" width="9.6640625" style="28" bestFit="1" customWidth="1"/>
    <col min="20" max="16384" width="8.88671875" style="28"/>
  </cols>
  <sheetData>
    <row r="4" spans="4:10" ht="16.95" customHeight="1" x14ac:dyDescent="0.3">
      <c r="D4" s="453" t="s">
        <v>77</v>
      </c>
      <c r="E4" s="453"/>
      <c r="F4" s="453"/>
      <c r="G4" s="453"/>
    </row>
    <row r="5" spans="4:10" ht="16.95" customHeight="1" x14ac:dyDescent="0.3">
      <c r="D5" s="35"/>
      <c r="E5" s="35"/>
      <c r="F5" s="35"/>
      <c r="G5" s="35"/>
    </row>
    <row r="6" spans="4:10" x14ac:dyDescent="0.3">
      <c r="F6" s="342" t="s">
        <v>79</v>
      </c>
    </row>
    <row r="7" spans="4:10" x14ac:dyDescent="0.3">
      <c r="D7" s="74" t="s">
        <v>78</v>
      </c>
      <c r="E7" s="177"/>
      <c r="F7" s="74" t="s">
        <v>80</v>
      </c>
      <c r="G7" s="177"/>
    </row>
    <row r="8" spans="4:10" x14ac:dyDescent="0.3">
      <c r="D8" s="283">
        <v>45828</v>
      </c>
      <c r="F8" s="38">
        <v>25112.400000000001</v>
      </c>
    </row>
    <row r="9" spans="4:10" x14ac:dyDescent="0.3">
      <c r="D9" s="283">
        <v>45824</v>
      </c>
      <c r="F9" s="38">
        <v>25703.3</v>
      </c>
    </row>
    <row r="10" spans="4:10" ht="14.4" thickBot="1" x14ac:dyDescent="0.35">
      <c r="D10" s="283">
        <v>45817</v>
      </c>
      <c r="F10" s="38">
        <v>25103.200000000001</v>
      </c>
    </row>
    <row r="11" spans="4:10" ht="15.6" thickBot="1" x14ac:dyDescent="0.35">
      <c r="D11" s="283">
        <v>45810</v>
      </c>
      <c r="F11" s="38">
        <v>24750.9</v>
      </c>
      <c r="I11" s="343" t="s">
        <v>81</v>
      </c>
      <c r="J11" s="344" t="s">
        <v>82</v>
      </c>
    </row>
    <row r="12" spans="4:10" ht="15.6" thickBot="1" x14ac:dyDescent="0.35">
      <c r="D12" s="37">
        <v>45803</v>
      </c>
      <c r="F12" s="38">
        <v>24750.7</v>
      </c>
      <c r="I12" s="345"/>
      <c r="J12" s="345"/>
    </row>
    <row r="13" spans="4:10" ht="15.6" thickBot="1" x14ac:dyDescent="0.35">
      <c r="D13" s="37">
        <v>45802</v>
      </c>
      <c r="F13" s="38">
        <v>24853.15</v>
      </c>
      <c r="I13" s="343" t="s">
        <v>83</v>
      </c>
      <c r="J13" s="346">
        <f>YEARFRAC(D2494,D8)</f>
        <v>10.080555555555556</v>
      </c>
    </row>
    <row r="14" spans="4:10" ht="15.6" thickBot="1" x14ac:dyDescent="0.35">
      <c r="D14" s="37">
        <v>45801</v>
      </c>
      <c r="F14" s="38">
        <v>24609.7</v>
      </c>
      <c r="I14" s="345"/>
      <c r="J14" s="347"/>
    </row>
    <row r="15" spans="4:10" ht="15.6" thickBot="1" x14ac:dyDescent="0.35">
      <c r="D15" s="37">
        <v>45800</v>
      </c>
      <c r="F15" s="38">
        <v>24813.45</v>
      </c>
      <c r="I15" s="343" t="s">
        <v>77</v>
      </c>
      <c r="J15" s="348">
        <f>_xlfn.RRI(J13,F2494,F8)</f>
        <v>0.11448250170195617</v>
      </c>
    </row>
    <row r="16" spans="4:10" x14ac:dyDescent="0.3">
      <c r="D16" s="37">
        <v>45799</v>
      </c>
      <c r="F16" s="38">
        <v>24683.9</v>
      </c>
    </row>
    <row r="17" spans="4:19" x14ac:dyDescent="0.3">
      <c r="D17" s="37">
        <v>45798</v>
      </c>
      <c r="F17" s="38">
        <v>24945.45</v>
      </c>
    </row>
    <row r="18" spans="4:19" x14ac:dyDescent="0.3">
      <c r="D18" s="349">
        <v>45797</v>
      </c>
      <c r="F18" s="350">
        <v>24683.9</v>
      </c>
    </row>
    <row r="19" spans="4:19" x14ac:dyDescent="0.3">
      <c r="D19" s="349">
        <v>45796</v>
      </c>
      <c r="F19" s="350">
        <v>24945.45</v>
      </c>
      <c r="I19" s="38"/>
      <c r="R19" s="38"/>
    </row>
    <row r="20" spans="4:19" x14ac:dyDescent="0.3">
      <c r="D20" s="349">
        <v>45793</v>
      </c>
      <c r="F20" s="350">
        <v>25019.8</v>
      </c>
      <c r="P20" s="320"/>
      <c r="R20" s="38"/>
    </row>
    <row r="21" spans="4:19" x14ac:dyDescent="0.3">
      <c r="D21" s="349">
        <v>45792</v>
      </c>
      <c r="F21" s="350">
        <v>25062.1</v>
      </c>
      <c r="P21" s="320"/>
      <c r="R21" s="38"/>
      <c r="S21" s="225"/>
    </row>
    <row r="22" spans="4:19" x14ac:dyDescent="0.3">
      <c r="D22" s="349">
        <v>45791</v>
      </c>
      <c r="F22" s="350">
        <v>24666.9</v>
      </c>
      <c r="P22" s="320"/>
      <c r="R22" s="38"/>
      <c r="S22" s="225"/>
    </row>
    <row r="23" spans="4:19" x14ac:dyDescent="0.3">
      <c r="D23" s="349">
        <v>45790</v>
      </c>
      <c r="F23" s="350">
        <v>24578.35</v>
      </c>
      <c r="P23" s="320"/>
      <c r="R23" s="38"/>
      <c r="S23" s="225"/>
    </row>
    <row r="24" spans="4:19" x14ac:dyDescent="0.3">
      <c r="D24" s="349">
        <v>45789</v>
      </c>
      <c r="F24" s="350">
        <v>24924.7</v>
      </c>
      <c r="P24" s="283"/>
      <c r="S24" s="225"/>
    </row>
    <row r="25" spans="4:19" x14ac:dyDescent="0.3">
      <c r="D25" s="349">
        <v>45786</v>
      </c>
      <c r="F25" s="350">
        <v>24008</v>
      </c>
      <c r="P25" s="283"/>
      <c r="S25" s="225"/>
    </row>
    <row r="26" spans="4:19" x14ac:dyDescent="0.3">
      <c r="D26" s="349">
        <v>45785</v>
      </c>
      <c r="F26" s="350">
        <v>24273.8</v>
      </c>
      <c r="P26" s="283"/>
      <c r="S26" s="225"/>
    </row>
    <row r="27" spans="4:19" x14ac:dyDescent="0.3">
      <c r="D27" s="349">
        <v>45784</v>
      </c>
      <c r="F27" s="350">
        <v>24414.400000000001</v>
      </c>
      <c r="P27" s="283"/>
      <c r="S27" s="225"/>
    </row>
    <row r="28" spans="4:19" x14ac:dyDescent="0.3">
      <c r="D28" s="349">
        <v>45783</v>
      </c>
      <c r="F28" s="350">
        <v>24379.599999999999</v>
      </c>
      <c r="P28" s="283"/>
      <c r="S28" s="225"/>
    </row>
    <row r="29" spans="4:19" x14ac:dyDescent="0.3">
      <c r="D29" s="349">
        <v>45782</v>
      </c>
      <c r="F29" s="350">
        <v>24461.15</v>
      </c>
      <c r="P29" s="283"/>
      <c r="S29" s="225"/>
    </row>
    <row r="30" spans="4:19" x14ac:dyDescent="0.3">
      <c r="D30" s="349">
        <v>45779</v>
      </c>
      <c r="F30" s="350">
        <v>24346.7</v>
      </c>
      <c r="P30" s="283"/>
      <c r="S30" s="225"/>
    </row>
    <row r="31" spans="4:19" x14ac:dyDescent="0.3">
      <c r="D31" s="349">
        <v>45777</v>
      </c>
      <c r="F31" s="350">
        <v>24334.2</v>
      </c>
      <c r="P31" s="283"/>
      <c r="S31" s="225"/>
    </row>
    <row r="32" spans="4:19" x14ac:dyDescent="0.3">
      <c r="D32" s="349">
        <v>45776</v>
      </c>
      <c r="F32" s="350">
        <v>24335.95</v>
      </c>
      <c r="P32" s="283"/>
      <c r="S32" s="225"/>
    </row>
    <row r="33" spans="4:19" x14ac:dyDescent="0.3">
      <c r="D33" s="349">
        <v>45775</v>
      </c>
      <c r="F33" s="350">
        <v>24328.5</v>
      </c>
      <c r="P33" s="283"/>
      <c r="S33" s="225"/>
    </row>
    <row r="34" spans="4:19" x14ac:dyDescent="0.3">
      <c r="D34" s="349">
        <v>45772</v>
      </c>
      <c r="F34" s="350">
        <v>24039.35</v>
      </c>
      <c r="P34" s="283"/>
      <c r="S34" s="225"/>
    </row>
    <row r="35" spans="4:19" x14ac:dyDescent="0.3">
      <c r="D35" s="349">
        <v>45771</v>
      </c>
      <c r="F35" s="350">
        <v>24246.7</v>
      </c>
      <c r="P35" s="283"/>
      <c r="S35" s="225"/>
    </row>
    <row r="36" spans="4:19" x14ac:dyDescent="0.3">
      <c r="D36" s="349">
        <v>45770</v>
      </c>
      <c r="F36" s="350">
        <v>24328.95</v>
      </c>
      <c r="P36" s="283"/>
      <c r="S36" s="225"/>
    </row>
    <row r="37" spans="4:19" x14ac:dyDescent="0.3">
      <c r="D37" s="349">
        <v>45769</v>
      </c>
      <c r="F37" s="350">
        <v>24167.25</v>
      </c>
      <c r="P37" s="283"/>
      <c r="S37" s="225"/>
    </row>
    <row r="38" spans="4:19" x14ac:dyDescent="0.3">
      <c r="D38" s="349">
        <v>45768</v>
      </c>
      <c r="F38" s="350">
        <v>24125.55</v>
      </c>
      <c r="P38" s="283"/>
      <c r="S38" s="225"/>
    </row>
    <row r="39" spans="4:19" x14ac:dyDescent="0.3">
      <c r="D39" s="349">
        <v>45764</v>
      </c>
      <c r="F39" s="350">
        <v>23851.65</v>
      </c>
      <c r="P39" s="283"/>
      <c r="S39" s="225"/>
    </row>
    <row r="40" spans="4:19" x14ac:dyDescent="0.3">
      <c r="D40" s="349">
        <v>45763</v>
      </c>
      <c r="F40" s="350">
        <v>23437.200000000001</v>
      </c>
      <c r="P40" s="283"/>
      <c r="S40" s="225"/>
    </row>
    <row r="41" spans="4:19" x14ac:dyDescent="0.3">
      <c r="D41" s="349">
        <v>45762</v>
      </c>
      <c r="F41" s="350">
        <v>23328.55</v>
      </c>
      <c r="P41" s="283"/>
      <c r="S41" s="225"/>
    </row>
    <row r="42" spans="4:19" x14ac:dyDescent="0.3">
      <c r="D42" s="349">
        <v>45758</v>
      </c>
      <c r="F42" s="350">
        <v>22828.55</v>
      </c>
      <c r="P42" s="283"/>
      <c r="S42" s="225"/>
    </row>
    <row r="43" spans="4:19" x14ac:dyDescent="0.3">
      <c r="D43" s="349">
        <v>45756</v>
      </c>
      <c r="F43" s="350">
        <v>22399.15</v>
      </c>
      <c r="P43" s="283"/>
      <c r="S43" s="225"/>
    </row>
    <row r="44" spans="4:19" x14ac:dyDescent="0.3">
      <c r="D44" s="349">
        <v>45755</v>
      </c>
      <c r="F44" s="350">
        <v>22535.85</v>
      </c>
      <c r="P44" s="283"/>
      <c r="S44" s="225"/>
    </row>
    <row r="45" spans="4:19" x14ac:dyDescent="0.3">
      <c r="D45" s="349">
        <v>45754</v>
      </c>
      <c r="F45" s="350">
        <v>22161.599999999999</v>
      </c>
      <c r="P45" s="283"/>
      <c r="S45" s="225"/>
    </row>
    <row r="46" spans="4:19" x14ac:dyDescent="0.3">
      <c r="D46" s="349">
        <v>45751</v>
      </c>
      <c r="F46" s="350">
        <v>22904.45</v>
      </c>
      <c r="P46" s="283"/>
      <c r="S46" s="225"/>
    </row>
    <row r="47" spans="4:19" x14ac:dyDescent="0.3">
      <c r="D47" s="349">
        <v>45750</v>
      </c>
      <c r="F47" s="350">
        <v>23250.1</v>
      </c>
      <c r="P47" s="283"/>
      <c r="S47" s="225"/>
    </row>
    <row r="48" spans="4:19" x14ac:dyDescent="0.3">
      <c r="D48" s="349">
        <v>45749</v>
      </c>
      <c r="F48" s="350">
        <v>23332.35</v>
      </c>
      <c r="P48" s="283"/>
      <c r="S48" s="225"/>
    </row>
    <row r="49" spans="4:19" x14ac:dyDescent="0.3">
      <c r="D49" s="349">
        <v>45748</v>
      </c>
      <c r="F49" s="350">
        <v>23165.7</v>
      </c>
      <c r="P49" s="283"/>
      <c r="S49" s="225"/>
    </row>
    <row r="50" spans="4:19" x14ac:dyDescent="0.3">
      <c r="D50" s="349">
        <v>45744</v>
      </c>
      <c r="F50" s="350">
        <v>23519.35</v>
      </c>
      <c r="P50" s="283"/>
      <c r="S50" s="225"/>
    </row>
    <row r="51" spans="4:19" x14ac:dyDescent="0.3">
      <c r="D51" s="349">
        <v>45743</v>
      </c>
      <c r="F51" s="350">
        <v>23591.95</v>
      </c>
      <c r="P51" s="283"/>
      <c r="S51" s="225"/>
    </row>
    <row r="52" spans="4:19" x14ac:dyDescent="0.3">
      <c r="D52" s="349">
        <v>45742</v>
      </c>
      <c r="F52" s="350">
        <v>23486.85</v>
      </c>
      <c r="P52" s="283"/>
      <c r="S52" s="225"/>
    </row>
    <row r="53" spans="4:19" x14ac:dyDescent="0.3">
      <c r="D53" s="349">
        <v>45741</v>
      </c>
      <c r="F53" s="350">
        <v>23668.65</v>
      </c>
      <c r="P53" s="283"/>
      <c r="S53" s="225"/>
    </row>
    <row r="54" spans="4:19" x14ac:dyDescent="0.3">
      <c r="D54" s="349">
        <v>45740</v>
      </c>
      <c r="F54" s="350">
        <v>23658.35</v>
      </c>
      <c r="P54" s="283"/>
      <c r="S54" s="225"/>
    </row>
    <row r="55" spans="4:19" x14ac:dyDescent="0.3">
      <c r="D55" s="349">
        <v>45737</v>
      </c>
      <c r="F55" s="350">
        <v>23350.400000000001</v>
      </c>
      <c r="P55" s="283"/>
      <c r="S55" s="225"/>
    </row>
    <row r="56" spans="4:19" x14ac:dyDescent="0.3">
      <c r="D56" s="349">
        <v>45736</v>
      </c>
      <c r="F56" s="350">
        <v>23190.65</v>
      </c>
      <c r="P56" s="283"/>
      <c r="S56" s="225"/>
    </row>
    <row r="57" spans="4:19" x14ac:dyDescent="0.3">
      <c r="D57" s="349">
        <v>45735</v>
      </c>
      <c r="F57" s="350">
        <v>22907.599999999999</v>
      </c>
      <c r="P57" s="283"/>
      <c r="S57" s="225"/>
    </row>
    <row r="58" spans="4:19" x14ac:dyDescent="0.3">
      <c r="D58" s="349">
        <v>45734</v>
      </c>
      <c r="F58" s="350">
        <v>22834.3</v>
      </c>
      <c r="P58" s="283"/>
      <c r="S58" s="225"/>
    </row>
    <row r="59" spans="4:19" x14ac:dyDescent="0.3">
      <c r="D59" s="349">
        <v>45733</v>
      </c>
      <c r="F59" s="350">
        <v>22508.75</v>
      </c>
      <c r="P59" s="283"/>
      <c r="S59" s="225"/>
    </row>
    <row r="60" spans="4:19" x14ac:dyDescent="0.3">
      <c r="D60" s="349">
        <v>45729</v>
      </c>
      <c r="F60" s="350">
        <v>22397.200000000001</v>
      </c>
      <c r="P60" s="283"/>
      <c r="S60" s="225"/>
    </row>
    <row r="61" spans="4:19" x14ac:dyDescent="0.3">
      <c r="D61" s="349">
        <v>45728</v>
      </c>
      <c r="F61" s="350">
        <v>22470.5</v>
      </c>
      <c r="P61" s="283"/>
      <c r="S61" s="225"/>
    </row>
    <row r="62" spans="4:19" x14ac:dyDescent="0.3">
      <c r="D62" s="349">
        <v>45727</v>
      </c>
      <c r="F62" s="350">
        <v>22497.9</v>
      </c>
      <c r="P62" s="283"/>
      <c r="S62" s="225"/>
    </row>
    <row r="63" spans="4:19" x14ac:dyDescent="0.3">
      <c r="D63" s="349">
        <v>45726</v>
      </c>
      <c r="F63" s="350">
        <v>22460.3</v>
      </c>
      <c r="P63" s="283"/>
      <c r="S63" s="225"/>
    </row>
    <row r="64" spans="4:19" x14ac:dyDescent="0.3">
      <c r="D64" s="349">
        <v>45723</v>
      </c>
      <c r="F64" s="350">
        <v>22552.5</v>
      </c>
      <c r="P64" s="283"/>
      <c r="S64" s="225"/>
    </row>
    <row r="65" spans="4:19" x14ac:dyDescent="0.3">
      <c r="D65" s="349">
        <v>45722</v>
      </c>
      <c r="F65" s="350">
        <v>22544.7</v>
      </c>
      <c r="P65" s="283"/>
      <c r="S65" s="225"/>
    </row>
    <row r="66" spans="4:19" x14ac:dyDescent="0.3">
      <c r="D66" s="349">
        <v>45721</v>
      </c>
      <c r="F66" s="350">
        <v>22337.3</v>
      </c>
      <c r="P66" s="283"/>
      <c r="S66" s="225"/>
    </row>
    <row r="67" spans="4:19" x14ac:dyDescent="0.3">
      <c r="D67" s="349">
        <v>45720</v>
      </c>
      <c r="F67" s="350">
        <v>22082.65</v>
      </c>
      <c r="P67" s="283"/>
      <c r="S67" s="225"/>
    </row>
    <row r="68" spans="4:19" x14ac:dyDescent="0.3">
      <c r="D68" s="349">
        <v>45719</v>
      </c>
      <c r="F68" s="350">
        <v>22119.3</v>
      </c>
      <c r="P68" s="283"/>
      <c r="S68" s="225"/>
    </row>
    <row r="69" spans="4:19" x14ac:dyDescent="0.3">
      <c r="D69" s="349">
        <v>45716</v>
      </c>
      <c r="F69" s="350">
        <v>22124.7</v>
      </c>
      <c r="P69" s="283"/>
      <c r="S69" s="225"/>
    </row>
    <row r="70" spans="4:19" x14ac:dyDescent="0.3">
      <c r="D70" s="349">
        <v>45715</v>
      </c>
      <c r="F70" s="350">
        <v>22545.05</v>
      </c>
      <c r="P70" s="283"/>
      <c r="S70" s="225"/>
    </row>
    <row r="71" spans="4:19" x14ac:dyDescent="0.3">
      <c r="D71" s="349">
        <v>45713</v>
      </c>
      <c r="F71" s="350">
        <v>22547.55</v>
      </c>
      <c r="P71" s="283"/>
      <c r="S71" s="225"/>
    </row>
    <row r="72" spans="4:19" x14ac:dyDescent="0.3">
      <c r="D72" s="349">
        <v>45712</v>
      </c>
      <c r="F72" s="350">
        <v>22553.35</v>
      </c>
      <c r="P72" s="283"/>
      <c r="S72" s="225"/>
    </row>
    <row r="73" spans="4:19" x14ac:dyDescent="0.3">
      <c r="D73" s="349">
        <v>45709</v>
      </c>
      <c r="F73" s="350">
        <v>22795.9</v>
      </c>
      <c r="P73" s="283"/>
      <c r="S73" s="225"/>
    </row>
    <row r="74" spans="4:19" x14ac:dyDescent="0.3">
      <c r="D74" s="349">
        <v>45708</v>
      </c>
      <c r="F74" s="350">
        <v>22913.15</v>
      </c>
      <c r="P74" s="283"/>
      <c r="S74" s="225"/>
    </row>
    <row r="75" spans="4:19" x14ac:dyDescent="0.3">
      <c r="D75" s="349">
        <v>45707</v>
      </c>
      <c r="F75" s="350">
        <v>22932.9</v>
      </c>
      <c r="P75" s="283"/>
      <c r="S75" s="225"/>
    </row>
    <row r="76" spans="4:19" x14ac:dyDescent="0.3">
      <c r="D76" s="349">
        <v>45706</v>
      </c>
      <c r="F76" s="350">
        <v>22945.3</v>
      </c>
      <c r="P76" s="283"/>
      <c r="S76" s="225"/>
    </row>
    <row r="77" spans="4:19" x14ac:dyDescent="0.3">
      <c r="D77" s="349">
        <v>45705</v>
      </c>
      <c r="F77" s="350">
        <v>22959.5</v>
      </c>
      <c r="P77" s="283"/>
      <c r="S77" s="225"/>
    </row>
    <row r="78" spans="4:19" x14ac:dyDescent="0.3">
      <c r="D78" s="349">
        <v>45702</v>
      </c>
      <c r="F78" s="350">
        <v>22929.25</v>
      </c>
      <c r="P78" s="283"/>
      <c r="S78" s="225"/>
    </row>
    <row r="79" spans="4:19" x14ac:dyDescent="0.3">
      <c r="D79" s="349">
        <v>45701</v>
      </c>
      <c r="F79" s="350">
        <v>23031.4</v>
      </c>
      <c r="P79" s="283"/>
      <c r="S79" s="225"/>
    </row>
    <row r="80" spans="4:19" x14ac:dyDescent="0.3">
      <c r="D80" s="349">
        <v>45700</v>
      </c>
      <c r="F80" s="350">
        <v>23045.25</v>
      </c>
      <c r="P80" s="283"/>
      <c r="S80" s="225"/>
    </row>
    <row r="81" spans="4:19" x14ac:dyDescent="0.3">
      <c r="D81" s="349">
        <v>45699</v>
      </c>
      <c r="F81" s="350">
        <v>23071.8</v>
      </c>
      <c r="P81" s="283"/>
      <c r="S81" s="225"/>
    </row>
    <row r="82" spans="4:19" x14ac:dyDescent="0.3">
      <c r="D82" s="349">
        <v>45698</v>
      </c>
      <c r="F82" s="350">
        <v>23381.599999999999</v>
      </c>
      <c r="P82" s="283"/>
      <c r="S82" s="225"/>
    </row>
    <row r="83" spans="4:19" x14ac:dyDescent="0.3">
      <c r="D83" s="349">
        <v>45695</v>
      </c>
      <c r="F83" s="350">
        <v>23559.95</v>
      </c>
      <c r="P83" s="283"/>
      <c r="S83" s="225"/>
    </row>
    <row r="84" spans="4:19" x14ac:dyDescent="0.3">
      <c r="D84" s="349">
        <v>45694</v>
      </c>
      <c r="F84" s="350">
        <v>23603.35</v>
      </c>
      <c r="P84" s="283"/>
      <c r="S84" s="225"/>
    </row>
    <row r="85" spans="4:19" x14ac:dyDescent="0.3">
      <c r="D85" s="349">
        <v>45693</v>
      </c>
      <c r="F85" s="350">
        <v>23696.3</v>
      </c>
      <c r="P85" s="283"/>
      <c r="S85" s="225"/>
    </row>
    <row r="86" spans="4:19" x14ac:dyDescent="0.3">
      <c r="D86" s="349">
        <v>45692</v>
      </c>
      <c r="F86" s="350">
        <v>23739.25</v>
      </c>
      <c r="P86" s="283"/>
      <c r="S86" s="225"/>
    </row>
    <row r="87" spans="4:19" x14ac:dyDescent="0.3">
      <c r="D87" s="349">
        <v>45691</v>
      </c>
      <c r="F87" s="350">
        <v>23361.05</v>
      </c>
      <c r="P87" s="283"/>
      <c r="S87" s="225"/>
    </row>
    <row r="88" spans="4:19" x14ac:dyDescent="0.3">
      <c r="D88" s="349">
        <v>45689</v>
      </c>
      <c r="F88" s="350">
        <v>23482.15</v>
      </c>
      <c r="P88" s="283"/>
      <c r="S88" s="225"/>
    </row>
    <row r="89" spans="4:19" x14ac:dyDescent="0.3">
      <c r="D89" s="349">
        <v>45688</v>
      </c>
      <c r="F89" s="350">
        <v>23508.400000000001</v>
      </c>
      <c r="P89" s="283"/>
      <c r="S89" s="225"/>
    </row>
    <row r="90" spans="4:19" x14ac:dyDescent="0.3">
      <c r="D90" s="349">
        <v>45687</v>
      </c>
      <c r="F90" s="350">
        <v>23249.5</v>
      </c>
      <c r="P90" s="283"/>
      <c r="S90" s="225"/>
    </row>
    <row r="91" spans="4:19" x14ac:dyDescent="0.3">
      <c r="D91" s="349">
        <v>45686</v>
      </c>
      <c r="F91" s="350">
        <v>23163.1</v>
      </c>
      <c r="P91" s="283"/>
      <c r="S91" s="225"/>
    </row>
    <row r="92" spans="4:19" x14ac:dyDescent="0.3">
      <c r="D92" s="349">
        <v>45685</v>
      </c>
      <c r="F92" s="350">
        <v>22957.25</v>
      </c>
      <c r="P92" s="283"/>
      <c r="S92" s="225"/>
    </row>
    <row r="93" spans="4:19" x14ac:dyDescent="0.3">
      <c r="D93" s="349">
        <v>45684</v>
      </c>
      <c r="F93" s="350">
        <v>22829.15</v>
      </c>
      <c r="P93" s="283"/>
      <c r="S93" s="225"/>
    </row>
    <row r="94" spans="4:19" x14ac:dyDescent="0.3">
      <c r="D94" s="349">
        <v>45681</v>
      </c>
      <c r="F94" s="350">
        <v>23092.2</v>
      </c>
      <c r="P94" s="283"/>
      <c r="S94" s="225"/>
    </row>
    <row r="95" spans="4:19" x14ac:dyDescent="0.3">
      <c r="D95" s="349">
        <v>45680</v>
      </c>
      <c r="F95" s="350">
        <v>23205.35</v>
      </c>
      <c r="P95" s="283"/>
      <c r="S95" s="225"/>
    </row>
    <row r="96" spans="4:19" x14ac:dyDescent="0.3">
      <c r="D96" s="349">
        <v>45679</v>
      </c>
      <c r="F96" s="350">
        <v>23155.35</v>
      </c>
      <c r="P96" s="283"/>
      <c r="S96" s="225"/>
    </row>
    <row r="97" spans="4:19" x14ac:dyDescent="0.3">
      <c r="D97" s="349">
        <v>45678</v>
      </c>
      <c r="F97" s="350">
        <v>23024.65</v>
      </c>
      <c r="P97" s="283"/>
      <c r="S97" s="225"/>
    </row>
    <row r="98" spans="4:19" x14ac:dyDescent="0.3">
      <c r="D98" s="349">
        <v>45677</v>
      </c>
      <c r="F98" s="350">
        <v>23344.75</v>
      </c>
      <c r="P98" s="283"/>
      <c r="S98" s="225"/>
    </row>
    <row r="99" spans="4:19" x14ac:dyDescent="0.3">
      <c r="D99" s="349">
        <v>45674</v>
      </c>
      <c r="F99" s="350">
        <v>23203.200000000001</v>
      </c>
      <c r="P99" s="283"/>
      <c r="S99" s="225"/>
    </row>
    <row r="100" spans="4:19" x14ac:dyDescent="0.3">
      <c r="D100" s="349">
        <v>45673</v>
      </c>
      <c r="F100" s="350">
        <v>23311.8</v>
      </c>
      <c r="P100" s="283"/>
      <c r="S100" s="225"/>
    </row>
    <row r="101" spans="4:19" x14ac:dyDescent="0.3">
      <c r="D101" s="349">
        <v>45672</v>
      </c>
      <c r="F101" s="350">
        <v>23213.200000000001</v>
      </c>
      <c r="P101" s="283"/>
      <c r="S101" s="225"/>
    </row>
    <row r="102" spans="4:19" x14ac:dyDescent="0.3">
      <c r="D102" s="349">
        <v>45671</v>
      </c>
      <c r="F102" s="350">
        <v>23176.05</v>
      </c>
      <c r="P102" s="283"/>
      <c r="S102" s="225"/>
    </row>
    <row r="103" spans="4:19" x14ac:dyDescent="0.3">
      <c r="D103" s="349">
        <v>45670</v>
      </c>
      <c r="F103" s="350">
        <v>23085.95</v>
      </c>
      <c r="P103" s="283"/>
      <c r="S103" s="225"/>
    </row>
    <row r="104" spans="4:19" x14ac:dyDescent="0.3">
      <c r="D104" s="349">
        <v>45667</v>
      </c>
      <c r="F104" s="350">
        <v>23431.5</v>
      </c>
      <c r="P104" s="283"/>
      <c r="S104" s="225"/>
    </row>
    <row r="105" spans="4:19" x14ac:dyDescent="0.3">
      <c r="D105" s="349">
        <v>45666</v>
      </c>
      <c r="F105" s="350">
        <v>23526.5</v>
      </c>
      <c r="P105" s="283"/>
      <c r="S105" s="225"/>
    </row>
    <row r="106" spans="4:19" x14ac:dyDescent="0.3">
      <c r="D106" s="349">
        <v>45665</v>
      </c>
      <c r="F106" s="350">
        <v>23688.95</v>
      </c>
      <c r="P106" s="283"/>
      <c r="S106" s="225"/>
    </row>
    <row r="107" spans="4:19" x14ac:dyDescent="0.3">
      <c r="D107" s="349">
        <v>45664</v>
      </c>
      <c r="F107" s="350">
        <v>23707.9</v>
      </c>
      <c r="P107" s="283"/>
      <c r="S107" s="225"/>
    </row>
    <row r="108" spans="4:19" x14ac:dyDescent="0.3">
      <c r="D108" s="349">
        <v>45663</v>
      </c>
      <c r="F108" s="350">
        <v>23616.05</v>
      </c>
      <c r="P108" s="283"/>
      <c r="S108" s="225"/>
    </row>
    <row r="109" spans="4:19" x14ac:dyDescent="0.3">
      <c r="D109" s="349">
        <v>45660</v>
      </c>
      <c r="F109" s="350">
        <v>24004.75</v>
      </c>
      <c r="P109" s="283"/>
      <c r="S109" s="225"/>
    </row>
    <row r="110" spans="4:19" x14ac:dyDescent="0.3">
      <c r="D110" s="349">
        <v>45659</v>
      </c>
      <c r="F110" s="350">
        <v>24188.65</v>
      </c>
      <c r="P110" s="283"/>
      <c r="S110" s="225"/>
    </row>
    <row r="111" spans="4:19" x14ac:dyDescent="0.3">
      <c r="D111" s="349">
        <v>45658</v>
      </c>
      <c r="F111" s="350">
        <v>23742.9</v>
      </c>
      <c r="P111" s="283"/>
      <c r="S111" s="225"/>
    </row>
    <row r="112" spans="4:19" x14ac:dyDescent="0.3">
      <c r="D112" s="349">
        <v>45657</v>
      </c>
      <c r="F112" s="350">
        <v>23644.799999999999</v>
      </c>
      <c r="P112" s="283"/>
      <c r="S112" s="225"/>
    </row>
    <row r="113" spans="4:19" x14ac:dyDescent="0.3">
      <c r="D113" s="349">
        <v>45656</v>
      </c>
      <c r="F113" s="350">
        <v>23644.9</v>
      </c>
      <c r="P113" s="283"/>
      <c r="S113" s="225"/>
    </row>
    <row r="114" spans="4:19" x14ac:dyDescent="0.3">
      <c r="D114" s="349">
        <v>45653</v>
      </c>
      <c r="F114" s="350">
        <v>23813.4</v>
      </c>
      <c r="P114" s="283"/>
      <c r="S114" s="225"/>
    </row>
    <row r="115" spans="4:19" x14ac:dyDescent="0.3">
      <c r="D115" s="349">
        <v>45652</v>
      </c>
      <c r="F115" s="350">
        <v>23750.2</v>
      </c>
      <c r="P115" s="283"/>
      <c r="S115" s="225"/>
    </row>
    <row r="116" spans="4:19" x14ac:dyDescent="0.3">
      <c r="D116" s="349">
        <v>45650</v>
      </c>
      <c r="F116" s="350">
        <v>23727.65</v>
      </c>
      <c r="P116" s="283"/>
      <c r="S116" s="225"/>
    </row>
    <row r="117" spans="4:19" x14ac:dyDescent="0.3">
      <c r="D117" s="349">
        <v>45649</v>
      </c>
      <c r="F117" s="350">
        <v>23753.45</v>
      </c>
      <c r="P117" s="283"/>
      <c r="S117" s="225"/>
    </row>
    <row r="118" spans="4:19" x14ac:dyDescent="0.3">
      <c r="D118" s="349">
        <v>45646</v>
      </c>
      <c r="F118" s="350">
        <v>23587.5</v>
      </c>
      <c r="P118" s="283"/>
      <c r="S118" s="225"/>
    </row>
    <row r="119" spans="4:19" x14ac:dyDescent="0.3">
      <c r="D119" s="349">
        <v>45645</v>
      </c>
      <c r="F119" s="350">
        <v>23951.7</v>
      </c>
      <c r="P119" s="283"/>
      <c r="S119" s="225"/>
    </row>
    <row r="120" spans="4:19" x14ac:dyDescent="0.3">
      <c r="D120" s="349">
        <v>45644</v>
      </c>
      <c r="F120" s="350">
        <v>24198.85</v>
      </c>
      <c r="P120" s="283"/>
      <c r="S120" s="225"/>
    </row>
    <row r="121" spans="4:19" x14ac:dyDescent="0.3">
      <c r="D121" s="349">
        <v>45643</v>
      </c>
      <c r="F121" s="350">
        <v>24336</v>
      </c>
      <c r="P121" s="283"/>
      <c r="S121" s="225"/>
    </row>
    <row r="122" spans="4:19" x14ac:dyDescent="0.3">
      <c r="D122" s="349">
        <v>45642</v>
      </c>
      <c r="F122" s="350">
        <v>24668.25</v>
      </c>
      <c r="P122" s="283"/>
      <c r="S122" s="225"/>
    </row>
    <row r="123" spans="4:19" x14ac:dyDescent="0.3">
      <c r="D123" s="349">
        <v>45639</v>
      </c>
      <c r="F123" s="350">
        <v>24768.3</v>
      </c>
      <c r="P123" s="283"/>
      <c r="S123" s="225"/>
    </row>
    <row r="124" spans="4:19" x14ac:dyDescent="0.3">
      <c r="D124" s="349">
        <v>45638</v>
      </c>
      <c r="F124" s="350">
        <v>24548.7</v>
      </c>
      <c r="P124" s="283"/>
      <c r="S124" s="225"/>
    </row>
    <row r="125" spans="4:19" x14ac:dyDescent="0.3">
      <c r="D125" s="349">
        <v>45637</v>
      </c>
      <c r="F125" s="350">
        <v>24641.8</v>
      </c>
      <c r="P125" s="283"/>
      <c r="S125" s="225"/>
    </row>
    <row r="126" spans="4:19" x14ac:dyDescent="0.3">
      <c r="D126" s="349">
        <v>45636</v>
      </c>
      <c r="F126" s="350">
        <v>24610.05</v>
      </c>
      <c r="P126" s="283"/>
      <c r="S126" s="225"/>
    </row>
    <row r="127" spans="4:19" x14ac:dyDescent="0.3">
      <c r="D127" s="349">
        <v>45635</v>
      </c>
      <c r="F127" s="350">
        <v>24619</v>
      </c>
      <c r="P127" s="283"/>
      <c r="S127" s="225"/>
    </row>
    <row r="128" spans="4:19" x14ac:dyDescent="0.3">
      <c r="D128" s="349">
        <v>45632</v>
      </c>
      <c r="F128" s="350">
        <v>24677.8</v>
      </c>
      <c r="P128" s="283"/>
      <c r="S128" s="225"/>
    </row>
    <row r="129" spans="4:19" x14ac:dyDescent="0.3">
      <c r="D129" s="349">
        <v>45631</v>
      </c>
      <c r="F129" s="350">
        <v>24708.400000000001</v>
      </c>
      <c r="P129" s="283"/>
      <c r="S129" s="225"/>
    </row>
    <row r="130" spans="4:19" x14ac:dyDescent="0.3">
      <c r="D130" s="349">
        <v>45630</v>
      </c>
      <c r="F130" s="350">
        <v>24467.45</v>
      </c>
      <c r="P130" s="283"/>
      <c r="S130" s="225"/>
    </row>
    <row r="131" spans="4:19" x14ac:dyDescent="0.3">
      <c r="D131" s="349">
        <v>45629</v>
      </c>
      <c r="F131" s="350">
        <v>24457.15</v>
      </c>
      <c r="P131" s="283"/>
      <c r="S131" s="225"/>
    </row>
    <row r="132" spans="4:19" x14ac:dyDescent="0.3">
      <c r="D132" s="349">
        <v>45628</v>
      </c>
      <c r="F132" s="350">
        <v>24276.05</v>
      </c>
      <c r="P132" s="283"/>
      <c r="S132" s="225"/>
    </row>
    <row r="133" spans="4:19" x14ac:dyDescent="0.3">
      <c r="D133" s="349">
        <v>45625</v>
      </c>
      <c r="F133" s="350">
        <v>24131.1</v>
      </c>
      <c r="P133" s="283"/>
      <c r="S133" s="225"/>
    </row>
    <row r="134" spans="4:19" x14ac:dyDescent="0.3">
      <c r="D134" s="349">
        <v>45624</v>
      </c>
      <c r="F134" s="350">
        <v>23914.15</v>
      </c>
      <c r="P134" s="283"/>
      <c r="S134" s="225"/>
    </row>
    <row r="135" spans="4:19" x14ac:dyDescent="0.3">
      <c r="D135" s="349">
        <v>45623</v>
      </c>
      <c r="F135" s="350">
        <v>24274.9</v>
      </c>
      <c r="P135" s="283"/>
      <c r="S135" s="225"/>
    </row>
    <row r="136" spans="4:19" x14ac:dyDescent="0.3">
      <c r="D136" s="349">
        <v>45622</v>
      </c>
      <c r="F136" s="350">
        <v>24194.5</v>
      </c>
      <c r="P136" s="283"/>
      <c r="S136" s="225"/>
    </row>
    <row r="137" spans="4:19" x14ac:dyDescent="0.3">
      <c r="D137" s="349">
        <v>45621</v>
      </c>
      <c r="F137" s="350">
        <v>24221.9</v>
      </c>
      <c r="P137" s="283"/>
      <c r="S137" s="225"/>
    </row>
    <row r="138" spans="4:19" x14ac:dyDescent="0.3">
      <c r="D138" s="349">
        <v>45618</v>
      </c>
      <c r="F138" s="350">
        <v>23907.25</v>
      </c>
      <c r="P138" s="283"/>
      <c r="S138" s="225"/>
    </row>
    <row r="139" spans="4:19" x14ac:dyDescent="0.3">
      <c r="D139" s="349">
        <v>45617</v>
      </c>
      <c r="F139" s="350">
        <v>23349.9</v>
      </c>
      <c r="P139" s="283"/>
      <c r="S139" s="225"/>
    </row>
    <row r="140" spans="4:19" x14ac:dyDescent="0.3">
      <c r="D140" s="349">
        <v>45615</v>
      </c>
      <c r="F140" s="350">
        <v>23518.5</v>
      </c>
      <c r="P140" s="283"/>
      <c r="S140" s="225"/>
    </row>
    <row r="141" spans="4:19" x14ac:dyDescent="0.3">
      <c r="D141" s="349">
        <v>45614</v>
      </c>
      <c r="F141" s="350">
        <v>23453.8</v>
      </c>
      <c r="P141" s="283"/>
      <c r="S141" s="225"/>
    </row>
    <row r="142" spans="4:19" x14ac:dyDescent="0.3">
      <c r="D142" s="349">
        <v>45610</v>
      </c>
      <c r="F142" s="350">
        <v>23532.7</v>
      </c>
      <c r="P142" s="283"/>
      <c r="S142" s="225"/>
    </row>
    <row r="143" spans="4:19" x14ac:dyDescent="0.3">
      <c r="D143" s="349">
        <v>45609</v>
      </c>
      <c r="F143" s="350">
        <v>23559.05</v>
      </c>
      <c r="P143" s="283"/>
      <c r="S143" s="225"/>
    </row>
    <row r="144" spans="4:19" x14ac:dyDescent="0.3">
      <c r="D144" s="349">
        <v>45608</v>
      </c>
      <c r="F144" s="350">
        <v>23883.45</v>
      </c>
      <c r="P144" s="283"/>
      <c r="S144" s="225"/>
    </row>
    <row r="145" spans="4:19" x14ac:dyDescent="0.3">
      <c r="D145" s="349">
        <v>45607</v>
      </c>
      <c r="F145" s="350">
        <v>24141.3</v>
      </c>
      <c r="P145" s="283"/>
      <c r="S145" s="225"/>
    </row>
    <row r="146" spans="4:19" x14ac:dyDescent="0.3">
      <c r="D146" s="349">
        <v>45604</v>
      </c>
      <c r="F146" s="350">
        <v>24148.2</v>
      </c>
      <c r="P146" s="283"/>
      <c r="S146" s="225"/>
    </row>
    <row r="147" spans="4:19" x14ac:dyDescent="0.3">
      <c r="D147" s="349">
        <v>45603</v>
      </c>
      <c r="F147" s="350">
        <v>24199.35</v>
      </c>
      <c r="P147" s="283"/>
      <c r="S147" s="225"/>
    </row>
    <row r="148" spans="4:19" x14ac:dyDescent="0.3">
      <c r="D148" s="349">
        <v>45602</v>
      </c>
      <c r="F148" s="350">
        <v>24484.05</v>
      </c>
      <c r="P148" s="283"/>
      <c r="S148" s="225"/>
    </row>
    <row r="149" spans="4:19" x14ac:dyDescent="0.3">
      <c r="D149" s="349">
        <v>45601</v>
      </c>
      <c r="F149" s="350">
        <v>24213.3</v>
      </c>
      <c r="P149" s="283"/>
      <c r="S149" s="225"/>
    </row>
    <row r="150" spans="4:19" x14ac:dyDescent="0.3">
      <c r="D150" s="349">
        <v>45600</v>
      </c>
      <c r="F150" s="350">
        <v>23995.35</v>
      </c>
      <c r="P150" s="283"/>
      <c r="S150" s="225"/>
    </row>
    <row r="151" spans="4:19" x14ac:dyDescent="0.3">
      <c r="D151" s="349">
        <v>45597</v>
      </c>
      <c r="F151" s="350">
        <v>24304.35</v>
      </c>
      <c r="P151" s="283"/>
      <c r="S151" s="225"/>
    </row>
    <row r="152" spans="4:19" x14ac:dyDescent="0.3">
      <c r="D152" s="349">
        <v>45596</v>
      </c>
      <c r="F152" s="350">
        <v>24205.35</v>
      </c>
      <c r="P152" s="283"/>
      <c r="S152" s="225"/>
    </row>
    <row r="153" spans="4:19" x14ac:dyDescent="0.3">
      <c r="D153" s="349">
        <v>45595</v>
      </c>
      <c r="F153" s="350">
        <v>24340.85</v>
      </c>
      <c r="P153" s="283"/>
      <c r="S153" s="225"/>
    </row>
    <row r="154" spans="4:19" x14ac:dyDescent="0.3">
      <c r="D154" s="349">
        <v>45594</v>
      </c>
      <c r="F154" s="350">
        <v>24466.85</v>
      </c>
      <c r="P154" s="283"/>
      <c r="S154" s="225"/>
    </row>
    <row r="155" spans="4:19" x14ac:dyDescent="0.3">
      <c r="D155" s="349">
        <v>45593</v>
      </c>
      <c r="F155" s="350">
        <v>24339.15</v>
      </c>
      <c r="P155" s="283"/>
      <c r="S155" s="225"/>
    </row>
    <row r="156" spans="4:19" x14ac:dyDescent="0.3">
      <c r="D156" s="349">
        <v>45590</v>
      </c>
      <c r="F156" s="350">
        <v>24180.799999999999</v>
      </c>
      <c r="P156" s="283"/>
      <c r="S156" s="225"/>
    </row>
    <row r="157" spans="4:19" x14ac:dyDescent="0.3">
      <c r="D157" s="349">
        <v>45589</v>
      </c>
      <c r="F157" s="350">
        <v>24399.4</v>
      </c>
      <c r="P157" s="283"/>
      <c r="S157" s="225"/>
    </row>
    <row r="158" spans="4:19" x14ac:dyDescent="0.3">
      <c r="D158" s="349">
        <v>45588</v>
      </c>
      <c r="F158" s="350">
        <v>24435.5</v>
      </c>
      <c r="P158" s="283"/>
      <c r="S158" s="225"/>
    </row>
    <row r="159" spans="4:19" x14ac:dyDescent="0.3">
      <c r="D159" s="349">
        <v>45587</v>
      </c>
      <c r="F159" s="350">
        <v>24472.1</v>
      </c>
      <c r="P159" s="283"/>
      <c r="S159" s="225"/>
    </row>
    <row r="160" spans="4:19" x14ac:dyDescent="0.3">
      <c r="D160" s="349">
        <v>45586</v>
      </c>
      <c r="F160" s="350">
        <v>24781.1</v>
      </c>
      <c r="P160" s="283"/>
      <c r="S160" s="225"/>
    </row>
    <row r="161" spans="4:19" x14ac:dyDescent="0.3">
      <c r="D161" s="349">
        <v>45583</v>
      </c>
      <c r="F161" s="350">
        <v>24854.05</v>
      </c>
      <c r="P161" s="283"/>
      <c r="S161" s="225"/>
    </row>
    <row r="162" spans="4:19" x14ac:dyDescent="0.3">
      <c r="D162" s="349">
        <v>45582</v>
      </c>
      <c r="F162" s="350">
        <v>24749.85</v>
      </c>
      <c r="P162" s="283"/>
      <c r="S162" s="225"/>
    </row>
    <row r="163" spans="4:19" x14ac:dyDescent="0.3">
      <c r="D163" s="349">
        <v>45581</v>
      </c>
      <c r="F163" s="350">
        <v>24971.3</v>
      </c>
      <c r="P163" s="283"/>
      <c r="S163" s="225"/>
    </row>
    <row r="164" spans="4:19" x14ac:dyDescent="0.3">
      <c r="D164" s="349">
        <v>45580</v>
      </c>
      <c r="F164" s="350">
        <v>25057.35</v>
      </c>
      <c r="P164" s="283"/>
      <c r="S164" s="225"/>
    </row>
    <row r="165" spans="4:19" x14ac:dyDescent="0.3">
      <c r="D165" s="349">
        <v>45579</v>
      </c>
      <c r="F165" s="350">
        <v>25127.95</v>
      </c>
      <c r="P165" s="283"/>
      <c r="S165" s="225"/>
    </row>
    <row r="166" spans="4:19" x14ac:dyDescent="0.3">
      <c r="D166" s="349">
        <v>45576</v>
      </c>
      <c r="F166" s="350">
        <v>24964.25</v>
      </c>
      <c r="P166" s="283"/>
      <c r="S166" s="225"/>
    </row>
    <row r="167" spans="4:19" x14ac:dyDescent="0.3">
      <c r="D167" s="349">
        <v>45575</v>
      </c>
      <c r="F167" s="350">
        <v>24998.45</v>
      </c>
      <c r="P167" s="283"/>
      <c r="S167" s="225"/>
    </row>
    <row r="168" spans="4:19" x14ac:dyDescent="0.3">
      <c r="D168" s="349">
        <v>45574</v>
      </c>
      <c r="F168" s="350">
        <v>24981.95</v>
      </c>
      <c r="P168" s="283"/>
      <c r="S168" s="225"/>
    </row>
    <row r="169" spans="4:19" x14ac:dyDescent="0.3">
      <c r="D169" s="349">
        <v>45573</v>
      </c>
      <c r="F169" s="350">
        <v>25013.15</v>
      </c>
      <c r="P169" s="283"/>
      <c r="S169" s="225"/>
    </row>
    <row r="170" spans="4:19" x14ac:dyDescent="0.3">
      <c r="D170" s="349">
        <v>45572</v>
      </c>
      <c r="F170" s="350">
        <v>24795.75</v>
      </c>
      <c r="P170" s="283"/>
      <c r="S170" s="225"/>
    </row>
    <row r="171" spans="4:19" x14ac:dyDescent="0.3">
      <c r="D171" s="349">
        <v>45569</v>
      </c>
      <c r="F171" s="350">
        <v>25014.6</v>
      </c>
      <c r="P171" s="283"/>
      <c r="S171" s="225"/>
    </row>
    <row r="172" spans="4:19" x14ac:dyDescent="0.3">
      <c r="D172" s="349">
        <v>45568</v>
      </c>
      <c r="F172" s="350">
        <v>25250.1</v>
      </c>
      <c r="P172" s="283"/>
      <c r="S172" s="225"/>
    </row>
    <row r="173" spans="4:19" x14ac:dyDescent="0.3">
      <c r="D173" s="349">
        <v>45566</v>
      </c>
      <c r="F173" s="350">
        <v>25796.9</v>
      </c>
      <c r="P173" s="283"/>
      <c r="S173" s="225"/>
    </row>
    <row r="174" spans="4:19" x14ac:dyDescent="0.3">
      <c r="D174" s="349">
        <v>45565</v>
      </c>
      <c r="F174" s="350">
        <v>25810.85</v>
      </c>
      <c r="P174" s="283"/>
      <c r="S174" s="225"/>
    </row>
    <row r="175" spans="4:19" x14ac:dyDescent="0.3">
      <c r="D175" s="349">
        <v>45562</v>
      </c>
      <c r="F175" s="350">
        <v>26178.95</v>
      </c>
      <c r="P175" s="283"/>
      <c r="S175" s="225"/>
    </row>
    <row r="176" spans="4:19" x14ac:dyDescent="0.3">
      <c r="D176" s="349">
        <v>45561</v>
      </c>
      <c r="F176" s="350">
        <v>26216.05</v>
      </c>
      <c r="P176" s="283"/>
      <c r="S176" s="225"/>
    </row>
    <row r="177" spans="4:19" x14ac:dyDescent="0.3">
      <c r="D177" s="349">
        <v>45560</v>
      </c>
      <c r="F177" s="350">
        <v>26004.15</v>
      </c>
      <c r="P177" s="283"/>
      <c r="S177" s="225"/>
    </row>
    <row r="178" spans="4:19" x14ac:dyDescent="0.3">
      <c r="D178" s="349">
        <v>45559</v>
      </c>
      <c r="F178" s="350">
        <v>25940.400000000001</v>
      </c>
      <c r="P178" s="283"/>
      <c r="S178" s="225"/>
    </row>
    <row r="179" spans="4:19" x14ac:dyDescent="0.3">
      <c r="D179" s="349">
        <v>45558</v>
      </c>
      <c r="F179" s="350">
        <v>25939.05</v>
      </c>
      <c r="P179" s="283"/>
      <c r="S179" s="225"/>
    </row>
    <row r="180" spans="4:19" x14ac:dyDescent="0.3">
      <c r="D180" s="349">
        <v>45555</v>
      </c>
      <c r="F180" s="350">
        <v>25790.95</v>
      </c>
      <c r="P180" s="283"/>
      <c r="S180" s="225"/>
    </row>
    <row r="181" spans="4:19" x14ac:dyDescent="0.3">
      <c r="D181" s="349">
        <v>45554</v>
      </c>
      <c r="F181" s="350">
        <v>25415.8</v>
      </c>
      <c r="P181" s="283"/>
      <c r="S181" s="225"/>
    </row>
    <row r="182" spans="4:19" x14ac:dyDescent="0.3">
      <c r="D182" s="349">
        <v>45553</v>
      </c>
      <c r="F182" s="350">
        <v>25377.55</v>
      </c>
      <c r="P182" s="283"/>
      <c r="S182" s="225"/>
    </row>
    <row r="183" spans="4:19" x14ac:dyDescent="0.3">
      <c r="D183" s="349">
        <v>45552</v>
      </c>
      <c r="F183" s="350">
        <v>25418.55</v>
      </c>
      <c r="P183" s="283"/>
      <c r="S183" s="225"/>
    </row>
    <row r="184" spans="4:19" x14ac:dyDescent="0.3">
      <c r="D184" s="349">
        <v>45551</v>
      </c>
      <c r="F184" s="350">
        <v>25383.75</v>
      </c>
      <c r="P184" s="283"/>
      <c r="S184" s="225"/>
    </row>
    <row r="185" spans="4:19" x14ac:dyDescent="0.3">
      <c r="D185" s="349">
        <v>45548</v>
      </c>
      <c r="F185" s="350">
        <v>25356.5</v>
      </c>
      <c r="P185" s="283"/>
      <c r="S185" s="225"/>
    </row>
    <row r="186" spans="4:19" x14ac:dyDescent="0.3">
      <c r="D186" s="349">
        <v>45547</v>
      </c>
      <c r="F186" s="350">
        <v>25388.9</v>
      </c>
      <c r="P186" s="283"/>
      <c r="S186" s="225"/>
    </row>
    <row r="187" spans="4:19" x14ac:dyDescent="0.3">
      <c r="D187" s="349">
        <v>45546</v>
      </c>
      <c r="F187" s="350">
        <v>24918.45</v>
      </c>
      <c r="P187" s="283"/>
      <c r="S187" s="225"/>
    </row>
    <row r="188" spans="4:19" x14ac:dyDescent="0.3">
      <c r="D188" s="349">
        <v>45545</v>
      </c>
      <c r="F188" s="350">
        <v>25041.1</v>
      </c>
      <c r="P188" s="283"/>
      <c r="S188" s="225"/>
    </row>
    <row r="189" spans="4:19" x14ac:dyDescent="0.3">
      <c r="D189" s="349">
        <v>45544</v>
      </c>
      <c r="F189" s="350">
        <v>24936.400000000001</v>
      </c>
      <c r="P189" s="283"/>
      <c r="S189" s="225"/>
    </row>
    <row r="190" spans="4:19" x14ac:dyDescent="0.3">
      <c r="D190" s="349">
        <v>45541</v>
      </c>
      <c r="F190" s="350">
        <v>24852.15</v>
      </c>
      <c r="P190" s="283"/>
      <c r="S190" s="225"/>
    </row>
    <row r="191" spans="4:19" x14ac:dyDescent="0.3">
      <c r="D191" s="349">
        <v>45540</v>
      </c>
      <c r="F191" s="350">
        <v>25145.1</v>
      </c>
      <c r="P191" s="283"/>
      <c r="S191" s="225"/>
    </row>
    <row r="192" spans="4:19" x14ac:dyDescent="0.3">
      <c r="D192" s="349">
        <v>45539</v>
      </c>
      <c r="F192" s="350">
        <v>25198.7</v>
      </c>
      <c r="P192" s="283"/>
      <c r="S192" s="225"/>
    </row>
    <row r="193" spans="4:19" x14ac:dyDescent="0.3">
      <c r="D193" s="349">
        <v>45538</v>
      </c>
      <c r="F193" s="350">
        <v>25279.85</v>
      </c>
      <c r="P193" s="283"/>
      <c r="S193" s="225"/>
    </row>
    <row r="194" spans="4:19" x14ac:dyDescent="0.3">
      <c r="D194" s="349">
        <v>45537</v>
      </c>
      <c r="F194" s="350">
        <v>25278.7</v>
      </c>
      <c r="P194" s="283"/>
      <c r="S194" s="225"/>
    </row>
    <row r="195" spans="4:19" x14ac:dyDescent="0.3">
      <c r="D195" s="349">
        <v>45534</v>
      </c>
      <c r="F195" s="350">
        <v>25235.9</v>
      </c>
      <c r="P195" s="283"/>
      <c r="S195" s="225"/>
    </row>
    <row r="196" spans="4:19" x14ac:dyDescent="0.3">
      <c r="D196" s="349">
        <v>45533</v>
      </c>
      <c r="F196" s="350">
        <v>25151.95</v>
      </c>
      <c r="P196" s="283"/>
      <c r="S196" s="225"/>
    </row>
    <row r="197" spans="4:19" x14ac:dyDescent="0.3">
      <c r="D197" s="349">
        <v>45532</v>
      </c>
      <c r="F197" s="350">
        <v>25052.35</v>
      </c>
      <c r="P197" s="283"/>
      <c r="S197" s="225"/>
    </row>
    <row r="198" spans="4:19" x14ac:dyDescent="0.3">
      <c r="D198" s="349">
        <v>45531</v>
      </c>
      <c r="F198" s="350">
        <v>25017.75</v>
      </c>
      <c r="P198" s="283"/>
      <c r="S198" s="225"/>
    </row>
    <row r="199" spans="4:19" x14ac:dyDescent="0.3">
      <c r="D199" s="349">
        <v>45530</v>
      </c>
      <c r="F199" s="350">
        <v>25010.6</v>
      </c>
      <c r="P199" s="283"/>
      <c r="S199" s="225"/>
    </row>
    <row r="200" spans="4:19" x14ac:dyDescent="0.3">
      <c r="D200" s="349">
        <v>45527</v>
      </c>
      <c r="F200" s="350">
        <v>24823.15</v>
      </c>
      <c r="P200" s="283"/>
      <c r="S200" s="225"/>
    </row>
    <row r="201" spans="4:19" x14ac:dyDescent="0.3">
      <c r="D201" s="349">
        <v>45526</v>
      </c>
      <c r="F201" s="350">
        <v>24811.5</v>
      </c>
      <c r="P201" s="283"/>
      <c r="S201" s="225"/>
    </row>
    <row r="202" spans="4:19" x14ac:dyDescent="0.3">
      <c r="D202" s="349">
        <v>45525</v>
      </c>
      <c r="F202" s="350">
        <v>24770.2</v>
      </c>
      <c r="P202" s="283"/>
      <c r="S202" s="225"/>
    </row>
    <row r="203" spans="4:19" x14ac:dyDescent="0.3">
      <c r="D203" s="349">
        <v>45524</v>
      </c>
      <c r="F203" s="350">
        <v>24698.85</v>
      </c>
      <c r="P203" s="283"/>
      <c r="S203" s="225"/>
    </row>
    <row r="204" spans="4:19" x14ac:dyDescent="0.3">
      <c r="D204" s="349">
        <v>45523</v>
      </c>
      <c r="F204" s="350">
        <v>24572.65</v>
      </c>
      <c r="P204" s="283"/>
      <c r="S204" s="225"/>
    </row>
    <row r="205" spans="4:19" x14ac:dyDescent="0.3">
      <c r="D205" s="349">
        <v>45520</v>
      </c>
      <c r="F205" s="350">
        <v>24541.15</v>
      </c>
      <c r="P205" s="283"/>
      <c r="S205" s="225"/>
    </row>
    <row r="206" spans="4:19" x14ac:dyDescent="0.3">
      <c r="D206" s="349">
        <v>45518</v>
      </c>
      <c r="F206" s="350">
        <v>24143.75</v>
      </c>
      <c r="P206" s="283"/>
      <c r="S206" s="225"/>
    </row>
    <row r="207" spans="4:19" x14ac:dyDescent="0.3">
      <c r="D207" s="349">
        <v>45517</v>
      </c>
      <c r="F207" s="350">
        <v>24139</v>
      </c>
      <c r="P207" s="283"/>
      <c r="S207" s="225"/>
    </row>
    <row r="208" spans="4:19" x14ac:dyDescent="0.3">
      <c r="D208" s="349">
        <v>45516</v>
      </c>
      <c r="F208" s="350">
        <v>24347</v>
      </c>
      <c r="P208" s="283"/>
      <c r="S208" s="225"/>
    </row>
    <row r="209" spans="4:19" x14ac:dyDescent="0.3">
      <c r="D209" s="349">
        <v>45513</v>
      </c>
      <c r="F209" s="350">
        <v>24367.5</v>
      </c>
      <c r="P209" s="283"/>
      <c r="S209" s="225"/>
    </row>
    <row r="210" spans="4:19" x14ac:dyDescent="0.3">
      <c r="D210" s="349">
        <v>45512</v>
      </c>
      <c r="F210" s="350">
        <v>24117</v>
      </c>
      <c r="P210" s="283"/>
      <c r="S210" s="225"/>
    </row>
    <row r="211" spans="4:19" x14ac:dyDescent="0.3">
      <c r="D211" s="349">
        <v>45511</v>
      </c>
      <c r="F211" s="350">
        <v>24297.5</v>
      </c>
      <c r="P211" s="283"/>
      <c r="S211" s="225"/>
    </row>
    <row r="212" spans="4:19" x14ac:dyDescent="0.3">
      <c r="D212" s="349">
        <v>45510</v>
      </c>
      <c r="F212" s="350">
        <v>23992.55</v>
      </c>
      <c r="P212" s="283"/>
      <c r="S212" s="225"/>
    </row>
    <row r="213" spans="4:19" x14ac:dyDescent="0.3">
      <c r="D213" s="349">
        <v>45509</v>
      </c>
      <c r="F213" s="350">
        <v>24055.599999999999</v>
      </c>
      <c r="P213" s="283"/>
      <c r="S213" s="225"/>
    </row>
    <row r="214" spans="4:19" x14ac:dyDescent="0.3">
      <c r="D214" s="349">
        <v>45506</v>
      </c>
      <c r="F214" s="350">
        <v>24717.7</v>
      </c>
      <c r="P214" s="283"/>
      <c r="S214" s="225"/>
    </row>
    <row r="215" spans="4:19" x14ac:dyDescent="0.3">
      <c r="D215" s="349">
        <v>45505</v>
      </c>
      <c r="F215" s="350">
        <v>25010.9</v>
      </c>
      <c r="P215" s="283"/>
      <c r="S215" s="225"/>
    </row>
    <row r="216" spans="4:19" x14ac:dyDescent="0.3">
      <c r="D216" s="349">
        <v>45504</v>
      </c>
      <c r="F216" s="350">
        <v>24951.15</v>
      </c>
      <c r="P216" s="283"/>
      <c r="S216" s="225"/>
    </row>
    <row r="217" spans="4:19" x14ac:dyDescent="0.3">
      <c r="D217" s="349">
        <v>45503</v>
      </c>
      <c r="F217" s="350">
        <v>24857.3</v>
      </c>
      <c r="P217" s="283"/>
      <c r="S217" s="225"/>
    </row>
    <row r="218" spans="4:19" x14ac:dyDescent="0.3">
      <c r="D218" s="349">
        <v>45502</v>
      </c>
      <c r="F218" s="350">
        <v>24836.1</v>
      </c>
      <c r="P218" s="283"/>
      <c r="S218" s="225"/>
    </row>
    <row r="219" spans="4:19" x14ac:dyDescent="0.3">
      <c r="D219" s="349">
        <v>45499</v>
      </c>
      <c r="F219" s="350">
        <v>24834.85</v>
      </c>
      <c r="P219" s="283"/>
      <c r="S219" s="225"/>
    </row>
    <row r="220" spans="4:19" x14ac:dyDescent="0.3">
      <c r="D220" s="349">
        <v>45498</v>
      </c>
      <c r="F220" s="350">
        <v>24406.1</v>
      </c>
      <c r="P220" s="283"/>
      <c r="S220" s="225"/>
    </row>
    <row r="221" spans="4:19" x14ac:dyDescent="0.3">
      <c r="D221" s="349">
        <v>45497</v>
      </c>
      <c r="F221" s="350">
        <v>24413.5</v>
      </c>
      <c r="P221" s="283"/>
      <c r="S221" s="225"/>
    </row>
    <row r="222" spans="4:19" x14ac:dyDescent="0.3">
      <c r="D222" s="349">
        <v>45496</v>
      </c>
      <c r="F222" s="350">
        <v>24479.05</v>
      </c>
      <c r="P222" s="283"/>
      <c r="S222" s="225"/>
    </row>
    <row r="223" spans="4:19" x14ac:dyDescent="0.3">
      <c r="D223" s="349">
        <v>45495</v>
      </c>
      <c r="F223" s="350">
        <v>24509.25</v>
      </c>
      <c r="P223" s="283"/>
      <c r="S223" s="225"/>
    </row>
    <row r="224" spans="4:19" x14ac:dyDescent="0.3">
      <c r="D224" s="349">
        <v>45492</v>
      </c>
      <c r="F224" s="350">
        <v>24530.9</v>
      </c>
      <c r="P224" s="283"/>
      <c r="S224" s="225"/>
    </row>
    <row r="225" spans="4:19" x14ac:dyDescent="0.3">
      <c r="D225" s="349">
        <v>45491</v>
      </c>
      <c r="F225" s="350">
        <v>24800.85</v>
      </c>
      <c r="P225" s="283"/>
      <c r="S225" s="225"/>
    </row>
    <row r="226" spans="4:19" x14ac:dyDescent="0.3">
      <c r="D226" s="349">
        <v>45489</v>
      </c>
      <c r="F226" s="350">
        <v>24613</v>
      </c>
      <c r="P226" s="283"/>
      <c r="S226" s="225"/>
    </row>
    <row r="227" spans="4:19" x14ac:dyDescent="0.3">
      <c r="D227" s="349">
        <v>45488</v>
      </c>
      <c r="F227" s="350">
        <v>24586.7</v>
      </c>
      <c r="P227" s="283"/>
      <c r="S227" s="225"/>
    </row>
    <row r="228" spans="4:19" x14ac:dyDescent="0.3">
      <c r="D228" s="349">
        <v>45485</v>
      </c>
      <c r="F228" s="350">
        <v>24502.15</v>
      </c>
      <c r="P228" s="283"/>
      <c r="S228" s="225"/>
    </row>
    <row r="229" spans="4:19" x14ac:dyDescent="0.3">
      <c r="D229" s="349">
        <v>45484</v>
      </c>
      <c r="F229" s="350">
        <v>24315.95</v>
      </c>
      <c r="P229" s="283"/>
      <c r="S229" s="225"/>
    </row>
    <row r="230" spans="4:19" x14ac:dyDescent="0.3">
      <c r="D230" s="349">
        <v>45483</v>
      </c>
      <c r="F230" s="350">
        <v>24324.45</v>
      </c>
      <c r="P230" s="283"/>
      <c r="S230" s="225"/>
    </row>
    <row r="231" spans="4:19" x14ac:dyDescent="0.3">
      <c r="D231" s="349">
        <v>45482</v>
      </c>
      <c r="F231" s="350">
        <v>24433.200000000001</v>
      </c>
      <c r="P231" s="283"/>
      <c r="S231" s="225"/>
    </row>
    <row r="232" spans="4:19" x14ac:dyDescent="0.3">
      <c r="D232" s="349">
        <v>45481</v>
      </c>
      <c r="F232" s="350">
        <v>24320.55</v>
      </c>
      <c r="P232" s="283"/>
      <c r="S232" s="225"/>
    </row>
    <row r="233" spans="4:19" x14ac:dyDescent="0.3">
      <c r="D233" s="349">
        <v>45478</v>
      </c>
      <c r="F233" s="350">
        <v>24323.85</v>
      </c>
      <c r="P233" s="283"/>
      <c r="S233" s="225"/>
    </row>
    <row r="234" spans="4:19" x14ac:dyDescent="0.3">
      <c r="D234" s="349">
        <v>45477</v>
      </c>
      <c r="F234" s="350">
        <v>24302.15</v>
      </c>
      <c r="P234" s="283"/>
      <c r="S234" s="225"/>
    </row>
    <row r="235" spans="4:19" x14ac:dyDescent="0.3">
      <c r="D235" s="349">
        <v>45476</v>
      </c>
      <c r="F235" s="350">
        <v>24286.5</v>
      </c>
      <c r="P235" s="283"/>
      <c r="S235" s="225"/>
    </row>
    <row r="236" spans="4:19" x14ac:dyDescent="0.3">
      <c r="D236" s="349">
        <v>45475</v>
      </c>
      <c r="F236" s="350">
        <v>24123.85</v>
      </c>
      <c r="P236" s="283"/>
      <c r="S236" s="225"/>
    </row>
    <row r="237" spans="4:19" x14ac:dyDescent="0.3">
      <c r="D237" s="349">
        <v>45474</v>
      </c>
      <c r="F237" s="350">
        <v>24141.95</v>
      </c>
      <c r="P237" s="283"/>
      <c r="S237" s="225"/>
    </row>
    <row r="238" spans="4:19" x14ac:dyDescent="0.3">
      <c r="D238" s="349">
        <v>45471</v>
      </c>
      <c r="F238" s="350">
        <v>24010.6</v>
      </c>
      <c r="P238" s="283"/>
      <c r="S238" s="225"/>
    </row>
    <row r="239" spans="4:19" x14ac:dyDescent="0.3">
      <c r="D239" s="349">
        <v>45470</v>
      </c>
      <c r="F239" s="350">
        <v>24044.5</v>
      </c>
      <c r="P239" s="283"/>
      <c r="S239" s="225"/>
    </row>
    <row r="240" spans="4:19" x14ac:dyDescent="0.3">
      <c r="D240" s="349">
        <v>45469</v>
      </c>
      <c r="F240" s="350">
        <v>23868.799999999999</v>
      </c>
      <c r="P240" s="283"/>
      <c r="S240" s="225"/>
    </row>
    <row r="241" spans="4:19" x14ac:dyDescent="0.3">
      <c r="D241" s="349">
        <v>45468</v>
      </c>
      <c r="F241" s="350">
        <v>23721.3</v>
      </c>
      <c r="P241" s="283"/>
      <c r="S241" s="225"/>
    </row>
    <row r="242" spans="4:19" x14ac:dyDescent="0.3">
      <c r="D242" s="349">
        <v>45467</v>
      </c>
      <c r="F242" s="350">
        <v>23537.85</v>
      </c>
      <c r="P242" s="283"/>
      <c r="S242" s="225"/>
    </row>
    <row r="243" spans="4:19" x14ac:dyDescent="0.3">
      <c r="D243" s="349">
        <v>45464</v>
      </c>
      <c r="F243" s="350">
        <v>23501.1</v>
      </c>
      <c r="P243" s="283"/>
      <c r="S243" s="225"/>
    </row>
    <row r="244" spans="4:19" x14ac:dyDescent="0.3">
      <c r="D244" s="349">
        <v>45463</v>
      </c>
      <c r="F244" s="350">
        <v>23567</v>
      </c>
      <c r="P244" s="283"/>
      <c r="S244" s="225"/>
    </row>
    <row r="245" spans="4:19" x14ac:dyDescent="0.3">
      <c r="D245" s="349">
        <v>45462</v>
      </c>
      <c r="F245" s="350">
        <v>23516</v>
      </c>
      <c r="P245" s="283"/>
      <c r="S245" s="225"/>
    </row>
    <row r="246" spans="4:19" x14ac:dyDescent="0.3">
      <c r="D246" s="349">
        <v>45461</v>
      </c>
      <c r="F246" s="350">
        <v>23557.9</v>
      </c>
      <c r="P246" s="283"/>
      <c r="S246" s="225"/>
    </row>
    <row r="247" spans="4:19" x14ac:dyDescent="0.3">
      <c r="D247" s="349">
        <v>45457</v>
      </c>
      <c r="F247" s="350">
        <v>23465.599999999999</v>
      </c>
      <c r="P247" s="283"/>
      <c r="S247" s="225"/>
    </row>
    <row r="248" spans="4:19" x14ac:dyDescent="0.3">
      <c r="D248" s="349">
        <v>45456</v>
      </c>
      <c r="F248" s="350">
        <v>23398.9</v>
      </c>
      <c r="P248" s="283"/>
      <c r="S248" s="225"/>
    </row>
    <row r="249" spans="4:19" x14ac:dyDescent="0.3">
      <c r="D249" s="349">
        <v>45455</v>
      </c>
      <c r="F249" s="350">
        <v>23322.95</v>
      </c>
      <c r="P249" s="283"/>
      <c r="S249" s="225"/>
    </row>
    <row r="250" spans="4:19" x14ac:dyDescent="0.3">
      <c r="D250" s="349">
        <v>45454</v>
      </c>
      <c r="F250" s="350">
        <v>23264.85</v>
      </c>
      <c r="P250" s="283"/>
      <c r="S250" s="225"/>
    </row>
    <row r="251" spans="4:19" x14ac:dyDescent="0.3">
      <c r="D251" s="349">
        <v>45453</v>
      </c>
      <c r="F251" s="350">
        <v>23259.200000000001</v>
      </c>
      <c r="P251" s="283"/>
      <c r="S251" s="225"/>
    </row>
    <row r="252" spans="4:19" x14ac:dyDescent="0.3">
      <c r="D252" s="349">
        <v>45450</v>
      </c>
      <c r="F252" s="350">
        <v>23290.15</v>
      </c>
      <c r="P252" s="283"/>
      <c r="S252" s="225"/>
    </row>
    <row r="253" spans="4:19" x14ac:dyDescent="0.3">
      <c r="D253" s="349">
        <v>45449</v>
      </c>
      <c r="F253" s="350">
        <v>22821.4</v>
      </c>
      <c r="P253" s="283"/>
      <c r="S253" s="225"/>
    </row>
    <row r="254" spans="4:19" x14ac:dyDescent="0.3">
      <c r="D254" s="349">
        <v>45448</v>
      </c>
      <c r="F254" s="350">
        <v>22620.35</v>
      </c>
      <c r="P254" s="283"/>
      <c r="S254" s="225"/>
    </row>
    <row r="255" spans="4:19" x14ac:dyDescent="0.3">
      <c r="D255" s="349">
        <v>45447</v>
      </c>
      <c r="F255" s="350">
        <v>21884.5</v>
      </c>
      <c r="P255" s="283"/>
      <c r="S255" s="225"/>
    </row>
    <row r="256" spans="4:19" x14ac:dyDescent="0.3">
      <c r="D256" s="349">
        <v>45446</v>
      </c>
      <c r="F256" s="350">
        <v>23263.9</v>
      </c>
      <c r="P256" s="283"/>
      <c r="S256" s="225"/>
    </row>
    <row r="257" spans="4:19" x14ac:dyDescent="0.3">
      <c r="D257" s="349">
        <v>45443</v>
      </c>
      <c r="F257" s="350">
        <v>22530.7</v>
      </c>
      <c r="P257" s="283"/>
      <c r="S257" s="225"/>
    </row>
    <row r="258" spans="4:19" x14ac:dyDescent="0.3">
      <c r="D258" s="349">
        <v>45442</v>
      </c>
      <c r="F258" s="350">
        <v>22488.65</v>
      </c>
      <c r="P258" s="283"/>
      <c r="S258" s="225"/>
    </row>
    <row r="259" spans="4:19" x14ac:dyDescent="0.3">
      <c r="D259" s="349">
        <v>45441</v>
      </c>
      <c r="F259" s="350">
        <v>22704.7</v>
      </c>
      <c r="P259" s="283"/>
      <c r="S259" s="225"/>
    </row>
    <row r="260" spans="4:19" x14ac:dyDescent="0.3">
      <c r="D260" s="349">
        <v>45440</v>
      </c>
      <c r="F260" s="350">
        <v>22888.15</v>
      </c>
      <c r="P260" s="283"/>
      <c r="S260" s="225"/>
    </row>
    <row r="261" spans="4:19" x14ac:dyDescent="0.3">
      <c r="D261" s="349">
        <v>45439</v>
      </c>
      <c r="F261" s="350">
        <v>22932.45</v>
      </c>
      <c r="P261" s="283"/>
      <c r="S261" s="225"/>
    </row>
    <row r="262" spans="4:19" x14ac:dyDescent="0.3">
      <c r="D262" s="349">
        <v>45436</v>
      </c>
      <c r="F262" s="350">
        <v>22957.1</v>
      </c>
      <c r="P262" s="283"/>
      <c r="S262" s="225"/>
    </row>
    <row r="263" spans="4:19" x14ac:dyDescent="0.3">
      <c r="D263" s="349">
        <v>45435</v>
      </c>
      <c r="F263" s="350">
        <v>22967.65</v>
      </c>
      <c r="P263" s="283"/>
      <c r="S263" s="225"/>
    </row>
    <row r="264" spans="4:19" x14ac:dyDescent="0.3">
      <c r="D264" s="349">
        <v>45434</v>
      </c>
      <c r="F264" s="350">
        <v>22597.8</v>
      </c>
      <c r="P264" s="283"/>
      <c r="S264" s="225"/>
    </row>
    <row r="265" spans="4:19" x14ac:dyDescent="0.3">
      <c r="D265" s="349">
        <v>45433</v>
      </c>
      <c r="F265" s="350">
        <v>22529.05</v>
      </c>
      <c r="P265" s="283"/>
      <c r="S265" s="225"/>
    </row>
    <row r="266" spans="4:19" x14ac:dyDescent="0.3">
      <c r="D266" s="349">
        <v>45430</v>
      </c>
      <c r="F266" s="350">
        <v>22502</v>
      </c>
      <c r="P266" s="283"/>
      <c r="S266" s="225"/>
    </row>
    <row r="267" spans="4:19" x14ac:dyDescent="0.3">
      <c r="D267" s="349">
        <v>45429</v>
      </c>
      <c r="F267" s="350">
        <v>22466.1</v>
      </c>
      <c r="P267" s="283"/>
      <c r="S267" s="225"/>
    </row>
    <row r="268" spans="4:19" x14ac:dyDescent="0.3">
      <c r="D268" s="349">
        <v>45428</v>
      </c>
      <c r="F268" s="350">
        <v>22403.85</v>
      </c>
      <c r="P268" s="283"/>
      <c r="S268" s="225"/>
    </row>
    <row r="269" spans="4:19" x14ac:dyDescent="0.3">
      <c r="D269" s="349">
        <v>45427</v>
      </c>
      <c r="F269" s="350">
        <v>22200.55</v>
      </c>
      <c r="P269" s="283"/>
      <c r="S269" s="225"/>
    </row>
    <row r="270" spans="4:19" x14ac:dyDescent="0.3">
      <c r="D270" s="349">
        <v>45426</v>
      </c>
      <c r="F270" s="350">
        <v>22217.85</v>
      </c>
      <c r="P270" s="283"/>
      <c r="S270" s="225"/>
    </row>
    <row r="271" spans="4:19" x14ac:dyDescent="0.3">
      <c r="D271" s="349">
        <v>45425</v>
      </c>
      <c r="F271" s="350">
        <v>22104.05</v>
      </c>
      <c r="P271" s="283"/>
      <c r="S271" s="225"/>
    </row>
    <row r="272" spans="4:19" x14ac:dyDescent="0.3">
      <c r="D272" s="349">
        <v>45422</v>
      </c>
      <c r="F272" s="350">
        <v>22055.200000000001</v>
      </c>
      <c r="P272" s="283"/>
      <c r="S272" s="225"/>
    </row>
    <row r="273" spans="4:19" x14ac:dyDescent="0.3">
      <c r="D273" s="349">
        <v>45421</v>
      </c>
      <c r="F273" s="350">
        <v>21957.5</v>
      </c>
      <c r="P273" s="283"/>
      <c r="S273" s="225"/>
    </row>
    <row r="274" spans="4:19" x14ac:dyDescent="0.3">
      <c r="D274" s="349">
        <v>45420</v>
      </c>
      <c r="F274" s="350">
        <v>22302.5</v>
      </c>
      <c r="P274" s="283"/>
      <c r="S274" s="225"/>
    </row>
    <row r="275" spans="4:19" x14ac:dyDescent="0.3">
      <c r="D275" s="349">
        <v>45419</v>
      </c>
      <c r="F275" s="350">
        <v>22302.5</v>
      </c>
      <c r="P275" s="283"/>
      <c r="S275" s="225"/>
    </row>
    <row r="276" spans="4:19" x14ac:dyDescent="0.3">
      <c r="D276" s="349">
        <v>45418</v>
      </c>
      <c r="F276" s="350">
        <v>22442.7</v>
      </c>
      <c r="P276" s="283"/>
      <c r="S276" s="225"/>
    </row>
    <row r="277" spans="4:19" x14ac:dyDescent="0.3">
      <c r="D277" s="349">
        <v>45415</v>
      </c>
      <c r="F277" s="350">
        <v>22475.85</v>
      </c>
      <c r="P277" s="283"/>
      <c r="S277" s="225"/>
    </row>
    <row r="278" spans="4:19" x14ac:dyDescent="0.3">
      <c r="D278" s="349">
        <v>45414</v>
      </c>
      <c r="F278" s="350">
        <v>22648.2</v>
      </c>
      <c r="P278" s="283"/>
      <c r="S278" s="225"/>
    </row>
    <row r="279" spans="4:19" x14ac:dyDescent="0.3">
      <c r="D279" s="349">
        <v>45412</v>
      </c>
      <c r="F279" s="350">
        <v>22604.85</v>
      </c>
      <c r="P279" s="283"/>
      <c r="S279" s="225"/>
    </row>
    <row r="280" spans="4:19" x14ac:dyDescent="0.3">
      <c r="D280" s="349">
        <v>45411</v>
      </c>
      <c r="F280" s="350">
        <v>22643.4</v>
      </c>
      <c r="P280" s="283"/>
      <c r="S280" s="225"/>
    </row>
    <row r="281" spans="4:19" x14ac:dyDescent="0.3">
      <c r="D281" s="349">
        <v>45408</v>
      </c>
      <c r="F281" s="350">
        <v>22419.95</v>
      </c>
      <c r="P281" s="283"/>
      <c r="S281" s="225"/>
    </row>
    <row r="282" spans="4:19" x14ac:dyDescent="0.3">
      <c r="D282" s="349">
        <v>45407</v>
      </c>
      <c r="F282" s="350">
        <v>22570.35</v>
      </c>
      <c r="P282" s="283"/>
      <c r="S282" s="225"/>
    </row>
    <row r="283" spans="4:19" x14ac:dyDescent="0.3">
      <c r="D283" s="349">
        <v>45406</v>
      </c>
      <c r="F283" s="350">
        <v>22402.400000000001</v>
      </c>
      <c r="P283" s="283"/>
      <c r="S283" s="225"/>
    </row>
    <row r="284" spans="4:19" x14ac:dyDescent="0.3">
      <c r="D284" s="349">
        <v>45405</v>
      </c>
      <c r="F284" s="350">
        <v>22368</v>
      </c>
      <c r="P284" s="283"/>
      <c r="S284" s="225"/>
    </row>
    <row r="285" spans="4:19" x14ac:dyDescent="0.3">
      <c r="D285" s="349">
        <v>45404</v>
      </c>
      <c r="F285" s="350">
        <v>22336.400000000001</v>
      </c>
      <c r="P285" s="283"/>
      <c r="S285" s="225"/>
    </row>
    <row r="286" spans="4:19" x14ac:dyDescent="0.3">
      <c r="D286" s="349">
        <v>45401</v>
      </c>
      <c r="F286" s="350">
        <v>22147</v>
      </c>
      <c r="P286" s="283"/>
      <c r="S286" s="225"/>
    </row>
    <row r="287" spans="4:19" x14ac:dyDescent="0.3">
      <c r="D287" s="349">
        <v>45400</v>
      </c>
      <c r="F287" s="350">
        <v>21995.85</v>
      </c>
      <c r="P287" s="283"/>
      <c r="S287" s="225"/>
    </row>
    <row r="288" spans="4:19" x14ac:dyDescent="0.3">
      <c r="D288" s="349">
        <v>45398</v>
      </c>
      <c r="F288" s="350">
        <v>22147.9</v>
      </c>
      <c r="P288" s="283"/>
      <c r="S288" s="225"/>
    </row>
    <row r="289" spans="4:19" x14ac:dyDescent="0.3">
      <c r="D289" s="349">
        <v>45397</v>
      </c>
      <c r="F289" s="350">
        <v>22272.5</v>
      </c>
      <c r="P289" s="283"/>
      <c r="S289" s="225"/>
    </row>
    <row r="290" spans="4:19" x14ac:dyDescent="0.3">
      <c r="D290" s="349">
        <v>45394</v>
      </c>
      <c r="F290" s="350">
        <v>22519.4</v>
      </c>
      <c r="P290" s="283"/>
      <c r="S290" s="225"/>
    </row>
    <row r="291" spans="4:19" x14ac:dyDescent="0.3">
      <c r="D291" s="349">
        <v>45392</v>
      </c>
      <c r="F291" s="350">
        <v>22753.8</v>
      </c>
      <c r="P291" s="283"/>
      <c r="S291" s="225"/>
    </row>
    <row r="292" spans="4:19" x14ac:dyDescent="0.3">
      <c r="D292" s="349">
        <v>45391</v>
      </c>
      <c r="F292" s="350">
        <v>22642.75</v>
      </c>
      <c r="P292" s="283"/>
      <c r="S292" s="225"/>
    </row>
    <row r="293" spans="4:19" x14ac:dyDescent="0.3">
      <c r="D293" s="349">
        <v>45390</v>
      </c>
      <c r="F293" s="350">
        <v>22666.3</v>
      </c>
      <c r="P293" s="283"/>
      <c r="S293" s="225"/>
    </row>
    <row r="294" spans="4:19" x14ac:dyDescent="0.3">
      <c r="D294" s="349">
        <v>45387</v>
      </c>
      <c r="F294" s="350">
        <v>22513.7</v>
      </c>
      <c r="P294" s="283"/>
      <c r="S294" s="225"/>
    </row>
    <row r="295" spans="4:19" x14ac:dyDescent="0.3">
      <c r="D295" s="349">
        <v>45386</v>
      </c>
      <c r="F295" s="350">
        <v>22514.65</v>
      </c>
      <c r="P295" s="283"/>
      <c r="S295" s="225"/>
    </row>
    <row r="296" spans="4:19" x14ac:dyDescent="0.3">
      <c r="D296" s="349">
        <v>45385</v>
      </c>
      <c r="F296" s="350">
        <v>22434.65</v>
      </c>
      <c r="P296" s="283"/>
      <c r="S296" s="225"/>
    </row>
    <row r="297" spans="4:19" x14ac:dyDescent="0.3">
      <c r="D297" s="349">
        <v>45384</v>
      </c>
      <c r="F297" s="350">
        <v>22453.3</v>
      </c>
      <c r="P297" s="283"/>
      <c r="S297" s="225"/>
    </row>
    <row r="298" spans="4:19" x14ac:dyDescent="0.3">
      <c r="D298" s="349">
        <v>45383</v>
      </c>
      <c r="F298" s="350">
        <v>22462</v>
      </c>
      <c r="P298" s="283"/>
      <c r="S298" s="225"/>
    </row>
    <row r="299" spans="4:19" x14ac:dyDescent="0.3">
      <c r="D299" s="349">
        <v>45379</v>
      </c>
      <c r="F299" s="350">
        <v>22326.9</v>
      </c>
      <c r="P299" s="283"/>
      <c r="S299" s="225"/>
    </row>
    <row r="300" spans="4:19" x14ac:dyDescent="0.3">
      <c r="D300" s="349">
        <v>45378</v>
      </c>
      <c r="F300" s="350">
        <v>22123.65</v>
      </c>
      <c r="P300" s="283"/>
      <c r="S300" s="225"/>
    </row>
    <row r="301" spans="4:19" x14ac:dyDescent="0.3">
      <c r="D301" s="349">
        <v>45377</v>
      </c>
      <c r="F301" s="350">
        <v>22004.7</v>
      </c>
      <c r="P301" s="283"/>
      <c r="S301" s="225"/>
    </row>
    <row r="302" spans="4:19" x14ac:dyDescent="0.3">
      <c r="D302" s="349">
        <v>45373</v>
      </c>
      <c r="F302" s="350">
        <v>22096.75</v>
      </c>
      <c r="P302" s="283"/>
      <c r="S302" s="225"/>
    </row>
    <row r="303" spans="4:19" x14ac:dyDescent="0.3">
      <c r="D303" s="349">
        <v>45372</v>
      </c>
      <c r="F303" s="350">
        <v>22011.95</v>
      </c>
      <c r="P303" s="283"/>
      <c r="S303" s="225"/>
    </row>
    <row r="304" spans="4:19" x14ac:dyDescent="0.3">
      <c r="D304" s="349">
        <v>45371</v>
      </c>
      <c r="F304" s="350">
        <v>21839.1</v>
      </c>
      <c r="P304" s="283"/>
      <c r="S304" s="225"/>
    </row>
    <row r="305" spans="4:19" x14ac:dyDescent="0.3">
      <c r="D305" s="349">
        <v>45370</v>
      </c>
      <c r="F305" s="350">
        <v>21817.45</v>
      </c>
      <c r="P305" s="283"/>
      <c r="S305" s="225"/>
    </row>
    <row r="306" spans="4:19" x14ac:dyDescent="0.3">
      <c r="D306" s="349">
        <v>45369</v>
      </c>
      <c r="F306" s="350">
        <v>22055.7</v>
      </c>
      <c r="P306" s="283"/>
      <c r="S306" s="225"/>
    </row>
    <row r="307" spans="4:19" x14ac:dyDescent="0.3">
      <c r="D307" s="349">
        <v>45366</v>
      </c>
      <c r="F307" s="350">
        <v>22023.35</v>
      </c>
      <c r="P307" s="283"/>
      <c r="S307" s="225"/>
    </row>
    <row r="308" spans="4:19" x14ac:dyDescent="0.3">
      <c r="D308" s="349">
        <v>45365</v>
      </c>
      <c r="F308" s="350">
        <v>22146.65</v>
      </c>
      <c r="P308" s="283"/>
      <c r="S308" s="225"/>
    </row>
    <row r="309" spans="4:19" x14ac:dyDescent="0.3">
      <c r="D309" s="349">
        <v>45364</v>
      </c>
      <c r="F309" s="350">
        <v>21997.7</v>
      </c>
      <c r="P309" s="283"/>
      <c r="S309" s="225"/>
    </row>
    <row r="310" spans="4:19" x14ac:dyDescent="0.3">
      <c r="D310" s="349">
        <v>45363</v>
      </c>
      <c r="F310" s="350">
        <v>22335.7</v>
      </c>
      <c r="P310" s="283"/>
      <c r="S310" s="225"/>
    </row>
    <row r="311" spans="4:19" x14ac:dyDescent="0.3">
      <c r="D311" s="349">
        <v>45362</v>
      </c>
      <c r="F311" s="350">
        <v>22332.65</v>
      </c>
      <c r="P311" s="283"/>
      <c r="S311" s="225"/>
    </row>
    <row r="312" spans="4:19" x14ac:dyDescent="0.3">
      <c r="D312" s="349">
        <v>45358</v>
      </c>
      <c r="F312" s="350">
        <v>22493.55</v>
      </c>
      <c r="P312" s="283"/>
      <c r="S312" s="225"/>
    </row>
    <row r="313" spans="4:19" x14ac:dyDescent="0.3">
      <c r="D313" s="349">
        <v>45357</v>
      </c>
      <c r="F313" s="350">
        <v>22474.05</v>
      </c>
      <c r="P313" s="283"/>
      <c r="S313" s="225"/>
    </row>
    <row r="314" spans="4:19" x14ac:dyDescent="0.3">
      <c r="D314" s="349">
        <v>45356</v>
      </c>
      <c r="F314" s="350">
        <v>22356.3</v>
      </c>
      <c r="P314" s="283"/>
      <c r="S314" s="225"/>
    </row>
    <row r="315" spans="4:19" x14ac:dyDescent="0.3">
      <c r="D315" s="349">
        <v>45355</v>
      </c>
      <c r="F315" s="350">
        <v>22405.599999999999</v>
      </c>
      <c r="P315" s="283"/>
      <c r="S315" s="225"/>
    </row>
    <row r="316" spans="4:19" x14ac:dyDescent="0.3">
      <c r="D316" s="349">
        <v>45353</v>
      </c>
      <c r="F316" s="350">
        <v>22378.400000000001</v>
      </c>
      <c r="P316" s="283"/>
      <c r="S316" s="225"/>
    </row>
    <row r="317" spans="4:19" x14ac:dyDescent="0.3">
      <c r="D317" s="349">
        <v>45352</v>
      </c>
      <c r="F317" s="350">
        <v>22338.75</v>
      </c>
      <c r="P317" s="283"/>
      <c r="S317" s="225"/>
    </row>
    <row r="318" spans="4:19" x14ac:dyDescent="0.3">
      <c r="D318" s="349">
        <v>45351</v>
      </c>
      <c r="F318" s="350">
        <v>21982.799999999999</v>
      </c>
      <c r="P318" s="283"/>
      <c r="S318" s="225"/>
    </row>
    <row r="319" spans="4:19" x14ac:dyDescent="0.3">
      <c r="D319" s="349">
        <v>45350</v>
      </c>
      <c r="F319" s="350">
        <v>21951.15</v>
      </c>
      <c r="P319" s="283"/>
      <c r="S319" s="225"/>
    </row>
    <row r="320" spans="4:19" x14ac:dyDescent="0.3">
      <c r="D320" s="349">
        <v>45349</v>
      </c>
      <c r="F320" s="350">
        <v>22198.35</v>
      </c>
      <c r="P320" s="283"/>
      <c r="S320" s="225"/>
    </row>
    <row r="321" spans="4:19" x14ac:dyDescent="0.3">
      <c r="D321" s="349">
        <v>45348</v>
      </c>
      <c r="F321" s="350">
        <v>22122.05</v>
      </c>
      <c r="P321" s="283"/>
      <c r="S321" s="225"/>
    </row>
    <row r="322" spans="4:19" x14ac:dyDescent="0.3">
      <c r="D322" s="349">
        <v>45345</v>
      </c>
      <c r="F322" s="350">
        <v>22212.7</v>
      </c>
      <c r="P322" s="283"/>
      <c r="S322" s="225"/>
    </row>
    <row r="323" spans="4:19" x14ac:dyDescent="0.3">
      <c r="D323" s="349">
        <v>45344</v>
      </c>
      <c r="F323" s="350">
        <v>22217.45</v>
      </c>
      <c r="P323" s="283"/>
      <c r="S323" s="225"/>
    </row>
    <row r="324" spans="4:19" x14ac:dyDescent="0.3">
      <c r="D324" s="349">
        <v>45343</v>
      </c>
      <c r="F324" s="350">
        <v>22055.05</v>
      </c>
      <c r="P324" s="283"/>
      <c r="S324" s="225"/>
    </row>
    <row r="325" spans="4:19" x14ac:dyDescent="0.3">
      <c r="D325" s="349">
        <v>45342</v>
      </c>
      <c r="F325" s="350">
        <v>22196.95</v>
      </c>
      <c r="P325" s="283"/>
      <c r="S325" s="225"/>
    </row>
    <row r="326" spans="4:19" x14ac:dyDescent="0.3">
      <c r="D326" s="349">
        <v>45341</v>
      </c>
      <c r="F326" s="350">
        <v>22122.25</v>
      </c>
      <c r="P326" s="283"/>
      <c r="S326" s="225"/>
    </row>
    <row r="327" spans="4:19" x14ac:dyDescent="0.3">
      <c r="D327" s="349">
        <v>45338</v>
      </c>
      <c r="F327" s="350">
        <v>22040.7</v>
      </c>
      <c r="P327" s="283"/>
      <c r="S327" s="225"/>
    </row>
    <row r="328" spans="4:19" x14ac:dyDescent="0.3">
      <c r="D328" s="349">
        <v>45337</v>
      </c>
      <c r="F328" s="350">
        <v>21910.75</v>
      </c>
      <c r="P328" s="283"/>
      <c r="S328" s="225"/>
    </row>
    <row r="329" spans="4:19" x14ac:dyDescent="0.3">
      <c r="D329" s="349">
        <v>45336</v>
      </c>
      <c r="F329" s="350">
        <v>21840.05</v>
      </c>
      <c r="P329" s="283"/>
      <c r="S329" s="225"/>
    </row>
    <row r="330" spans="4:19" x14ac:dyDescent="0.3">
      <c r="D330" s="349">
        <v>45335</v>
      </c>
      <c r="F330" s="350">
        <v>21743.25</v>
      </c>
      <c r="P330" s="283"/>
      <c r="S330" s="225"/>
    </row>
    <row r="331" spans="4:19" x14ac:dyDescent="0.3">
      <c r="D331" s="349">
        <v>45334</v>
      </c>
      <c r="F331" s="350">
        <v>21616.05</v>
      </c>
      <c r="P331" s="283"/>
      <c r="S331" s="225"/>
    </row>
    <row r="332" spans="4:19" x14ac:dyDescent="0.3">
      <c r="D332" s="349">
        <v>45331</v>
      </c>
      <c r="F332" s="350">
        <v>21782.5</v>
      </c>
      <c r="P332" s="283"/>
      <c r="S332" s="225"/>
    </row>
    <row r="333" spans="4:19" x14ac:dyDescent="0.3">
      <c r="D333" s="349">
        <v>45330</v>
      </c>
      <c r="F333" s="350">
        <v>21717.95</v>
      </c>
      <c r="P333" s="283"/>
      <c r="S333" s="225"/>
    </row>
    <row r="334" spans="4:19" x14ac:dyDescent="0.3">
      <c r="D334" s="349">
        <v>45329</v>
      </c>
      <c r="F334" s="350">
        <v>21930.5</v>
      </c>
      <c r="P334" s="283"/>
      <c r="S334" s="225"/>
    </row>
    <row r="335" spans="4:19" x14ac:dyDescent="0.3">
      <c r="D335" s="349">
        <v>45328</v>
      </c>
      <c r="F335" s="350">
        <v>21929.4</v>
      </c>
      <c r="P335" s="283"/>
      <c r="S335" s="225"/>
    </row>
    <row r="336" spans="4:19" x14ac:dyDescent="0.3">
      <c r="D336" s="349">
        <v>45327</v>
      </c>
      <c r="F336" s="350">
        <v>21771.7</v>
      </c>
      <c r="P336" s="283"/>
      <c r="S336" s="225"/>
    </row>
    <row r="337" spans="4:19" x14ac:dyDescent="0.3">
      <c r="D337" s="349">
        <v>45324</v>
      </c>
      <c r="F337" s="350">
        <v>21853.8</v>
      </c>
      <c r="P337" s="283"/>
      <c r="S337" s="225"/>
    </row>
    <row r="338" spans="4:19" x14ac:dyDescent="0.3">
      <c r="D338" s="349">
        <v>45323</v>
      </c>
      <c r="F338" s="350">
        <v>21697.45</v>
      </c>
      <c r="P338" s="283"/>
      <c r="S338" s="225"/>
    </row>
    <row r="339" spans="4:19" x14ac:dyDescent="0.3">
      <c r="D339" s="349">
        <v>45322</v>
      </c>
      <c r="F339" s="350">
        <v>21725.7</v>
      </c>
      <c r="P339" s="283"/>
      <c r="S339" s="225"/>
    </row>
    <row r="340" spans="4:19" x14ac:dyDescent="0.3">
      <c r="D340" s="349">
        <v>45321</v>
      </c>
      <c r="F340" s="350">
        <v>21522.1</v>
      </c>
      <c r="P340" s="283"/>
      <c r="S340" s="225"/>
    </row>
    <row r="341" spans="4:19" x14ac:dyDescent="0.3">
      <c r="D341" s="349">
        <v>45320</v>
      </c>
      <c r="F341" s="350">
        <v>21737.599999999999</v>
      </c>
      <c r="P341" s="283"/>
      <c r="S341" s="225"/>
    </row>
    <row r="342" spans="4:19" x14ac:dyDescent="0.3">
      <c r="D342" s="349">
        <v>45316</v>
      </c>
      <c r="F342" s="350">
        <v>21352.6</v>
      </c>
      <c r="P342" s="283"/>
      <c r="S342" s="225"/>
    </row>
    <row r="343" spans="4:19" x14ac:dyDescent="0.3">
      <c r="D343" s="349">
        <v>45315</v>
      </c>
      <c r="F343" s="350">
        <v>21453.95</v>
      </c>
      <c r="P343" s="283"/>
      <c r="S343" s="225"/>
    </row>
    <row r="344" spans="4:19" x14ac:dyDescent="0.3">
      <c r="D344" s="349">
        <v>45314</v>
      </c>
      <c r="F344" s="350">
        <v>21238.799999999999</v>
      </c>
      <c r="P344" s="283"/>
      <c r="S344" s="225"/>
    </row>
    <row r="345" spans="4:19" x14ac:dyDescent="0.3">
      <c r="D345" s="349">
        <v>45311</v>
      </c>
      <c r="F345" s="350">
        <v>21571.8</v>
      </c>
      <c r="P345" s="283"/>
      <c r="S345" s="225"/>
    </row>
    <row r="346" spans="4:19" x14ac:dyDescent="0.3">
      <c r="D346" s="349">
        <v>45310</v>
      </c>
      <c r="F346" s="350">
        <v>21622.400000000001</v>
      </c>
      <c r="P346" s="283"/>
      <c r="S346" s="225"/>
    </row>
    <row r="347" spans="4:19" x14ac:dyDescent="0.3">
      <c r="D347" s="349">
        <v>45309</v>
      </c>
      <c r="F347" s="350">
        <v>21462.25</v>
      </c>
      <c r="P347" s="283"/>
      <c r="S347" s="225"/>
    </row>
    <row r="348" spans="4:19" x14ac:dyDescent="0.3">
      <c r="D348" s="349">
        <v>45308</v>
      </c>
      <c r="F348" s="350">
        <v>21571.95</v>
      </c>
      <c r="P348" s="283"/>
      <c r="S348" s="225"/>
    </row>
    <row r="349" spans="4:19" x14ac:dyDescent="0.3">
      <c r="D349" s="349">
        <v>45307</v>
      </c>
      <c r="F349" s="350">
        <v>22032.3</v>
      </c>
      <c r="P349" s="283"/>
      <c r="S349" s="225"/>
    </row>
    <row r="350" spans="4:19" x14ac:dyDescent="0.3">
      <c r="D350" s="349">
        <v>45306</v>
      </c>
      <c r="F350" s="350">
        <v>22097.45</v>
      </c>
      <c r="P350" s="283"/>
      <c r="S350" s="225"/>
    </row>
    <row r="351" spans="4:19" x14ac:dyDescent="0.3">
      <c r="D351" s="349">
        <v>45303</v>
      </c>
      <c r="F351" s="350">
        <v>21894.55</v>
      </c>
      <c r="P351" s="283"/>
      <c r="S351" s="225"/>
    </row>
    <row r="352" spans="4:19" x14ac:dyDescent="0.3">
      <c r="D352" s="349">
        <v>45302</v>
      </c>
      <c r="F352" s="350">
        <v>21647.200000000001</v>
      </c>
      <c r="P352" s="283"/>
      <c r="S352" s="225"/>
    </row>
    <row r="353" spans="4:19" x14ac:dyDescent="0.3">
      <c r="D353" s="349">
        <v>45301</v>
      </c>
      <c r="F353" s="350">
        <v>21618.7</v>
      </c>
      <c r="P353" s="283"/>
      <c r="S353" s="225"/>
    </row>
    <row r="354" spans="4:19" x14ac:dyDescent="0.3">
      <c r="D354" s="349">
        <v>45300</v>
      </c>
      <c r="F354" s="350">
        <v>21544.85</v>
      </c>
      <c r="P354" s="283"/>
      <c r="S354" s="225"/>
    </row>
    <row r="355" spans="4:19" x14ac:dyDescent="0.3">
      <c r="D355" s="349">
        <v>45299</v>
      </c>
      <c r="F355" s="350">
        <v>21513</v>
      </c>
      <c r="P355" s="283"/>
      <c r="S355" s="225"/>
    </row>
    <row r="356" spans="4:19" x14ac:dyDescent="0.3">
      <c r="D356" s="349">
        <v>45296</v>
      </c>
      <c r="F356" s="350">
        <v>21710.799999999999</v>
      </c>
      <c r="P356" s="283"/>
      <c r="S356" s="225"/>
    </row>
    <row r="357" spans="4:19" x14ac:dyDescent="0.3">
      <c r="D357" s="349">
        <v>45295</v>
      </c>
      <c r="F357" s="350">
        <v>21658.6</v>
      </c>
      <c r="P357" s="283"/>
      <c r="S357" s="225"/>
    </row>
    <row r="358" spans="4:19" x14ac:dyDescent="0.3">
      <c r="D358" s="349">
        <v>45294</v>
      </c>
      <c r="F358" s="350">
        <v>21517.35</v>
      </c>
      <c r="P358" s="283"/>
      <c r="S358" s="225"/>
    </row>
    <row r="359" spans="4:19" x14ac:dyDescent="0.3">
      <c r="D359" s="349">
        <v>45293</v>
      </c>
      <c r="F359" s="350">
        <v>21665.8</v>
      </c>
      <c r="P359" s="283"/>
      <c r="S359" s="225"/>
    </row>
    <row r="360" spans="4:19" x14ac:dyDescent="0.3">
      <c r="D360" s="349">
        <v>45292</v>
      </c>
      <c r="F360" s="350">
        <v>21741.9</v>
      </c>
      <c r="P360" s="283"/>
      <c r="S360" s="225"/>
    </row>
    <row r="361" spans="4:19" x14ac:dyDescent="0.3">
      <c r="D361" s="349">
        <v>45289</v>
      </c>
      <c r="F361" s="350">
        <v>21731.4</v>
      </c>
      <c r="P361" s="283"/>
      <c r="S361" s="225"/>
    </row>
    <row r="362" spans="4:19" x14ac:dyDescent="0.3">
      <c r="D362" s="349">
        <v>45288</v>
      </c>
      <c r="F362" s="350">
        <v>21778.7</v>
      </c>
      <c r="P362" s="283"/>
      <c r="S362" s="225"/>
    </row>
    <row r="363" spans="4:19" x14ac:dyDescent="0.3">
      <c r="D363" s="349">
        <v>45287</v>
      </c>
      <c r="F363" s="350">
        <v>21654.75</v>
      </c>
      <c r="P363" s="283"/>
      <c r="S363" s="225"/>
    </row>
    <row r="364" spans="4:19" x14ac:dyDescent="0.3">
      <c r="D364" s="349">
        <v>45286</v>
      </c>
      <c r="F364" s="350">
        <v>21441.35</v>
      </c>
      <c r="P364" s="283"/>
      <c r="S364" s="225"/>
    </row>
    <row r="365" spans="4:19" x14ac:dyDescent="0.3">
      <c r="D365" s="349">
        <v>45282</v>
      </c>
      <c r="F365" s="350">
        <v>21349.4</v>
      </c>
      <c r="P365" s="283"/>
      <c r="S365" s="225"/>
    </row>
    <row r="366" spans="4:19" x14ac:dyDescent="0.3">
      <c r="D366" s="349">
        <v>45281</v>
      </c>
      <c r="F366" s="350">
        <v>21255.05</v>
      </c>
      <c r="P366" s="283"/>
      <c r="S366" s="225"/>
    </row>
    <row r="367" spans="4:19" x14ac:dyDescent="0.3">
      <c r="D367" s="349">
        <v>45280</v>
      </c>
      <c r="F367" s="350">
        <v>21150.15</v>
      </c>
      <c r="P367" s="283"/>
      <c r="S367" s="225"/>
    </row>
    <row r="368" spans="4:19" x14ac:dyDescent="0.3">
      <c r="D368" s="349">
        <v>45279</v>
      </c>
      <c r="F368" s="350">
        <v>21453.1</v>
      </c>
      <c r="P368" s="283"/>
      <c r="S368" s="225"/>
    </row>
    <row r="369" spans="4:19" x14ac:dyDescent="0.3">
      <c r="D369" s="349">
        <v>45278</v>
      </c>
      <c r="F369" s="350">
        <v>21418.65</v>
      </c>
      <c r="P369" s="283"/>
      <c r="S369" s="225"/>
    </row>
    <row r="370" spans="4:19" x14ac:dyDescent="0.3">
      <c r="D370" s="349">
        <v>45275</v>
      </c>
      <c r="F370" s="350">
        <v>21456.65</v>
      </c>
      <c r="P370" s="283"/>
      <c r="S370" s="225"/>
    </row>
    <row r="371" spans="4:19" x14ac:dyDescent="0.3">
      <c r="D371" s="349">
        <v>45274</v>
      </c>
      <c r="F371" s="350">
        <v>21182.7</v>
      </c>
      <c r="P371" s="283"/>
      <c r="S371" s="225"/>
    </row>
    <row r="372" spans="4:19" x14ac:dyDescent="0.3">
      <c r="D372" s="349">
        <v>45273</v>
      </c>
      <c r="F372" s="350">
        <v>20926.349999999999</v>
      </c>
      <c r="P372" s="283"/>
      <c r="S372" s="225"/>
    </row>
    <row r="373" spans="4:19" x14ac:dyDescent="0.3">
      <c r="D373" s="349">
        <v>45272</v>
      </c>
      <c r="F373" s="350">
        <v>20906.400000000001</v>
      </c>
      <c r="P373" s="283"/>
      <c r="S373" s="225"/>
    </row>
    <row r="374" spans="4:19" x14ac:dyDescent="0.3">
      <c r="D374" s="349">
        <v>45271</v>
      </c>
      <c r="F374" s="350">
        <v>20997.1</v>
      </c>
      <c r="P374" s="283"/>
      <c r="S374" s="225"/>
    </row>
    <row r="375" spans="4:19" x14ac:dyDescent="0.3">
      <c r="D375" s="349">
        <v>45268</v>
      </c>
      <c r="F375" s="350">
        <v>20969.400000000001</v>
      </c>
      <c r="P375" s="283"/>
      <c r="S375" s="225"/>
    </row>
    <row r="376" spans="4:19" x14ac:dyDescent="0.3">
      <c r="D376" s="349">
        <v>45267</v>
      </c>
      <c r="F376" s="350">
        <v>20901.150000000001</v>
      </c>
      <c r="P376" s="283"/>
      <c r="S376" s="225"/>
    </row>
    <row r="377" spans="4:19" x14ac:dyDescent="0.3">
      <c r="D377" s="349">
        <v>45266</v>
      </c>
      <c r="F377" s="350">
        <v>20937.7</v>
      </c>
      <c r="P377" s="283"/>
      <c r="S377" s="225"/>
    </row>
    <row r="378" spans="4:19" x14ac:dyDescent="0.3">
      <c r="D378" s="349">
        <v>45265</v>
      </c>
      <c r="F378" s="350">
        <v>20855.099999999999</v>
      </c>
      <c r="P378" s="283"/>
      <c r="S378" s="225"/>
    </row>
    <row r="379" spans="4:19" x14ac:dyDescent="0.3">
      <c r="D379" s="349">
        <v>45264</v>
      </c>
      <c r="F379" s="350">
        <v>20686.8</v>
      </c>
      <c r="P379" s="283"/>
      <c r="S379" s="225"/>
    </row>
    <row r="380" spans="4:19" x14ac:dyDescent="0.3">
      <c r="D380" s="349">
        <v>45261</v>
      </c>
      <c r="F380" s="350">
        <v>20267.900000000001</v>
      </c>
      <c r="P380" s="283"/>
      <c r="S380" s="225"/>
    </row>
    <row r="381" spans="4:19" x14ac:dyDescent="0.3">
      <c r="D381" s="349">
        <v>45260</v>
      </c>
      <c r="F381" s="350">
        <v>20133.150000000001</v>
      </c>
      <c r="P381" s="283"/>
      <c r="S381" s="225"/>
    </row>
    <row r="382" spans="4:19" x14ac:dyDescent="0.3">
      <c r="D382" s="349">
        <v>45259</v>
      </c>
      <c r="F382" s="350">
        <v>20096.599999999999</v>
      </c>
      <c r="P382" s="283"/>
      <c r="S382" s="225"/>
    </row>
    <row r="383" spans="4:19" x14ac:dyDescent="0.3">
      <c r="D383" s="349">
        <v>45258</v>
      </c>
      <c r="F383" s="350">
        <v>19889.7</v>
      </c>
      <c r="P383" s="283"/>
      <c r="S383" s="225"/>
    </row>
    <row r="384" spans="4:19" x14ac:dyDescent="0.3">
      <c r="D384" s="349">
        <v>45254</v>
      </c>
      <c r="F384" s="350">
        <v>19794.7</v>
      </c>
      <c r="P384" s="283"/>
      <c r="S384" s="225"/>
    </row>
    <row r="385" spans="4:19" x14ac:dyDescent="0.3">
      <c r="D385" s="349">
        <v>45253</v>
      </c>
      <c r="F385" s="350">
        <v>19802</v>
      </c>
      <c r="P385" s="283"/>
      <c r="S385" s="225"/>
    </row>
    <row r="386" spans="4:19" x14ac:dyDescent="0.3">
      <c r="D386" s="349">
        <v>45252</v>
      </c>
      <c r="F386" s="350">
        <v>19811.849999999999</v>
      </c>
      <c r="P386" s="283"/>
      <c r="S386" s="225"/>
    </row>
    <row r="387" spans="4:19" x14ac:dyDescent="0.3">
      <c r="D387" s="349">
        <v>45251</v>
      </c>
      <c r="F387" s="350">
        <v>19783.400000000001</v>
      </c>
      <c r="P387" s="283"/>
      <c r="S387" s="225"/>
    </row>
    <row r="388" spans="4:19" x14ac:dyDescent="0.3">
      <c r="D388" s="349">
        <v>45250</v>
      </c>
      <c r="F388" s="350">
        <v>19694</v>
      </c>
      <c r="P388" s="283"/>
      <c r="S388" s="225"/>
    </row>
    <row r="389" spans="4:19" x14ac:dyDescent="0.3">
      <c r="D389" s="349">
        <v>45247</v>
      </c>
      <c r="F389" s="350">
        <v>19731.8</v>
      </c>
      <c r="P389" s="283"/>
      <c r="S389" s="225"/>
    </row>
    <row r="390" spans="4:19" x14ac:dyDescent="0.3">
      <c r="D390" s="349">
        <v>45246</v>
      </c>
      <c r="F390" s="350">
        <v>19765.2</v>
      </c>
      <c r="P390" s="283"/>
      <c r="S390" s="225"/>
    </row>
    <row r="391" spans="4:19" x14ac:dyDescent="0.3">
      <c r="D391" s="349">
        <v>45245</v>
      </c>
      <c r="F391" s="350">
        <v>19675.45</v>
      </c>
      <c r="P391" s="283"/>
      <c r="S391" s="225"/>
    </row>
    <row r="392" spans="4:19" x14ac:dyDescent="0.3">
      <c r="D392" s="349">
        <v>45243</v>
      </c>
      <c r="F392" s="350">
        <v>19443.55</v>
      </c>
      <c r="P392" s="283"/>
      <c r="S392" s="225"/>
    </row>
    <row r="393" spans="4:19" x14ac:dyDescent="0.3">
      <c r="D393" s="349">
        <v>45242</v>
      </c>
      <c r="F393" s="350">
        <v>19525.55</v>
      </c>
      <c r="P393" s="283"/>
      <c r="S393" s="225"/>
    </row>
    <row r="394" spans="4:19" x14ac:dyDescent="0.3">
      <c r="D394" s="349">
        <v>45240</v>
      </c>
      <c r="F394" s="350">
        <v>19425.349999999999</v>
      </c>
      <c r="P394" s="283"/>
      <c r="S394" s="225"/>
    </row>
    <row r="395" spans="4:19" x14ac:dyDescent="0.3">
      <c r="D395" s="349">
        <v>45239</v>
      </c>
      <c r="F395" s="350">
        <v>19395.3</v>
      </c>
      <c r="P395" s="283"/>
      <c r="S395" s="225"/>
    </row>
    <row r="396" spans="4:19" x14ac:dyDescent="0.3">
      <c r="D396" s="349">
        <v>45238</v>
      </c>
      <c r="F396" s="350">
        <v>19443.5</v>
      </c>
      <c r="P396" s="283"/>
      <c r="S396" s="225"/>
    </row>
    <row r="397" spans="4:19" x14ac:dyDescent="0.3">
      <c r="D397" s="349">
        <v>45237</v>
      </c>
      <c r="F397" s="350">
        <v>19406.7</v>
      </c>
      <c r="P397" s="283"/>
      <c r="S397" s="225"/>
    </row>
    <row r="398" spans="4:19" x14ac:dyDescent="0.3">
      <c r="D398" s="349">
        <v>45236</v>
      </c>
      <c r="F398" s="350">
        <v>19411.75</v>
      </c>
      <c r="P398" s="283"/>
      <c r="S398" s="225"/>
    </row>
    <row r="399" spans="4:19" x14ac:dyDescent="0.3">
      <c r="D399" s="349">
        <v>45233</v>
      </c>
      <c r="F399" s="350">
        <v>19230.599999999999</v>
      </c>
      <c r="P399" s="283"/>
      <c r="S399" s="225"/>
    </row>
    <row r="400" spans="4:19" x14ac:dyDescent="0.3">
      <c r="D400" s="349">
        <v>45232</v>
      </c>
      <c r="F400" s="350">
        <v>19133.25</v>
      </c>
      <c r="P400" s="283"/>
      <c r="S400" s="225"/>
    </row>
    <row r="401" spans="4:19" x14ac:dyDescent="0.3">
      <c r="D401" s="349">
        <v>45231</v>
      </c>
      <c r="F401" s="350">
        <v>18989.150000000001</v>
      </c>
      <c r="P401" s="283"/>
      <c r="S401" s="225"/>
    </row>
    <row r="402" spans="4:19" x14ac:dyDescent="0.3">
      <c r="D402" s="349">
        <v>45230</v>
      </c>
      <c r="F402" s="350">
        <v>19079.599999999999</v>
      </c>
      <c r="P402" s="283"/>
      <c r="S402" s="225"/>
    </row>
    <row r="403" spans="4:19" x14ac:dyDescent="0.3">
      <c r="D403" s="349">
        <v>45229</v>
      </c>
      <c r="F403" s="350">
        <v>19140.900000000001</v>
      </c>
      <c r="P403" s="283"/>
      <c r="S403" s="225"/>
    </row>
    <row r="404" spans="4:19" x14ac:dyDescent="0.3">
      <c r="D404" s="349">
        <v>45226</v>
      </c>
      <c r="F404" s="350">
        <v>19047.25</v>
      </c>
      <c r="P404" s="283"/>
      <c r="S404" s="225"/>
    </row>
    <row r="405" spans="4:19" x14ac:dyDescent="0.3">
      <c r="D405" s="349">
        <v>45225</v>
      </c>
      <c r="F405" s="350">
        <v>18857.25</v>
      </c>
      <c r="P405" s="283"/>
      <c r="S405" s="225"/>
    </row>
    <row r="406" spans="4:19" x14ac:dyDescent="0.3">
      <c r="D406" s="349">
        <v>45224</v>
      </c>
      <c r="F406" s="350">
        <v>19122.150000000001</v>
      </c>
      <c r="P406" s="283"/>
      <c r="S406" s="225"/>
    </row>
    <row r="407" spans="4:19" x14ac:dyDescent="0.3">
      <c r="D407" s="349">
        <v>45222</v>
      </c>
      <c r="F407" s="350">
        <v>19281.75</v>
      </c>
      <c r="P407" s="283"/>
      <c r="S407" s="225"/>
    </row>
    <row r="408" spans="4:19" x14ac:dyDescent="0.3">
      <c r="D408" s="349">
        <v>45219</v>
      </c>
      <c r="F408" s="350">
        <v>19542.650000000001</v>
      </c>
      <c r="P408" s="283"/>
      <c r="S408" s="225"/>
    </row>
    <row r="409" spans="4:19" x14ac:dyDescent="0.3">
      <c r="D409" s="349">
        <v>45218</v>
      </c>
      <c r="F409" s="350">
        <v>19624.7</v>
      </c>
      <c r="P409" s="283"/>
      <c r="S409" s="225"/>
    </row>
    <row r="410" spans="4:19" x14ac:dyDescent="0.3">
      <c r="D410" s="349">
        <v>45217</v>
      </c>
      <c r="F410" s="350">
        <v>19671.099999999999</v>
      </c>
      <c r="P410" s="283"/>
      <c r="S410" s="225"/>
    </row>
    <row r="411" spans="4:19" x14ac:dyDescent="0.3">
      <c r="D411" s="349">
        <v>45216</v>
      </c>
      <c r="F411" s="350">
        <v>19811.5</v>
      </c>
      <c r="P411" s="283"/>
      <c r="S411" s="225"/>
    </row>
    <row r="412" spans="4:19" x14ac:dyDescent="0.3">
      <c r="D412" s="349">
        <v>45215</v>
      </c>
      <c r="F412" s="350">
        <v>19731.75</v>
      </c>
      <c r="P412" s="283"/>
      <c r="S412" s="225"/>
    </row>
    <row r="413" spans="4:19" x14ac:dyDescent="0.3">
      <c r="D413" s="349">
        <v>45212</v>
      </c>
      <c r="F413" s="350">
        <v>19751.05</v>
      </c>
      <c r="P413" s="283"/>
      <c r="S413" s="225"/>
    </row>
    <row r="414" spans="4:19" x14ac:dyDescent="0.3">
      <c r="D414" s="349">
        <v>45211</v>
      </c>
      <c r="F414" s="350">
        <v>19794</v>
      </c>
      <c r="P414" s="283"/>
      <c r="S414" s="225"/>
    </row>
    <row r="415" spans="4:19" x14ac:dyDescent="0.3">
      <c r="D415" s="349">
        <v>45210</v>
      </c>
      <c r="F415" s="350">
        <v>19811.349999999999</v>
      </c>
      <c r="P415" s="283"/>
      <c r="S415" s="225"/>
    </row>
    <row r="416" spans="4:19" x14ac:dyDescent="0.3">
      <c r="D416" s="349">
        <v>45209</v>
      </c>
      <c r="F416" s="350">
        <v>19689.849999999999</v>
      </c>
      <c r="P416" s="283"/>
      <c r="S416" s="225"/>
    </row>
    <row r="417" spans="4:19" x14ac:dyDescent="0.3">
      <c r="D417" s="349">
        <v>45208</v>
      </c>
      <c r="F417" s="350">
        <v>19512.349999999999</v>
      </c>
      <c r="P417" s="283"/>
      <c r="S417" s="225"/>
    </row>
    <row r="418" spans="4:19" x14ac:dyDescent="0.3">
      <c r="D418" s="349">
        <v>45205</v>
      </c>
      <c r="F418" s="350">
        <v>19653.5</v>
      </c>
      <c r="P418" s="283"/>
      <c r="S418" s="225"/>
    </row>
    <row r="419" spans="4:19" x14ac:dyDescent="0.3">
      <c r="D419" s="349">
        <v>45204</v>
      </c>
      <c r="F419" s="350">
        <v>19545.75</v>
      </c>
      <c r="P419" s="283"/>
      <c r="S419" s="225"/>
    </row>
    <row r="420" spans="4:19" x14ac:dyDescent="0.3">
      <c r="D420" s="349">
        <v>45203</v>
      </c>
      <c r="F420" s="350">
        <v>19436.099999999999</v>
      </c>
      <c r="P420" s="283"/>
      <c r="S420" s="225"/>
    </row>
    <row r="421" spans="4:19" x14ac:dyDescent="0.3">
      <c r="D421" s="349">
        <v>45202</v>
      </c>
      <c r="F421" s="350">
        <v>19528.75</v>
      </c>
      <c r="P421" s="283"/>
      <c r="S421" s="225"/>
    </row>
    <row r="422" spans="4:19" x14ac:dyDescent="0.3">
      <c r="D422" s="349">
        <v>45198</v>
      </c>
      <c r="F422" s="350">
        <v>19638.3</v>
      </c>
      <c r="P422" s="283"/>
      <c r="S422" s="225"/>
    </row>
    <row r="423" spans="4:19" x14ac:dyDescent="0.3">
      <c r="D423" s="349">
        <v>45197</v>
      </c>
      <c r="F423" s="350">
        <v>19523.55</v>
      </c>
      <c r="P423" s="283"/>
      <c r="S423" s="225"/>
    </row>
    <row r="424" spans="4:19" x14ac:dyDescent="0.3">
      <c r="D424" s="349">
        <v>45196</v>
      </c>
      <c r="F424" s="350">
        <v>19716.45</v>
      </c>
      <c r="P424" s="283"/>
      <c r="S424" s="225"/>
    </row>
    <row r="425" spans="4:19" x14ac:dyDescent="0.3">
      <c r="D425" s="349">
        <v>45195</v>
      </c>
      <c r="F425" s="350">
        <v>19664.7</v>
      </c>
      <c r="P425" s="283"/>
      <c r="S425" s="225"/>
    </row>
    <row r="426" spans="4:19" x14ac:dyDescent="0.3">
      <c r="D426" s="349">
        <v>45194</v>
      </c>
      <c r="F426" s="350">
        <v>19674.55</v>
      </c>
      <c r="P426" s="283"/>
      <c r="S426" s="225"/>
    </row>
    <row r="427" spans="4:19" x14ac:dyDescent="0.3">
      <c r="D427" s="349">
        <v>45191</v>
      </c>
      <c r="F427" s="350">
        <v>19674.25</v>
      </c>
      <c r="P427" s="283"/>
      <c r="S427" s="225"/>
    </row>
    <row r="428" spans="4:19" x14ac:dyDescent="0.3">
      <c r="D428" s="349">
        <v>45190</v>
      </c>
      <c r="F428" s="350">
        <v>19742.349999999999</v>
      </c>
      <c r="P428" s="283"/>
      <c r="S428" s="225"/>
    </row>
    <row r="429" spans="4:19" x14ac:dyDescent="0.3">
      <c r="D429" s="349">
        <v>45189</v>
      </c>
      <c r="F429" s="350">
        <v>19901.400000000001</v>
      </c>
      <c r="P429" s="283"/>
      <c r="S429" s="225"/>
    </row>
    <row r="430" spans="4:19" x14ac:dyDescent="0.3">
      <c r="D430" s="349">
        <v>45187</v>
      </c>
      <c r="F430" s="350">
        <v>20133.3</v>
      </c>
      <c r="P430" s="283"/>
      <c r="S430" s="225"/>
    </row>
    <row r="431" spans="4:19" x14ac:dyDescent="0.3">
      <c r="D431" s="349">
        <v>45184</v>
      </c>
      <c r="F431" s="350">
        <v>20192.349999999999</v>
      </c>
      <c r="P431" s="283"/>
      <c r="S431" s="225"/>
    </row>
    <row r="432" spans="4:19" x14ac:dyDescent="0.3">
      <c r="D432" s="349">
        <v>45183</v>
      </c>
      <c r="F432" s="350">
        <v>20103.099999999999</v>
      </c>
      <c r="P432" s="283"/>
      <c r="S432" s="225"/>
    </row>
    <row r="433" spans="4:19" x14ac:dyDescent="0.3">
      <c r="D433" s="349">
        <v>45182</v>
      </c>
      <c r="F433" s="350">
        <v>20070</v>
      </c>
      <c r="P433" s="283"/>
      <c r="S433" s="225"/>
    </row>
    <row r="434" spans="4:19" x14ac:dyDescent="0.3">
      <c r="D434" s="349">
        <v>45181</v>
      </c>
      <c r="F434" s="350">
        <v>19993.2</v>
      </c>
      <c r="P434" s="283"/>
      <c r="S434" s="225"/>
    </row>
    <row r="435" spans="4:19" x14ac:dyDescent="0.3">
      <c r="D435" s="349">
        <v>45180</v>
      </c>
      <c r="F435" s="350">
        <v>19996.349999999999</v>
      </c>
      <c r="P435" s="283"/>
      <c r="S435" s="225"/>
    </row>
    <row r="436" spans="4:19" x14ac:dyDescent="0.3">
      <c r="D436" s="349">
        <v>45177</v>
      </c>
      <c r="F436" s="350">
        <v>19819.95</v>
      </c>
      <c r="P436" s="283"/>
      <c r="S436" s="225"/>
    </row>
    <row r="437" spans="4:19" x14ac:dyDescent="0.3">
      <c r="D437" s="349">
        <v>45176</v>
      </c>
      <c r="F437" s="350">
        <v>19727.05</v>
      </c>
      <c r="P437" s="283"/>
      <c r="S437" s="225"/>
    </row>
    <row r="438" spans="4:19" x14ac:dyDescent="0.3">
      <c r="D438" s="349">
        <v>45175</v>
      </c>
      <c r="F438" s="350">
        <v>19611.05</v>
      </c>
      <c r="P438" s="283"/>
      <c r="S438" s="225"/>
    </row>
    <row r="439" spans="4:19" x14ac:dyDescent="0.3">
      <c r="D439" s="349">
        <v>45174</v>
      </c>
      <c r="F439" s="350">
        <v>19574.900000000001</v>
      </c>
      <c r="P439" s="283"/>
      <c r="S439" s="225"/>
    </row>
    <row r="440" spans="4:19" x14ac:dyDescent="0.3">
      <c r="D440" s="349">
        <v>45173</v>
      </c>
      <c r="F440" s="350">
        <v>19528.8</v>
      </c>
      <c r="P440" s="283"/>
      <c r="S440" s="225"/>
    </row>
    <row r="441" spans="4:19" x14ac:dyDescent="0.3">
      <c r="D441" s="349">
        <v>45170</v>
      </c>
      <c r="F441" s="350">
        <v>19435.3</v>
      </c>
      <c r="P441" s="283"/>
      <c r="S441" s="225"/>
    </row>
    <row r="442" spans="4:19" x14ac:dyDescent="0.3">
      <c r="D442" s="349">
        <v>45169</v>
      </c>
      <c r="F442" s="350">
        <v>19253.8</v>
      </c>
      <c r="P442" s="283"/>
      <c r="S442" s="225"/>
    </row>
    <row r="443" spans="4:19" x14ac:dyDescent="0.3">
      <c r="D443" s="349">
        <v>45168</v>
      </c>
      <c r="F443" s="350">
        <v>19347.45</v>
      </c>
      <c r="P443" s="283"/>
      <c r="S443" s="225"/>
    </row>
    <row r="444" spans="4:19" x14ac:dyDescent="0.3">
      <c r="D444" s="349">
        <v>45167</v>
      </c>
      <c r="F444" s="350">
        <v>19342.650000000001</v>
      </c>
      <c r="P444" s="283"/>
      <c r="S444" s="225"/>
    </row>
    <row r="445" spans="4:19" x14ac:dyDescent="0.3">
      <c r="D445" s="349">
        <v>45166</v>
      </c>
      <c r="F445" s="350">
        <v>19306.05</v>
      </c>
      <c r="P445" s="283"/>
      <c r="S445" s="225"/>
    </row>
    <row r="446" spans="4:19" x14ac:dyDescent="0.3">
      <c r="D446" s="349">
        <v>45163</v>
      </c>
      <c r="F446" s="350">
        <v>19265.8</v>
      </c>
      <c r="P446" s="283"/>
      <c r="S446" s="225"/>
    </row>
    <row r="447" spans="4:19" x14ac:dyDescent="0.3">
      <c r="D447" s="349">
        <v>45162</v>
      </c>
      <c r="F447" s="350">
        <v>19386.7</v>
      </c>
      <c r="P447" s="283"/>
      <c r="S447" s="225"/>
    </row>
    <row r="448" spans="4:19" x14ac:dyDescent="0.3">
      <c r="D448" s="349">
        <v>45161</v>
      </c>
      <c r="F448" s="350">
        <v>19444</v>
      </c>
      <c r="P448" s="283"/>
      <c r="S448" s="225"/>
    </row>
    <row r="449" spans="4:19" x14ac:dyDescent="0.3">
      <c r="D449" s="349">
        <v>45160</v>
      </c>
      <c r="F449" s="350">
        <v>19396.45</v>
      </c>
      <c r="P449" s="283"/>
      <c r="S449" s="225"/>
    </row>
    <row r="450" spans="4:19" x14ac:dyDescent="0.3">
      <c r="D450" s="349">
        <v>45159</v>
      </c>
      <c r="F450" s="350">
        <v>19393.599999999999</v>
      </c>
      <c r="P450" s="283"/>
      <c r="S450" s="225"/>
    </row>
    <row r="451" spans="4:19" x14ac:dyDescent="0.3">
      <c r="D451" s="349">
        <v>45156</v>
      </c>
      <c r="F451" s="350">
        <v>19310.150000000001</v>
      </c>
      <c r="P451" s="283"/>
      <c r="S451" s="225"/>
    </row>
    <row r="452" spans="4:19" x14ac:dyDescent="0.3">
      <c r="D452" s="349">
        <v>45155</v>
      </c>
      <c r="F452" s="350">
        <v>19365.25</v>
      </c>
      <c r="P452" s="283"/>
      <c r="S452" s="225"/>
    </row>
    <row r="453" spans="4:19" x14ac:dyDescent="0.3">
      <c r="D453" s="349">
        <v>45154</v>
      </c>
      <c r="F453" s="350">
        <v>19465</v>
      </c>
      <c r="P453" s="283"/>
      <c r="S453" s="225"/>
    </row>
    <row r="454" spans="4:19" x14ac:dyDescent="0.3">
      <c r="D454" s="349">
        <v>45152</v>
      </c>
      <c r="F454" s="350">
        <v>19434.55</v>
      </c>
      <c r="P454" s="283"/>
      <c r="S454" s="225"/>
    </row>
    <row r="455" spans="4:19" x14ac:dyDescent="0.3">
      <c r="D455" s="349">
        <v>45149</v>
      </c>
      <c r="F455" s="350">
        <v>19428.3</v>
      </c>
      <c r="P455" s="283"/>
      <c r="S455" s="225"/>
    </row>
    <row r="456" spans="4:19" x14ac:dyDescent="0.3">
      <c r="D456" s="349">
        <v>45148</v>
      </c>
      <c r="F456" s="350">
        <v>19543.099999999999</v>
      </c>
      <c r="P456" s="283"/>
      <c r="S456" s="225"/>
    </row>
    <row r="457" spans="4:19" x14ac:dyDescent="0.3">
      <c r="D457" s="349">
        <v>45147</v>
      </c>
      <c r="F457" s="350">
        <v>19632.55</v>
      </c>
      <c r="P457" s="283"/>
      <c r="S457" s="225"/>
    </row>
    <row r="458" spans="4:19" x14ac:dyDescent="0.3">
      <c r="D458" s="349">
        <v>45146</v>
      </c>
      <c r="F458" s="350">
        <v>19570.849999999999</v>
      </c>
      <c r="P458" s="283"/>
      <c r="S458" s="225"/>
    </row>
    <row r="459" spans="4:19" x14ac:dyDescent="0.3">
      <c r="D459" s="349">
        <v>45145</v>
      </c>
      <c r="F459" s="350">
        <v>19597.3</v>
      </c>
      <c r="P459" s="283"/>
      <c r="S459" s="225"/>
    </row>
    <row r="460" spans="4:19" x14ac:dyDescent="0.3">
      <c r="D460" s="349">
        <v>45142</v>
      </c>
      <c r="F460" s="350">
        <v>19517</v>
      </c>
      <c r="P460" s="283"/>
      <c r="S460" s="225"/>
    </row>
    <row r="461" spans="4:19" x14ac:dyDescent="0.3">
      <c r="D461" s="349">
        <v>45141</v>
      </c>
      <c r="F461" s="350">
        <v>19381.650000000001</v>
      </c>
      <c r="P461" s="283"/>
      <c r="S461" s="225"/>
    </row>
    <row r="462" spans="4:19" x14ac:dyDescent="0.3">
      <c r="D462" s="349">
        <v>45140</v>
      </c>
      <c r="F462" s="350">
        <v>19526.55</v>
      </c>
      <c r="P462" s="283"/>
      <c r="S462" s="225"/>
    </row>
    <row r="463" spans="4:19" x14ac:dyDescent="0.3">
      <c r="D463" s="349">
        <v>45139</v>
      </c>
      <c r="F463" s="350">
        <v>19733.55</v>
      </c>
      <c r="P463" s="283"/>
      <c r="S463" s="225"/>
    </row>
    <row r="464" spans="4:19" x14ac:dyDescent="0.3">
      <c r="D464" s="349">
        <v>45138</v>
      </c>
      <c r="F464" s="350">
        <v>19753.8</v>
      </c>
      <c r="P464" s="283"/>
      <c r="S464" s="225"/>
    </row>
    <row r="465" spans="4:19" x14ac:dyDescent="0.3">
      <c r="D465" s="349">
        <v>45135</v>
      </c>
      <c r="F465" s="350">
        <v>19646.05</v>
      </c>
      <c r="P465" s="283"/>
      <c r="S465" s="225"/>
    </row>
    <row r="466" spans="4:19" x14ac:dyDescent="0.3">
      <c r="D466" s="349">
        <v>45134</v>
      </c>
      <c r="F466" s="350">
        <v>19659.900000000001</v>
      </c>
      <c r="P466" s="283"/>
      <c r="S466" s="225"/>
    </row>
    <row r="467" spans="4:19" x14ac:dyDescent="0.3">
      <c r="D467" s="349">
        <v>45133</v>
      </c>
      <c r="F467" s="350">
        <v>19778.3</v>
      </c>
      <c r="P467" s="283"/>
      <c r="S467" s="225"/>
    </row>
    <row r="468" spans="4:19" x14ac:dyDescent="0.3">
      <c r="D468" s="349">
        <v>45132</v>
      </c>
      <c r="F468" s="350">
        <v>19680.599999999999</v>
      </c>
      <c r="P468" s="283"/>
      <c r="S468" s="225"/>
    </row>
    <row r="469" spans="4:19" x14ac:dyDescent="0.3">
      <c r="D469" s="349">
        <v>45131</v>
      </c>
      <c r="F469" s="350">
        <v>19672.349999999999</v>
      </c>
      <c r="P469" s="283"/>
      <c r="S469" s="225"/>
    </row>
    <row r="470" spans="4:19" x14ac:dyDescent="0.3">
      <c r="D470" s="349">
        <v>45128</v>
      </c>
      <c r="F470" s="350">
        <v>19745</v>
      </c>
      <c r="P470" s="283"/>
      <c r="S470" s="225"/>
    </row>
    <row r="471" spans="4:19" x14ac:dyDescent="0.3">
      <c r="D471" s="349">
        <v>45127</v>
      </c>
      <c r="F471" s="350">
        <v>19979.150000000001</v>
      </c>
      <c r="P471" s="283"/>
      <c r="S471" s="225"/>
    </row>
    <row r="472" spans="4:19" x14ac:dyDescent="0.3">
      <c r="D472" s="349">
        <v>45126</v>
      </c>
      <c r="F472" s="350">
        <v>19833.150000000001</v>
      </c>
      <c r="P472" s="283"/>
      <c r="S472" s="225"/>
    </row>
    <row r="473" spans="4:19" x14ac:dyDescent="0.3">
      <c r="D473" s="349">
        <v>45125</v>
      </c>
      <c r="F473" s="350">
        <v>19749.25</v>
      </c>
      <c r="P473" s="283"/>
      <c r="S473" s="225"/>
    </row>
    <row r="474" spans="4:19" x14ac:dyDescent="0.3">
      <c r="D474" s="349">
        <v>45124</v>
      </c>
      <c r="F474" s="350">
        <v>19711.45</v>
      </c>
      <c r="P474" s="283"/>
      <c r="S474" s="225"/>
    </row>
    <row r="475" spans="4:19" x14ac:dyDescent="0.3">
      <c r="D475" s="349">
        <v>45121</v>
      </c>
      <c r="F475" s="350">
        <v>19564.5</v>
      </c>
      <c r="P475" s="283"/>
      <c r="S475" s="225"/>
    </row>
    <row r="476" spans="4:19" x14ac:dyDescent="0.3">
      <c r="D476" s="349">
        <v>45120</v>
      </c>
      <c r="F476" s="350">
        <v>19413.75</v>
      </c>
      <c r="P476" s="283"/>
      <c r="S476" s="225"/>
    </row>
    <row r="477" spans="4:19" x14ac:dyDescent="0.3">
      <c r="D477" s="349">
        <v>45119</v>
      </c>
      <c r="F477" s="350">
        <v>19384.3</v>
      </c>
      <c r="P477" s="283"/>
      <c r="S477" s="225"/>
    </row>
    <row r="478" spans="4:19" x14ac:dyDescent="0.3">
      <c r="D478" s="349">
        <v>45118</v>
      </c>
      <c r="F478" s="350">
        <v>19439.400000000001</v>
      </c>
      <c r="P478" s="283"/>
      <c r="S478" s="225"/>
    </row>
    <row r="479" spans="4:19" x14ac:dyDescent="0.3">
      <c r="D479" s="349">
        <v>45117</v>
      </c>
      <c r="F479" s="350">
        <v>19355.900000000001</v>
      </c>
      <c r="P479" s="283"/>
      <c r="S479" s="225"/>
    </row>
    <row r="480" spans="4:19" x14ac:dyDescent="0.3">
      <c r="D480" s="349">
        <v>45114</v>
      </c>
      <c r="F480" s="350">
        <v>19331.8</v>
      </c>
      <c r="P480" s="283"/>
      <c r="S480" s="225"/>
    </row>
    <row r="481" spans="4:19" x14ac:dyDescent="0.3">
      <c r="D481" s="349">
        <v>45113</v>
      </c>
      <c r="F481" s="350">
        <v>19497.3</v>
      </c>
      <c r="P481" s="283"/>
      <c r="S481" s="225"/>
    </row>
    <row r="482" spans="4:19" x14ac:dyDescent="0.3">
      <c r="D482" s="349">
        <v>45112</v>
      </c>
      <c r="F482" s="350">
        <v>19398.5</v>
      </c>
      <c r="P482" s="283"/>
      <c r="S482" s="225"/>
    </row>
    <row r="483" spans="4:19" x14ac:dyDescent="0.3">
      <c r="D483" s="349">
        <v>45111</v>
      </c>
      <c r="F483" s="350">
        <v>19389</v>
      </c>
      <c r="P483" s="283"/>
      <c r="S483" s="225"/>
    </row>
    <row r="484" spans="4:19" x14ac:dyDescent="0.3">
      <c r="D484" s="349">
        <v>45110</v>
      </c>
      <c r="F484" s="350">
        <v>19322.55</v>
      </c>
      <c r="P484" s="283"/>
      <c r="S484" s="225"/>
    </row>
    <row r="485" spans="4:19" x14ac:dyDescent="0.3">
      <c r="D485" s="349">
        <v>45107</v>
      </c>
      <c r="F485" s="350">
        <v>19189.05</v>
      </c>
      <c r="P485" s="283"/>
      <c r="S485" s="225"/>
    </row>
    <row r="486" spans="4:19" x14ac:dyDescent="0.3">
      <c r="D486" s="349">
        <v>45105</v>
      </c>
      <c r="F486" s="350">
        <v>18972.099999999999</v>
      </c>
      <c r="P486" s="283"/>
      <c r="S486" s="225"/>
    </row>
    <row r="487" spans="4:19" x14ac:dyDescent="0.3">
      <c r="D487" s="349">
        <v>45104</v>
      </c>
      <c r="F487" s="350">
        <v>18817.400000000001</v>
      </c>
      <c r="P487" s="283"/>
      <c r="S487" s="225"/>
    </row>
    <row r="488" spans="4:19" x14ac:dyDescent="0.3">
      <c r="D488" s="349">
        <v>45103</v>
      </c>
      <c r="F488" s="350">
        <v>18691.2</v>
      </c>
      <c r="P488" s="283"/>
      <c r="S488" s="225"/>
    </row>
    <row r="489" spans="4:19" x14ac:dyDescent="0.3">
      <c r="D489" s="349">
        <v>45100</v>
      </c>
      <c r="F489" s="350">
        <v>18665.5</v>
      </c>
      <c r="P489" s="283"/>
      <c r="S489" s="225"/>
    </row>
    <row r="490" spans="4:19" x14ac:dyDescent="0.3">
      <c r="D490" s="349">
        <v>45099</v>
      </c>
      <c r="F490" s="350">
        <v>18771.25</v>
      </c>
      <c r="P490" s="283"/>
      <c r="S490" s="225"/>
    </row>
    <row r="491" spans="4:19" x14ac:dyDescent="0.3">
      <c r="D491" s="349">
        <v>45098</v>
      </c>
      <c r="F491" s="350">
        <v>18856.849999999999</v>
      </c>
      <c r="P491" s="283"/>
      <c r="S491" s="225"/>
    </row>
    <row r="492" spans="4:19" x14ac:dyDescent="0.3">
      <c r="D492" s="349">
        <v>45097</v>
      </c>
      <c r="F492" s="350">
        <v>18816.7</v>
      </c>
      <c r="P492" s="283"/>
      <c r="S492" s="225"/>
    </row>
    <row r="493" spans="4:19" x14ac:dyDescent="0.3">
      <c r="D493" s="349">
        <v>45096</v>
      </c>
      <c r="F493" s="350">
        <v>18755.45</v>
      </c>
      <c r="P493" s="283"/>
      <c r="S493" s="225"/>
    </row>
    <row r="494" spans="4:19" x14ac:dyDescent="0.3">
      <c r="D494" s="349">
        <v>45093</v>
      </c>
      <c r="F494" s="350">
        <v>18826</v>
      </c>
      <c r="P494" s="283"/>
      <c r="S494" s="225"/>
    </row>
    <row r="495" spans="4:19" x14ac:dyDescent="0.3">
      <c r="D495" s="349">
        <v>45092</v>
      </c>
      <c r="F495" s="350">
        <v>18688.099999999999</v>
      </c>
      <c r="P495" s="283"/>
      <c r="S495" s="225"/>
    </row>
    <row r="496" spans="4:19" x14ac:dyDescent="0.3">
      <c r="D496" s="349">
        <v>45091</v>
      </c>
      <c r="F496" s="350">
        <v>18755.900000000001</v>
      </c>
      <c r="P496" s="283"/>
      <c r="S496" s="225"/>
    </row>
    <row r="497" spans="4:19" x14ac:dyDescent="0.3">
      <c r="D497" s="349">
        <v>45090</v>
      </c>
      <c r="F497" s="350">
        <v>18716.150000000001</v>
      </c>
      <c r="P497" s="283"/>
      <c r="S497" s="225"/>
    </row>
    <row r="498" spans="4:19" x14ac:dyDescent="0.3">
      <c r="D498" s="349">
        <v>45089</v>
      </c>
      <c r="F498" s="350">
        <v>18601.5</v>
      </c>
      <c r="P498" s="283"/>
      <c r="S498" s="225"/>
    </row>
    <row r="499" spans="4:19" x14ac:dyDescent="0.3">
      <c r="D499" s="349">
        <v>45086</v>
      </c>
      <c r="F499" s="350">
        <v>18563.400000000001</v>
      </c>
      <c r="P499" s="283"/>
      <c r="S499" s="225"/>
    </row>
    <row r="500" spans="4:19" x14ac:dyDescent="0.3">
      <c r="D500" s="349">
        <v>45085</v>
      </c>
      <c r="F500" s="350">
        <v>18634.55</v>
      </c>
      <c r="P500" s="283"/>
      <c r="S500" s="225"/>
    </row>
    <row r="501" spans="4:19" x14ac:dyDescent="0.3">
      <c r="D501" s="349">
        <v>45084</v>
      </c>
      <c r="F501" s="350">
        <v>18726.400000000001</v>
      </c>
      <c r="P501" s="283"/>
      <c r="S501" s="225"/>
    </row>
    <row r="502" spans="4:19" x14ac:dyDescent="0.3">
      <c r="D502" s="349">
        <v>45083</v>
      </c>
      <c r="F502" s="350">
        <v>18599</v>
      </c>
      <c r="P502" s="283"/>
      <c r="S502" s="225"/>
    </row>
    <row r="503" spans="4:19" x14ac:dyDescent="0.3">
      <c r="D503" s="349">
        <v>45082</v>
      </c>
      <c r="F503" s="350">
        <v>18593.849999999999</v>
      </c>
      <c r="P503" s="283"/>
      <c r="S503" s="225"/>
    </row>
    <row r="504" spans="4:19" x14ac:dyDescent="0.3">
      <c r="D504" s="349">
        <v>45079</v>
      </c>
      <c r="F504" s="350">
        <v>18534.099999999999</v>
      </c>
      <c r="P504" s="283"/>
      <c r="S504" s="225"/>
    </row>
    <row r="505" spans="4:19" x14ac:dyDescent="0.3">
      <c r="D505" s="349">
        <v>45078</v>
      </c>
      <c r="F505" s="350">
        <v>18487.75</v>
      </c>
      <c r="P505" s="283"/>
      <c r="S505" s="225"/>
    </row>
    <row r="506" spans="4:19" x14ac:dyDescent="0.3">
      <c r="D506" s="349">
        <v>45077</v>
      </c>
      <c r="F506" s="350">
        <v>18534.400000000001</v>
      </c>
      <c r="P506" s="283"/>
      <c r="S506" s="225"/>
    </row>
    <row r="507" spans="4:19" x14ac:dyDescent="0.3">
      <c r="D507" s="349">
        <v>45076</v>
      </c>
      <c r="F507" s="350">
        <v>18633.849999999999</v>
      </c>
      <c r="P507" s="283"/>
      <c r="S507" s="225"/>
    </row>
    <row r="508" spans="4:19" x14ac:dyDescent="0.3">
      <c r="D508" s="349">
        <v>45075</v>
      </c>
      <c r="F508" s="350">
        <v>18598.650000000001</v>
      </c>
      <c r="P508" s="283"/>
      <c r="S508" s="225"/>
    </row>
    <row r="509" spans="4:19" x14ac:dyDescent="0.3">
      <c r="D509" s="349">
        <v>45072</v>
      </c>
      <c r="F509" s="350">
        <v>18499.349999999999</v>
      </c>
      <c r="P509" s="283"/>
      <c r="S509" s="225"/>
    </row>
    <row r="510" spans="4:19" x14ac:dyDescent="0.3">
      <c r="D510" s="349">
        <v>45071</v>
      </c>
      <c r="F510" s="350">
        <v>18321.150000000001</v>
      </c>
      <c r="P510" s="283"/>
      <c r="S510" s="225"/>
    </row>
    <row r="511" spans="4:19" x14ac:dyDescent="0.3">
      <c r="D511" s="349">
        <v>45070</v>
      </c>
      <c r="F511" s="350">
        <v>18285.400000000001</v>
      </c>
      <c r="P511" s="283"/>
      <c r="S511" s="225"/>
    </row>
    <row r="512" spans="4:19" x14ac:dyDescent="0.3">
      <c r="D512" s="349">
        <v>45069</v>
      </c>
      <c r="F512" s="350">
        <v>18348</v>
      </c>
      <c r="P512" s="283"/>
      <c r="S512" s="225"/>
    </row>
    <row r="513" spans="4:19" x14ac:dyDescent="0.3">
      <c r="D513" s="349">
        <v>45068</v>
      </c>
      <c r="F513" s="350">
        <v>18314.400000000001</v>
      </c>
      <c r="P513" s="283"/>
      <c r="S513" s="225"/>
    </row>
    <row r="514" spans="4:19" x14ac:dyDescent="0.3">
      <c r="D514" s="349">
        <v>45065</v>
      </c>
      <c r="F514" s="350">
        <v>18203.400000000001</v>
      </c>
      <c r="P514" s="283"/>
      <c r="S514" s="225"/>
    </row>
    <row r="515" spans="4:19" x14ac:dyDescent="0.3">
      <c r="D515" s="349">
        <v>45064</v>
      </c>
      <c r="F515" s="350">
        <v>18129.95</v>
      </c>
      <c r="P515" s="283"/>
      <c r="S515" s="225"/>
    </row>
    <row r="516" spans="4:19" x14ac:dyDescent="0.3">
      <c r="D516" s="349">
        <v>45063</v>
      </c>
      <c r="F516" s="350">
        <v>18181.75</v>
      </c>
      <c r="P516" s="283"/>
      <c r="S516" s="225"/>
    </row>
    <row r="517" spans="4:19" x14ac:dyDescent="0.3">
      <c r="D517" s="349">
        <v>45062</v>
      </c>
      <c r="F517" s="350">
        <v>18286.5</v>
      </c>
      <c r="P517" s="283"/>
      <c r="S517" s="225"/>
    </row>
    <row r="518" spans="4:19" x14ac:dyDescent="0.3">
      <c r="D518" s="349">
        <v>45061</v>
      </c>
      <c r="F518" s="350">
        <v>18398.849999999999</v>
      </c>
      <c r="P518" s="283"/>
      <c r="S518" s="225"/>
    </row>
    <row r="519" spans="4:19" x14ac:dyDescent="0.3">
      <c r="D519" s="349">
        <v>45058</v>
      </c>
      <c r="F519" s="350">
        <v>18314.8</v>
      </c>
      <c r="P519" s="283"/>
      <c r="S519" s="225"/>
    </row>
    <row r="520" spans="4:19" x14ac:dyDescent="0.3">
      <c r="D520" s="349">
        <v>45057</v>
      </c>
      <c r="F520" s="350">
        <v>18297</v>
      </c>
      <c r="P520" s="283"/>
      <c r="S520" s="225"/>
    </row>
    <row r="521" spans="4:19" x14ac:dyDescent="0.3">
      <c r="D521" s="349">
        <v>45056</v>
      </c>
      <c r="F521" s="350">
        <v>18315.099999999999</v>
      </c>
      <c r="P521" s="283"/>
      <c r="S521" s="225"/>
    </row>
    <row r="522" spans="4:19" x14ac:dyDescent="0.3">
      <c r="D522" s="349">
        <v>45055</v>
      </c>
      <c r="F522" s="350">
        <v>18265.95</v>
      </c>
      <c r="P522" s="283"/>
      <c r="S522" s="225"/>
    </row>
    <row r="523" spans="4:19" x14ac:dyDescent="0.3">
      <c r="D523" s="349">
        <v>45054</v>
      </c>
      <c r="F523" s="350">
        <v>18264.400000000001</v>
      </c>
      <c r="P523" s="283"/>
      <c r="S523" s="225"/>
    </row>
    <row r="524" spans="4:19" x14ac:dyDescent="0.3">
      <c r="D524" s="349">
        <v>45051</v>
      </c>
      <c r="F524" s="350">
        <v>18069</v>
      </c>
      <c r="P524" s="283"/>
      <c r="S524" s="225"/>
    </row>
    <row r="525" spans="4:19" x14ac:dyDescent="0.3">
      <c r="D525" s="349">
        <v>45050</v>
      </c>
      <c r="F525" s="350">
        <v>18255.8</v>
      </c>
      <c r="P525" s="283"/>
      <c r="S525" s="225"/>
    </row>
    <row r="526" spans="4:19" x14ac:dyDescent="0.3">
      <c r="D526" s="349">
        <v>45049</v>
      </c>
      <c r="F526" s="350">
        <v>18089.849999999999</v>
      </c>
      <c r="P526" s="283"/>
      <c r="S526" s="225"/>
    </row>
    <row r="527" spans="4:19" x14ac:dyDescent="0.3">
      <c r="D527" s="349">
        <v>45048</v>
      </c>
      <c r="F527" s="350">
        <v>18147.650000000001</v>
      </c>
      <c r="P527" s="283"/>
      <c r="S527" s="225"/>
    </row>
    <row r="528" spans="4:19" x14ac:dyDescent="0.3">
      <c r="D528" s="349">
        <v>45044</v>
      </c>
      <c r="F528" s="350">
        <v>18065</v>
      </c>
      <c r="P528" s="283"/>
      <c r="S528" s="225"/>
    </row>
    <row r="529" spans="4:19" x14ac:dyDescent="0.3">
      <c r="D529" s="349">
        <v>45043</v>
      </c>
      <c r="F529" s="350">
        <v>17915.05</v>
      </c>
      <c r="P529" s="283"/>
      <c r="S529" s="225"/>
    </row>
    <row r="530" spans="4:19" x14ac:dyDescent="0.3">
      <c r="D530" s="349">
        <v>45042</v>
      </c>
      <c r="F530" s="350">
        <v>17813.599999999999</v>
      </c>
      <c r="P530" s="283"/>
      <c r="S530" s="225"/>
    </row>
    <row r="531" spans="4:19" x14ac:dyDescent="0.3">
      <c r="D531" s="349">
        <v>45041</v>
      </c>
      <c r="F531" s="350">
        <v>17769.25</v>
      </c>
      <c r="P531" s="283"/>
      <c r="S531" s="225"/>
    </row>
    <row r="532" spans="4:19" x14ac:dyDescent="0.3">
      <c r="D532" s="349">
        <v>45040</v>
      </c>
      <c r="F532" s="350">
        <v>17743.400000000001</v>
      </c>
      <c r="P532" s="283"/>
      <c r="S532" s="225"/>
    </row>
    <row r="533" spans="4:19" x14ac:dyDescent="0.3">
      <c r="D533" s="349">
        <v>45037</v>
      </c>
      <c r="F533" s="350">
        <v>17624.05</v>
      </c>
      <c r="P533" s="283"/>
      <c r="S533" s="225"/>
    </row>
    <row r="534" spans="4:19" x14ac:dyDescent="0.3">
      <c r="D534" s="349">
        <v>45036</v>
      </c>
      <c r="F534" s="350">
        <v>17624.45</v>
      </c>
      <c r="P534" s="283"/>
      <c r="S534" s="225"/>
    </row>
    <row r="535" spans="4:19" x14ac:dyDescent="0.3">
      <c r="D535" s="349">
        <v>45035</v>
      </c>
      <c r="F535" s="350">
        <v>17618.75</v>
      </c>
      <c r="P535" s="283"/>
      <c r="S535" s="225"/>
    </row>
    <row r="536" spans="4:19" x14ac:dyDescent="0.3">
      <c r="D536" s="349">
        <v>45034</v>
      </c>
      <c r="F536" s="350">
        <v>17660.150000000001</v>
      </c>
      <c r="P536" s="283"/>
      <c r="S536" s="225"/>
    </row>
    <row r="537" spans="4:19" x14ac:dyDescent="0.3">
      <c r="D537" s="349">
        <v>45033</v>
      </c>
      <c r="F537" s="350">
        <v>17706.849999999999</v>
      </c>
      <c r="P537" s="283"/>
      <c r="S537" s="225"/>
    </row>
    <row r="538" spans="4:19" x14ac:dyDescent="0.3">
      <c r="D538" s="349">
        <v>45029</v>
      </c>
      <c r="F538" s="350">
        <v>17828</v>
      </c>
      <c r="P538" s="283"/>
      <c r="S538" s="225"/>
    </row>
    <row r="539" spans="4:19" x14ac:dyDescent="0.3">
      <c r="D539" s="349">
        <v>45028</v>
      </c>
      <c r="F539" s="350">
        <v>17812.400000000001</v>
      </c>
      <c r="P539" s="283"/>
      <c r="S539" s="225"/>
    </row>
    <row r="540" spans="4:19" x14ac:dyDescent="0.3">
      <c r="D540" s="349">
        <v>45027</v>
      </c>
      <c r="F540" s="350">
        <v>17722.3</v>
      </c>
      <c r="P540" s="283"/>
      <c r="S540" s="225"/>
    </row>
    <row r="541" spans="4:19" x14ac:dyDescent="0.3">
      <c r="D541" s="349">
        <v>45026</v>
      </c>
      <c r="F541" s="350">
        <v>17624.05</v>
      </c>
      <c r="P541" s="283"/>
      <c r="S541" s="225"/>
    </row>
    <row r="542" spans="4:19" x14ac:dyDescent="0.3">
      <c r="D542" s="349">
        <v>45022</v>
      </c>
      <c r="F542" s="350">
        <v>17599.150000000001</v>
      </c>
      <c r="P542" s="283"/>
      <c r="S542" s="225"/>
    </row>
    <row r="543" spans="4:19" x14ac:dyDescent="0.3">
      <c r="D543" s="349">
        <v>45021</v>
      </c>
      <c r="F543" s="350">
        <v>17557.05</v>
      </c>
      <c r="P543" s="283"/>
      <c r="S543" s="225"/>
    </row>
    <row r="544" spans="4:19" x14ac:dyDescent="0.3">
      <c r="D544" s="349">
        <v>45019</v>
      </c>
      <c r="F544" s="350">
        <v>17398.05</v>
      </c>
      <c r="P544" s="283"/>
      <c r="S544" s="225"/>
    </row>
    <row r="545" spans="4:19" x14ac:dyDescent="0.3">
      <c r="D545" s="349">
        <v>45016</v>
      </c>
      <c r="F545" s="350">
        <v>17359.75</v>
      </c>
      <c r="P545" s="283"/>
      <c r="S545" s="225"/>
    </row>
    <row r="546" spans="4:19" x14ac:dyDescent="0.3">
      <c r="D546" s="349">
        <v>45014</v>
      </c>
      <c r="F546" s="350">
        <v>17080.7</v>
      </c>
      <c r="P546" s="283"/>
      <c r="S546" s="225"/>
    </row>
    <row r="547" spans="4:19" x14ac:dyDescent="0.3">
      <c r="D547" s="349">
        <v>45013</v>
      </c>
      <c r="F547" s="350">
        <v>16951.7</v>
      </c>
      <c r="P547" s="283"/>
      <c r="S547" s="225"/>
    </row>
    <row r="548" spans="4:19" x14ac:dyDescent="0.3">
      <c r="D548" s="349">
        <v>45012</v>
      </c>
      <c r="F548" s="350">
        <v>16985.7</v>
      </c>
      <c r="P548" s="283"/>
      <c r="S548" s="225"/>
    </row>
    <row r="549" spans="4:19" x14ac:dyDescent="0.3">
      <c r="D549" s="349">
        <v>45009</v>
      </c>
      <c r="F549" s="350">
        <v>16945.05</v>
      </c>
      <c r="P549" s="283"/>
      <c r="S549" s="225"/>
    </row>
    <row r="550" spans="4:19" x14ac:dyDescent="0.3">
      <c r="D550" s="349">
        <v>45008</v>
      </c>
      <c r="F550" s="350">
        <v>17076.900000000001</v>
      </c>
      <c r="S550" s="225"/>
    </row>
    <row r="551" spans="4:19" x14ac:dyDescent="0.3">
      <c r="D551" s="349">
        <v>45007</v>
      </c>
      <c r="F551" s="350">
        <v>17151.900000000001</v>
      </c>
      <c r="S551" s="225"/>
    </row>
    <row r="552" spans="4:19" x14ac:dyDescent="0.3">
      <c r="D552" s="349">
        <v>45006</v>
      </c>
      <c r="F552" s="350">
        <v>17107.5</v>
      </c>
      <c r="S552" s="225"/>
    </row>
    <row r="553" spans="4:19" x14ac:dyDescent="0.3">
      <c r="D553" s="349">
        <v>45005</v>
      </c>
      <c r="F553" s="350">
        <v>16988.400000000001</v>
      </c>
      <c r="P553" s="283"/>
      <c r="S553" s="225"/>
    </row>
    <row r="554" spans="4:19" x14ac:dyDescent="0.3">
      <c r="D554" s="349">
        <v>45002</v>
      </c>
      <c r="F554" s="350">
        <v>17100.05</v>
      </c>
      <c r="P554" s="283"/>
      <c r="S554" s="225"/>
    </row>
    <row r="555" spans="4:19" x14ac:dyDescent="0.3">
      <c r="D555" s="349">
        <v>45001</v>
      </c>
      <c r="F555" s="350">
        <v>16985.599999999999</v>
      </c>
      <c r="P555" s="283"/>
      <c r="S555" s="225"/>
    </row>
    <row r="556" spans="4:19" x14ac:dyDescent="0.3">
      <c r="D556" s="349">
        <v>45000</v>
      </c>
      <c r="F556" s="350">
        <v>16972.150000000001</v>
      </c>
      <c r="P556" s="283"/>
      <c r="S556" s="225"/>
    </row>
    <row r="557" spans="4:19" x14ac:dyDescent="0.3">
      <c r="D557" s="349">
        <v>44999</v>
      </c>
      <c r="F557" s="350">
        <v>17043.3</v>
      </c>
      <c r="P557" s="283"/>
      <c r="S557" s="225"/>
    </row>
    <row r="558" spans="4:19" x14ac:dyDescent="0.3">
      <c r="D558" s="349">
        <v>44998</v>
      </c>
      <c r="F558" s="350">
        <v>17154.3</v>
      </c>
      <c r="P558" s="283"/>
      <c r="S558" s="225"/>
    </row>
    <row r="559" spans="4:19" x14ac:dyDescent="0.3">
      <c r="D559" s="349">
        <v>44995</v>
      </c>
      <c r="F559" s="350">
        <v>17412.900000000001</v>
      </c>
      <c r="P559" s="283"/>
      <c r="S559" s="225"/>
    </row>
    <row r="560" spans="4:19" x14ac:dyDescent="0.3">
      <c r="D560" s="349">
        <v>44994</v>
      </c>
      <c r="F560" s="350">
        <v>17589.599999999999</v>
      </c>
      <c r="P560" s="283"/>
      <c r="S560" s="225"/>
    </row>
    <row r="561" spans="4:19" x14ac:dyDescent="0.3">
      <c r="D561" s="349">
        <v>44993</v>
      </c>
      <c r="F561" s="350">
        <v>17754.400000000001</v>
      </c>
      <c r="S561" s="225"/>
    </row>
    <row r="562" spans="4:19" x14ac:dyDescent="0.3">
      <c r="D562" s="349">
        <v>44991</v>
      </c>
      <c r="F562" s="350">
        <v>17711.45</v>
      </c>
      <c r="S562" s="225"/>
    </row>
    <row r="563" spans="4:19" x14ac:dyDescent="0.3">
      <c r="D563" s="349">
        <v>44988</v>
      </c>
      <c r="F563" s="350">
        <v>17594.349999999999</v>
      </c>
      <c r="S563" s="225"/>
    </row>
    <row r="564" spans="4:19" x14ac:dyDescent="0.3">
      <c r="D564" s="349">
        <v>44987</v>
      </c>
      <c r="F564" s="350">
        <v>17321.900000000001</v>
      </c>
      <c r="S564" s="225"/>
    </row>
    <row r="565" spans="4:19" x14ac:dyDescent="0.3">
      <c r="D565" s="349">
        <v>44986</v>
      </c>
      <c r="F565" s="350">
        <v>17450.900000000001</v>
      </c>
      <c r="S565" s="225"/>
    </row>
    <row r="566" spans="4:19" x14ac:dyDescent="0.3">
      <c r="D566" s="349">
        <v>44985</v>
      </c>
      <c r="F566" s="350">
        <v>17303.95</v>
      </c>
      <c r="S566" s="225"/>
    </row>
    <row r="567" spans="4:19" x14ac:dyDescent="0.3">
      <c r="D567" s="349">
        <v>44984</v>
      </c>
      <c r="F567" s="350">
        <v>17392.7</v>
      </c>
      <c r="S567" s="225"/>
    </row>
    <row r="568" spans="4:19" x14ac:dyDescent="0.3">
      <c r="D568" s="349">
        <v>44981</v>
      </c>
      <c r="F568" s="350">
        <v>17465.8</v>
      </c>
      <c r="S568" s="225"/>
    </row>
    <row r="569" spans="4:19" x14ac:dyDescent="0.3">
      <c r="D569" s="349">
        <v>44980</v>
      </c>
      <c r="F569" s="350">
        <v>17511.25</v>
      </c>
      <c r="S569" s="225"/>
    </row>
    <row r="570" spans="4:19" x14ac:dyDescent="0.3">
      <c r="D570" s="349">
        <v>44979</v>
      </c>
      <c r="F570" s="350">
        <v>17554.3</v>
      </c>
      <c r="S570" s="225"/>
    </row>
    <row r="571" spans="4:19" x14ac:dyDescent="0.3">
      <c r="D571" s="349">
        <v>44978</v>
      </c>
      <c r="F571" s="350">
        <v>17826.7</v>
      </c>
      <c r="S571" s="225"/>
    </row>
    <row r="572" spans="4:19" x14ac:dyDescent="0.3">
      <c r="D572" s="349">
        <v>44977</v>
      </c>
      <c r="F572" s="350">
        <v>17844.599999999999</v>
      </c>
      <c r="S572" s="225"/>
    </row>
    <row r="573" spans="4:19" x14ac:dyDescent="0.3">
      <c r="D573" s="349">
        <v>44974</v>
      </c>
      <c r="F573" s="350">
        <v>17944.2</v>
      </c>
      <c r="P573" s="283"/>
      <c r="S573" s="225"/>
    </row>
    <row r="574" spans="4:19" x14ac:dyDescent="0.3">
      <c r="D574" s="349">
        <v>44973</v>
      </c>
      <c r="F574" s="350">
        <v>18035.849999999999</v>
      </c>
      <c r="P574" s="283"/>
      <c r="S574" s="225"/>
    </row>
    <row r="575" spans="4:19" x14ac:dyDescent="0.3">
      <c r="D575" s="349">
        <v>44972</v>
      </c>
      <c r="F575" s="350">
        <v>18015.849999999999</v>
      </c>
      <c r="P575" s="283"/>
      <c r="S575" s="225"/>
    </row>
    <row r="576" spans="4:19" x14ac:dyDescent="0.3">
      <c r="D576" s="349">
        <v>44971</v>
      </c>
      <c r="F576" s="350">
        <v>17929.849999999999</v>
      </c>
      <c r="P576" s="283"/>
      <c r="S576" s="225"/>
    </row>
    <row r="577" spans="4:19" x14ac:dyDescent="0.3">
      <c r="D577" s="349">
        <v>44970</v>
      </c>
      <c r="F577" s="350">
        <v>17770.900000000001</v>
      </c>
      <c r="P577" s="283"/>
      <c r="S577" s="225"/>
    </row>
    <row r="578" spans="4:19" x14ac:dyDescent="0.3">
      <c r="D578" s="349">
        <v>44967</v>
      </c>
      <c r="F578" s="350">
        <v>17856.5</v>
      </c>
      <c r="P578" s="283"/>
      <c r="S578" s="225"/>
    </row>
    <row r="579" spans="4:19" x14ac:dyDescent="0.3">
      <c r="D579" s="349">
        <v>44966</v>
      </c>
      <c r="F579" s="350">
        <v>17893.45</v>
      </c>
      <c r="P579" s="283"/>
      <c r="S579" s="225"/>
    </row>
    <row r="580" spans="4:19" x14ac:dyDescent="0.3">
      <c r="D580" s="349">
        <v>44965</v>
      </c>
      <c r="F580" s="350">
        <v>17871.7</v>
      </c>
      <c r="P580" s="283"/>
      <c r="S580" s="225"/>
    </row>
    <row r="581" spans="4:19" x14ac:dyDescent="0.3">
      <c r="D581" s="349">
        <v>44964</v>
      </c>
      <c r="F581" s="350">
        <v>17721.5</v>
      </c>
      <c r="P581" s="283"/>
      <c r="S581" s="225"/>
    </row>
    <row r="582" spans="4:19" x14ac:dyDescent="0.3">
      <c r="D582" s="349">
        <v>44963</v>
      </c>
      <c r="F582" s="350">
        <v>17764.599999999999</v>
      </c>
      <c r="S582" s="225"/>
    </row>
    <row r="583" spans="4:19" x14ac:dyDescent="0.3">
      <c r="D583" s="349">
        <v>44960</v>
      </c>
      <c r="F583" s="350">
        <v>17854.05</v>
      </c>
      <c r="S583" s="225"/>
    </row>
    <row r="584" spans="4:19" x14ac:dyDescent="0.3">
      <c r="D584" s="349">
        <v>44959</v>
      </c>
      <c r="F584" s="350">
        <v>17610.400000000001</v>
      </c>
      <c r="S584" s="225"/>
    </row>
    <row r="585" spans="4:19" x14ac:dyDescent="0.3">
      <c r="D585" s="349">
        <v>44958</v>
      </c>
      <c r="F585" s="350">
        <v>17616.3</v>
      </c>
      <c r="S585" s="225"/>
    </row>
    <row r="586" spans="4:19" x14ac:dyDescent="0.3">
      <c r="D586" s="349">
        <v>44957</v>
      </c>
      <c r="F586" s="350">
        <v>17662.150000000001</v>
      </c>
      <c r="S586" s="225"/>
    </row>
    <row r="587" spans="4:19" x14ac:dyDescent="0.3">
      <c r="D587" s="349">
        <v>44956</v>
      </c>
      <c r="F587" s="350">
        <v>17648.95</v>
      </c>
      <c r="S587" s="225"/>
    </row>
    <row r="588" spans="4:19" x14ac:dyDescent="0.3">
      <c r="D588" s="349">
        <v>44953</v>
      </c>
      <c r="F588" s="350">
        <v>17604.349999999999</v>
      </c>
      <c r="S588" s="225"/>
    </row>
    <row r="589" spans="4:19" x14ac:dyDescent="0.3">
      <c r="D589" s="349">
        <v>44951</v>
      </c>
      <c r="F589" s="350">
        <v>17891.95</v>
      </c>
      <c r="S589" s="225"/>
    </row>
    <row r="590" spans="4:19" x14ac:dyDescent="0.3">
      <c r="D590" s="349">
        <v>44950</v>
      </c>
      <c r="F590" s="350">
        <v>18118.3</v>
      </c>
      <c r="S590" s="225"/>
    </row>
    <row r="591" spans="4:19" x14ac:dyDescent="0.3">
      <c r="D591" s="349">
        <v>44949</v>
      </c>
      <c r="F591" s="350">
        <v>18118.55</v>
      </c>
      <c r="S591" s="225"/>
    </row>
    <row r="592" spans="4:19" x14ac:dyDescent="0.3">
      <c r="D592" s="349">
        <v>44946</v>
      </c>
      <c r="F592" s="350">
        <v>18027.650000000001</v>
      </c>
      <c r="S592" s="225"/>
    </row>
    <row r="593" spans="4:19" x14ac:dyDescent="0.3">
      <c r="D593" s="349">
        <v>44945</v>
      </c>
      <c r="F593" s="350">
        <v>18107.849999999999</v>
      </c>
      <c r="S593" s="225"/>
    </row>
    <row r="594" spans="4:19" x14ac:dyDescent="0.3">
      <c r="D594" s="349">
        <v>44944</v>
      </c>
      <c r="F594" s="350">
        <v>18165.349999999999</v>
      </c>
      <c r="S594" s="225"/>
    </row>
    <row r="595" spans="4:19" x14ac:dyDescent="0.3">
      <c r="D595" s="349">
        <v>44943</v>
      </c>
      <c r="F595" s="350">
        <v>18053.3</v>
      </c>
      <c r="S595" s="225"/>
    </row>
    <row r="596" spans="4:19" x14ac:dyDescent="0.3">
      <c r="D596" s="349">
        <v>44942</v>
      </c>
      <c r="F596" s="350">
        <v>17894.849999999999</v>
      </c>
      <c r="P596" s="283"/>
      <c r="S596" s="225"/>
    </row>
    <row r="597" spans="4:19" x14ac:dyDescent="0.3">
      <c r="D597" s="349">
        <v>44939</v>
      </c>
      <c r="F597" s="350">
        <v>17956.599999999999</v>
      </c>
      <c r="P597" s="283"/>
      <c r="S597" s="225"/>
    </row>
    <row r="598" spans="4:19" x14ac:dyDescent="0.3">
      <c r="D598" s="349">
        <v>44938</v>
      </c>
      <c r="F598" s="350">
        <v>17858.2</v>
      </c>
      <c r="P598" s="283"/>
      <c r="S598" s="225"/>
    </row>
    <row r="599" spans="4:19" x14ac:dyDescent="0.3">
      <c r="D599" s="349">
        <v>44937</v>
      </c>
      <c r="F599" s="350">
        <v>17895.7</v>
      </c>
      <c r="P599" s="283"/>
      <c r="S599" s="225"/>
    </row>
    <row r="600" spans="4:19" x14ac:dyDescent="0.3">
      <c r="D600" s="349">
        <v>44936</v>
      </c>
      <c r="F600" s="350">
        <v>17914.150000000001</v>
      </c>
      <c r="P600" s="283"/>
      <c r="S600" s="225"/>
    </row>
    <row r="601" spans="4:19" x14ac:dyDescent="0.3">
      <c r="D601" s="349">
        <v>44935</v>
      </c>
      <c r="F601" s="350">
        <v>18101.2</v>
      </c>
      <c r="P601" s="283"/>
      <c r="S601" s="225"/>
    </row>
    <row r="602" spans="4:19" x14ac:dyDescent="0.3">
      <c r="D602" s="349">
        <v>44932</v>
      </c>
      <c r="F602" s="350">
        <v>17859.45</v>
      </c>
      <c r="P602" s="283"/>
      <c r="S602" s="225"/>
    </row>
    <row r="603" spans="4:19" x14ac:dyDescent="0.3">
      <c r="D603" s="349">
        <v>44931</v>
      </c>
      <c r="F603" s="350">
        <v>17992.150000000001</v>
      </c>
      <c r="P603" s="283"/>
      <c r="S603" s="225"/>
    </row>
    <row r="604" spans="4:19" x14ac:dyDescent="0.3">
      <c r="D604" s="349">
        <v>44930</v>
      </c>
      <c r="F604" s="350">
        <v>18042.95</v>
      </c>
      <c r="S604" s="225"/>
    </row>
    <row r="605" spans="4:19" x14ac:dyDescent="0.3">
      <c r="D605" s="349">
        <v>44929</v>
      </c>
      <c r="F605" s="350">
        <v>18232.55</v>
      </c>
      <c r="S605" s="225"/>
    </row>
    <row r="606" spans="4:19" x14ac:dyDescent="0.3">
      <c r="D606" s="349">
        <v>44928</v>
      </c>
      <c r="F606" s="350">
        <v>18197.45</v>
      </c>
      <c r="S606" s="225"/>
    </row>
    <row r="607" spans="4:19" x14ac:dyDescent="0.3">
      <c r="D607" s="349">
        <v>44925</v>
      </c>
      <c r="F607" s="350">
        <v>18105.3</v>
      </c>
      <c r="S607" s="225"/>
    </row>
    <row r="608" spans="4:19" x14ac:dyDescent="0.3">
      <c r="D608" s="349">
        <v>44924</v>
      </c>
      <c r="F608" s="350">
        <v>18191</v>
      </c>
      <c r="S608" s="225"/>
    </row>
    <row r="609" spans="4:19" x14ac:dyDescent="0.3">
      <c r="D609" s="349">
        <v>44923</v>
      </c>
      <c r="F609" s="350">
        <v>18122.5</v>
      </c>
      <c r="S609" s="225"/>
    </row>
    <row r="610" spans="4:19" x14ac:dyDescent="0.3">
      <c r="D610" s="349">
        <v>44922</v>
      </c>
      <c r="F610" s="350">
        <v>18132.3</v>
      </c>
      <c r="S610" s="225"/>
    </row>
    <row r="611" spans="4:19" x14ac:dyDescent="0.3">
      <c r="D611" s="349">
        <v>44921</v>
      </c>
      <c r="F611" s="350">
        <v>18014.599999999999</v>
      </c>
      <c r="S611" s="225"/>
    </row>
    <row r="612" spans="4:19" x14ac:dyDescent="0.3">
      <c r="D612" s="349">
        <v>44918</v>
      </c>
      <c r="F612" s="350">
        <v>17806.8</v>
      </c>
      <c r="S612" s="225"/>
    </row>
    <row r="613" spans="4:19" x14ac:dyDescent="0.3">
      <c r="D613" s="349">
        <v>44917</v>
      </c>
      <c r="F613" s="350">
        <v>18127.349999999999</v>
      </c>
      <c r="S613" s="225"/>
    </row>
    <row r="614" spans="4:19" x14ac:dyDescent="0.3">
      <c r="D614" s="349">
        <v>44916</v>
      </c>
      <c r="F614" s="350">
        <v>18199.099999999999</v>
      </c>
      <c r="S614" s="225"/>
    </row>
    <row r="615" spans="4:19" x14ac:dyDescent="0.3">
      <c r="D615" s="349">
        <v>44915</v>
      </c>
      <c r="F615" s="350">
        <v>18385.3</v>
      </c>
      <c r="S615" s="225"/>
    </row>
    <row r="616" spans="4:19" x14ac:dyDescent="0.3">
      <c r="D616" s="349">
        <v>44914</v>
      </c>
      <c r="F616" s="350">
        <v>18420.45</v>
      </c>
      <c r="S616" s="225"/>
    </row>
    <row r="617" spans="4:19" x14ac:dyDescent="0.3">
      <c r="D617" s="349">
        <v>44911</v>
      </c>
      <c r="F617" s="350">
        <v>18269</v>
      </c>
      <c r="P617" s="283"/>
      <c r="S617" s="225"/>
    </row>
    <row r="618" spans="4:19" x14ac:dyDescent="0.3">
      <c r="D618" s="349">
        <v>44910</v>
      </c>
      <c r="F618" s="350">
        <v>18414.900000000001</v>
      </c>
      <c r="P618" s="283"/>
      <c r="S618" s="225"/>
    </row>
    <row r="619" spans="4:19" x14ac:dyDescent="0.3">
      <c r="D619" s="349">
        <v>44909</v>
      </c>
      <c r="F619" s="350">
        <v>18660.3</v>
      </c>
      <c r="P619" s="283"/>
      <c r="S619" s="225"/>
    </row>
    <row r="620" spans="4:19" x14ac:dyDescent="0.3">
      <c r="D620" s="349">
        <v>44908</v>
      </c>
      <c r="F620" s="350">
        <v>18608</v>
      </c>
      <c r="P620" s="283"/>
      <c r="S620" s="225"/>
    </row>
    <row r="621" spans="4:19" x14ac:dyDescent="0.3">
      <c r="D621" s="349">
        <v>44907</v>
      </c>
      <c r="F621" s="350">
        <v>18497.150000000001</v>
      </c>
      <c r="P621" s="283"/>
      <c r="S621" s="225"/>
    </row>
    <row r="622" spans="4:19" x14ac:dyDescent="0.3">
      <c r="D622" s="349">
        <v>44904</v>
      </c>
      <c r="F622" s="350">
        <v>18496.599999999999</v>
      </c>
      <c r="P622" s="283"/>
      <c r="S622" s="225"/>
    </row>
    <row r="623" spans="4:19" x14ac:dyDescent="0.3">
      <c r="D623" s="349">
        <v>44903</v>
      </c>
      <c r="F623" s="350">
        <v>18609.349999999999</v>
      </c>
      <c r="P623" s="283"/>
      <c r="S623" s="225"/>
    </row>
    <row r="624" spans="4:19" x14ac:dyDescent="0.3">
      <c r="D624" s="349">
        <v>44902</v>
      </c>
      <c r="F624" s="350">
        <v>18560.5</v>
      </c>
      <c r="P624" s="283"/>
      <c r="S624" s="225"/>
    </row>
    <row r="625" spans="4:19" x14ac:dyDescent="0.3">
      <c r="D625" s="349">
        <v>44901</v>
      </c>
      <c r="F625" s="350">
        <v>18642.75</v>
      </c>
      <c r="S625" s="225"/>
    </row>
    <row r="626" spans="4:19" x14ac:dyDescent="0.3">
      <c r="D626" s="349">
        <v>44900</v>
      </c>
      <c r="F626" s="350">
        <v>18701.05</v>
      </c>
      <c r="S626" s="225"/>
    </row>
    <row r="627" spans="4:19" x14ac:dyDescent="0.3">
      <c r="D627" s="349">
        <v>44897</v>
      </c>
      <c r="F627" s="350">
        <v>18696.099999999999</v>
      </c>
      <c r="S627" s="225"/>
    </row>
    <row r="628" spans="4:19" x14ac:dyDescent="0.3">
      <c r="D628" s="349">
        <v>44896</v>
      </c>
      <c r="F628" s="350">
        <v>18812.5</v>
      </c>
      <c r="S628" s="225"/>
    </row>
    <row r="629" spans="4:19" x14ac:dyDescent="0.3">
      <c r="D629" s="349">
        <v>44895</v>
      </c>
      <c r="F629" s="350">
        <v>18758.349999999999</v>
      </c>
      <c r="S629" s="225"/>
    </row>
    <row r="630" spans="4:19" x14ac:dyDescent="0.3">
      <c r="D630" s="349">
        <v>44894</v>
      </c>
      <c r="F630" s="350">
        <v>18618.05</v>
      </c>
      <c r="S630" s="225"/>
    </row>
    <row r="631" spans="4:19" x14ac:dyDescent="0.3">
      <c r="D631" s="349">
        <v>44893</v>
      </c>
      <c r="F631" s="350">
        <v>18562.75</v>
      </c>
      <c r="S631" s="225"/>
    </row>
    <row r="632" spans="4:19" x14ac:dyDescent="0.3">
      <c r="D632" s="349">
        <v>44890</v>
      </c>
      <c r="F632" s="350">
        <v>18512.75</v>
      </c>
      <c r="S632" s="225"/>
    </row>
    <row r="633" spans="4:19" x14ac:dyDescent="0.3">
      <c r="D633" s="349">
        <v>44889</v>
      </c>
      <c r="F633" s="350">
        <v>18484.099999999999</v>
      </c>
      <c r="S633" s="225"/>
    </row>
    <row r="634" spans="4:19" x14ac:dyDescent="0.3">
      <c r="D634" s="349">
        <v>44888</v>
      </c>
      <c r="F634" s="350">
        <v>18267.25</v>
      </c>
      <c r="S634" s="225"/>
    </row>
    <row r="635" spans="4:19" x14ac:dyDescent="0.3">
      <c r="D635" s="349">
        <v>44887</v>
      </c>
      <c r="F635" s="350">
        <v>18244.2</v>
      </c>
      <c r="S635" s="225"/>
    </row>
    <row r="636" spans="4:19" x14ac:dyDescent="0.3">
      <c r="D636" s="349">
        <v>44886</v>
      </c>
      <c r="F636" s="350">
        <v>18159.95</v>
      </c>
      <c r="S636" s="225"/>
    </row>
    <row r="637" spans="4:19" x14ac:dyDescent="0.3">
      <c r="D637" s="349">
        <v>44883</v>
      </c>
      <c r="F637" s="350">
        <v>18307.650000000001</v>
      </c>
      <c r="P637" s="283"/>
      <c r="S637" s="225"/>
    </row>
    <row r="638" spans="4:19" x14ac:dyDescent="0.3">
      <c r="D638" s="349">
        <v>44882</v>
      </c>
      <c r="F638" s="350">
        <v>18343.900000000001</v>
      </c>
      <c r="P638" s="283"/>
      <c r="S638" s="225"/>
    </row>
    <row r="639" spans="4:19" x14ac:dyDescent="0.3">
      <c r="D639" s="349">
        <v>44881</v>
      </c>
      <c r="F639" s="350">
        <v>18409.650000000001</v>
      </c>
      <c r="P639" s="283"/>
      <c r="S639" s="225"/>
    </row>
    <row r="640" spans="4:19" x14ac:dyDescent="0.3">
      <c r="D640" s="349">
        <v>44880</v>
      </c>
      <c r="F640" s="350">
        <v>18403.400000000001</v>
      </c>
      <c r="P640" s="283"/>
      <c r="S640" s="225"/>
    </row>
    <row r="641" spans="4:19" x14ac:dyDescent="0.3">
      <c r="D641" s="349">
        <v>44879</v>
      </c>
      <c r="F641" s="350">
        <v>18329.150000000001</v>
      </c>
      <c r="P641" s="283"/>
      <c r="S641" s="225"/>
    </row>
    <row r="642" spans="4:19" x14ac:dyDescent="0.3">
      <c r="D642" s="349">
        <v>44876</v>
      </c>
      <c r="F642" s="350">
        <v>18349.7</v>
      </c>
      <c r="P642" s="283"/>
      <c r="S642" s="225"/>
    </row>
    <row r="643" spans="4:19" x14ac:dyDescent="0.3">
      <c r="D643" s="349">
        <v>44875</v>
      </c>
      <c r="F643" s="350">
        <v>18028.2</v>
      </c>
      <c r="P643" s="283"/>
      <c r="S643" s="225"/>
    </row>
    <row r="644" spans="4:19" x14ac:dyDescent="0.3">
      <c r="D644" s="349">
        <v>44874</v>
      </c>
      <c r="F644" s="350">
        <v>18157</v>
      </c>
      <c r="S644" s="225"/>
    </row>
    <row r="645" spans="4:19" x14ac:dyDescent="0.3">
      <c r="D645" s="349">
        <v>44872</v>
      </c>
      <c r="F645" s="350">
        <v>18202.8</v>
      </c>
      <c r="S645" s="225"/>
    </row>
    <row r="646" spans="4:19" x14ac:dyDescent="0.3">
      <c r="D646" s="349">
        <v>44869</v>
      </c>
      <c r="F646" s="350">
        <v>18117.150000000001</v>
      </c>
      <c r="S646" s="225"/>
    </row>
    <row r="647" spans="4:19" x14ac:dyDescent="0.3">
      <c r="D647" s="349">
        <v>44868</v>
      </c>
      <c r="F647" s="350">
        <v>18052.7</v>
      </c>
      <c r="S647" s="225"/>
    </row>
    <row r="648" spans="4:19" x14ac:dyDescent="0.3">
      <c r="D648" s="349">
        <v>44867</v>
      </c>
      <c r="F648" s="350">
        <v>18082.849999999999</v>
      </c>
      <c r="S648" s="225"/>
    </row>
    <row r="649" spans="4:19" x14ac:dyDescent="0.3">
      <c r="D649" s="349">
        <v>44866</v>
      </c>
      <c r="F649" s="350">
        <v>18145.400000000001</v>
      </c>
      <c r="S649" s="225"/>
    </row>
    <row r="650" spans="4:19" x14ac:dyDescent="0.3">
      <c r="D650" s="349">
        <v>44865</v>
      </c>
      <c r="F650" s="350">
        <v>18012.2</v>
      </c>
      <c r="S650" s="225"/>
    </row>
    <row r="651" spans="4:19" x14ac:dyDescent="0.3">
      <c r="D651" s="349">
        <v>44862</v>
      </c>
      <c r="F651" s="350">
        <v>17786.8</v>
      </c>
      <c r="S651" s="225"/>
    </row>
    <row r="652" spans="4:19" x14ac:dyDescent="0.3">
      <c r="D652" s="349">
        <v>44861</v>
      </c>
      <c r="F652" s="350">
        <v>17736.95</v>
      </c>
      <c r="S652" s="225"/>
    </row>
    <row r="653" spans="4:19" x14ac:dyDescent="0.3">
      <c r="D653" s="349">
        <v>44859</v>
      </c>
      <c r="F653" s="350">
        <v>17656.349999999999</v>
      </c>
      <c r="S653" s="225"/>
    </row>
    <row r="654" spans="4:19" x14ac:dyDescent="0.3">
      <c r="D654" s="349">
        <v>44858</v>
      </c>
      <c r="F654" s="350">
        <v>17730.75</v>
      </c>
      <c r="S654" s="225"/>
    </row>
    <row r="655" spans="4:19" x14ac:dyDescent="0.3">
      <c r="D655" s="349">
        <v>44855</v>
      </c>
      <c r="F655" s="350">
        <v>17576.3</v>
      </c>
      <c r="S655" s="225"/>
    </row>
    <row r="656" spans="4:19" x14ac:dyDescent="0.3">
      <c r="D656" s="349">
        <v>44854</v>
      </c>
      <c r="F656" s="350">
        <v>17563.95</v>
      </c>
      <c r="S656" s="225"/>
    </row>
    <row r="657" spans="4:19" x14ac:dyDescent="0.3">
      <c r="D657" s="349">
        <v>44853</v>
      </c>
      <c r="F657" s="350">
        <v>17512.25</v>
      </c>
      <c r="S657" s="225"/>
    </row>
    <row r="658" spans="4:19" x14ac:dyDescent="0.3">
      <c r="D658" s="349">
        <v>44852</v>
      </c>
      <c r="F658" s="350">
        <v>17486.95</v>
      </c>
      <c r="P658" s="283"/>
      <c r="S658" s="225"/>
    </row>
    <row r="659" spans="4:19" x14ac:dyDescent="0.3">
      <c r="D659" s="349">
        <v>44851</v>
      </c>
      <c r="F659" s="350">
        <v>17311.8</v>
      </c>
      <c r="P659" s="283"/>
      <c r="S659" s="225"/>
    </row>
    <row r="660" spans="4:19" x14ac:dyDescent="0.3">
      <c r="D660" s="349">
        <v>44848</v>
      </c>
      <c r="F660" s="350">
        <v>17185.7</v>
      </c>
      <c r="P660" s="283"/>
      <c r="S660" s="225"/>
    </row>
    <row r="661" spans="4:19" x14ac:dyDescent="0.3">
      <c r="D661" s="349">
        <v>44847</v>
      </c>
      <c r="F661" s="350">
        <v>17014.349999999999</v>
      </c>
      <c r="P661" s="283"/>
      <c r="S661" s="225"/>
    </row>
    <row r="662" spans="4:19" x14ac:dyDescent="0.3">
      <c r="D662" s="349">
        <v>44846</v>
      </c>
      <c r="F662" s="350">
        <v>17123.599999999999</v>
      </c>
      <c r="P662" s="283"/>
      <c r="S662" s="225"/>
    </row>
    <row r="663" spans="4:19" x14ac:dyDescent="0.3">
      <c r="D663" s="349">
        <v>44845</v>
      </c>
      <c r="F663" s="350">
        <v>16983.55</v>
      </c>
      <c r="P663" s="283"/>
      <c r="S663" s="225"/>
    </row>
    <row r="664" spans="4:19" x14ac:dyDescent="0.3">
      <c r="D664" s="349">
        <v>44844</v>
      </c>
      <c r="F664" s="350">
        <v>17241</v>
      </c>
      <c r="P664" s="283"/>
      <c r="S664" s="225"/>
    </row>
    <row r="665" spans="4:19" x14ac:dyDescent="0.3">
      <c r="D665" s="349">
        <v>44841</v>
      </c>
      <c r="F665" s="350">
        <v>17314.650000000001</v>
      </c>
      <c r="P665" s="283"/>
      <c r="S665" s="225"/>
    </row>
    <row r="666" spans="4:19" x14ac:dyDescent="0.3">
      <c r="D666" s="349">
        <v>44840</v>
      </c>
      <c r="F666" s="350">
        <v>17331.8</v>
      </c>
      <c r="S666" s="225"/>
    </row>
    <row r="667" spans="4:19" x14ac:dyDescent="0.3">
      <c r="D667" s="349">
        <v>44838</v>
      </c>
      <c r="F667" s="350">
        <v>17274.3</v>
      </c>
      <c r="S667" s="225"/>
    </row>
    <row r="668" spans="4:19" x14ac:dyDescent="0.3">
      <c r="D668" s="349">
        <v>44837</v>
      </c>
      <c r="F668" s="350">
        <v>16887.349999999999</v>
      </c>
      <c r="S668" s="225"/>
    </row>
    <row r="669" spans="4:19" x14ac:dyDescent="0.3">
      <c r="D669" s="349">
        <v>44834</v>
      </c>
      <c r="F669" s="350">
        <v>17094.349999999999</v>
      </c>
      <c r="S669" s="225"/>
    </row>
    <row r="670" spans="4:19" x14ac:dyDescent="0.3">
      <c r="D670" s="349">
        <v>44833</v>
      </c>
      <c r="F670" s="350">
        <v>16818.099999999999</v>
      </c>
      <c r="S670" s="225"/>
    </row>
    <row r="671" spans="4:19" x14ac:dyDescent="0.3">
      <c r="D671" s="349">
        <v>44832</v>
      </c>
      <c r="F671" s="350">
        <v>16858.599999999999</v>
      </c>
      <c r="S671" s="225"/>
    </row>
    <row r="672" spans="4:19" x14ac:dyDescent="0.3">
      <c r="D672" s="349">
        <v>44831</v>
      </c>
      <c r="F672" s="350">
        <v>17007.400000000001</v>
      </c>
      <c r="S672" s="225"/>
    </row>
    <row r="673" spans="4:19" x14ac:dyDescent="0.3">
      <c r="D673" s="349">
        <v>44830</v>
      </c>
      <c r="F673" s="350">
        <v>17016.3</v>
      </c>
      <c r="S673" s="225"/>
    </row>
    <row r="674" spans="4:19" x14ac:dyDescent="0.3">
      <c r="D674" s="349">
        <v>44827</v>
      </c>
      <c r="F674" s="350">
        <v>17327.349999999999</v>
      </c>
      <c r="S674" s="225"/>
    </row>
    <row r="675" spans="4:19" x14ac:dyDescent="0.3">
      <c r="D675" s="349">
        <v>44826</v>
      </c>
      <c r="F675" s="350">
        <v>17629.8</v>
      </c>
      <c r="S675" s="225"/>
    </row>
    <row r="676" spans="4:19" x14ac:dyDescent="0.3">
      <c r="D676" s="349">
        <v>44825</v>
      </c>
      <c r="F676" s="350">
        <v>17718.349999999999</v>
      </c>
      <c r="S676" s="225"/>
    </row>
    <row r="677" spans="4:19" x14ac:dyDescent="0.3">
      <c r="D677" s="349">
        <v>44824</v>
      </c>
      <c r="F677" s="350">
        <v>17816.25</v>
      </c>
      <c r="P677" s="283"/>
      <c r="S677" s="225"/>
    </row>
    <row r="678" spans="4:19" x14ac:dyDescent="0.3">
      <c r="D678" s="349">
        <v>44823</v>
      </c>
      <c r="F678" s="350">
        <v>17622.25</v>
      </c>
      <c r="P678" s="283"/>
      <c r="S678" s="225"/>
    </row>
    <row r="679" spans="4:19" x14ac:dyDescent="0.3">
      <c r="D679" s="349">
        <v>44820</v>
      </c>
      <c r="F679" s="350">
        <v>17530.849999999999</v>
      </c>
      <c r="P679" s="283"/>
      <c r="S679" s="225"/>
    </row>
    <row r="680" spans="4:19" x14ac:dyDescent="0.3">
      <c r="D680" s="349">
        <v>44819</v>
      </c>
      <c r="F680" s="350">
        <v>17877.400000000001</v>
      </c>
      <c r="P680" s="283"/>
      <c r="S680" s="225"/>
    </row>
    <row r="681" spans="4:19" x14ac:dyDescent="0.3">
      <c r="D681" s="349">
        <v>44818</v>
      </c>
      <c r="F681" s="350">
        <v>18003.75</v>
      </c>
      <c r="P681" s="283"/>
      <c r="S681" s="225"/>
    </row>
    <row r="682" spans="4:19" x14ac:dyDescent="0.3">
      <c r="D682" s="349">
        <v>44817</v>
      </c>
      <c r="F682" s="350">
        <v>18070.05</v>
      </c>
      <c r="P682" s="283"/>
      <c r="S682" s="225"/>
    </row>
    <row r="683" spans="4:19" x14ac:dyDescent="0.3">
      <c r="D683" s="349">
        <v>44816</v>
      </c>
      <c r="F683" s="350">
        <v>17936.349999999999</v>
      </c>
      <c r="P683" s="283"/>
      <c r="S683" s="225"/>
    </row>
    <row r="684" spans="4:19" x14ac:dyDescent="0.3">
      <c r="D684" s="349">
        <v>44813</v>
      </c>
      <c r="F684" s="350">
        <v>17833.349999999999</v>
      </c>
      <c r="P684" s="283"/>
      <c r="S684" s="225"/>
    </row>
    <row r="685" spans="4:19" x14ac:dyDescent="0.3">
      <c r="D685" s="349">
        <v>44812</v>
      </c>
      <c r="F685" s="350">
        <v>17798.75</v>
      </c>
      <c r="P685" s="283"/>
      <c r="S685" s="225"/>
    </row>
    <row r="686" spans="4:19" x14ac:dyDescent="0.3">
      <c r="D686" s="349">
        <v>44811</v>
      </c>
      <c r="F686" s="350">
        <v>17624.400000000001</v>
      </c>
      <c r="S686" s="225"/>
    </row>
    <row r="687" spans="4:19" x14ac:dyDescent="0.3">
      <c r="D687" s="349">
        <v>44810</v>
      </c>
      <c r="F687" s="350">
        <v>17655.599999999999</v>
      </c>
      <c r="S687" s="225"/>
    </row>
    <row r="688" spans="4:19" x14ac:dyDescent="0.3">
      <c r="D688" s="349">
        <v>44809</v>
      </c>
      <c r="F688" s="350">
        <v>17665.8</v>
      </c>
      <c r="S688" s="225"/>
    </row>
    <row r="689" spans="4:19" x14ac:dyDescent="0.3">
      <c r="D689" s="349">
        <v>44806</v>
      </c>
      <c r="F689" s="350">
        <v>17539.45</v>
      </c>
      <c r="S689" s="225"/>
    </row>
    <row r="690" spans="4:19" x14ac:dyDescent="0.3">
      <c r="D690" s="349">
        <v>44805</v>
      </c>
      <c r="F690" s="350">
        <v>17542.8</v>
      </c>
      <c r="S690" s="225"/>
    </row>
    <row r="691" spans="4:19" x14ac:dyDescent="0.3">
      <c r="D691" s="349">
        <v>44803</v>
      </c>
      <c r="F691" s="350">
        <v>17759.3</v>
      </c>
      <c r="S691" s="225"/>
    </row>
    <row r="692" spans="4:19" x14ac:dyDescent="0.3">
      <c r="D692" s="349">
        <v>44802</v>
      </c>
      <c r="F692" s="350">
        <v>17312.900000000001</v>
      </c>
      <c r="S692" s="225"/>
    </row>
    <row r="693" spans="4:19" x14ac:dyDescent="0.3">
      <c r="D693" s="349">
        <v>44799</v>
      </c>
      <c r="F693" s="350">
        <v>17558.900000000001</v>
      </c>
      <c r="S693" s="225"/>
    </row>
    <row r="694" spans="4:19" x14ac:dyDescent="0.3">
      <c r="D694" s="349">
        <v>44798</v>
      </c>
      <c r="F694" s="350">
        <v>17522.45</v>
      </c>
      <c r="S694" s="225"/>
    </row>
    <row r="695" spans="4:19" x14ac:dyDescent="0.3">
      <c r="D695" s="349">
        <v>44797</v>
      </c>
      <c r="F695" s="350">
        <v>17604.95</v>
      </c>
      <c r="S695" s="225"/>
    </row>
    <row r="696" spans="4:19" x14ac:dyDescent="0.3">
      <c r="D696" s="349">
        <v>44796</v>
      </c>
      <c r="F696" s="350">
        <v>17577.5</v>
      </c>
      <c r="S696" s="225"/>
    </row>
    <row r="697" spans="4:19" x14ac:dyDescent="0.3">
      <c r="D697" s="349">
        <v>44795</v>
      </c>
      <c r="F697" s="350">
        <v>17490.7</v>
      </c>
      <c r="S697" s="225"/>
    </row>
    <row r="698" spans="4:19" x14ac:dyDescent="0.3">
      <c r="D698" s="349">
        <v>44792</v>
      </c>
      <c r="F698" s="350">
        <v>17758.45</v>
      </c>
      <c r="S698" s="225"/>
    </row>
    <row r="699" spans="4:19" x14ac:dyDescent="0.3">
      <c r="D699" s="349">
        <v>44791</v>
      </c>
      <c r="F699" s="350">
        <v>17956.5</v>
      </c>
      <c r="P699" s="283"/>
      <c r="S699" s="225"/>
    </row>
    <row r="700" spans="4:19" x14ac:dyDescent="0.3">
      <c r="D700" s="349">
        <v>44790</v>
      </c>
      <c r="F700" s="350">
        <v>17944.25</v>
      </c>
      <c r="P700" s="283"/>
      <c r="S700" s="225"/>
    </row>
    <row r="701" spans="4:19" x14ac:dyDescent="0.3">
      <c r="D701" s="349">
        <v>44789</v>
      </c>
      <c r="F701" s="350">
        <v>17825.25</v>
      </c>
      <c r="P701" s="283"/>
      <c r="S701" s="225"/>
    </row>
    <row r="702" spans="4:19" x14ac:dyDescent="0.3">
      <c r="D702" s="349">
        <v>44785</v>
      </c>
      <c r="F702" s="350">
        <v>17698.150000000001</v>
      </c>
      <c r="P702" s="283"/>
      <c r="S702" s="225"/>
    </row>
    <row r="703" spans="4:19" x14ac:dyDescent="0.3">
      <c r="D703" s="349">
        <v>44784</v>
      </c>
      <c r="F703" s="350">
        <v>17659</v>
      </c>
      <c r="P703" s="283"/>
      <c r="S703" s="225"/>
    </row>
    <row r="704" spans="4:19" x14ac:dyDescent="0.3">
      <c r="D704" s="349">
        <v>44783</v>
      </c>
      <c r="F704" s="350">
        <v>17534.75</v>
      </c>
      <c r="P704" s="283"/>
      <c r="S704" s="225"/>
    </row>
    <row r="705" spans="4:19" x14ac:dyDescent="0.3">
      <c r="D705" s="349">
        <v>44781</v>
      </c>
      <c r="F705" s="350">
        <v>17525.099999999999</v>
      </c>
      <c r="P705" s="283"/>
      <c r="S705" s="225"/>
    </row>
    <row r="706" spans="4:19" x14ac:dyDescent="0.3">
      <c r="D706" s="349">
        <v>44778</v>
      </c>
      <c r="F706" s="350">
        <v>17397.5</v>
      </c>
      <c r="P706" s="283"/>
      <c r="S706" s="225"/>
    </row>
    <row r="707" spans="4:19" x14ac:dyDescent="0.3">
      <c r="D707" s="349">
        <v>44777</v>
      </c>
      <c r="F707" s="350">
        <v>17382</v>
      </c>
      <c r="S707" s="225"/>
    </row>
    <row r="708" spans="4:19" x14ac:dyDescent="0.3">
      <c r="D708" s="349">
        <v>44776</v>
      </c>
      <c r="F708" s="350">
        <v>17388.150000000001</v>
      </c>
      <c r="S708" s="225"/>
    </row>
    <row r="709" spans="4:19" x14ac:dyDescent="0.3">
      <c r="D709" s="349">
        <v>44775</v>
      </c>
      <c r="F709" s="350">
        <v>17345.45</v>
      </c>
      <c r="S709" s="225"/>
    </row>
    <row r="710" spans="4:19" x14ac:dyDescent="0.3">
      <c r="D710" s="349">
        <v>44774</v>
      </c>
      <c r="F710" s="350">
        <v>17340.05</v>
      </c>
      <c r="S710" s="225"/>
    </row>
    <row r="711" spans="4:19" x14ac:dyDescent="0.3">
      <c r="D711" s="349">
        <v>44771</v>
      </c>
      <c r="F711" s="350">
        <v>17158.25</v>
      </c>
      <c r="S711" s="225"/>
    </row>
    <row r="712" spans="4:19" x14ac:dyDescent="0.3">
      <c r="D712" s="349">
        <v>44770</v>
      </c>
      <c r="F712" s="350">
        <v>16929.599999999999</v>
      </c>
      <c r="S712" s="225"/>
    </row>
    <row r="713" spans="4:19" x14ac:dyDescent="0.3">
      <c r="D713" s="349">
        <v>44769</v>
      </c>
      <c r="F713" s="350">
        <v>16641.8</v>
      </c>
      <c r="S713" s="225"/>
    </row>
    <row r="714" spans="4:19" x14ac:dyDescent="0.3">
      <c r="D714" s="349">
        <v>44768</v>
      </c>
      <c r="F714" s="350">
        <v>16483.849999999999</v>
      </c>
      <c r="S714" s="225"/>
    </row>
    <row r="715" spans="4:19" x14ac:dyDescent="0.3">
      <c r="D715" s="349">
        <v>44767</v>
      </c>
      <c r="F715" s="350">
        <v>16631</v>
      </c>
      <c r="S715" s="225"/>
    </row>
    <row r="716" spans="4:19" x14ac:dyDescent="0.3">
      <c r="D716" s="349">
        <v>44764</v>
      </c>
      <c r="F716" s="350">
        <v>16719.45</v>
      </c>
      <c r="S716" s="225"/>
    </row>
    <row r="717" spans="4:19" x14ac:dyDescent="0.3">
      <c r="D717" s="349">
        <v>44763</v>
      </c>
      <c r="F717" s="350">
        <v>16605.25</v>
      </c>
      <c r="S717" s="225"/>
    </row>
    <row r="718" spans="4:19" x14ac:dyDescent="0.3">
      <c r="D718" s="349">
        <v>44762</v>
      </c>
      <c r="F718" s="350">
        <v>16520.849999999999</v>
      </c>
      <c r="S718" s="225"/>
    </row>
    <row r="719" spans="4:19" x14ac:dyDescent="0.3">
      <c r="D719" s="349">
        <v>44761</v>
      </c>
      <c r="F719" s="350">
        <v>16340.55</v>
      </c>
      <c r="S719" s="225"/>
    </row>
    <row r="720" spans="4:19" x14ac:dyDescent="0.3">
      <c r="D720" s="349">
        <v>44760</v>
      </c>
      <c r="F720" s="350">
        <v>16278.5</v>
      </c>
      <c r="S720" s="225"/>
    </row>
    <row r="721" spans="4:19" x14ac:dyDescent="0.3">
      <c r="D721" s="349">
        <v>44757</v>
      </c>
      <c r="F721" s="350">
        <v>16049.2</v>
      </c>
      <c r="P721" s="283"/>
      <c r="S721" s="225"/>
    </row>
    <row r="722" spans="4:19" x14ac:dyDescent="0.3">
      <c r="D722" s="349">
        <v>44756</v>
      </c>
      <c r="F722" s="350">
        <v>15938.65</v>
      </c>
      <c r="P722" s="283"/>
      <c r="S722" s="225"/>
    </row>
    <row r="723" spans="4:19" x14ac:dyDescent="0.3">
      <c r="D723" s="349">
        <v>44755</v>
      </c>
      <c r="F723" s="350">
        <v>15966.65</v>
      </c>
      <c r="P723" s="283"/>
      <c r="S723" s="225"/>
    </row>
    <row r="724" spans="4:19" x14ac:dyDescent="0.3">
      <c r="D724" s="349">
        <v>44754</v>
      </c>
      <c r="F724" s="350">
        <v>16058.3</v>
      </c>
      <c r="P724" s="283"/>
      <c r="S724" s="225"/>
    </row>
    <row r="725" spans="4:19" x14ac:dyDescent="0.3">
      <c r="D725" s="349">
        <v>44753</v>
      </c>
      <c r="F725" s="350">
        <v>16216</v>
      </c>
      <c r="P725" s="283"/>
      <c r="S725" s="225"/>
    </row>
    <row r="726" spans="4:19" x14ac:dyDescent="0.3">
      <c r="D726" s="349">
        <v>44750</v>
      </c>
      <c r="F726" s="350">
        <v>16220.6</v>
      </c>
      <c r="P726" s="283"/>
      <c r="S726" s="225"/>
    </row>
    <row r="727" spans="4:19" x14ac:dyDescent="0.3">
      <c r="D727" s="349">
        <v>44749</v>
      </c>
      <c r="F727" s="350">
        <v>16132.9</v>
      </c>
      <c r="P727" s="283"/>
      <c r="S727" s="225"/>
    </row>
    <row r="728" spans="4:19" x14ac:dyDescent="0.3">
      <c r="D728" s="349">
        <v>44748</v>
      </c>
      <c r="F728" s="350">
        <v>15989.8</v>
      </c>
      <c r="P728" s="283"/>
      <c r="S728" s="225"/>
    </row>
    <row r="729" spans="4:19" x14ac:dyDescent="0.3">
      <c r="D729" s="349">
        <v>44747</v>
      </c>
      <c r="F729" s="350">
        <v>15810.85</v>
      </c>
      <c r="S729" s="225"/>
    </row>
    <row r="730" spans="4:19" x14ac:dyDescent="0.3">
      <c r="D730" s="349">
        <v>44746</v>
      </c>
      <c r="F730" s="350">
        <v>15835.35</v>
      </c>
      <c r="S730" s="225"/>
    </row>
    <row r="731" spans="4:19" x14ac:dyDescent="0.3">
      <c r="D731" s="349">
        <v>44743</v>
      </c>
      <c r="F731" s="350">
        <v>15752.05</v>
      </c>
      <c r="S731" s="225"/>
    </row>
    <row r="732" spans="4:19" x14ac:dyDescent="0.3">
      <c r="D732" s="349">
        <v>44742</v>
      </c>
      <c r="F732" s="350">
        <v>15780.25</v>
      </c>
      <c r="S732" s="225"/>
    </row>
    <row r="733" spans="4:19" x14ac:dyDescent="0.3">
      <c r="D733" s="349">
        <v>44741</v>
      </c>
      <c r="F733" s="350">
        <v>15799.1</v>
      </c>
      <c r="S733" s="225"/>
    </row>
    <row r="734" spans="4:19" x14ac:dyDescent="0.3">
      <c r="D734" s="349">
        <v>44740</v>
      </c>
      <c r="F734" s="350">
        <v>15850.2</v>
      </c>
      <c r="S734" s="225"/>
    </row>
    <row r="735" spans="4:19" x14ac:dyDescent="0.3">
      <c r="D735" s="349">
        <v>44739</v>
      </c>
      <c r="F735" s="350">
        <v>15832.05</v>
      </c>
      <c r="S735" s="225"/>
    </row>
    <row r="736" spans="4:19" x14ac:dyDescent="0.3">
      <c r="D736" s="349">
        <v>44736</v>
      </c>
      <c r="F736" s="350">
        <v>15699.25</v>
      </c>
      <c r="S736" s="225"/>
    </row>
    <row r="737" spans="4:19" x14ac:dyDescent="0.3">
      <c r="D737" s="349">
        <v>44735</v>
      </c>
      <c r="F737" s="350">
        <v>15556.65</v>
      </c>
      <c r="S737" s="225"/>
    </row>
    <row r="738" spans="4:19" x14ac:dyDescent="0.3">
      <c r="D738" s="349">
        <v>44734</v>
      </c>
      <c r="F738" s="350">
        <v>15413.3</v>
      </c>
      <c r="S738" s="225"/>
    </row>
    <row r="739" spans="4:19" x14ac:dyDescent="0.3">
      <c r="D739" s="349">
        <v>44733</v>
      </c>
      <c r="F739" s="350">
        <v>15638.8</v>
      </c>
      <c r="S739" s="225"/>
    </row>
    <row r="740" spans="4:19" x14ac:dyDescent="0.3">
      <c r="D740" s="349">
        <v>44732</v>
      </c>
      <c r="F740" s="350">
        <v>15350.15</v>
      </c>
      <c r="S740" s="225"/>
    </row>
    <row r="741" spans="4:19" x14ac:dyDescent="0.3">
      <c r="D741" s="349">
        <v>44729</v>
      </c>
      <c r="F741" s="350">
        <v>15293.5</v>
      </c>
      <c r="S741" s="225"/>
    </row>
    <row r="742" spans="4:19" x14ac:dyDescent="0.3">
      <c r="D742" s="349">
        <v>44728</v>
      </c>
      <c r="F742" s="350">
        <v>15360.6</v>
      </c>
      <c r="P742" s="283"/>
      <c r="S742" s="225"/>
    </row>
    <row r="743" spans="4:19" x14ac:dyDescent="0.3">
      <c r="D743" s="349">
        <v>44727</v>
      </c>
      <c r="F743" s="350">
        <v>15692.15</v>
      </c>
      <c r="P743" s="283"/>
      <c r="S743" s="225"/>
    </row>
    <row r="744" spans="4:19" x14ac:dyDescent="0.3">
      <c r="D744" s="349">
        <v>44726</v>
      </c>
      <c r="F744" s="350">
        <v>15732.1</v>
      </c>
      <c r="P744" s="283"/>
      <c r="S744" s="225"/>
    </row>
    <row r="745" spans="4:19" x14ac:dyDescent="0.3">
      <c r="D745" s="349">
        <v>44725</v>
      </c>
      <c r="F745" s="350">
        <v>15774.4</v>
      </c>
      <c r="P745" s="283"/>
      <c r="S745" s="225"/>
    </row>
    <row r="746" spans="4:19" x14ac:dyDescent="0.3">
      <c r="D746" s="349">
        <v>44722</v>
      </c>
      <c r="F746" s="350">
        <v>16201.8</v>
      </c>
      <c r="P746" s="283"/>
      <c r="S746" s="225"/>
    </row>
    <row r="747" spans="4:19" x14ac:dyDescent="0.3">
      <c r="D747" s="349">
        <v>44721</v>
      </c>
      <c r="F747" s="350">
        <v>16478.099999999999</v>
      </c>
      <c r="P747" s="283"/>
      <c r="S747" s="225"/>
    </row>
    <row r="748" spans="4:19" x14ac:dyDescent="0.3">
      <c r="D748" s="349">
        <v>44720</v>
      </c>
      <c r="F748" s="350">
        <v>16356.25</v>
      </c>
      <c r="P748" s="283"/>
      <c r="S748" s="225"/>
    </row>
    <row r="749" spans="4:19" x14ac:dyDescent="0.3">
      <c r="D749" s="349">
        <v>44719</v>
      </c>
      <c r="F749" s="350">
        <v>16416.349999999999</v>
      </c>
      <c r="P749" s="283"/>
      <c r="S749" s="225"/>
    </row>
    <row r="750" spans="4:19" x14ac:dyDescent="0.3">
      <c r="D750" s="349">
        <v>44718</v>
      </c>
      <c r="F750" s="350">
        <v>16569.55</v>
      </c>
      <c r="S750" s="225"/>
    </row>
    <row r="751" spans="4:19" x14ac:dyDescent="0.3">
      <c r="D751" s="349">
        <v>44715</v>
      </c>
      <c r="F751" s="350">
        <v>16584.3</v>
      </c>
      <c r="S751" s="225"/>
    </row>
    <row r="752" spans="4:19" x14ac:dyDescent="0.3">
      <c r="D752" s="349">
        <v>44714</v>
      </c>
      <c r="F752" s="350">
        <v>16628</v>
      </c>
      <c r="S752" s="225"/>
    </row>
    <row r="753" spans="4:19" x14ac:dyDescent="0.3">
      <c r="D753" s="349">
        <v>44713</v>
      </c>
      <c r="F753" s="350">
        <v>16522.75</v>
      </c>
      <c r="S753" s="225"/>
    </row>
    <row r="754" spans="4:19" x14ac:dyDescent="0.3">
      <c r="D754" s="349">
        <v>44712</v>
      </c>
      <c r="F754" s="350">
        <v>16584.55</v>
      </c>
      <c r="S754" s="225"/>
    </row>
    <row r="755" spans="4:19" x14ac:dyDescent="0.3">
      <c r="D755" s="349">
        <v>44711</v>
      </c>
      <c r="F755" s="350">
        <v>16661.400000000001</v>
      </c>
      <c r="S755" s="225"/>
    </row>
    <row r="756" spans="4:19" x14ac:dyDescent="0.3">
      <c r="D756" s="349">
        <v>44708</v>
      </c>
      <c r="F756" s="350">
        <v>16352.45</v>
      </c>
      <c r="S756" s="225"/>
    </row>
    <row r="757" spans="4:19" x14ac:dyDescent="0.3">
      <c r="D757" s="349">
        <v>44707</v>
      </c>
      <c r="F757" s="350">
        <v>16170.15</v>
      </c>
      <c r="S757" s="225"/>
    </row>
    <row r="758" spans="4:19" x14ac:dyDescent="0.3">
      <c r="D758" s="349">
        <v>44706</v>
      </c>
      <c r="F758" s="350">
        <v>16025.8</v>
      </c>
      <c r="S758" s="225"/>
    </row>
    <row r="759" spans="4:19" x14ac:dyDescent="0.3">
      <c r="D759" s="349">
        <v>44705</v>
      </c>
      <c r="F759" s="350">
        <v>16125.15</v>
      </c>
      <c r="S759" s="225"/>
    </row>
    <row r="760" spans="4:19" x14ac:dyDescent="0.3">
      <c r="D760" s="349">
        <v>44704</v>
      </c>
      <c r="F760" s="350">
        <v>16214.7</v>
      </c>
      <c r="S760" s="225"/>
    </row>
    <row r="761" spans="4:19" x14ac:dyDescent="0.3">
      <c r="D761" s="349">
        <v>44701</v>
      </c>
      <c r="F761" s="350">
        <v>16266.15</v>
      </c>
      <c r="P761" s="283"/>
      <c r="S761" s="225"/>
    </row>
    <row r="762" spans="4:19" x14ac:dyDescent="0.3">
      <c r="D762" s="349">
        <v>44700</v>
      </c>
      <c r="F762" s="350">
        <v>15809.4</v>
      </c>
      <c r="P762" s="283"/>
      <c r="S762" s="225"/>
    </row>
    <row r="763" spans="4:19" x14ac:dyDescent="0.3">
      <c r="D763" s="349">
        <v>44699</v>
      </c>
      <c r="F763" s="350">
        <v>16240.3</v>
      </c>
      <c r="P763" s="283"/>
      <c r="S763" s="225"/>
    </row>
    <row r="764" spans="4:19" x14ac:dyDescent="0.3">
      <c r="D764" s="349">
        <v>44698</v>
      </c>
      <c r="F764" s="350">
        <v>16259.3</v>
      </c>
      <c r="P764" s="283"/>
      <c r="S764" s="225"/>
    </row>
    <row r="765" spans="4:19" x14ac:dyDescent="0.3">
      <c r="D765" s="349">
        <v>44697</v>
      </c>
      <c r="F765" s="350">
        <v>15842.3</v>
      </c>
      <c r="P765" s="283"/>
      <c r="S765" s="225"/>
    </row>
    <row r="766" spans="4:19" x14ac:dyDescent="0.3">
      <c r="D766" s="349">
        <v>44694</v>
      </c>
      <c r="F766" s="350">
        <v>15782.15</v>
      </c>
      <c r="P766" s="283"/>
      <c r="S766" s="225"/>
    </row>
    <row r="767" spans="4:19" x14ac:dyDescent="0.3">
      <c r="D767" s="349">
        <v>44693</v>
      </c>
      <c r="F767" s="350">
        <v>15808</v>
      </c>
      <c r="P767" s="283"/>
      <c r="S767" s="225"/>
    </row>
    <row r="768" spans="4:19" x14ac:dyDescent="0.3">
      <c r="D768" s="349">
        <v>44692</v>
      </c>
      <c r="F768" s="350">
        <v>16167.1</v>
      </c>
      <c r="P768" s="283"/>
      <c r="S768" s="225"/>
    </row>
    <row r="769" spans="4:19" x14ac:dyDescent="0.3">
      <c r="D769" s="349">
        <v>44691</v>
      </c>
      <c r="F769" s="350">
        <v>16240.05</v>
      </c>
      <c r="S769" s="225"/>
    </row>
    <row r="770" spans="4:19" x14ac:dyDescent="0.3">
      <c r="D770" s="349">
        <v>44690</v>
      </c>
      <c r="F770" s="350">
        <v>16301.85</v>
      </c>
      <c r="S770" s="225"/>
    </row>
    <row r="771" spans="4:19" x14ac:dyDescent="0.3">
      <c r="D771" s="349">
        <v>44687</v>
      </c>
      <c r="F771" s="350">
        <v>16411.25</v>
      </c>
      <c r="S771" s="225"/>
    </row>
    <row r="772" spans="4:19" x14ac:dyDescent="0.3">
      <c r="D772" s="349">
        <v>44686</v>
      </c>
      <c r="F772" s="350">
        <v>16682.650000000001</v>
      </c>
      <c r="S772" s="225"/>
    </row>
    <row r="773" spans="4:19" x14ac:dyDescent="0.3">
      <c r="D773" s="349">
        <v>44685</v>
      </c>
      <c r="F773" s="350">
        <v>16677.599999999999</v>
      </c>
      <c r="S773" s="225"/>
    </row>
    <row r="774" spans="4:19" x14ac:dyDescent="0.3">
      <c r="D774" s="349">
        <v>44683</v>
      </c>
      <c r="F774" s="350">
        <v>17069.099999999999</v>
      </c>
      <c r="S774" s="225"/>
    </row>
    <row r="775" spans="4:19" x14ac:dyDescent="0.3">
      <c r="D775" s="349">
        <v>44680</v>
      </c>
      <c r="F775" s="350">
        <v>17102.55</v>
      </c>
      <c r="S775" s="225"/>
    </row>
    <row r="776" spans="4:19" x14ac:dyDescent="0.3">
      <c r="D776" s="349">
        <v>44679</v>
      </c>
      <c r="F776" s="350">
        <v>17245.05</v>
      </c>
      <c r="S776" s="225"/>
    </row>
    <row r="777" spans="4:19" x14ac:dyDescent="0.3">
      <c r="D777" s="349">
        <v>44678</v>
      </c>
      <c r="F777" s="350">
        <v>17038.400000000001</v>
      </c>
      <c r="S777" s="225"/>
    </row>
    <row r="778" spans="4:19" x14ac:dyDescent="0.3">
      <c r="D778" s="349">
        <v>44677</v>
      </c>
      <c r="F778" s="350">
        <v>17200.8</v>
      </c>
      <c r="S778" s="225"/>
    </row>
    <row r="779" spans="4:19" x14ac:dyDescent="0.3">
      <c r="D779" s="349">
        <v>44676</v>
      </c>
      <c r="F779" s="350">
        <v>16953.95</v>
      </c>
      <c r="S779" s="225"/>
    </row>
    <row r="780" spans="4:19" x14ac:dyDescent="0.3">
      <c r="D780" s="349">
        <v>44673</v>
      </c>
      <c r="F780" s="350">
        <v>17171.95</v>
      </c>
      <c r="S780" s="225"/>
    </row>
    <row r="781" spans="4:19" x14ac:dyDescent="0.3">
      <c r="D781" s="349">
        <v>44672</v>
      </c>
      <c r="F781" s="350">
        <v>17392.599999999999</v>
      </c>
      <c r="S781" s="225"/>
    </row>
    <row r="782" spans="4:19" x14ac:dyDescent="0.3">
      <c r="D782" s="349">
        <v>44671</v>
      </c>
      <c r="F782" s="350">
        <v>17136.55</v>
      </c>
      <c r="P782" s="283"/>
      <c r="S782" s="225"/>
    </row>
    <row r="783" spans="4:19" x14ac:dyDescent="0.3">
      <c r="D783" s="349">
        <v>44670</v>
      </c>
      <c r="F783" s="350">
        <v>16958.650000000001</v>
      </c>
      <c r="P783" s="283"/>
      <c r="S783" s="225"/>
    </row>
    <row r="784" spans="4:19" x14ac:dyDescent="0.3">
      <c r="D784" s="349">
        <v>44669</v>
      </c>
      <c r="F784" s="350">
        <v>17173.650000000001</v>
      </c>
      <c r="P784" s="283"/>
      <c r="S784" s="225"/>
    </row>
    <row r="785" spans="4:19" x14ac:dyDescent="0.3">
      <c r="D785" s="349">
        <v>44664</v>
      </c>
      <c r="F785" s="350">
        <v>17475.650000000001</v>
      </c>
      <c r="P785" s="283"/>
      <c r="S785" s="225"/>
    </row>
    <row r="786" spans="4:19" x14ac:dyDescent="0.3">
      <c r="D786" s="349">
        <v>44663</v>
      </c>
      <c r="F786" s="350">
        <v>17530.3</v>
      </c>
      <c r="P786" s="283"/>
      <c r="S786" s="225"/>
    </row>
    <row r="787" spans="4:19" x14ac:dyDescent="0.3">
      <c r="D787" s="349">
        <v>44662</v>
      </c>
      <c r="F787" s="350">
        <v>17674.95</v>
      </c>
      <c r="P787" s="283"/>
      <c r="S787" s="225"/>
    </row>
    <row r="788" spans="4:19" x14ac:dyDescent="0.3">
      <c r="D788" s="349">
        <v>44659</v>
      </c>
      <c r="F788" s="350">
        <v>17784.349999999999</v>
      </c>
      <c r="P788" s="283"/>
      <c r="S788" s="225"/>
    </row>
    <row r="789" spans="4:19" x14ac:dyDescent="0.3">
      <c r="D789" s="349">
        <v>44658</v>
      </c>
      <c r="F789" s="350">
        <v>17639.55</v>
      </c>
      <c r="P789" s="283"/>
      <c r="S789" s="225"/>
    </row>
    <row r="790" spans="4:19" x14ac:dyDescent="0.3">
      <c r="D790" s="349">
        <v>44657</v>
      </c>
      <c r="F790" s="350">
        <v>17807.650000000001</v>
      </c>
      <c r="S790" s="225"/>
    </row>
    <row r="791" spans="4:19" x14ac:dyDescent="0.3">
      <c r="D791" s="349">
        <v>44656</v>
      </c>
      <c r="F791" s="350">
        <v>17957.400000000001</v>
      </c>
      <c r="S791" s="225"/>
    </row>
    <row r="792" spans="4:19" x14ac:dyDescent="0.3">
      <c r="D792" s="349">
        <v>44655</v>
      </c>
      <c r="F792" s="350">
        <v>18053.400000000001</v>
      </c>
      <c r="S792" s="225"/>
    </row>
    <row r="793" spans="4:19" x14ac:dyDescent="0.3">
      <c r="D793" s="349">
        <v>44652</v>
      </c>
      <c r="F793" s="350">
        <v>17670.45</v>
      </c>
      <c r="S793" s="225"/>
    </row>
    <row r="794" spans="4:19" x14ac:dyDescent="0.3">
      <c r="D794" s="349">
        <v>44651</v>
      </c>
      <c r="F794" s="350">
        <v>17464.75</v>
      </c>
      <c r="S794" s="225"/>
    </row>
    <row r="795" spans="4:19" x14ac:dyDescent="0.3">
      <c r="D795" s="349">
        <v>44650</v>
      </c>
      <c r="F795" s="350">
        <v>17498.25</v>
      </c>
      <c r="S795" s="225"/>
    </row>
    <row r="796" spans="4:19" x14ac:dyDescent="0.3">
      <c r="D796" s="349">
        <v>44649</v>
      </c>
      <c r="F796" s="350">
        <v>17325.3</v>
      </c>
      <c r="S796" s="225"/>
    </row>
    <row r="797" spans="4:19" x14ac:dyDescent="0.3">
      <c r="D797" s="349">
        <v>44648</v>
      </c>
      <c r="F797" s="350">
        <v>17222</v>
      </c>
      <c r="S797" s="225"/>
    </row>
    <row r="798" spans="4:19" x14ac:dyDescent="0.3">
      <c r="D798" s="349">
        <v>44645</v>
      </c>
      <c r="F798" s="350">
        <v>17153</v>
      </c>
      <c r="S798" s="225"/>
    </row>
    <row r="799" spans="4:19" x14ac:dyDescent="0.3">
      <c r="D799" s="349">
        <v>44644</v>
      </c>
      <c r="F799" s="350">
        <v>17222.75</v>
      </c>
      <c r="S799" s="225"/>
    </row>
    <row r="800" spans="4:19" x14ac:dyDescent="0.3">
      <c r="D800" s="349">
        <v>44643</v>
      </c>
      <c r="F800" s="350">
        <v>17245.650000000001</v>
      </c>
      <c r="S800" s="225"/>
    </row>
    <row r="801" spans="4:19" x14ac:dyDescent="0.3">
      <c r="D801" s="349">
        <v>44642</v>
      </c>
      <c r="F801" s="350">
        <v>17315.5</v>
      </c>
      <c r="P801" s="283"/>
      <c r="S801" s="225"/>
    </row>
    <row r="802" spans="4:19" x14ac:dyDescent="0.3">
      <c r="D802" s="349">
        <v>44641</v>
      </c>
      <c r="F802" s="350">
        <v>17117.599999999999</v>
      </c>
      <c r="P802" s="283"/>
      <c r="S802" s="225"/>
    </row>
    <row r="803" spans="4:19" x14ac:dyDescent="0.3">
      <c r="D803" s="349">
        <v>44637</v>
      </c>
      <c r="F803" s="350">
        <v>17287.05</v>
      </c>
      <c r="P803" s="283"/>
      <c r="S803" s="225"/>
    </row>
    <row r="804" spans="4:19" x14ac:dyDescent="0.3">
      <c r="D804" s="349">
        <v>44636</v>
      </c>
      <c r="F804" s="350">
        <v>16975.349999999999</v>
      </c>
      <c r="P804" s="283"/>
      <c r="S804" s="225"/>
    </row>
    <row r="805" spans="4:19" x14ac:dyDescent="0.3">
      <c r="D805" s="349">
        <v>44635</v>
      </c>
      <c r="F805" s="350">
        <v>16663</v>
      </c>
      <c r="P805" s="283"/>
      <c r="S805" s="225"/>
    </row>
    <row r="806" spans="4:19" x14ac:dyDescent="0.3">
      <c r="D806" s="349">
        <v>44634</v>
      </c>
      <c r="F806" s="350">
        <v>16871.3</v>
      </c>
      <c r="P806" s="283"/>
      <c r="S806" s="225"/>
    </row>
    <row r="807" spans="4:19" x14ac:dyDescent="0.3">
      <c r="D807" s="349">
        <v>44631</v>
      </c>
      <c r="F807" s="350">
        <v>16630.45</v>
      </c>
      <c r="P807" s="283"/>
      <c r="S807" s="225"/>
    </row>
    <row r="808" spans="4:19" x14ac:dyDescent="0.3">
      <c r="D808" s="349">
        <v>44630</v>
      </c>
      <c r="F808" s="350">
        <v>16594.900000000001</v>
      </c>
      <c r="P808" s="283"/>
      <c r="S808" s="225"/>
    </row>
    <row r="809" spans="4:19" x14ac:dyDescent="0.3">
      <c r="D809" s="349">
        <v>44629</v>
      </c>
      <c r="F809" s="350">
        <v>16345.35</v>
      </c>
      <c r="P809" s="283"/>
      <c r="S809" s="225"/>
    </row>
    <row r="810" spans="4:19" x14ac:dyDescent="0.3">
      <c r="D810" s="349">
        <v>44628</v>
      </c>
      <c r="F810" s="350">
        <v>16013.45</v>
      </c>
      <c r="S810" s="225"/>
    </row>
    <row r="811" spans="4:19" x14ac:dyDescent="0.3">
      <c r="D811" s="349">
        <v>44627</v>
      </c>
      <c r="F811" s="350">
        <v>15863.15</v>
      </c>
      <c r="S811" s="225"/>
    </row>
    <row r="812" spans="4:19" x14ac:dyDescent="0.3">
      <c r="D812" s="349">
        <v>44624</v>
      </c>
      <c r="F812" s="350">
        <v>16245.35</v>
      </c>
      <c r="S812" s="225"/>
    </row>
    <row r="813" spans="4:19" x14ac:dyDescent="0.3">
      <c r="D813" s="349">
        <v>44623</v>
      </c>
      <c r="F813" s="350">
        <v>16498.05</v>
      </c>
      <c r="S813" s="225"/>
    </row>
    <row r="814" spans="4:19" x14ac:dyDescent="0.3">
      <c r="D814" s="349">
        <v>44622</v>
      </c>
      <c r="F814" s="350">
        <v>16605.95</v>
      </c>
      <c r="S814" s="225"/>
    </row>
    <row r="815" spans="4:19" x14ac:dyDescent="0.3">
      <c r="D815" s="349">
        <v>44620</v>
      </c>
      <c r="F815" s="350">
        <v>16793.900000000001</v>
      </c>
      <c r="S815" s="225"/>
    </row>
    <row r="816" spans="4:19" x14ac:dyDescent="0.3">
      <c r="D816" s="349">
        <v>44617</v>
      </c>
      <c r="F816" s="350">
        <v>16658.400000000001</v>
      </c>
      <c r="S816" s="225"/>
    </row>
    <row r="817" spans="4:19" x14ac:dyDescent="0.3">
      <c r="D817" s="349">
        <v>44616</v>
      </c>
      <c r="F817" s="350">
        <v>16247.95</v>
      </c>
      <c r="S817" s="225"/>
    </row>
    <row r="818" spans="4:19" x14ac:dyDescent="0.3">
      <c r="D818" s="349">
        <v>44615</v>
      </c>
      <c r="F818" s="350">
        <v>17063.25</v>
      </c>
      <c r="S818" s="225"/>
    </row>
    <row r="819" spans="4:19" x14ac:dyDescent="0.3">
      <c r="D819" s="349">
        <v>44614</v>
      </c>
      <c r="F819" s="350">
        <v>17092.2</v>
      </c>
      <c r="S819" s="225"/>
    </row>
    <row r="820" spans="4:19" x14ac:dyDescent="0.3">
      <c r="D820" s="349">
        <v>44613</v>
      </c>
      <c r="F820" s="350">
        <v>17206.650000000001</v>
      </c>
      <c r="S820" s="225"/>
    </row>
    <row r="821" spans="4:19" x14ac:dyDescent="0.3">
      <c r="D821" s="349">
        <v>44610</v>
      </c>
      <c r="F821" s="350">
        <v>17276.3</v>
      </c>
      <c r="S821" s="225"/>
    </row>
    <row r="822" spans="4:19" x14ac:dyDescent="0.3">
      <c r="D822" s="349">
        <v>44609</v>
      </c>
      <c r="F822" s="350">
        <v>17304.599999999999</v>
      </c>
      <c r="P822" s="283"/>
      <c r="S822" s="225"/>
    </row>
    <row r="823" spans="4:19" x14ac:dyDescent="0.3">
      <c r="D823" s="349">
        <v>44608</v>
      </c>
      <c r="F823" s="350">
        <v>17322.2</v>
      </c>
      <c r="P823" s="283"/>
      <c r="S823" s="225"/>
    </row>
    <row r="824" spans="4:19" x14ac:dyDescent="0.3">
      <c r="D824" s="349">
        <v>44607</v>
      </c>
      <c r="F824" s="350">
        <v>17352.45</v>
      </c>
      <c r="P824" s="283"/>
      <c r="S824" s="225"/>
    </row>
    <row r="825" spans="4:19" x14ac:dyDescent="0.3">
      <c r="D825" s="349">
        <v>44606</v>
      </c>
      <c r="F825" s="350">
        <v>16842.8</v>
      </c>
      <c r="P825" s="283"/>
      <c r="S825" s="225"/>
    </row>
    <row r="826" spans="4:19" x14ac:dyDescent="0.3">
      <c r="D826" s="349">
        <v>44603</v>
      </c>
      <c r="F826" s="350">
        <v>17374.75</v>
      </c>
      <c r="P826" s="283"/>
      <c r="S826" s="225"/>
    </row>
    <row r="827" spans="4:19" x14ac:dyDescent="0.3">
      <c r="D827" s="349">
        <v>44602</v>
      </c>
      <c r="F827" s="350">
        <v>17605.849999999999</v>
      </c>
      <c r="P827" s="283"/>
      <c r="S827" s="225"/>
    </row>
    <row r="828" spans="4:19" x14ac:dyDescent="0.3">
      <c r="D828" s="349">
        <v>44601</v>
      </c>
      <c r="F828" s="350">
        <v>17463.8</v>
      </c>
      <c r="P828" s="283"/>
      <c r="S828" s="225"/>
    </row>
    <row r="829" spans="4:19" x14ac:dyDescent="0.3">
      <c r="D829" s="349">
        <v>44600</v>
      </c>
      <c r="F829" s="350">
        <v>17266.75</v>
      </c>
      <c r="P829" s="283"/>
      <c r="S829" s="225"/>
    </row>
    <row r="830" spans="4:19" x14ac:dyDescent="0.3">
      <c r="D830" s="349">
        <v>44599</v>
      </c>
      <c r="F830" s="350">
        <v>17213.599999999999</v>
      </c>
      <c r="S830" s="225"/>
    </row>
    <row r="831" spans="4:19" x14ac:dyDescent="0.3">
      <c r="D831" s="349">
        <v>44596</v>
      </c>
      <c r="F831" s="350">
        <v>17516.3</v>
      </c>
      <c r="S831" s="225"/>
    </row>
    <row r="832" spans="4:19" x14ac:dyDescent="0.3">
      <c r="D832" s="349">
        <v>44595</v>
      </c>
      <c r="F832" s="350">
        <v>17560.2</v>
      </c>
      <c r="S832" s="225"/>
    </row>
    <row r="833" spans="4:19" x14ac:dyDescent="0.3">
      <c r="D833" s="349">
        <v>44594</v>
      </c>
      <c r="F833" s="350">
        <v>17780</v>
      </c>
      <c r="S833" s="225"/>
    </row>
    <row r="834" spans="4:19" x14ac:dyDescent="0.3">
      <c r="D834" s="349">
        <v>44593</v>
      </c>
      <c r="F834" s="350">
        <v>17576.849999999999</v>
      </c>
      <c r="S834" s="225"/>
    </row>
    <row r="835" spans="4:19" x14ac:dyDescent="0.3">
      <c r="D835" s="349">
        <v>44592</v>
      </c>
      <c r="F835" s="350">
        <v>17339.849999999999</v>
      </c>
      <c r="S835" s="225"/>
    </row>
    <row r="836" spans="4:19" x14ac:dyDescent="0.3">
      <c r="D836" s="349">
        <v>44589</v>
      </c>
      <c r="F836" s="350">
        <v>17101.95</v>
      </c>
      <c r="S836" s="225"/>
    </row>
    <row r="837" spans="4:19" x14ac:dyDescent="0.3">
      <c r="D837" s="349">
        <v>44588</v>
      </c>
      <c r="F837" s="350">
        <v>17110.150000000001</v>
      </c>
      <c r="S837" s="225"/>
    </row>
    <row r="838" spans="4:19" x14ac:dyDescent="0.3">
      <c r="D838" s="349">
        <v>44586</v>
      </c>
      <c r="F838" s="350">
        <v>17277.95</v>
      </c>
      <c r="S838" s="225"/>
    </row>
    <row r="839" spans="4:19" x14ac:dyDescent="0.3">
      <c r="D839" s="349">
        <v>44585</v>
      </c>
      <c r="F839" s="350">
        <v>17149.099999999999</v>
      </c>
      <c r="S839" s="225"/>
    </row>
    <row r="840" spans="4:19" x14ac:dyDescent="0.3">
      <c r="D840" s="349">
        <v>44582</v>
      </c>
      <c r="F840" s="350">
        <v>17617.150000000001</v>
      </c>
      <c r="S840" s="225"/>
    </row>
    <row r="841" spans="4:19" x14ac:dyDescent="0.3">
      <c r="D841" s="349">
        <v>44581</v>
      </c>
      <c r="F841" s="350">
        <v>17757</v>
      </c>
      <c r="S841" s="225"/>
    </row>
    <row r="842" spans="4:19" x14ac:dyDescent="0.3">
      <c r="D842" s="349">
        <v>44580</v>
      </c>
      <c r="F842" s="350">
        <v>17938.400000000001</v>
      </c>
      <c r="S842" s="225"/>
    </row>
    <row r="843" spans="4:19" x14ac:dyDescent="0.3">
      <c r="D843" s="349">
        <v>44579</v>
      </c>
      <c r="F843" s="350">
        <v>18113.05</v>
      </c>
      <c r="S843" s="225"/>
    </row>
    <row r="844" spans="4:19" x14ac:dyDescent="0.3">
      <c r="D844" s="349">
        <v>44578</v>
      </c>
      <c r="F844" s="350">
        <v>18308.099999999999</v>
      </c>
      <c r="S844" s="225"/>
    </row>
    <row r="845" spans="4:19" x14ac:dyDescent="0.3">
      <c r="D845" s="349">
        <v>44575</v>
      </c>
      <c r="F845" s="350">
        <v>18255.75</v>
      </c>
      <c r="P845" s="283"/>
      <c r="S845" s="225"/>
    </row>
    <row r="846" spans="4:19" x14ac:dyDescent="0.3">
      <c r="D846" s="349">
        <v>44574</v>
      </c>
      <c r="F846" s="350">
        <v>18257.8</v>
      </c>
      <c r="P846" s="283"/>
      <c r="S846" s="225"/>
    </row>
    <row r="847" spans="4:19" x14ac:dyDescent="0.3">
      <c r="D847" s="349">
        <v>44573</v>
      </c>
      <c r="F847" s="350">
        <v>18212.349999999999</v>
      </c>
      <c r="P847" s="283"/>
      <c r="S847" s="225"/>
    </row>
    <row r="848" spans="4:19" x14ac:dyDescent="0.3">
      <c r="D848" s="349">
        <v>44572</v>
      </c>
      <c r="F848" s="350">
        <v>18055.75</v>
      </c>
      <c r="P848" s="283"/>
      <c r="S848" s="225"/>
    </row>
    <row r="849" spans="4:19" x14ac:dyDescent="0.3">
      <c r="D849" s="349">
        <v>44571</v>
      </c>
      <c r="F849" s="350">
        <v>18003.3</v>
      </c>
      <c r="P849" s="283"/>
      <c r="S849" s="225"/>
    </row>
    <row r="850" spans="4:19" x14ac:dyDescent="0.3">
      <c r="D850" s="349">
        <v>44568</v>
      </c>
      <c r="F850" s="350">
        <v>17812.7</v>
      </c>
      <c r="P850" s="283"/>
      <c r="S850" s="225"/>
    </row>
    <row r="851" spans="4:19" x14ac:dyDescent="0.3">
      <c r="D851" s="349">
        <v>44567</v>
      </c>
      <c r="F851" s="350">
        <v>17745.900000000001</v>
      </c>
      <c r="P851" s="283"/>
      <c r="S851" s="225"/>
    </row>
    <row r="852" spans="4:19" x14ac:dyDescent="0.3">
      <c r="D852" s="349">
        <v>44566</v>
      </c>
      <c r="F852" s="350">
        <v>17925.25</v>
      </c>
      <c r="P852" s="283"/>
      <c r="S852" s="225"/>
    </row>
    <row r="853" spans="4:19" x14ac:dyDescent="0.3">
      <c r="D853" s="349">
        <v>44565</v>
      </c>
      <c r="F853" s="350">
        <v>17805.25</v>
      </c>
      <c r="S853" s="225"/>
    </row>
    <row r="854" spans="4:19" x14ac:dyDescent="0.3">
      <c r="D854" s="349">
        <v>44564</v>
      </c>
      <c r="F854" s="350">
        <v>17625.7</v>
      </c>
      <c r="S854" s="225"/>
    </row>
    <row r="855" spans="4:19" x14ac:dyDescent="0.3">
      <c r="D855" s="349">
        <v>44561</v>
      </c>
      <c r="F855" s="350">
        <v>17354.05</v>
      </c>
      <c r="S855" s="225"/>
    </row>
    <row r="856" spans="4:19" x14ac:dyDescent="0.3">
      <c r="D856" s="349">
        <v>44560</v>
      </c>
      <c r="F856" s="350">
        <v>17203.95</v>
      </c>
      <c r="S856" s="225"/>
    </row>
    <row r="857" spans="4:19" x14ac:dyDescent="0.3">
      <c r="D857" s="349">
        <v>44559</v>
      </c>
      <c r="F857" s="350">
        <v>17213.599999999999</v>
      </c>
      <c r="S857" s="225"/>
    </row>
    <row r="858" spans="4:19" x14ac:dyDescent="0.3">
      <c r="D858" s="349">
        <v>44558</v>
      </c>
      <c r="F858" s="350">
        <v>17233.25</v>
      </c>
      <c r="S858" s="225"/>
    </row>
    <row r="859" spans="4:19" x14ac:dyDescent="0.3">
      <c r="D859" s="349">
        <v>44557</v>
      </c>
      <c r="F859" s="350">
        <v>17086.25</v>
      </c>
      <c r="S859" s="225"/>
    </row>
    <row r="860" spans="4:19" x14ac:dyDescent="0.3">
      <c r="D860" s="349">
        <v>44554</v>
      </c>
      <c r="F860" s="350">
        <v>17003.75</v>
      </c>
      <c r="S860" s="225"/>
    </row>
    <row r="861" spans="4:19" x14ac:dyDescent="0.3">
      <c r="D861" s="349">
        <v>44553</v>
      </c>
      <c r="F861" s="350">
        <v>17072.599999999999</v>
      </c>
      <c r="S861" s="225"/>
    </row>
    <row r="862" spans="4:19" x14ac:dyDescent="0.3">
      <c r="D862" s="349">
        <v>44552</v>
      </c>
      <c r="F862" s="350">
        <v>16955.45</v>
      </c>
      <c r="S862" s="225"/>
    </row>
    <row r="863" spans="4:19" x14ac:dyDescent="0.3">
      <c r="D863" s="349">
        <v>44551</v>
      </c>
      <c r="F863" s="350">
        <v>16770.849999999999</v>
      </c>
      <c r="S863" s="225"/>
    </row>
    <row r="864" spans="4:19" x14ac:dyDescent="0.3">
      <c r="D864" s="349">
        <v>44550</v>
      </c>
      <c r="F864" s="350">
        <v>16614.2</v>
      </c>
      <c r="P864" s="283"/>
      <c r="S864" s="225"/>
    </row>
    <row r="865" spans="4:19" x14ac:dyDescent="0.3">
      <c r="D865" s="349">
        <v>44547</v>
      </c>
      <c r="F865" s="350">
        <v>16985.2</v>
      </c>
      <c r="P865" s="283"/>
      <c r="S865" s="225"/>
    </row>
    <row r="866" spans="4:19" x14ac:dyDescent="0.3">
      <c r="D866" s="349">
        <v>44546</v>
      </c>
      <c r="F866" s="350">
        <v>17248.400000000001</v>
      </c>
      <c r="P866" s="283"/>
      <c r="S866" s="225"/>
    </row>
    <row r="867" spans="4:19" x14ac:dyDescent="0.3">
      <c r="D867" s="349">
        <v>44545</v>
      </c>
      <c r="F867" s="350">
        <v>17221.400000000001</v>
      </c>
      <c r="P867" s="283"/>
      <c r="S867" s="225"/>
    </row>
    <row r="868" spans="4:19" x14ac:dyDescent="0.3">
      <c r="D868" s="349">
        <v>44544</v>
      </c>
      <c r="F868" s="350">
        <v>17324.900000000001</v>
      </c>
      <c r="P868" s="283"/>
      <c r="S868" s="225"/>
    </row>
    <row r="869" spans="4:19" x14ac:dyDescent="0.3">
      <c r="D869" s="349">
        <v>44543</v>
      </c>
      <c r="F869" s="350">
        <v>17368.25</v>
      </c>
      <c r="P869" s="283"/>
      <c r="S869" s="225"/>
    </row>
    <row r="870" spans="4:19" x14ac:dyDescent="0.3">
      <c r="D870" s="349">
        <v>44540</v>
      </c>
      <c r="F870" s="350">
        <v>17511.3</v>
      </c>
      <c r="P870" s="283"/>
      <c r="S870" s="225"/>
    </row>
    <row r="871" spans="4:19" x14ac:dyDescent="0.3">
      <c r="D871" s="349">
        <v>44539</v>
      </c>
      <c r="F871" s="350">
        <v>17516.849999999999</v>
      </c>
      <c r="P871" s="283"/>
      <c r="S871" s="225"/>
    </row>
    <row r="872" spans="4:19" x14ac:dyDescent="0.3">
      <c r="D872" s="349">
        <v>44538</v>
      </c>
      <c r="F872" s="350">
        <v>17469.75</v>
      </c>
      <c r="P872" s="283"/>
      <c r="S872" s="225"/>
    </row>
    <row r="873" spans="4:19" x14ac:dyDescent="0.3">
      <c r="D873" s="349">
        <v>44537</v>
      </c>
      <c r="F873" s="350">
        <v>17176.7</v>
      </c>
      <c r="S873" s="225"/>
    </row>
    <row r="874" spans="4:19" x14ac:dyDescent="0.3">
      <c r="D874" s="349">
        <v>44536</v>
      </c>
      <c r="F874" s="350">
        <v>16912.25</v>
      </c>
      <c r="S874" s="225"/>
    </row>
    <row r="875" spans="4:19" x14ac:dyDescent="0.3">
      <c r="D875" s="349">
        <v>44533</v>
      </c>
      <c r="F875" s="350">
        <v>17196.7</v>
      </c>
      <c r="S875" s="225"/>
    </row>
    <row r="876" spans="4:19" x14ac:dyDescent="0.3">
      <c r="D876" s="349">
        <v>44532</v>
      </c>
      <c r="F876" s="350">
        <v>17401.650000000001</v>
      </c>
      <c r="S876" s="225"/>
    </row>
    <row r="877" spans="4:19" x14ac:dyDescent="0.3">
      <c r="D877" s="349">
        <v>44531</v>
      </c>
      <c r="F877" s="350">
        <v>17166.900000000001</v>
      </c>
      <c r="S877" s="225"/>
    </row>
    <row r="878" spans="4:19" x14ac:dyDescent="0.3">
      <c r="D878" s="349">
        <v>44530</v>
      </c>
      <c r="F878" s="350">
        <v>16983.2</v>
      </c>
      <c r="S878" s="225"/>
    </row>
    <row r="879" spans="4:19" x14ac:dyDescent="0.3">
      <c r="D879" s="349">
        <v>44529</v>
      </c>
      <c r="F879" s="350">
        <v>17053.95</v>
      </c>
      <c r="S879" s="225"/>
    </row>
    <row r="880" spans="4:19" x14ac:dyDescent="0.3">
      <c r="D880" s="349">
        <v>44526</v>
      </c>
      <c r="F880" s="350">
        <v>17026.45</v>
      </c>
      <c r="S880" s="225"/>
    </row>
    <row r="881" spans="4:19" x14ac:dyDescent="0.3">
      <c r="D881" s="349">
        <v>44525</v>
      </c>
      <c r="F881" s="350">
        <v>17536.25</v>
      </c>
      <c r="S881" s="225"/>
    </row>
    <row r="882" spans="4:19" x14ac:dyDescent="0.3">
      <c r="D882" s="349">
        <v>44524</v>
      </c>
      <c r="F882" s="350">
        <v>17415.05</v>
      </c>
      <c r="S882" s="225"/>
    </row>
    <row r="883" spans="4:19" x14ac:dyDescent="0.3">
      <c r="D883" s="349">
        <v>44523</v>
      </c>
      <c r="F883" s="350">
        <v>17503.349999999999</v>
      </c>
      <c r="S883" s="225"/>
    </row>
    <row r="884" spans="4:19" x14ac:dyDescent="0.3">
      <c r="D884" s="349">
        <v>44522</v>
      </c>
      <c r="F884" s="350">
        <v>17416.55</v>
      </c>
      <c r="S884" s="225"/>
    </row>
    <row r="885" spans="4:19" x14ac:dyDescent="0.3">
      <c r="D885" s="349">
        <v>44518</v>
      </c>
      <c r="F885" s="350">
        <v>17764.8</v>
      </c>
      <c r="P885" s="283"/>
      <c r="S885" s="225"/>
    </row>
    <row r="886" spans="4:19" x14ac:dyDescent="0.3">
      <c r="D886" s="349">
        <v>44517</v>
      </c>
      <c r="F886" s="350">
        <v>17898.650000000001</v>
      </c>
      <c r="P886" s="283"/>
      <c r="S886" s="225"/>
    </row>
    <row r="887" spans="4:19" x14ac:dyDescent="0.3">
      <c r="D887" s="349">
        <v>44516</v>
      </c>
      <c r="F887" s="350">
        <v>17999.2</v>
      </c>
      <c r="P887" s="283"/>
      <c r="S887" s="225"/>
    </row>
    <row r="888" spans="4:19" x14ac:dyDescent="0.3">
      <c r="D888" s="349">
        <v>44515</v>
      </c>
      <c r="F888" s="350">
        <v>18109.45</v>
      </c>
      <c r="P888" s="283"/>
      <c r="S888" s="225"/>
    </row>
    <row r="889" spans="4:19" x14ac:dyDescent="0.3">
      <c r="D889" s="349">
        <v>44512</v>
      </c>
      <c r="F889" s="350">
        <v>18102.75</v>
      </c>
      <c r="P889" s="283"/>
      <c r="S889" s="225"/>
    </row>
    <row r="890" spans="4:19" x14ac:dyDescent="0.3">
      <c r="D890" s="349">
        <v>44511</v>
      </c>
      <c r="F890" s="350">
        <v>17873.599999999999</v>
      </c>
      <c r="P890" s="283"/>
      <c r="S890" s="225"/>
    </row>
    <row r="891" spans="4:19" x14ac:dyDescent="0.3">
      <c r="D891" s="349">
        <v>44510</v>
      </c>
      <c r="F891" s="350">
        <v>18017.2</v>
      </c>
      <c r="P891" s="283"/>
      <c r="S891" s="225"/>
    </row>
    <row r="892" spans="4:19" x14ac:dyDescent="0.3">
      <c r="D892" s="349">
        <v>44509</v>
      </c>
      <c r="F892" s="350">
        <v>18044.25</v>
      </c>
      <c r="P892" s="283"/>
      <c r="S892" s="225"/>
    </row>
    <row r="893" spans="4:19" x14ac:dyDescent="0.3">
      <c r="D893" s="349">
        <v>44508</v>
      </c>
      <c r="F893" s="350">
        <v>18068.55</v>
      </c>
      <c r="S893" s="225"/>
    </row>
    <row r="894" spans="4:19" x14ac:dyDescent="0.3">
      <c r="D894" s="349">
        <v>44504</v>
      </c>
      <c r="F894" s="350">
        <v>17916.8</v>
      </c>
      <c r="S894" s="225"/>
    </row>
    <row r="895" spans="4:19" x14ac:dyDescent="0.3">
      <c r="D895" s="349">
        <v>44503</v>
      </c>
      <c r="F895" s="350">
        <v>17829.2</v>
      </c>
      <c r="S895" s="225"/>
    </row>
    <row r="896" spans="4:19" x14ac:dyDescent="0.3">
      <c r="D896" s="349">
        <v>44502</v>
      </c>
      <c r="F896" s="350">
        <v>17888.95</v>
      </c>
      <c r="S896" s="225"/>
    </row>
    <row r="897" spans="4:19" x14ac:dyDescent="0.3">
      <c r="D897" s="349">
        <v>44501</v>
      </c>
      <c r="F897" s="350">
        <v>17929.650000000001</v>
      </c>
      <c r="S897" s="225"/>
    </row>
    <row r="898" spans="4:19" x14ac:dyDescent="0.3">
      <c r="D898" s="349">
        <v>44498</v>
      </c>
      <c r="F898" s="350">
        <v>17671.650000000001</v>
      </c>
      <c r="S898" s="225"/>
    </row>
    <row r="899" spans="4:19" x14ac:dyDescent="0.3">
      <c r="D899" s="349">
        <v>44497</v>
      </c>
      <c r="F899" s="350">
        <v>17857.25</v>
      </c>
      <c r="S899" s="225"/>
    </row>
    <row r="900" spans="4:19" x14ac:dyDescent="0.3">
      <c r="D900" s="349">
        <v>44496</v>
      </c>
      <c r="F900" s="350">
        <v>18210.95</v>
      </c>
      <c r="S900" s="225"/>
    </row>
    <row r="901" spans="4:19" x14ac:dyDescent="0.3">
      <c r="D901" s="349">
        <v>44495</v>
      </c>
      <c r="F901" s="350">
        <v>18268.400000000001</v>
      </c>
      <c r="S901" s="225"/>
    </row>
    <row r="902" spans="4:19" x14ac:dyDescent="0.3">
      <c r="D902" s="349">
        <v>44494</v>
      </c>
      <c r="F902" s="350">
        <v>18125.400000000001</v>
      </c>
      <c r="S902" s="225"/>
    </row>
    <row r="903" spans="4:19" x14ac:dyDescent="0.3">
      <c r="D903" s="349">
        <v>44491</v>
      </c>
      <c r="F903" s="350">
        <v>18114.900000000001</v>
      </c>
      <c r="S903" s="225"/>
    </row>
    <row r="904" spans="4:19" x14ac:dyDescent="0.3">
      <c r="D904" s="349">
        <v>44490</v>
      </c>
      <c r="F904" s="350">
        <v>18178.099999999999</v>
      </c>
      <c r="S904" s="225"/>
    </row>
    <row r="905" spans="4:19" x14ac:dyDescent="0.3">
      <c r="D905" s="349">
        <v>44489</v>
      </c>
      <c r="F905" s="350">
        <v>18266.599999999999</v>
      </c>
      <c r="S905" s="225"/>
    </row>
    <row r="906" spans="4:19" x14ac:dyDescent="0.3">
      <c r="D906" s="349">
        <v>44488</v>
      </c>
      <c r="F906" s="350">
        <v>18418.75</v>
      </c>
      <c r="S906" s="225"/>
    </row>
    <row r="907" spans="4:19" x14ac:dyDescent="0.3">
      <c r="D907" s="349">
        <v>44487</v>
      </c>
      <c r="F907" s="350">
        <v>18477.05</v>
      </c>
      <c r="P907" s="283"/>
      <c r="S907" s="225"/>
    </row>
    <row r="908" spans="4:19" x14ac:dyDescent="0.3">
      <c r="D908" s="349">
        <v>44483</v>
      </c>
      <c r="F908" s="350">
        <v>18338.55</v>
      </c>
      <c r="P908" s="283"/>
      <c r="S908" s="225"/>
    </row>
    <row r="909" spans="4:19" x14ac:dyDescent="0.3">
      <c r="D909" s="349">
        <v>44482</v>
      </c>
      <c r="F909" s="350">
        <v>18161.75</v>
      </c>
      <c r="P909" s="283"/>
      <c r="S909" s="225"/>
    </row>
    <row r="910" spans="4:19" x14ac:dyDescent="0.3">
      <c r="D910" s="349">
        <v>44481</v>
      </c>
      <c r="F910" s="350">
        <v>17991.95</v>
      </c>
      <c r="P910" s="283"/>
      <c r="S910" s="225"/>
    </row>
    <row r="911" spans="4:19" x14ac:dyDescent="0.3">
      <c r="D911" s="349">
        <v>44480</v>
      </c>
      <c r="F911" s="350">
        <v>17945.95</v>
      </c>
      <c r="P911" s="283"/>
      <c r="S911" s="225"/>
    </row>
    <row r="912" spans="4:19" x14ac:dyDescent="0.3">
      <c r="D912" s="349">
        <v>44477</v>
      </c>
      <c r="F912" s="350">
        <v>17895.2</v>
      </c>
      <c r="P912" s="283"/>
      <c r="S912" s="225"/>
    </row>
    <row r="913" spans="4:19" x14ac:dyDescent="0.3">
      <c r="D913" s="349">
        <v>44476</v>
      </c>
      <c r="F913" s="350">
        <v>17790.349999999999</v>
      </c>
      <c r="P913" s="283"/>
      <c r="S913" s="225"/>
    </row>
    <row r="914" spans="4:19" x14ac:dyDescent="0.3">
      <c r="D914" s="349">
        <v>44475</v>
      </c>
      <c r="F914" s="350">
        <v>17646</v>
      </c>
      <c r="S914" s="225"/>
    </row>
    <row r="915" spans="4:19" x14ac:dyDescent="0.3">
      <c r="D915" s="349">
        <v>44474</v>
      </c>
      <c r="F915" s="350">
        <v>17822.3</v>
      </c>
      <c r="S915" s="225"/>
    </row>
    <row r="916" spans="4:19" x14ac:dyDescent="0.3">
      <c r="D916" s="349">
        <v>44473</v>
      </c>
      <c r="F916" s="350">
        <v>17691.25</v>
      </c>
      <c r="S916" s="225"/>
    </row>
    <row r="917" spans="4:19" x14ac:dyDescent="0.3">
      <c r="D917" s="349">
        <v>44470</v>
      </c>
      <c r="F917" s="350">
        <v>17532.05</v>
      </c>
      <c r="S917" s="225"/>
    </row>
    <row r="918" spans="4:19" x14ac:dyDescent="0.3">
      <c r="D918" s="349">
        <v>44469</v>
      </c>
      <c r="F918" s="350">
        <v>17618.150000000001</v>
      </c>
      <c r="S918" s="225"/>
    </row>
    <row r="919" spans="4:19" x14ac:dyDescent="0.3">
      <c r="D919" s="349">
        <v>44468</v>
      </c>
      <c r="F919" s="350">
        <v>17711.3</v>
      </c>
      <c r="S919" s="225"/>
    </row>
    <row r="920" spans="4:19" x14ac:dyDescent="0.3">
      <c r="D920" s="349">
        <v>44467</v>
      </c>
      <c r="F920" s="350">
        <v>17748.599999999999</v>
      </c>
      <c r="S920" s="225"/>
    </row>
    <row r="921" spans="4:19" x14ac:dyDescent="0.3">
      <c r="D921" s="349">
        <v>44466</v>
      </c>
      <c r="F921" s="350">
        <v>17855.099999999999</v>
      </c>
      <c r="S921" s="225"/>
    </row>
    <row r="922" spans="4:19" x14ac:dyDescent="0.3">
      <c r="D922" s="349">
        <v>44463</v>
      </c>
      <c r="F922" s="350">
        <v>17853.2</v>
      </c>
      <c r="S922" s="225"/>
    </row>
    <row r="923" spans="4:19" x14ac:dyDescent="0.3">
      <c r="D923" s="349">
        <v>44462</v>
      </c>
      <c r="F923" s="350">
        <v>17822.95</v>
      </c>
      <c r="S923" s="225"/>
    </row>
    <row r="924" spans="4:19" x14ac:dyDescent="0.3">
      <c r="D924" s="349">
        <v>44461</v>
      </c>
      <c r="F924" s="350">
        <v>17546.650000000001</v>
      </c>
      <c r="S924" s="225"/>
    </row>
    <row r="925" spans="4:19" x14ac:dyDescent="0.3">
      <c r="D925" s="349">
        <v>44460</v>
      </c>
      <c r="F925" s="350">
        <v>17562</v>
      </c>
      <c r="S925" s="225"/>
    </row>
    <row r="926" spans="4:19" x14ac:dyDescent="0.3">
      <c r="D926" s="349">
        <v>44459</v>
      </c>
      <c r="F926" s="350">
        <v>17396.900000000001</v>
      </c>
      <c r="P926" s="283"/>
      <c r="S926" s="225"/>
    </row>
    <row r="927" spans="4:19" x14ac:dyDescent="0.3">
      <c r="D927" s="349">
        <v>44456</v>
      </c>
      <c r="F927" s="350">
        <v>17585.150000000001</v>
      </c>
      <c r="P927" s="283"/>
      <c r="S927" s="225"/>
    </row>
    <row r="928" spans="4:19" x14ac:dyDescent="0.3">
      <c r="D928" s="349">
        <v>44455</v>
      </c>
      <c r="F928" s="350">
        <v>17629.5</v>
      </c>
      <c r="P928" s="283"/>
      <c r="S928" s="225"/>
    </row>
    <row r="929" spans="4:19" x14ac:dyDescent="0.3">
      <c r="D929" s="349">
        <v>44454</v>
      </c>
      <c r="F929" s="350">
        <v>17519.45</v>
      </c>
      <c r="P929" s="283"/>
      <c r="S929" s="225"/>
    </row>
    <row r="930" spans="4:19" x14ac:dyDescent="0.3">
      <c r="D930" s="349">
        <v>44453</v>
      </c>
      <c r="F930" s="350">
        <v>17380</v>
      </c>
      <c r="P930" s="283"/>
      <c r="S930" s="225"/>
    </row>
    <row r="931" spans="4:19" x14ac:dyDescent="0.3">
      <c r="D931" s="349">
        <v>44452</v>
      </c>
      <c r="F931" s="350">
        <v>17355.3</v>
      </c>
      <c r="P931" s="283"/>
      <c r="S931" s="225"/>
    </row>
    <row r="932" spans="4:19" x14ac:dyDescent="0.3">
      <c r="D932" s="349">
        <v>44448</v>
      </c>
      <c r="F932" s="350">
        <v>17369.25</v>
      </c>
      <c r="P932" s="283"/>
      <c r="S932" s="225"/>
    </row>
    <row r="933" spans="4:19" x14ac:dyDescent="0.3">
      <c r="D933" s="349">
        <v>44447</v>
      </c>
      <c r="F933" s="350">
        <v>17353.5</v>
      </c>
      <c r="P933" s="283"/>
      <c r="S933" s="225"/>
    </row>
    <row r="934" spans="4:19" x14ac:dyDescent="0.3">
      <c r="D934" s="349">
        <v>44446</v>
      </c>
      <c r="F934" s="350">
        <v>17362.099999999999</v>
      </c>
      <c r="P934" s="283"/>
      <c r="S934" s="225"/>
    </row>
    <row r="935" spans="4:19" x14ac:dyDescent="0.3">
      <c r="D935" s="349">
        <v>44445</v>
      </c>
      <c r="F935" s="350">
        <v>17377.8</v>
      </c>
      <c r="S935" s="225"/>
    </row>
    <row r="936" spans="4:19" x14ac:dyDescent="0.3">
      <c r="D936" s="349">
        <v>44442</v>
      </c>
      <c r="F936" s="350">
        <v>17323.599999999999</v>
      </c>
      <c r="S936" s="225"/>
    </row>
    <row r="937" spans="4:19" x14ac:dyDescent="0.3">
      <c r="D937" s="349">
        <v>44441</v>
      </c>
      <c r="F937" s="350">
        <v>17234.150000000001</v>
      </c>
      <c r="S937" s="225"/>
    </row>
    <row r="938" spans="4:19" x14ac:dyDescent="0.3">
      <c r="D938" s="349">
        <v>44440</v>
      </c>
      <c r="F938" s="350">
        <v>17076.25</v>
      </c>
      <c r="S938" s="225"/>
    </row>
    <row r="939" spans="4:19" x14ac:dyDescent="0.3">
      <c r="D939" s="349">
        <v>44439</v>
      </c>
      <c r="F939" s="350">
        <v>17132.2</v>
      </c>
      <c r="S939" s="225"/>
    </row>
    <row r="940" spans="4:19" x14ac:dyDescent="0.3">
      <c r="D940" s="349">
        <v>44438</v>
      </c>
      <c r="F940" s="350">
        <v>16931.05</v>
      </c>
      <c r="S940" s="225"/>
    </row>
    <row r="941" spans="4:19" x14ac:dyDescent="0.3">
      <c r="D941" s="349">
        <v>44435</v>
      </c>
      <c r="F941" s="350">
        <v>16705.2</v>
      </c>
      <c r="S941" s="225"/>
    </row>
    <row r="942" spans="4:19" x14ac:dyDescent="0.3">
      <c r="D942" s="349">
        <v>44434</v>
      </c>
      <c r="F942" s="350">
        <v>16636.900000000001</v>
      </c>
      <c r="S942" s="225"/>
    </row>
    <row r="943" spans="4:19" x14ac:dyDescent="0.3">
      <c r="D943" s="349">
        <v>44433</v>
      </c>
      <c r="F943" s="350">
        <v>16634.650000000001</v>
      </c>
      <c r="S943" s="225"/>
    </row>
    <row r="944" spans="4:19" x14ac:dyDescent="0.3">
      <c r="D944" s="349">
        <v>44432</v>
      </c>
      <c r="F944" s="350">
        <v>16624.599999999999</v>
      </c>
      <c r="S944" s="225"/>
    </row>
    <row r="945" spans="4:19" x14ac:dyDescent="0.3">
      <c r="D945" s="349">
        <v>44431</v>
      </c>
      <c r="F945" s="350">
        <v>16496.45</v>
      </c>
      <c r="S945" s="225"/>
    </row>
    <row r="946" spans="4:19" x14ac:dyDescent="0.3">
      <c r="D946" s="349">
        <v>44428</v>
      </c>
      <c r="F946" s="350">
        <v>16450.5</v>
      </c>
      <c r="S946" s="225"/>
    </row>
    <row r="947" spans="4:19" x14ac:dyDescent="0.3">
      <c r="D947" s="349">
        <v>44426</v>
      </c>
      <c r="F947" s="350">
        <v>16568.849999999999</v>
      </c>
      <c r="S947" s="225"/>
    </row>
    <row r="948" spans="4:19" x14ac:dyDescent="0.3">
      <c r="D948" s="349">
        <v>44425</v>
      </c>
      <c r="F948" s="350">
        <v>16614.599999999999</v>
      </c>
      <c r="P948" s="283"/>
      <c r="S948" s="225"/>
    </row>
    <row r="949" spans="4:19" x14ac:dyDescent="0.3">
      <c r="D949" s="349">
        <v>44424</v>
      </c>
      <c r="F949" s="350">
        <v>16563.05</v>
      </c>
      <c r="P949" s="283"/>
      <c r="S949" s="225"/>
    </row>
    <row r="950" spans="4:19" x14ac:dyDescent="0.3">
      <c r="D950" s="349">
        <v>44421</v>
      </c>
      <c r="F950" s="350">
        <v>16529.099999999999</v>
      </c>
      <c r="P950" s="283"/>
      <c r="S950" s="225"/>
    </row>
    <row r="951" spans="4:19" x14ac:dyDescent="0.3">
      <c r="D951" s="349">
        <v>44420</v>
      </c>
      <c r="F951" s="350">
        <v>16364.4</v>
      </c>
      <c r="P951" s="283"/>
      <c r="S951" s="225"/>
    </row>
    <row r="952" spans="4:19" x14ac:dyDescent="0.3">
      <c r="D952" s="349">
        <v>44419</v>
      </c>
      <c r="F952" s="350">
        <v>16282.25</v>
      </c>
      <c r="P952" s="283"/>
      <c r="S952" s="225"/>
    </row>
    <row r="953" spans="4:19" x14ac:dyDescent="0.3">
      <c r="D953" s="349">
        <v>44418</v>
      </c>
      <c r="F953" s="350">
        <v>16280.1</v>
      </c>
      <c r="P953" s="283"/>
      <c r="S953" s="225"/>
    </row>
    <row r="954" spans="4:19" x14ac:dyDescent="0.3">
      <c r="D954" s="349">
        <v>44417</v>
      </c>
      <c r="F954" s="350">
        <v>16258.25</v>
      </c>
      <c r="P954" s="283"/>
      <c r="S954" s="225"/>
    </row>
    <row r="955" spans="4:19" x14ac:dyDescent="0.3">
      <c r="D955" s="349">
        <v>44414</v>
      </c>
      <c r="F955" s="350">
        <v>16238.2</v>
      </c>
      <c r="P955" s="283"/>
      <c r="S955" s="225"/>
    </row>
    <row r="956" spans="4:19" x14ac:dyDescent="0.3">
      <c r="D956" s="349">
        <v>44413</v>
      </c>
      <c r="F956" s="350">
        <v>16294.6</v>
      </c>
      <c r="S956" s="225"/>
    </row>
    <row r="957" spans="4:19" x14ac:dyDescent="0.3">
      <c r="D957" s="349">
        <v>44412</v>
      </c>
      <c r="F957" s="350">
        <v>16258.8</v>
      </c>
      <c r="S957" s="225"/>
    </row>
    <row r="958" spans="4:19" x14ac:dyDescent="0.3">
      <c r="D958" s="349">
        <v>44411</v>
      </c>
      <c r="F958" s="350">
        <v>16130.75</v>
      </c>
      <c r="S958" s="225"/>
    </row>
    <row r="959" spans="4:19" x14ac:dyDescent="0.3">
      <c r="D959" s="349">
        <v>44410</v>
      </c>
      <c r="F959" s="350">
        <v>15885.15</v>
      </c>
      <c r="S959" s="225"/>
    </row>
    <row r="960" spans="4:19" x14ac:dyDescent="0.3">
      <c r="D960" s="349">
        <v>44407</v>
      </c>
      <c r="F960" s="350">
        <v>15763.05</v>
      </c>
      <c r="S960" s="225"/>
    </row>
    <row r="961" spans="4:19" x14ac:dyDescent="0.3">
      <c r="D961" s="349">
        <v>44406</v>
      </c>
      <c r="F961" s="350">
        <v>15778.45</v>
      </c>
      <c r="S961" s="225"/>
    </row>
    <row r="962" spans="4:19" x14ac:dyDescent="0.3">
      <c r="D962" s="349">
        <v>44405</v>
      </c>
      <c r="F962" s="350">
        <v>15709.4</v>
      </c>
      <c r="S962" s="225"/>
    </row>
    <row r="963" spans="4:19" x14ac:dyDescent="0.3">
      <c r="D963" s="349">
        <v>44404</v>
      </c>
      <c r="F963" s="350">
        <v>15746.45</v>
      </c>
      <c r="S963" s="225"/>
    </row>
    <row r="964" spans="4:19" x14ac:dyDescent="0.3">
      <c r="D964" s="349">
        <v>44403</v>
      </c>
      <c r="F964" s="350">
        <v>15824.45</v>
      </c>
      <c r="S964" s="225"/>
    </row>
    <row r="965" spans="4:19" x14ac:dyDescent="0.3">
      <c r="D965" s="349">
        <v>44400</v>
      </c>
      <c r="F965" s="350">
        <v>15856.05</v>
      </c>
      <c r="S965" s="225"/>
    </row>
    <row r="966" spans="4:19" x14ac:dyDescent="0.3">
      <c r="D966" s="349">
        <v>44399</v>
      </c>
      <c r="F966" s="350">
        <v>15824.05</v>
      </c>
      <c r="S966" s="225"/>
    </row>
    <row r="967" spans="4:19" x14ac:dyDescent="0.3">
      <c r="D967" s="349">
        <v>44397</v>
      </c>
      <c r="F967" s="350">
        <v>15632.1</v>
      </c>
      <c r="S967" s="225"/>
    </row>
    <row r="968" spans="4:19" x14ac:dyDescent="0.3">
      <c r="D968" s="349">
        <v>44396</v>
      </c>
      <c r="F968" s="350">
        <v>15752.4</v>
      </c>
      <c r="S968" s="225"/>
    </row>
    <row r="969" spans="4:19" x14ac:dyDescent="0.3">
      <c r="D969" s="349">
        <v>44393</v>
      </c>
      <c r="F969" s="350">
        <v>15923.4</v>
      </c>
      <c r="P969" s="283"/>
      <c r="S969" s="225"/>
    </row>
    <row r="970" spans="4:19" x14ac:dyDescent="0.3">
      <c r="D970" s="349">
        <v>44392</v>
      </c>
      <c r="F970" s="350">
        <v>15924.2</v>
      </c>
      <c r="P970" s="283"/>
      <c r="S970" s="225"/>
    </row>
    <row r="971" spans="4:19" x14ac:dyDescent="0.3">
      <c r="D971" s="349">
        <v>44391</v>
      </c>
      <c r="F971" s="350">
        <v>15853.95</v>
      </c>
      <c r="P971" s="283"/>
      <c r="S971" s="225"/>
    </row>
    <row r="972" spans="4:19" x14ac:dyDescent="0.3">
      <c r="D972" s="349">
        <v>44390</v>
      </c>
      <c r="F972" s="350">
        <v>15812.35</v>
      </c>
      <c r="P972" s="283"/>
      <c r="S972" s="225"/>
    </row>
    <row r="973" spans="4:19" x14ac:dyDescent="0.3">
      <c r="D973" s="349">
        <v>44389</v>
      </c>
      <c r="F973" s="350">
        <v>15692.6</v>
      </c>
      <c r="P973" s="283"/>
      <c r="S973" s="225"/>
    </row>
    <row r="974" spans="4:19" x14ac:dyDescent="0.3">
      <c r="D974" s="349">
        <v>44386</v>
      </c>
      <c r="F974" s="350">
        <v>15689.8</v>
      </c>
      <c r="P974" s="283"/>
      <c r="S974" s="225"/>
    </row>
    <row r="975" spans="4:19" x14ac:dyDescent="0.3">
      <c r="D975" s="349">
        <v>44385</v>
      </c>
      <c r="F975" s="350">
        <v>15727.9</v>
      </c>
      <c r="P975" s="283"/>
      <c r="S975" s="225"/>
    </row>
    <row r="976" spans="4:19" x14ac:dyDescent="0.3">
      <c r="D976" s="349">
        <v>44384</v>
      </c>
      <c r="F976" s="350">
        <v>15879.65</v>
      </c>
      <c r="P976" s="283"/>
      <c r="S976" s="225"/>
    </row>
    <row r="977" spans="4:19" x14ac:dyDescent="0.3">
      <c r="D977" s="349">
        <v>44383</v>
      </c>
      <c r="F977" s="350">
        <v>15818.25</v>
      </c>
      <c r="P977" s="283"/>
      <c r="S977" s="225"/>
    </row>
    <row r="978" spans="4:19" x14ac:dyDescent="0.3">
      <c r="D978" s="349">
        <v>44382</v>
      </c>
      <c r="F978" s="350">
        <v>15834.35</v>
      </c>
      <c r="S978" s="225"/>
    </row>
    <row r="979" spans="4:19" x14ac:dyDescent="0.3">
      <c r="D979" s="349">
        <v>44379</v>
      </c>
      <c r="F979" s="350">
        <v>15722.2</v>
      </c>
      <c r="S979" s="225"/>
    </row>
    <row r="980" spans="4:19" x14ac:dyDescent="0.3">
      <c r="D980" s="349">
        <v>44378</v>
      </c>
      <c r="F980" s="350">
        <v>15680</v>
      </c>
      <c r="S980" s="225"/>
    </row>
    <row r="981" spans="4:19" x14ac:dyDescent="0.3">
      <c r="D981" s="349">
        <v>44377</v>
      </c>
      <c r="F981" s="350">
        <v>15721.5</v>
      </c>
      <c r="S981" s="225"/>
    </row>
    <row r="982" spans="4:19" x14ac:dyDescent="0.3">
      <c r="D982" s="349">
        <v>44376</v>
      </c>
      <c r="F982" s="350">
        <v>15748.45</v>
      </c>
      <c r="S982" s="225"/>
    </row>
    <row r="983" spans="4:19" x14ac:dyDescent="0.3">
      <c r="D983" s="349">
        <v>44375</v>
      </c>
      <c r="F983" s="350">
        <v>15814.7</v>
      </c>
      <c r="S983" s="225"/>
    </row>
    <row r="984" spans="4:19" x14ac:dyDescent="0.3">
      <c r="D984" s="349">
        <v>44372</v>
      </c>
      <c r="F984" s="350">
        <v>15860.35</v>
      </c>
      <c r="S984" s="225"/>
    </row>
    <row r="985" spans="4:19" x14ac:dyDescent="0.3">
      <c r="D985" s="349">
        <v>44371</v>
      </c>
      <c r="F985" s="350">
        <v>15790.45</v>
      </c>
      <c r="S985" s="225"/>
    </row>
    <row r="986" spans="4:19" x14ac:dyDescent="0.3">
      <c r="D986" s="349">
        <v>44370</v>
      </c>
      <c r="F986" s="350">
        <v>15686.95</v>
      </c>
      <c r="S986" s="225"/>
    </row>
    <row r="987" spans="4:19" x14ac:dyDescent="0.3">
      <c r="D987" s="349">
        <v>44369</v>
      </c>
      <c r="F987" s="350">
        <v>15772.75</v>
      </c>
      <c r="S987" s="225"/>
    </row>
    <row r="988" spans="4:19" x14ac:dyDescent="0.3">
      <c r="D988" s="349">
        <v>44368</v>
      </c>
      <c r="F988" s="350">
        <v>15746.5</v>
      </c>
      <c r="S988" s="225"/>
    </row>
    <row r="989" spans="4:19" x14ac:dyDescent="0.3">
      <c r="D989" s="349">
        <v>44365</v>
      </c>
      <c r="F989" s="350">
        <v>15683.35</v>
      </c>
      <c r="S989" s="225"/>
    </row>
    <row r="990" spans="4:19" x14ac:dyDescent="0.3">
      <c r="D990" s="349">
        <v>44364</v>
      </c>
      <c r="F990" s="350">
        <v>15691.4</v>
      </c>
      <c r="P990" s="283"/>
      <c r="S990" s="225"/>
    </row>
    <row r="991" spans="4:19" x14ac:dyDescent="0.3">
      <c r="D991" s="349">
        <v>44363</v>
      </c>
      <c r="F991" s="350">
        <v>15767.55</v>
      </c>
      <c r="P991" s="283"/>
      <c r="S991" s="225"/>
    </row>
    <row r="992" spans="4:19" x14ac:dyDescent="0.3">
      <c r="D992" s="349">
        <v>44362</v>
      </c>
      <c r="F992" s="350">
        <v>15869.25</v>
      </c>
      <c r="P992" s="283"/>
      <c r="S992" s="225"/>
    </row>
    <row r="993" spans="4:19" x14ac:dyDescent="0.3">
      <c r="D993" s="349">
        <v>44361</v>
      </c>
      <c r="F993" s="350">
        <v>15811.85</v>
      </c>
      <c r="P993" s="283"/>
      <c r="S993" s="225"/>
    </row>
    <row r="994" spans="4:19" x14ac:dyDescent="0.3">
      <c r="D994" s="349">
        <v>44358</v>
      </c>
      <c r="F994" s="350">
        <v>15799.35</v>
      </c>
      <c r="P994" s="283"/>
      <c r="S994" s="225"/>
    </row>
    <row r="995" spans="4:19" x14ac:dyDescent="0.3">
      <c r="D995" s="349">
        <v>44357</v>
      </c>
      <c r="F995" s="350">
        <v>15737.75</v>
      </c>
      <c r="P995" s="283"/>
      <c r="S995" s="225"/>
    </row>
    <row r="996" spans="4:19" x14ac:dyDescent="0.3">
      <c r="D996" s="349">
        <v>44356</v>
      </c>
      <c r="F996" s="350">
        <v>15635.35</v>
      </c>
      <c r="P996" s="283"/>
      <c r="S996" s="225"/>
    </row>
    <row r="997" spans="4:19" x14ac:dyDescent="0.3">
      <c r="D997" s="349">
        <v>44355</v>
      </c>
      <c r="F997" s="350">
        <v>15740.1</v>
      </c>
      <c r="P997" s="283"/>
      <c r="S997" s="225"/>
    </row>
    <row r="998" spans="4:19" x14ac:dyDescent="0.3">
      <c r="D998" s="349">
        <v>44354</v>
      </c>
      <c r="F998" s="350">
        <v>15751.65</v>
      </c>
      <c r="S998" s="225"/>
    </row>
    <row r="999" spans="4:19" x14ac:dyDescent="0.3">
      <c r="D999" s="349">
        <v>44351</v>
      </c>
      <c r="F999" s="350">
        <v>15670.25</v>
      </c>
      <c r="S999" s="225"/>
    </row>
    <row r="1000" spans="4:19" x14ac:dyDescent="0.3">
      <c r="D1000" s="349">
        <v>44350</v>
      </c>
      <c r="F1000" s="350">
        <v>15690.35</v>
      </c>
      <c r="S1000" s="225"/>
    </row>
    <row r="1001" spans="4:19" x14ac:dyDescent="0.3">
      <c r="D1001" s="349">
        <v>44349</v>
      </c>
      <c r="F1001" s="350">
        <v>15576.2</v>
      </c>
      <c r="S1001" s="225"/>
    </row>
    <row r="1002" spans="4:19" x14ac:dyDescent="0.3">
      <c r="D1002" s="349">
        <v>44348</v>
      </c>
      <c r="F1002" s="350">
        <v>15574.85</v>
      </c>
      <c r="S1002" s="225"/>
    </row>
    <row r="1003" spans="4:19" x14ac:dyDescent="0.3">
      <c r="D1003" s="349">
        <v>44347</v>
      </c>
      <c r="F1003" s="350">
        <v>15582.8</v>
      </c>
      <c r="S1003" s="225"/>
    </row>
    <row r="1004" spans="4:19" x14ac:dyDescent="0.3">
      <c r="D1004" s="349">
        <v>44344</v>
      </c>
      <c r="F1004" s="350">
        <v>15435.65</v>
      </c>
      <c r="S1004" s="225"/>
    </row>
    <row r="1005" spans="4:19" x14ac:dyDescent="0.3">
      <c r="D1005" s="349">
        <v>44343</v>
      </c>
      <c r="F1005" s="350">
        <v>15337.85</v>
      </c>
      <c r="S1005" s="225"/>
    </row>
    <row r="1006" spans="4:19" x14ac:dyDescent="0.3">
      <c r="D1006" s="349">
        <v>44342</v>
      </c>
      <c r="F1006" s="350">
        <v>15301.45</v>
      </c>
      <c r="S1006" s="225"/>
    </row>
    <row r="1007" spans="4:19" x14ac:dyDescent="0.3">
      <c r="D1007" s="349">
        <v>44341</v>
      </c>
      <c r="F1007" s="350">
        <v>15208.45</v>
      </c>
      <c r="S1007" s="225"/>
    </row>
    <row r="1008" spans="4:19" x14ac:dyDescent="0.3">
      <c r="D1008" s="349">
        <v>44340</v>
      </c>
      <c r="F1008" s="350">
        <v>15197.7</v>
      </c>
      <c r="S1008" s="225"/>
    </row>
    <row r="1009" spans="4:19" x14ac:dyDescent="0.3">
      <c r="D1009" s="349">
        <v>44337</v>
      </c>
      <c r="F1009" s="350">
        <v>15175.3</v>
      </c>
      <c r="S1009" s="225"/>
    </row>
    <row r="1010" spans="4:19" x14ac:dyDescent="0.3">
      <c r="D1010" s="349">
        <v>44336</v>
      </c>
      <c r="F1010" s="350">
        <v>14906.05</v>
      </c>
      <c r="P1010" s="283"/>
      <c r="S1010" s="225"/>
    </row>
    <row r="1011" spans="4:19" x14ac:dyDescent="0.3">
      <c r="D1011" s="349">
        <v>44335</v>
      </c>
      <c r="F1011" s="350">
        <v>15030.15</v>
      </c>
      <c r="P1011" s="283"/>
      <c r="S1011" s="225"/>
    </row>
    <row r="1012" spans="4:19" x14ac:dyDescent="0.3">
      <c r="D1012" s="349">
        <v>44334</v>
      </c>
      <c r="F1012" s="350">
        <v>15108.1</v>
      </c>
      <c r="P1012" s="283"/>
      <c r="S1012" s="225"/>
    </row>
    <row r="1013" spans="4:19" x14ac:dyDescent="0.3">
      <c r="D1013" s="349">
        <v>44333</v>
      </c>
      <c r="F1013" s="350">
        <v>14923.15</v>
      </c>
      <c r="P1013" s="283"/>
      <c r="S1013" s="225"/>
    </row>
    <row r="1014" spans="4:19" x14ac:dyDescent="0.3">
      <c r="D1014" s="349">
        <v>44330</v>
      </c>
      <c r="F1014" s="350">
        <v>14677.8</v>
      </c>
      <c r="P1014" s="283"/>
      <c r="S1014" s="225"/>
    </row>
    <row r="1015" spans="4:19" x14ac:dyDescent="0.3">
      <c r="D1015" s="349">
        <v>44328</v>
      </c>
      <c r="F1015" s="350">
        <v>14696.5</v>
      </c>
      <c r="P1015" s="283"/>
      <c r="S1015" s="225"/>
    </row>
    <row r="1016" spans="4:19" x14ac:dyDescent="0.3">
      <c r="D1016" s="349">
        <v>44327</v>
      </c>
      <c r="F1016" s="350">
        <v>14850.75</v>
      </c>
      <c r="P1016" s="283"/>
      <c r="S1016" s="225"/>
    </row>
    <row r="1017" spans="4:19" x14ac:dyDescent="0.3">
      <c r="D1017" s="349">
        <v>44326</v>
      </c>
      <c r="F1017" s="350">
        <v>14942.35</v>
      </c>
      <c r="S1017" s="225"/>
    </row>
    <row r="1018" spans="4:19" x14ac:dyDescent="0.3">
      <c r="D1018" s="349">
        <v>44323</v>
      </c>
      <c r="F1018" s="350">
        <v>14823.15</v>
      </c>
      <c r="S1018" s="225"/>
    </row>
    <row r="1019" spans="4:19" x14ac:dyDescent="0.3">
      <c r="D1019" s="349">
        <v>44322</v>
      </c>
      <c r="F1019" s="350">
        <v>14724.8</v>
      </c>
      <c r="S1019" s="225"/>
    </row>
    <row r="1020" spans="4:19" x14ac:dyDescent="0.3">
      <c r="D1020" s="349">
        <v>44321</v>
      </c>
      <c r="F1020" s="350">
        <v>14617.85</v>
      </c>
      <c r="S1020" s="225"/>
    </row>
    <row r="1021" spans="4:19" x14ac:dyDescent="0.3">
      <c r="D1021" s="349">
        <v>44320</v>
      </c>
      <c r="F1021" s="350">
        <v>14496.5</v>
      </c>
      <c r="S1021" s="225"/>
    </row>
    <row r="1022" spans="4:19" x14ac:dyDescent="0.3">
      <c r="D1022" s="349">
        <v>44319</v>
      </c>
      <c r="F1022" s="350">
        <v>14634.15</v>
      </c>
      <c r="S1022" s="225"/>
    </row>
    <row r="1023" spans="4:19" x14ac:dyDescent="0.3">
      <c r="D1023" s="349">
        <v>44316</v>
      </c>
      <c r="F1023" s="350">
        <v>14631.1</v>
      </c>
      <c r="S1023" s="225"/>
    </row>
    <row r="1024" spans="4:19" x14ac:dyDescent="0.3">
      <c r="D1024" s="349">
        <v>44315</v>
      </c>
      <c r="F1024" s="350">
        <v>14894.9</v>
      </c>
      <c r="S1024" s="225"/>
    </row>
    <row r="1025" spans="4:19" x14ac:dyDescent="0.3">
      <c r="D1025" s="349">
        <v>44314</v>
      </c>
      <c r="F1025" s="350">
        <v>14864.55</v>
      </c>
      <c r="S1025" s="225"/>
    </row>
    <row r="1026" spans="4:19" x14ac:dyDescent="0.3">
      <c r="D1026" s="349">
        <v>44313</v>
      </c>
      <c r="F1026" s="350">
        <v>14653.05</v>
      </c>
      <c r="S1026" s="225"/>
    </row>
    <row r="1027" spans="4:19" x14ac:dyDescent="0.3">
      <c r="D1027" s="349">
        <v>44312</v>
      </c>
      <c r="F1027" s="350">
        <v>14485</v>
      </c>
      <c r="S1027" s="225"/>
    </row>
    <row r="1028" spans="4:19" x14ac:dyDescent="0.3">
      <c r="D1028" s="349">
        <v>44309</v>
      </c>
      <c r="F1028" s="350">
        <v>14341.35</v>
      </c>
      <c r="S1028" s="225"/>
    </row>
    <row r="1029" spans="4:19" x14ac:dyDescent="0.3">
      <c r="D1029" s="349">
        <v>44308</v>
      </c>
      <c r="F1029" s="350">
        <v>14406.15</v>
      </c>
      <c r="P1029" s="283"/>
      <c r="S1029" s="225"/>
    </row>
    <row r="1030" spans="4:19" x14ac:dyDescent="0.3">
      <c r="D1030" s="349">
        <v>44306</v>
      </c>
      <c r="F1030" s="350">
        <v>14296.4</v>
      </c>
      <c r="P1030" s="283"/>
      <c r="S1030" s="225"/>
    </row>
    <row r="1031" spans="4:19" x14ac:dyDescent="0.3">
      <c r="D1031" s="349">
        <v>44305</v>
      </c>
      <c r="F1031" s="350">
        <v>14359.45</v>
      </c>
      <c r="P1031" s="283"/>
      <c r="S1031" s="225"/>
    </row>
    <row r="1032" spans="4:19" x14ac:dyDescent="0.3">
      <c r="D1032" s="349">
        <v>44302</v>
      </c>
      <c r="F1032" s="350">
        <v>14617.85</v>
      </c>
      <c r="P1032" s="283"/>
      <c r="S1032" s="225"/>
    </row>
    <row r="1033" spans="4:19" x14ac:dyDescent="0.3">
      <c r="D1033" s="349">
        <v>44301</v>
      </c>
      <c r="F1033" s="350">
        <v>14581.45</v>
      </c>
      <c r="P1033" s="283"/>
      <c r="S1033" s="225"/>
    </row>
    <row r="1034" spans="4:19" x14ac:dyDescent="0.3">
      <c r="D1034" s="349">
        <v>44299</v>
      </c>
      <c r="F1034" s="350">
        <v>14504.8</v>
      </c>
      <c r="P1034" s="283"/>
      <c r="S1034" s="225"/>
    </row>
    <row r="1035" spans="4:19" x14ac:dyDescent="0.3">
      <c r="D1035" s="349">
        <v>44298</v>
      </c>
      <c r="F1035" s="350">
        <v>14310.8</v>
      </c>
      <c r="P1035" s="283"/>
      <c r="S1035" s="225"/>
    </row>
    <row r="1036" spans="4:19" x14ac:dyDescent="0.3">
      <c r="D1036" s="349">
        <v>44295</v>
      </c>
      <c r="F1036" s="350">
        <v>14834.85</v>
      </c>
      <c r="P1036" s="283"/>
      <c r="S1036" s="225"/>
    </row>
    <row r="1037" spans="4:19" x14ac:dyDescent="0.3">
      <c r="D1037" s="349">
        <v>44294</v>
      </c>
      <c r="F1037" s="350">
        <v>14873.8</v>
      </c>
      <c r="P1037" s="283"/>
      <c r="S1037" s="225"/>
    </row>
    <row r="1038" spans="4:19" x14ac:dyDescent="0.3">
      <c r="D1038" s="349">
        <v>44293</v>
      </c>
      <c r="F1038" s="350">
        <v>14819.05</v>
      </c>
      <c r="S1038" s="225"/>
    </row>
    <row r="1039" spans="4:19" x14ac:dyDescent="0.3">
      <c r="D1039" s="349">
        <v>44292</v>
      </c>
      <c r="F1039" s="350">
        <v>14683.5</v>
      </c>
      <c r="S1039" s="225"/>
    </row>
    <row r="1040" spans="4:19" x14ac:dyDescent="0.3">
      <c r="D1040" s="349">
        <v>44291</v>
      </c>
      <c r="F1040" s="350">
        <v>14637.8</v>
      </c>
      <c r="S1040" s="225"/>
    </row>
    <row r="1041" spans="4:19" x14ac:dyDescent="0.3">
      <c r="D1041" s="349">
        <v>44287</v>
      </c>
      <c r="F1041" s="350">
        <v>14867.35</v>
      </c>
      <c r="S1041" s="225"/>
    </row>
    <row r="1042" spans="4:19" x14ac:dyDescent="0.3">
      <c r="D1042" s="349">
        <v>44286</v>
      </c>
      <c r="F1042" s="350">
        <v>14690.7</v>
      </c>
      <c r="S1042" s="225"/>
    </row>
    <row r="1043" spans="4:19" x14ac:dyDescent="0.3">
      <c r="D1043" s="349">
        <v>44285</v>
      </c>
      <c r="F1043" s="350">
        <v>14845.1</v>
      </c>
      <c r="S1043" s="225"/>
    </row>
    <row r="1044" spans="4:19" x14ac:dyDescent="0.3">
      <c r="D1044" s="349">
        <v>44281</v>
      </c>
      <c r="F1044" s="350">
        <v>14507.3</v>
      </c>
      <c r="S1044" s="225"/>
    </row>
    <row r="1045" spans="4:19" x14ac:dyDescent="0.3">
      <c r="D1045" s="349">
        <v>44280</v>
      </c>
      <c r="F1045" s="350">
        <v>14324.9</v>
      </c>
      <c r="S1045" s="225"/>
    </row>
    <row r="1046" spans="4:19" x14ac:dyDescent="0.3">
      <c r="D1046" s="349">
        <v>44279</v>
      </c>
      <c r="F1046" s="350">
        <v>14549.4</v>
      </c>
      <c r="S1046" s="225"/>
    </row>
    <row r="1047" spans="4:19" x14ac:dyDescent="0.3">
      <c r="D1047" s="349">
        <v>44278</v>
      </c>
      <c r="F1047" s="350">
        <v>14814.75</v>
      </c>
      <c r="S1047" s="225"/>
    </row>
    <row r="1048" spans="4:19" x14ac:dyDescent="0.3">
      <c r="D1048" s="349">
        <v>44277</v>
      </c>
      <c r="F1048" s="350">
        <v>14736.4</v>
      </c>
      <c r="P1048" s="283"/>
      <c r="S1048" s="225"/>
    </row>
    <row r="1049" spans="4:19" x14ac:dyDescent="0.3">
      <c r="D1049" s="349">
        <v>44274</v>
      </c>
      <c r="F1049" s="350">
        <v>14744</v>
      </c>
      <c r="P1049" s="283"/>
      <c r="S1049" s="225"/>
    </row>
    <row r="1050" spans="4:19" x14ac:dyDescent="0.3">
      <c r="D1050" s="349">
        <v>44273</v>
      </c>
      <c r="F1050" s="350">
        <v>14557.85</v>
      </c>
      <c r="P1050" s="283"/>
      <c r="S1050" s="225"/>
    </row>
    <row r="1051" spans="4:19" x14ac:dyDescent="0.3">
      <c r="D1051" s="349">
        <v>44272</v>
      </c>
      <c r="F1051" s="350">
        <v>14721.3</v>
      </c>
      <c r="P1051" s="283"/>
      <c r="S1051" s="225"/>
    </row>
    <row r="1052" spans="4:19" x14ac:dyDescent="0.3">
      <c r="D1052" s="349">
        <v>44271</v>
      </c>
      <c r="F1052" s="350">
        <v>14910.45</v>
      </c>
      <c r="P1052" s="283"/>
      <c r="S1052" s="225"/>
    </row>
    <row r="1053" spans="4:19" x14ac:dyDescent="0.3">
      <c r="D1053" s="349">
        <v>44270</v>
      </c>
      <c r="F1053" s="350">
        <v>14929.5</v>
      </c>
      <c r="P1053" s="283"/>
      <c r="S1053" s="225"/>
    </row>
    <row r="1054" spans="4:19" x14ac:dyDescent="0.3">
      <c r="D1054" s="349">
        <v>44267</v>
      </c>
      <c r="F1054" s="350">
        <v>15030.95</v>
      </c>
      <c r="P1054" s="283"/>
      <c r="S1054" s="225"/>
    </row>
    <row r="1055" spans="4:19" x14ac:dyDescent="0.3">
      <c r="D1055" s="349">
        <v>44265</v>
      </c>
      <c r="F1055" s="350">
        <v>15174.8</v>
      </c>
      <c r="P1055" s="283"/>
      <c r="S1055" s="225"/>
    </row>
    <row r="1056" spans="4:19" x14ac:dyDescent="0.3">
      <c r="D1056" s="349">
        <v>44264</v>
      </c>
      <c r="F1056" s="350">
        <v>15098.4</v>
      </c>
      <c r="P1056" s="283"/>
      <c r="S1056" s="225"/>
    </row>
    <row r="1057" spans="4:19" x14ac:dyDescent="0.3">
      <c r="D1057" s="349">
        <v>44263</v>
      </c>
      <c r="F1057" s="350">
        <v>14956.2</v>
      </c>
      <c r="P1057" s="283"/>
      <c r="S1057" s="225"/>
    </row>
    <row r="1058" spans="4:19" x14ac:dyDescent="0.3">
      <c r="D1058" s="349">
        <v>44260</v>
      </c>
      <c r="F1058" s="350">
        <v>14938.1</v>
      </c>
      <c r="S1058" s="225"/>
    </row>
    <row r="1059" spans="4:19" x14ac:dyDescent="0.3">
      <c r="D1059" s="349">
        <v>44259</v>
      </c>
      <c r="F1059" s="350">
        <v>15080.75</v>
      </c>
      <c r="S1059" s="225"/>
    </row>
    <row r="1060" spans="4:19" x14ac:dyDescent="0.3">
      <c r="D1060" s="349">
        <v>44258</v>
      </c>
      <c r="F1060" s="350">
        <v>15245.6</v>
      </c>
      <c r="S1060" s="225"/>
    </row>
    <row r="1061" spans="4:19" x14ac:dyDescent="0.3">
      <c r="D1061" s="349">
        <v>44257</v>
      </c>
      <c r="F1061" s="350">
        <v>14919.1</v>
      </c>
      <c r="S1061" s="225"/>
    </row>
    <row r="1062" spans="4:19" x14ac:dyDescent="0.3">
      <c r="D1062" s="349">
        <v>44256</v>
      </c>
      <c r="F1062" s="350">
        <v>14761.55</v>
      </c>
      <c r="S1062" s="225"/>
    </row>
    <row r="1063" spans="4:19" x14ac:dyDescent="0.3">
      <c r="D1063" s="349">
        <v>44253</v>
      </c>
      <c r="F1063" s="350">
        <v>14529.15</v>
      </c>
      <c r="S1063" s="225"/>
    </row>
    <row r="1064" spans="4:19" x14ac:dyDescent="0.3">
      <c r="D1064" s="349">
        <v>44252</v>
      </c>
      <c r="F1064" s="350">
        <v>15097.35</v>
      </c>
      <c r="S1064" s="225"/>
    </row>
    <row r="1065" spans="4:19" x14ac:dyDescent="0.3">
      <c r="D1065" s="349">
        <v>44251</v>
      </c>
      <c r="F1065" s="350">
        <v>14982</v>
      </c>
      <c r="S1065" s="225"/>
    </row>
    <row r="1066" spans="4:19" x14ac:dyDescent="0.3">
      <c r="D1066" s="349">
        <v>44250</v>
      </c>
      <c r="F1066" s="350">
        <v>14707.8</v>
      </c>
      <c r="S1066" s="225"/>
    </row>
    <row r="1067" spans="4:19" x14ac:dyDescent="0.3">
      <c r="D1067" s="349">
        <v>44249</v>
      </c>
      <c r="F1067" s="350">
        <v>14675.7</v>
      </c>
      <c r="S1067" s="225"/>
    </row>
    <row r="1068" spans="4:19" x14ac:dyDescent="0.3">
      <c r="D1068" s="349">
        <v>44246</v>
      </c>
      <c r="F1068" s="350">
        <v>14981.75</v>
      </c>
      <c r="S1068" s="225"/>
    </row>
    <row r="1069" spans="4:19" x14ac:dyDescent="0.3">
      <c r="D1069" s="349">
        <v>44245</v>
      </c>
      <c r="F1069" s="350">
        <v>15118.95</v>
      </c>
      <c r="S1069" s="225"/>
    </row>
    <row r="1070" spans="4:19" x14ac:dyDescent="0.3">
      <c r="D1070" s="349">
        <v>44244</v>
      </c>
      <c r="F1070" s="350">
        <v>15208.9</v>
      </c>
      <c r="P1070" s="283"/>
      <c r="S1070" s="225"/>
    </row>
    <row r="1071" spans="4:19" x14ac:dyDescent="0.3">
      <c r="D1071" s="349">
        <v>44243</v>
      </c>
      <c r="F1071" s="350">
        <v>15313.45</v>
      </c>
      <c r="P1071" s="283"/>
      <c r="S1071" s="225"/>
    </row>
    <row r="1072" spans="4:19" x14ac:dyDescent="0.3">
      <c r="D1072" s="349">
        <v>44242</v>
      </c>
      <c r="F1072" s="350">
        <v>15314.7</v>
      </c>
      <c r="P1072" s="283"/>
      <c r="S1072" s="225"/>
    </row>
    <row r="1073" spans="4:19" x14ac:dyDescent="0.3">
      <c r="D1073" s="349">
        <v>44239</v>
      </c>
      <c r="F1073" s="350">
        <v>15163.3</v>
      </c>
      <c r="P1073" s="283"/>
      <c r="S1073" s="225"/>
    </row>
    <row r="1074" spans="4:19" x14ac:dyDescent="0.3">
      <c r="D1074" s="349">
        <v>44238</v>
      </c>
      <c r="F1074" s="350">
        <v>15173.3</v>
      </c>
      <c r="P1074" s="283"/>
      <c r="S1074" s="225"/>
    </row>
    <row r="1075" spans="4:19" x14ac:dyDescent="0.3">
      <c r="D1075" s="349">
        <v>44237</v>
      </c>
      <c r="F1075" s="350">
        <v>15106.5</v>
      </c>
      <c r="P1075" s="283"/>
      <c r="S1075" s="225"/>
    </row>
    <row r="1076" spans="4:19" x14ac:dyDescent="0.3">
      <c r="D1076" s="349">
        <v>44236</v>
      </c>
      <c r="F1076" s="350">
        <v>15109.3</v>
      </c>
      <c r="P1076" s="283"/>
      <c r="S1076" s="225"/>
    </row>
    <row r="1077" spans="4:19" x14ac:dyDescent="0.3">
      <c r="D1077" s="349">
        <v>44235</v>
      </c>
      <c r="F1077" s="350">
        <v>15115.8</v>
      </c>
      <c r="P1077" s="283"/>
      <c r="S1077" s="225"/>
    </row>
    <row r="1078" spans="4:19" x14ac:dyDescent="0.3">
      <c r="D1078" s="349">
        <v>44232</v>
      </c>
      <c r="F1078" s="350">
        <v>14924.25</v>
      </c>
      <c r="S1078" s="225"/>
    </row>
    <row r="1079" spans="4:19" x14ac:dyDescent="0.3">
      <c r="D1079" s="349">
        <v>44231</v>
      </c>
      <c r="F1079" s="350">
        <v>14895.65</v>
      </c>
      <c r="S1079" s="225"/>
    </row>
    <row r="1080" spans="4:19" x14ac:dyDescent="0.3">
      <c r="D1080" s="349">
        <v>44230</v>
      </c>
      <c r="F1080" s="350">
        <v>14789.95</v>
      </c>
      <c r="S1080" s="225"/>
    </row>
    <row r="1081" spans="4:19" x14ac:dyDescent="0.3">
      <c r="D1081" s="349">
        <v>44229</v>
      </c>
      <c r="F1081" s="350">
        <v>14647.85</v>
      </c>
      <c r="S1081" s="225"/>
    </row>
    <row r="1082" spans="4:19" x14ac:dyDescent="0.3">
      <c r="D1082" s="349">
        <v>44228</v>
      </c>
      <c r="F1082" s="350">
        <v>14281.2</v>
      </c>
      <c r="S1082" s="225"/>
    </row>
    <row r="1083" spans="4:19" x14ac:dyDescent="0.3">
      <c r="D1083" s="349">
        <v>44225</v>
      </c>
      <c r="F1083" s="350">
        <v>13634.6</v>
      </c>
      <c r="S1083" s="225"/>
    </row>
    <row r="1084" spans="4:19" x14ac:dyDescent="0.3">
      <c r="D1084" s="349">
        <v>44224</v>
      </c>
      <c r="F1084" s="350">
        <v>13817.55</v>
      </c>
      <c r="S1084" s="225"/>
    </row>
    <row r="1085" spans="4:19" x14ac:dyDescent="0.3">
      <c r="D1085" s="349">
        <v>44223</v>
      </c>
      <c r="F1085" s="350">
        <v>13967.5</v>
      </c>
      <c r="S1085" s="225"/>
    </row>
    <row r="1086" spans="4:19" x14ac:dyDescent="0.3">
      <c r="D1086" s="349">
        <v>44221</v>
      </c>
      <c r="F1086" s="350">
        <v>14238.9</v>
      </c>
      <c r="S1086" s="225"/>
    </row>
    <row r="1087" spans="4:19" x14ac:dyDescent="0.3">
      <c r="D1087" s="349">
        <v>44218</v>
      </c>
      <c r="F1087" s="350">
        <v>14371.9</v>
      </c>
      <c r="S1087" s="225"/>
    </row>
    <row r="1088" spans="4:19" x14ac:dyDescent="0.3">
      <c r="D1088" s="349">
        <v>44217</v>
      </c>
      <c r="F1088" s="350">
        <v>14590.35</v>
      </c>
      <c r="S1088" s="225"/>
    </row>
    <row r="1089" spans="4:19" x14ac:dyDescent="0.3">
      <c r="D1089" s="349">
        <v>44216</v>
      </c>
      <c r="F1089" s="350">
        <v>14644.7</v>
      </c>
      <c r="S1089" s="225"/>
    </row>
    <row r="1090" spans="4:19" x14ac:dyDescent="0.3">
      <c r="D1090" s="349">
        <v>44215</v>
      </c>
      <c r="F1090" s="350">
        <v>14521.15</v>
      </c>
      <c r="S1090" s="225"/>
    </row>
    <row r="1091" spans="4:19" x14ac:dyDescent="0.3">
      <c r="D1091" s="349">
        <v>44214</v>
      </c>
      <c r="F1091" s="350">
        <v>14281.3</v>
      </c>
      <c r="P1091" s="283"/>
      <c r="S1091" s="225"/>
    </row>
    <row r="1092" spans="4:19" x14ac:dyDescent="0.3">
      <c r="D1092" s="349">
        <v>44211</v>
      </c>
      <c r="F1092" s="350">
        <v>14433.7</v>
      </c>
      <c r="P1092" s="283"/>
      <c r="S1092" s="225"/>
    </row>
    <row r="1093" spans="4:19" x14ac:dyDescent="0.3">
      <c r="D1093" s="349">
        <v>44210</v>
      </c>
      <c r="F1093" s="350">
        <v>14595.6</v>
      </c>
      <c r="P1093" s="283"/>
      <c r="S1093" s="225"/>
    </row>
    <row r="1094" spans="4:19" x14ac:dyDescent="0.3">
      <c r="D1094" s="349">
        <v>44209</v>
      </c>
      <c r="F1094" s="350">
        <v>14564.85</v>
      </c>
      <c r="P1094" s="283"/>
      <c r="S1094" s="225"/>
    </row>
    <row r="1095" spans="4:19" x14ac:dyDescent="0.3">
      <c r="D1095" s="349">
        <v>44208</v>
      </c>
      <c r="F1095" s="350">
        <v>14563.45</v>
      </c>
      <c r="P1095" s="283"/>
      <c r="S1095" s="225"/>
    </row>
    <row r="1096" spans="4:19" x14ac:dyDescent="0.3">
      <c r="D1096" s="349">
        <v>44207</v>
      </c>
      <c r="F1096" s="350">
        <v>14484.75</v>
      </c>
      <c r="P1096" s="283"/>
      <c r="S1096" s="225"/>
    </row>
    <row r="1097" spans="4:19" x14ac:dyDescent="0.3">
      <c r="D1097" s="349">
        <v>44204</v>
      </c>
      <c r="F1097" s="350">
        <v>14347.25</v>
      </c>
      <c r="P1097" s="283"/>
      <c r="S1097" s="225"/>
    </row>
    <row r="1098" spans="4:19" x14ac:dyDescent="0.3">
      <c r="D1098" s="349">
        <v>44203</v>
      </c>
      <c r="F1098" s="350">
        <v>14137.35</v>
      </c>
      <c r="P1098" s="283"/>
      <c r="S1098" s="225"/>
    </row>
    <row r="1099" spans="4:19" x14ac:dyDescent="0.3">
      <c r="D1099" s="349">
        <v>44202</v>
      </c>
      <c r="F1099" s="350">
        <v>14146.25</v>
      </c>
      <c r="P1099" s="283"/>
      <c r="S1099" s="225"/>
    </row>
    <row r="1100" spans="4:19" x14ac:dyDescent="0.3">
      <c r="D1100" s="349">
        <v>44201</v>
      </c>
      <c r="F1100" s="350">
        <v>14199.5</v>
      </c>
      <c r="S1100" s="225"/>
    </row>
    <row r="1101" spans="4:19" x14ac:dyDescent="0.3">
      <c r="D1101" s="349">
        <v>44200</v>
      </c>
      <c r="F1101" s="350">
        <v>14132.9</v>
      </c>
      <c r="S1101" s="225"/>
    </row>
    <row r="1102" spans="4:19" x14ac:dyDescent="0.3">
      <c r="D1102" s="349">
        <v>44197</v>
      </c>
      <c r="F1102" s="350">
        <v>14018.5</v>
      </c>
      <c r="S1102" s="225"/>
    </row>
    <row r="1103" spans="4:19" x14ac:dyDescent="0.3">
      <c r="D1103" s="349">
        <v>44196</v>
      </c>
      <c r="F1103" s="350">
        <v>13981.75</v>
      </c>
      <c r="S1103" s="225"/>
    </row>
    <row r="1104" spans="4:19" x14ac:dyDescent="0.3">
      <c r="D1104" s="349">
        <v>44195</v>
      </c>
      <c r="F1104" s="350">
        <v>13981.95</v>
      </c>
      <c r="S1104" s="225"/>
    </row>
    <row r="1105" spans="4:19" x14ac:dyDescent="0.3">
      <c r="D1105" s="349">
        <v>44194</v>
      </c>
      <c r="F1105" s="350">
        <v>13932.6</v>
      </c>
      <c r="S1105" s="225"/>
    </row>
    <row r="1106" spans="4:19" x14ac:dyDescent="0.3">
      <c r="D1106" s="349">
        <v>44193</v>
      </c>
      <c r="F1106" s="350">
        <v>13873.2</v>
      </c>
      <c r="S1106" s="225"/>
    </row>
    <row r="1107" spans="4:19" x14ac:dyDescent="0.3">
      <c r="D1107" s="349">
        <v>44189</v>
      </c>
      <c r="F1107" s="350">
        <v>13749.25</v>
      </c>
      <c r="S1107" s="225"/>
    </row>
    <row r="1108" spans="4:19" x14ac:dyDescent="0.3">
      <c r="D1108" s="349">
        <v>44188</v>
      </c>
      <c r="F1108" s="350">
        <v>13601.1</v>
      </c>
      <c r="S1108" s="225"/>
    </row>
    <row r="1109" spans="4:19" x14ac:dyDescent="0.3">
      <c r="D1109" s="349">
        <v>44187</v>
      </c>
      <c r="F1109" s="350">
        <v>13466.3</v>
      </c>
      <c r="S1109" s="225"/>
    </row>
    <row r="1110" spans="4:19" x14ac:dyDescent="0.3">
      <c r="D1110" s="349">
        <v>44186</v>
      </c>
      <c r="F1110" s="350">
        <v>13328.4</v>
      </c>
      <c r="S1110" s="225"/>
    </row>
    <row r="1111" spans="4:19" x14ac:dyDescent="0.3">
      <c r="D1111" s="349">
        <v>44183</v>
      </c>
      <c r="F1111" s="350">
        <v>13760.55</v>
      </c>
      <c r="P1111" s="283"/>
      <c r="S1111" s="225"/>
    </row>
    <row r="1112" spans="4:19" x14ac:dyDescent="0.3">
      <c r="D1112" s="349">
        <v>44182</v>
      </c>
      <c r="F1112" s="350">
        <v>13740.7</v>
      </c>
      <c r="P1112" s="283"/>
      <c r="S1112" s="225"/>
    </row>
    <row r="1113" spans="4:19" x14ac:dyDescent="0.3">
      <c r="D1113" s="349">
        <v>44181</v>
      </c>
      <c r="F1113" s="350">
        <v>13682.7</v>
      </c>
      <c r="P1113" s="283"/>
      <c r="S1113" s="225"/>
    </row>
    <row r="1114" spans="4:19" x14ac:dyDescent="0.3">
      <c r="D1114" s="349">
        <v>44180</v>
      </c>
      <c r="F1114" s="350">
        <v>13567.85</v>
      </c>
      <c r="P1114" s="283"/>
      <c r="S1114" s="225"/>
    </row>
    <row r="1115" spans="4:19" x14ac:dyDescent="0.3">
      <c r="D1115" s="349">
        <v>44179</v>
      </c>
      <c r="F1115" s="350">
        <v>13558.15</v>
      </c>
      <c r="P1115" s="283"/>
      <c r="S1115" s="225"/>
    </row>
    <row r="1116" spans="4:19" x14ac:dyDescent="0.3">
      <c r="D1116" s="349">
        <v>44176</v>
      </c>
      <c r="F1116" s="350">
        <v>13513.85</v>
      </c>
      <c r="P1116" s="283"/>
      <c r="S1116" s="225"/>
    </row>
    <row r="1117" spans="4:19" x14ac:dyDescent="0.3">
      <c r="D1117" s="349">
        <v>44175</v>
      </c>
      <c r="F1117" s="350">
        <v>13478.3</v>
      </c>
      <c r="P1117" s="283"/>
      <c r="S1117" s="225"/>
    </row>
    <row r="1118" spans="4:19" x14ac:dyDescent="0.3">
      <c r="D1118" s="349">
        <v>44174</v>
      </c>
      <c r="F1118" s="350">
        <v>13529.1</v>
      </c>
      <c r="P1118" s="283"/>
      <c r="S1118" s="225"/>
    </row>
    <row r="1119" spans="4:19" x14ac:dyDescent="0.3">
      <c r="D1119" s="349">
        <v>44173</v>
      </c>
      <c r="F1119" s="350">
        <v>13392.95</v>
      </c>
      <c r="P1119" s="283"/>
      <c r="S1119" s="225"/>
    </row>
    <row r="1120" spans="4:19" x14ac:dyDescent="0.3">
      <c r="D1120" s="349">
        <v>44172</v>
      </c>
      <c r="F1120" s="350">
        <v>13355.75</v>
      </c>
      <c r="S1120" s="225"/>
    </row>
    <row r="1121" spans="4:19" x14ac:dyDescent="0.3">
      <c r="D1121" s="349">
        <v>44169</v>
      </c>
      <c r="F1121" s="350">
        <v>13258.55</v>
      </c>
      <c r="S1121" s="225"/>
    </row>
    <row r="1122" spans="4:19" x14ac:dyDescent="0.3">
      <c r="D1122" s="349">
        <v>44168</v>
      </c>
      <c r="F1122" s="350">
        <v>13133.9</v>
      </c>
      <c r="S1122" s="225"/>
    </row>
    <row r="1123" spans="4:19" x14ac:dyDescent="0.3">
      <c r="D1123" s="349">
        <v>44167</v>
      </c>
      <c r="F1123" s="350">
        <v>13113.75</v>
      </c>
      <c r="S1123" s="225"/>
    </row>
    <row r="1124" spans="4:19" x14ac:dyDescent="0.3">
      <c r="D1124" s="349">
        <v>44166</v>
      </c>
      <c r="F1124" s="350">
        <v>13109.05</v>
      </c>
      <c r="S1124" s="225"/>
    </row>
    <row r="1125" spans="4:19" x14ac:dyDescent="0.3">
      <c r="D1125" s="349">
        <v>44162</v>
      </c>
      <c r="F1125" s="350">
        <v>12968.95</v>
      </c>
      <c r="S1125" s="225"/>
    </row>
    <row r="1126" spans="4:19" x14ac:dyDescent="0.3">
      <c r="D1126" s="349">
        <v>44161</v>
      </c>
      <c r="F1126" s="350">
        <v>12987</v>
      </c>
      <c r="S1126" s="225"/>
    </row>
    <row r="1127" spans="4:19" x14ac:dyDescent="0.3">
      <c r="D1127" s="349">
        <v>44160</v>
      </c>
      <c r="F1127" s="350">
        <v>12858.4</v>
      </c>
      <c r="S1127" s="225"/>
    </row>
    <row r="1128" spans="4:19" x14ac:dyDescent="0.3">
      <c r="D1128" s="349">
        <v>44159</v>
      </c>
      <c r="F1128" s="350">
        <v>13055.15</v>
      </c>
      <c r="S1128" s="225"/>
    </row>
    <row r="1129" spans="4:19" x14ac:dyDescent="0.3">
      <c r="D1129" s="349">
        <v>44158</v>
      </c>
      <c r="F1129" s="350">
        <v>12926.45</v>
      </c>
      <c r="S1129" s="225"/>
    </row>
    <row r="1130" spans="4:19" x14ac:dyDescent="0.3">
      <c r="D1130" s="349">
        <v>44155</v>
      </c>
      <c r="F1130" s="350">
        <v>12859.05</v>
      </c>
      <c r="S1130" s="225"/>
    </row>
    <row r="1131" spans="4:19" x14ac:dyDescent="0.3">
      <c r="D1131" s="349">
        <v>44154</v>
      </c>
      <c r="F1131" s="350">
        <v>12771.7</v>
      </c>
      <c r="S1131" s="225"/>
    </row>
    <row r="1132" spans="4:19" x14ac:dyDescent="0.3">
      <c r="D1132" s="349">
        <v>44153</v>
      </c>
      <c r="F1132" s="350">
        <v>12938.25</v>
      </c>
      <c r="S1132" s="225"/>
    </row>
    <row r="1133" spans="4:19" x14ac:dyDescent="0.3">
      <c r="D1133" s="349">
        <v>44152</v>
      </c>
      <c r="F1133" s="350">
        <v>12874.2</v>
      </c>
      <c r="S1133" s="225"/>
    </row>
    <row r="1134" spans="4:19" x14ac:dyDescent="0.3">
      <c r="D1134" s="349">
        <v>44149</v>
      </c>
      <c r="F1134" s="350">
        <v>12780.25</v>
      </c>
      <c r="P1134" s="283"/>
      <c r="S1134" s="225"/>
    </row>
    <row r="1135" spans="4:19" x14ac:dyDescent="0.3">
      <c r="D1135" s="349">
        <v>44148</v>
      </c>
      <c r="F1135" s="350">
        <v>12719.95</v>
      </c>
      <c r="P1135" s="283"/>
      <c r="S1135" s="225"/>
    </row>
    <row r="1136" spans="4:19" x14ac:dyDescent="0.3">
      <c r="D1136" s="349">
        <v>44147</v>
      </c>
      <c r="F1136" s="350">
        <v>12690.8</v>
      </c>
      <c r="P1136" s="283"/>
      <c r="S1136" s="225"/>
    </row>
    <row r="1137" spans="4:19" x14ac:dyDescent="0.3">
      <c r="D1137" s="349">
        <v>44146</v>
      </c>
      <c r="F1137" s="350">
        <v>12749.15</v>
      </c>
      <c r="P1137" s="283"/>
      <c r="S1137" s="225"/>
    </row>
    <row r="1138" spans="4:19" x14ac:dyDescent="0.3">
      <c r="D1138" s="349">
        <v>44145</v>
      </c>
      <c r="F1138" s="350">
        <v>12631.1</v>
      </c>
      <c r="P1138" s="283"/>
      <c r="S1138" s="225"/>
    </row>
    <row r="1139" spans="4:19" x14ac:dyDescent="0.3">
      <c r="D1139" s="349">
        <v>44144</v>
      </c>
      <c r="F1139" s="350">
        <v>12461.05</v>
      </c>
      <c r="P1139" s="283"/>
      <c r="S1139" s="225"/>
    </row>
    <row r="1140" spans="4:19" x14ac:dyDescent="0.3">
      <c r="D1140" s="349">
        <v>44141</v>
      </c>
      <c r="F1140" s="350">
        <v>12263.55</v>
      </c>
      <c r="P1140" s="283"/>
      <c r="S1140" s="225"/>
    </row>
    <row r="1141" spans="4:19" x14ac:dyDescent="0.3">
      <c r="D1141" s="349">
        <v>44140</v>
      </c>
      <c r="F1141" s="350">
        <v>12120.3</v>
      </c>
      <c r="S1141" s="225"/>
    </row>
    <row r="1142" spans="4:19" x14ac:dyDescent="0.3">
      <c r="D1142" s="349">
        <v>44139</v>
      </c>
      <c r="F1142" s="350">
        <v>11908.5</v>
      </c>
      <c r="S1142" s="225"/>
    </row>
    <row r="1143" spans="4:19" x14ac:dyDescent="0.3">
      <c r="D1143" s="349">
        <v>44138</v>
      </c>
      <c r="F1143" s="350">
        <v>11813.5</v>
      </c>
      <c r="S1143" s="225"/>
    </row>
    <row r="1144" spans="4:19" x14ac:dyDescent="0.3">
      <c r="D1144" s="349">
        <v>44137</v>
      </c>
      <c r="F1144" s="350">
        <v>11669.15</v>
      </c>
      <c r="S1144" s="225"/>
    </row>
    <row r="1145" spans="4:19" x14ac:dyDescent="0.3">
      <c r="D1145" s="349">
        <v>44134</v>
      </c>
      <c r="F1145" s="350">
        <v>11642.4</v>
      </c>
      <c r="S1145" s="225"/>
    </row>
    <row r="1146" spans="4:19" x14ac:dyDescent="0.3">
      <c r="D1146" s="349">
        <v>44133</v>
      </c>
      <c r="F1146" s="350">
        <v>11670.8</v>
      </c>
      <c r="S1146" s="225"/>
    </row>
    <row r="1147" spans="4:19" x14ac:dyDescent="0.3">
      <c r="D1147" s="349">
        <v>44132</v>
      </c>
      <c r="F1147" s="350">
        <v>11729.6</v>
      </c>
      <c r="S1147" s="225"/>
    </row>
    <row r="1148" spans="4:19" x14ac:dyDescent="0.3">
      <c r="D1148" s="349">
        <v>44131</v>
      </c>
      <c r="F1148" s="350">
        <v>11889.4</v>
      </c>
      <c r="S1148" s="225"/>
    </row>
    <row r="1149" spans="4:19" x14ac:dyDescent="0.3">
      <c r="D1149" s="349">
        <v>44130</v>
      </c>
      <c r="F1149" s="350">
        <v>11767.75</v>
      </c>
      <c r="S1149" s="225"/>
    </row>
    <row r="1150" spans="4:19" x14ac:dyDescent="0.3">
      <c r="D1150" s="349">
        <v>44127</v>
      </c>
      <c r="F1150" s="350">
        <v>11930.35</v>
      </c>
      <c r="S1150" s="225"/>
    </row>
    <row r="1151" spans="4:19" x14ac:dyDescent="0.3">
      <c r="D1151" s="349">
        <v>44126</v>
      </c>
      <c r="F1151" s="350">
        <v>11896.45</v>
      </c>
      <c r="S1151" s="225"/>
    </row>
    <row r="1152" spans="4:19" x14ac:dyDescent="0.3">
      <c r="D1152" s="349">
        <v>44125</v>
      </c>
      <c r="F1152" s="350">
        <v>11937.65</v>
      </c>
      <c r="S1152" s="225"/>
    </row>
    <row r="1153" spans="4:19" x14ac:dyDescent="0.3">
      <c r="D1153" s="349">
        <v>44124</v>
      </c>
      <c r="F1153" s="350">
        <v>11896.8</v>
      </c>
      <c r="S1153" s="225"/>
    </row>
    <row r="1154" spans="4:19" x14ac:dyDescent="0.3">
      <c r="D1154" s="349">
        <v>44123</v>
      </c>
      <c r="F1154" s="350">
        <v>11873.05</v>
      </c>
      <c r="P1154" s="283"/>
      <c r="S1154" s="225"/>
    </row>
    <row r="1155" spans="4:19" x14ac:dyDescent="0.3">
      <c r="D1155" s="349">
        <v>44120</v>
      </c>
      <c r="F1155" s="350">
        <v>11762.45</v>
      </c>
      <c r="P1155" s="283"/>
      <c r="S1155" s="225"/>
    </row>
    <row r="1156" spans="4:19" x14ac:dyDescent="0.3">
      <c r="D1156" s="349">
        <v>44119</v>
      </c>
      <c r="F1156" s="350">
        <v>11680.35</v>
      </c>
      <c r="P1156" s="283"/>
      <c r="S1156" s="225"/>
    </row>
    <row r="1157" spans="4:19" x14ac:dyDescent="0.3">
      <c r="D1157" s="349">
        <v>44118</v>
      </c>
      <c r="F1157" s="350">
        <v>11971.05</v>
      </c>
      <c r="P1157" s="283"/>
      <c r="S1157" s="225"/>
    </row>
    <row r="1158" spans="4:19" x14ac:dyDescent="0.3">
      <c r="D1158" s="349">
        <v>44117</v>
      </c>
      <c r="F1158" s="350">
        <v>11934.5</v>
      </c>
      <c r="P1158" s="283"/>
      <c r="S1158" s="225"/>
    </row>
    <row r="1159" spans="4:19" x14ac:dyDescent="0.3">
      <c r="D1159" s="349">
        <v>44116</v>
      </c>
      <c r="F1159" s="350">
        <v>11930.95</v>
      </c>
      <c r="P1159" s="283"/>
      <c r="S1159" s="225"/>
    </row>
    <row r="1160" spans="4:19" x14ac:dyDescent="0.3">
      <c r="D1160" s="349">
        <v>44113</v>
      </c>
      <c r="F1160" s="350">
        <v>11914.2</v>
      </c>
      <c r="P1160" s="283"/>
      <c r="S1160" s="225"/>
    </row>
    <row r="1161" spans="4:19" x14ac:dyDescent="0.3">
      <c r="D1161" s="349">
        <v>44112</v>
      </c>
      <c r="F1161" s="350">
        <v>11834.6</v>
      </c>
      <c r="P1161" s="283"/>
      <c r="S1161" s="225"/>
    </row>
    <row r="1162" spans="4:19" x14ac:dyDescent="0.3">
      <c r="D1162" s="349">
        <v>44111</v>
      </c>
      <c r="F1162" s="350">
        <v>11738.85</v>
      </c>
      <c r="P1162" s="283"/>
      <c r="S1162" s="225"/>
    </row>
    <row r="1163" spans="4:19" x14ac:dyDescent="0.3">
      <c r="D1163" s="349">
        <v>44110</v>
      </c>
      <c r="F1163" s="350">
        <v>11662.4</v>
      </c>
      <c r="S1163" s="225"/>
    </row>
    <row r="1164" spans="4:19" x14ac:dyDescent="0.3">
      <c r="D1164" s="349">
        <v>44109</v>
      </c>
      <c r="F1164" s="350">
        <v>11503.35</v>
      </c>
      <c r="S1164" s="225"/>
    </row>
    <row r="1165" spans="4:19" x14ac:dyDescent="0.3">
      <c r="D1165" s="349">
        <v>44105</v>
      </c>
      <c r="F1165" s="350">
        <v>11416.95</v>
      </c>
      <c r="S1165" s="225"/>
    </row>
    <row r="1166" spans="4:19" x14ac:dyDescent="0.3">
      <c r="D1166" s="349">
        <v>44104</v>
      </c>
      <c r="F1166" s="350">
        <v>11247.55</v>
      </c>
      <c r="S1166" s="225"/>
    </row>
    <row r="1167" spans="4:19" x14ac:dyDescent="0.3">
      <c r="D1167" s="349">
        <v>44103</v>
      </c>
      <c r="F1167" s="350">
        <v>11222.4</v>
      </c>
      <c r="S1167" s="225"/>
    </row>
    <row r="1168" spans="4:19" x14ac:dyDescent="0.3">
      <c r="D1168" s="349">
        <v>44102</v>
      </c>
      <c r="F1168" s="350">
        <v>11227.55</v>
      </c>
      <c r="S1168" s="225"/>
    </row>
    <row r="1169" spans="4:19" x14ac:dyDescent="0.3">
      <c r="D1169" s="349">
        <v>44099</v>
      </c>
      <c r="F1169" s="350">
        <v>11050.25</v>
      </c>
      <c r="S1169" s="225"/>
    </row>
    <row r="1170" spans="4:19" x14ac:dyDescent="0.3">
      <c r="D1170" s="349">
        <v>44098</v>
      </c>
      <c r="F1170" s="350">
        <v>10805.55</v>
      </c>
      <c r="S1170" s="225"/>
    </row>
    <row r="1171" spans="4:19" x14ac:dyDescent="0.3">
      <c r="D1171" s="349">
        <v>44097</v>
      </c>
      <c r="F1171" s="350">
        <v>11131.85</v>
      </c>
      <c r="S1171" s="225"/>
    </row>
    <row r="1172" spans="4:19" x14ac:dyDescent="0.3">
      <c r="D1172" s="349">
        <v>44096</v>
      </c>
      <c r="F1172" s="350">
        <v>11153.65</v>
      </c>
      <c r="S1172" s="225"/>
    </row>
    <row r="1173" spans="4:19" x14ac:dyDescent="0.3">
      <c r="D1173" s="349">
        <v>44095</v>
      </c>
      <c r="F1173" s="350">
        <v>11250.55</v>
      </c>
      <c r="S1173" s="225"/>
    </row>
    <row r="1174" spans="4:19" x14ac:dyDescent="0.3">
      <c r="D1174" s="349">
        <v>44092</v>
      </c>
      <c r="F1174" s="350">
        <v>11504.95</v>
      </c>
      <c r="S1174" s="225"/>
    </row>
    <row r="1175" spans="4:19" x14ac:dyDescent="0.3">
      <c r="D1175" s="349">
        <v>44091</v>
      </c>
      <c r="F1175" s="350">
        <v>11516.1</v>
      </c>
      <c r="S1175" s="225"/>
    </row>
    <row r="1176" spans="4:19" x14ac:dyDescent="0.3">
      <c r="D1176" s="349">
        <v>44090</v>
      </c>
      <c r="F1176" s="350">
        <v>11604.55</v>
      </c>
      <c r="P1176" s="283"/>
      <c r="S1176" s="225"/>
    </row>
    <row r="1177" spans="4:19" x14ac:dyDescent="0.3">
      <c r="D1177" s="349">
        <v>44089</v>
      </c>
      <c r="F1177" s="350">
        <v>11521.8</v>
      </c>
      <c r="P1177" s="283"/>
      <c r="S1177" s="225"/>
    </row>
    <row r="1178" spans="4:19" x14ac:dyDescent="0.3">
      <c r="D1178" s="349">
        <v>44088</v>
      </c>
      <c r="F1178" s="350">
        <v>11440.05</v>
      </c>
      <c r="P1178" s="283"/>
      <c r="S1178" s="225"/>
    </row>
    <row r="1179" spans="4:19" x14ac:dyDescent="0.3">
      <c r="D1179" s="349">
        <v>44085</v>
      </c>
      <c r="F1179" s="350">
        <v>11464.45</v>
      </c>
      <c r="P1179" s="283"/>
      <c r="S1179" s="225"/>
    </row>
    <row r="1180" spans="4:19" x14ac:dyDescent="0.3">
      <c r="D1180" s="349">
        <v>44084</v>
      </c>
      <c r="F1180" s="350">
        <v>11449.25</v>
      </c>
      <c r="P1180" s="283"/>
      <c r="S1180" s="225"/>
    </row>
    <row r="1181" spans="4:19" x14ac:dyDescent="0.3">
      <c r="D1181" s="349">
        <v>44083</v>
      </c>
      <c r="F1181" s="350">
        <v>11278</v>
      </c>
      <c r="P1181" s="283"/>
      <c r="S1181" s="225"/>
    </row>
    <row r="1182" spans="4:19" x14ac:dyDescent="0.3">
      <c r="D1182" s="349">
        <v>44082</v>
      </c>
      <c r="F1182" s="350">
        <v>11317.35</v>
      </c>
      <c r="P1182" s="283"/>
      <c r="S1182" s="225"/>
    </row>
    <row r="1183" spans="4:19" x14ac:dyDescent="0.3">
      <c r="D1183" s="349">
        <v>44081</v>
      </c>
      <c r="F1183" s="350">
        <v>11355.05</v>
      </c>
      <c r="P1183" s="283"/>
      <c r="S1183" s="225"/>
    </row>
    <row r="1184" spans="4:19" x14ac:dyDescent="0.3">
      <c r="D1184" s="349">
        <v>44078</v>
      </c>
      <c r="F1184" s="350">
        <v>11333.85</v>
      </c>
      <c r="S1184" s="225"/>
    </row>
    <row r="1185" spans="4:19" x14ac:dyDescent="0.3">
      <c r="D1185" s="349">
        <v>44077</v>
      </c>
      <c r="F1185" s="350">
        <v>11527.45</v>
      </c>
      <c r="S1185" s="225"/>
    </row>
    <row r="1186" spans="4:19" x14ac:dyDescent="0.3">
      <c r="D1186" s="349">
        <v>44076</v>
      </c>
      <c r="F1186" s="350">
        <v>11535</v>
      </c>
      <c r="S1186" s="225"/>
    </row>
    <row r="1187" spans="4:19" x14ac:dyDescent="0.3">
      <c r="D1187" s="349">
        <v>44075</v>
      </c>
      <c r="F1187" s="350">
        <v>11470.25</v>
      </c>
      <c r="S1187" s="225"/>
    </row>
    <row r="1188" spans="4:19" x14ac:dyDescent="0.3">
      <c r="D1188" s="349">
        <v>44074</v>
      </c>
      <c r="F1188" s="350">
        <v>11387.5</v>
      </c>
      <c r="S1188" s="225"/>
    </row>
    <row r="1189" spans="4:19" x14ac:dyDescent="0.3">
      <c r="D1189" s="349">
        <v>44071</v>
      </c>
      <c r="F1189" s="350">
        <v>11647.6</v>
      </c>
      <c r="S1189" s="225"/>
    </row>
    <row r="1190" spans="4:19" x14ac:dyDescent="0.3">
      <c r="D1190" s="349">
        <v>44070</v>
      </c>
      <c r="F1190" s="350">
        <v>11559.25</v>
      </c>
      <c r="S1190" s="225"/>
    </row>
    <row r="1191" spans="4:19" x14ac:dyDescent="0.3">
      <c r="D1191" s="349">
        <v>44069</v>
      </c>
      <c r="F1191" s="350">
        <v>11549.6</v>
      </c>
      <c r="S1191" s="225"/>
    </row>
    <row r="1192" spans="4:19" x14ac:dyDescent="0.3">
      <c r="D1192" s="349">
        <v>44068</v>
      </c>
      <c r="F1192" s="350">
        <v>11472.25</v>
      </c>
      <c r="S1192" s="225"/>
    </row>
    <row r="1193" spans="4:19" x14ac:dyDescent="0.3">
      <c r="D1193" s="349">
        <v>44067</v>
      </c>
      <c r="F1193" s="350">
        <v>11466.45</v>
      </c>
      <c r="S1193" s="225"/>
    </row>
    <row r="1194" spans="4:19" x14ac:dyDescent="0.3">
      <c r="D1194" s="349">
        <v>44064</v>
      </c>
      <c r="F1194" s="350">
        <v>11371.6</v>
      </c>
      <c r="S1194" s="225"/>
    </row>
    <row r="1195" spans="4:19" x14ac:dyDescent="0.3">
      <c r="D1195" s="349">
        <v>44063</v>
      </c>
      <c r="F1195" s="350">
        <v>11312.2</v>
      </c>
      <c r="S1195" s="225"/>
    </row>
    <row r="1196" spans="4:19" x14ac:dyDescent="0.3">
      <c r="D1196" s="349">
        <v>44062</v>
      </c>
      <c r="F1196" s="350">
        <v>11408.4</v>
      </c>
      <c r="S1196" s="225"/>
    </row>
    <row r="1197" spans="4:19" x14ac:dyDescent="0.3">
      <c r="D1197" s="349">
        <v>44061</v>
      </c>
      <c r="F1197" s="350">
        <v>11385.35</v>
      </c>
      <c r="S1197" s="225"/>
    </row>
    <row r="1198" spans="4:19" x14ac:dyDescent="0.3">
      <c r="D1198" s="349">
        <v>44060</v>
      </c>
      <c r="F1198" s="350">
        <v>11247.1</v>
      </c>
      <c r="S1198" s="225"/>
    </row>
    <row r="1199" spans="4:19" x14ac:dyDescent="0.3">
      <c r="D1199" s="349">
        <v>44057</v>
      </c>
      <c r="F1199" s="350">
        <v>11178.4</v>
      </c>
      <c r="P1199" s="283"/>
      <c r="S1199" s="225"/>
    </row>
    <row r="1200" spans="4:19" x14ac:dyDescent="0.3">
      <c r="D1200" s="349">
        <v>44056</v>
      </c>
      <c r="F1200" s="350">
        <v>11300.45</v>
      </c>
      <c r="P1200" s="283"/>
      <c r="S1200" s="225"/>
    </row>
    <row r="1201" spans="4:19" x14ac:dyDescent="0.3">
      <c r="D1201" s="349">
        <v>44055</v>
      </c>
      <c r="F1201" s="350">
        <v>11308.4</v>
      </c>
      <c r="P1201" s="283"/>
      <c r="S1201" s="225"/>
    </row>
    <row r="1202" spans="4:19" x14ac:dyDescent="0.3">
      <c r="D1202" s="349">
        <v>44054</v>
      </c>
      <c r="F1202" s="350">
        <v>11322.5</v>
      </c>
      <c r="P1202" s="283"/>
      <c r="S1202" s="225"/>
    </row>
    <row r="1203" spans="4:19" x14ac:dyDescent="0.3">
      <c r="D1203" s="349">
        <v>44053</v>
      </c>
      <c r="F1203" s="350">
        <v>11270.15</v>
      </c>
      <c r="P1203" s="283"/>
      <c r="S1203" s="225"/>
    </row>
    <row r="1204" spans="4:19" x14ac:dyDescent="0.3">
      <c r="D1204" s="349">
        <v>44050</v>
      </c>
      <c r="F1204" s="350">
        <v>11214.05</v>
      </c>
      <c r="P1204" s="283"/>
      <c r="S1204" s="225"/>
    </row>
    <row r="1205" spans="4:19" x14ac:dyDescent="0.3">
      <c r="D1205" s="349">
        <v>44049</v>
      </c>
      <c r="F1205" s="350">
        <v>11200.15</v>
      </c>
      <c r="P1205" s="283"/>
      <c r="S1205" s="225"/>
    </row>
    <row r="1206" spans="4:19" x14ac:dyDescent="0.3">
      <c r="D1206" s="349">
        <v>44048</v>
      </c>
      <c r="F1206" s="350">
        <v>11101.65</v>
      </c>
      <c r="P1206" s="283"/>
      <c r="S1206" s="225"/>
    </row>
    <row r="1207" spans="4:19" x14ac:dyDescent="0.3">
      <c r="D1207" s="349">
        <v>44047</v>
      </c>
      <c r="F1207" s="350">
        <v>11095.25</v>
      </c>
      <c r="S1207" s="225"/>
    </row>
    <row r="1208" spans="4:19" x14ac:dyDescent="0.3">
      <c r="D1208" s="349">
        <v>44046</v>
      </c>
      <c r="F1208" s="350">
        <v>10891.6</v>
      </c>
      <c r="S1208" s="225"/>
    </row>
    <row r="1209" spans="4:19" x14ac:dyDescent="0.3">
      <c r="D1209" s="349">
        <v>44043</v>
      </c>
      <c r="F1209" s="350">
        <v>11073.45</v>
      </c>
      <c r="S1209" s="225"/>
    </row>
    <row r="1210" spans="4:19" x14ac:dyDescent="0.3">
      <c r="D1210" s="349">
        <v>44042</v>
      </c>
      <c r="F1210" s="350">
        <v>11102.15</v>
      </c>
      <c r="S1210" s="225"/>
    </row>
    <row r="1211" spans="4:19" x14ac:dyDescent="0.3">
      <c r="D1211" s="349">
        <v>44041</v>
      </c>
      <c r="F1211" s="350">
        <v>11202.85</v>
      </c>
      <c r="S1211" s="225"/>
    </row>
    <row r="1212" spans="4:19" x14ac:dyDescent="0.3">
      <c r="D1212" s="349">
        <v>44040</v>
      </c>
      <c r="F1212" s="350">
        <v>11300.55</v>
      </c>
      <c r="S1212" s="225"/>
    </row>
    <row r="1213" spans="4:19" x14ac:dyDescent="0.3">
      <c r="D1213" s="349">
        <v>44039</v>
      </c>
      <c r="F1213" s="350">
        <v>11131.8</v>
      </c>
      <c r="S1213" s="225"/>
    </row>
    <row r="1214" spans="4:19" x14ac:dyDescent="0.3">
      <c r="D1214" s="349">
        <v>44036</v>
      </c>
      <c r="F1214" s="350">
        <v>11194.15</v>
      </c>
      <c r="S1214" s="225"/>
    </row>
    <row r="1215" spans="4:19" x14ac:dyDescent="0.3">
      <c r="D1215" s="349">
        <v>44035</v>
      </c>
      <c r="F1215" s="350">
        <v>11215.45</v>
      </c>
      <c r="S1215" s="225"/>
    </row>
    <row r="1216" spans="4:19" x14ac:dyDescent="0.3">
      <c r="D1216" s="349">
        <v>44034</v>
      </c>
      <c r="F1216" s="350">
        <v>11132.6</v>
      </c>
      <c r="S1216" s="225"/>
    </row>
    <row r="1217" spans="4:19" x14ac:dyDescent="0.3">
      <c r="D1217" s="349">
        <v>44033</v>
      </c>
      <c r="F1217" s="350">
        <v>11162.25</v>
      </c>
      <c r="S1217" s="225"/>
    </row>
    <row r="1218" spans="4:19" x14ac:dyDescent="0.3">
      <c r="D1218" s="349">
        <v>44032</v>
      </c>
      <c r="F1218" s="350">
        <v>11022.2</v>
      </c>
      <c r="S1218" s="225"/>
    </row>
    <row r="1219" spans="4:19" x14ac:dyDescent="0.3">
      <c r="D1219" s="349">
        <v>44029</v>
      </c>
      <c r="F1219" s="350">
        <v>10901.7</v>
      </c>
      <c r="P1219" s="283"/>
      <c r="S1219" s="225"/>
    </row>
    <row r="1220" spans="4:19" x14ac:dyDescent="0.3">
      <c r="D1220" s="349">
        <v>44028</v>
      </c>
      <c r="F1220" s="350">
        <v>10739.95</v>
      </c>
      <c r="P1220" s="283"/>
      <c r="S1220" s="225"/>
    </row>
    <row r="1221" spans="4:19" x14ac:dyDescent="0.3">
      <c r="D1221" s="349">
        <v>44027</v>
      </c>
      <c r="F1221" s="350">
        <v>10618.2</v>
      </c>
      <c r="P1221" s="283"/>
      <c r="S1221" s="225"/>
    </row>
    <row r="1222" spans="4:19" x14ac:dyDescent="0.3">
      <c r="D1222" s="349">
        <v>44026</v>
      </c>
      <c r="F1222" s="350">
        <v>10607.35</v>
      </c>
      <c r="P1222" s="283"/>
      <c r="S1222" s="225"/>
    </row>
    <row r="1223" spans="4:19" x14ac:dyDescent="0.3">
      <c r="D1223" s="349">
        <v>44025</v>
      </c>
      <c r="F1223" s="350">
        <v>10802.7</v>
      </c>
      <c r="P1223" s="283"/>
      <c r="S1223" s="225"/>
    </row>
    <row r="1224" spans="4:19" x14ac:dyDescent="0.3">
      <c r="D1224" s="349">
        <v>44022</v>
      </c>
      <c r="F1224" s="350">
        <v>10768.05</v>
      </c>
      <c r="P1224" s="283"/>
      <c r="S1224" s="225"/>
    </row>
    <row r="1225" spans="4:19" x14ac:dyDescent="0.3">
      <c r="D1225" s="349">
        <v>44021</v>
      </c>
      <c r="F1225" s="350">
        <v>10813.45</v>
      </c>
      <c r="P1225" s="283"/>
      <c r="S1225" s="225"/>
    </row>
    <row r="1226" spans="4:19" x14ac:dyDescent="0.3">
      <c r="D1226" s="349">
        <v>44020</v>
      </c>
      <c r="F1226" s="350">
        <v>10705.75</v>
      </c>
      <c r="P1226" s="283"/>
      <c r="S1226" s="225"/>
    </row>
    <row r="1227" spans="4:19" x14ac:dyDescent="0.3">
      <c r="D1227" s="349">
        <v>44019</v>
      </c>
      <c r="F1227" s="350">
        <v>10799.65</v>
      </c>
      <c r="P1227" s="283"/>
      <c r="S1227" s="225"/>
    </row>
    <row r="1228" spans="4:19" x14ac:dyDescent="0.3">
      <c r="D1228" s="349">
        <v>44018</v>
      </c>
      <c r="F1228" s="350">
        <v>10763.65</v>
      </c>
      <c r="P1228" s="283"/>
      <c r="S1228" s="225"/>
    </row>
    <row r="1229" spans="4:19" x14ac:dyDescent="0.3">
      <c r="D1229" s="349">
        <v>44015</v>
      </c>
      <c r="F1229" s="350">
        <v>10607.35</v>
      </c>
      <c r="S1229" s="225"/>
    </row>
    <row r="1230" spans="4:19" x14ac:dyDescent="0.3">
      <c r="D1230" s="349">
        <v>44014</v>
      </c>
      <c r="F1230" s="350">
        <v>10551.7</v>
      </c>
      <c r="S1230" s="225"/>
    </row>
    <row r="1231" spans="4:19" x14ac:dyDescent="0.3">
      <c r="D1231" s="349">
        <v>44013</v>
      </c>
      <c r="F1231" s="350">
        <v>10430.049999999999</v>
      </c>
      <c r="S1231" s="225"/>
    </row>
    <row r="1232" spans="4:19" x14ac:dyDescent="0.3">
      <c r="D1232" s="349">
        <v>44012</v>
      </c>
      <c r="F1232" s="350">
        <v>10302.1</v>
      </c>
      <c r="S1232" s="225"/>
    </row>
    <row r="1233" spans="4:19" x14ac:dyDescent="0.3">
      <c r="D1233" s="349">
        <v>44011</v>
      </c>
      <c r="F1233" s="350">
        <v>10312.4</v>
      </c>
      <c r="S1233" s="225"/>
    </row>
    <row r="1234" spans="4:19" x14ac:dyDescent="0.3">
      <c r="D1234" s="349">
        <v>44008</v>
      </c>
      <c r="F1234" s="350">
        <v>10383</v>
      </c>
      <c r="S1234" s="225"/>
    </row>
    <row r="1235" spans="4:19" x14ac:dyDescent="0.3">
      <c r="D1235" s="349">
        <v>44007</v>
      </c>
      <c r="F1235" s="350">
        <v>10288.9</v>
      </c>
      <c r="S1235" s="225"/>
    </row>
    <row r="1236" spans="4:19" x14ac:dyDescent="0.3">
      <c r="D1236" s="349">
        <v>44006</v>
      </c>
      <c r="F1236" s="350">
        <v>10305.299999999999</v>
      </c>
      <c r="S1236" s="225"/>
    </row>
    <row r="1237" spans="4:19" x14ac:dyDescent="0.3">
      <c r="D1237" s="349">
        <v>44005</v>
      </c>
      <c r="F1237" s="350">
        <v>10471</v>
      </c>
      <c r="S1237" s="225"/>
    </row>
    <row r="1238" spans="4:19" x14ac:dyDescent="0.3">
      <c r="D1238" s="349">
        <v>44004</v>
      </c>
      <c r="F1238" s="350">
        <v>10311.200000000001</v>
      </c>
      <c r="S1238" s="225"/>
    </row>
    <row r="1239" spans="4:19" x14ac:dyDescent="0.3">
      <c r="D1239" s="349">
        <v>44001</v>
      </c>
      <c r="F1239" s="350">
        <v>10244.4</v>
      </c>
      <c r="S1239" s="225"/>
    </row>
    <row r="1240" spans="4:19" x14ac:dyDescent="0.3">
      <c r="D1240" s="349">
        <v>44000</v>
      </c>
      <c r="F1240" s="350">
        <v>10091.65</v>
      </c>
      <c r="S1240" s="225"/>
    </row>
    <row r="1241" spans="4:19" x14ac:dyDescent="0.3">
      <c r="D1241" s="349">
        <v>43999</v>
      </c>
      <c r="F1241" s="350">
        <v>9881.15</v>
      </c>
      <c r="P1241" s="283"/>
      <c r="S1241" s="225"/>
    </row>
    <row r="1242" spans="4:19" x14ac:dyDescent="0.3">
      <c r="D1242" s="349">
        <v>43998</v>
      </c>
      <c r="F1242" s="350">
        <v>9914</v>
      </c>
      <c r="P1242" s="283"/>
      <c r="S1242" s="225"/>
    </row>
    <row r="1243" spans="4:19" x14ac:dyDescent="0.3">
      <c r="D1243" s="349">
        <v>43997</v>
      </c>
      <c r="F1243" s="350">
        <v>9813.7000000000007</v>
      </c>
      <c r="P1243" s="283"/>
      <c r="S1243" s="225"/>
    </row>
    <row r="1244" spans="4:19" x14ac:dyDescent="0.3">
      <c r="D1244" s="349">
        <v>43994</v>
      </c>
      <c r="F1244" s="350">
        <v>9972.9</v>
      </c>
      <c r="P1244" s="283"/>
      <c r="S1244" s="225"/>
    </row>
    <row r="1245" spans="4:19" x14ac:dyDescent="0.3">
      <c r="D1245" s="349">
        <v>43993</v>
      </c>
      <c r="F1245" s="350">
        <v>9902</v>
      </c>
      <c r="P1245" s="283"/>
      <c r="S1245" s="225"/>
    </row>
    <row r="1246" spans="4:19" x14ac:dyDescent="0.3">
      <c r="D1246" s="349">
        <v>43992</v>
      </c>
      <c r="F1246" s="350">
        <v>10116.15</v>
      </c>
      <c r="P1246" s="283"/>
      <c r="S1246" s="225"/>
    </row>
    <row r="1247" spans="4:19" x14ac:dyDescent="0.3">
      <c r="D1247" s="349">
        <v>43991</v>
      </c>
      <c r="F1247" s="350">
        <v>10046.65</v>
      </c>
      <c r="P1247" s="283"/>
      <c r="S1247" s="225"/>
    </row>
    <row r="1248" spans="4:19" x14ac:dyDescent="0.3">
      <c r="D1248" s="349">
        <v>43990</v>
      </c>
      <c r="F1248" s="350">
        <v>10167.450000000001</v>
      </c>
      <c r="S1248" s="225"/>
    </row>
    <row r="1249" spans="4:19" x14ac:dyDescent="0.3">
      <c r="D1249" s="349">
        <v>43987</v>
      </c>
      <c r="F1249" s="350">
        <v>10142.15</v>
      </c>
      <c r="S1249" s="225"/>
    </row>
    <row r="1250" spans="4:19" x14ac:dyDescent="0.3">
      <c r="D1250" s="349">
        <v>43986</v>
      </c>
      <c r="F1250" s="350">
        <v>10029.1</v>
      </c>
      <c r="S1250" s="225"/>
    </row>
    <row r="1251" spans="4:19" x14ac:dyDescent="0.3">
      <c r="D1251" s="349">
        <v>43985</v>
      </c>
      <c r="F1251" s="350">
        <v>10061.549999999999</v>
      </c>
      <c r="S1251" s="225"/>
    </row>
    <row r="1252" spans="4:19" x14ac:dyDescent="0.3">
      <c r="D1252" s="349">
        <v>43984</v>
      </c>
      <c r="F1252" s="350">
        <v>9979.1</v>
      </c>
      <c r="S1252" s="225"/>
    </row>
    <row r="1253" spans="4:19" x14ac:dyDescent="0.3">
      <c r="D1253" s="349">
        <v>43983</v>
      </c>
      <c r="F1253" s="350">
        <v>9826.15</v>
      </c>
      <c r="S1253" s="225"/>
    </row>
    <row r="1254" spans="4:19" x14ac:dyDescent="0.3">
      <c r="D1254" s="349">
        <v>43980</v>
      </c>
      <c r="F1254" s="350">
        <v>9580.2999999999993</v>
      </c>
      <c r="S1254" s="225"/>
    </row>
    <row r="1255" spans="4:19" x14ac:dyDescent="0.3">
      <c r="D1255" s="349">
        <v>43979</v>
      </c>
      <c r="F1255" s="350">
        <v>9490.1</v>
      </c>
      <c r="S1255" s="225"/>
    </row>
    <row r="1256" spans="4:19" x14ac:dyDescent="0.3">
      <c r="D1256" s="349">
        <v>43978</v>
      </c>
      <c r="F1256" s="350">
        <v>9314.9500000000007</v>
      </c>
      <c r="S1256" s="225"/>
    </row>
    <row r="1257" spans="4:19" x14ac:dyDescent="0.3">
      <c r="D1257" s="349">
        <v>43977</v>
      </c>
      <c r="F1257" s="350">
        <v>9029.0499999999993</v>
      </c>
      <c r="S1257" s="225"/>
    </row>
    <row r="1258" spans="4:19" x14ac:dyDescent="0.3">
      <c r="D1258" s="349">
        <v>43973</v>
      </c>
      <c r="F1258" s="350">
        <v>9039.25</v>
      </c>
      <c r="S1258" s="225"/>
    </row>
    <row r="1259" spans="4:19" x14ac:dyDescent="0.3">
      <c r="D1259" s="349">
        <v>43972</v>
      </c>
      <c r="F1259" s="350">
        <v>9106.25</v>
      </c>
      <c r="S1259" s="225"/>
    </row>
    <row r="1260" spans="4:19" x14ac:dyDescent="0.3">
      <c r="D1260" s="349">
        <v>43971</v>
      </c>
      <c r="F1260" s="350">
        <v>9066.5499999999993</v>
      </c>
      <c r="S1260" s="225"/>
    </row>
    <row r="1261" spans="4:19" x14ac:dyDescent="0.3">
      <c r="D1261" s="349">
        <v>43970</v>
      </c>
      <c r="F1261" s="350">
        <v>8879.1</v>
      </c>
      <c r="P1261" s="283"/>
      <c r="S1261" s="225"/>
    </row>
    <row r="1262" spans="4:19" x14ac:dyDescent="0.3">
      <c r="D1262" s="349">
        <v>43969</v>
      </c>
      <c r="F1262" s="350">
        <v>8823.25</v>
      </c>
      <c r="P1262" s="283"/>
      <c r="S1262" s="225"/>
    </row>
    <row r="1263" spans="4:19" x14ac:dyDescent="0.3">
      <c r="D1263" s="349">
        <v>43966</v>
      </c>
      <c r="F1263" s="350">
        <v>9136.85</v>
      </c>
      <c r="P1263" s="283"/>
      <c r="S1263" s="225"/>
    </row>
    <row r="1264" spans="4:19" x14ac:dyDescent="0.3">
      <c r="D1264" s="349">
        <v>43965</v>
      </c>
      <c r="F1264" s="350">
        <v>9142.75</v>
      </c>
      <c r="P1264" s="283"/>
      <c r="S1264" s="225"/>
    </row>
    <row r="1265" spans="4:19" x14ac:dyDescent="0.3">
      <c r="D1265" s="349">
        <v>43964</v>
      </c>
      <c r="F1265" s="350">
        <v>9383.5499999999993</v>
      </c>
      <c r="P1265" s="283"/>
      <c r="S1265" s="225"/>
    </row>
    <row r="1266" spans="4:19" x14ac:dyDescent="0.3">
      <c r="D1266" s="349">
        <v>43963</v>
      </c>
      <c r="F1266" s="350">
        <v>9196.5499999999993</v>
      </c>
      <c r="S1266" s="225"/>
    </row>
    <row r="1267" spans="4:19" x14ac:dyDescent="0.3">
      <c r="D1267" s="349">
        <v>43962</v>
      </c>
      <c r="F1267" s="350">
        <v>9239.2000000000007</v>
      </c>
      <c r="S1267" s="225"/>
    </row>
    <row r="1268" spans="4:19" x14ac:dyDescent="0.3">
      <c r="D1268" s="349">
        <v>43959</v>
      </c>
      <c r="F1268" s="350">
        <v>9251.5</v>
      </c>
      <c r="S1268" s="225"/>
    </row>
    <row r="1269" spans="4:19" x14ac:dyDescent="0.3">
      <c r="D1269" s="349">
        <v>43958</v>
      </c>
      <c r="F1269" s="350">
        <v>9199.0499999999993</v>
      </c>
      <c r="S1269" s="225"/>
    </row>
    <row r="1270" spans="4:19" x14ac:dyDescent="0.3">
      <c r="D1270" s="349">
        <v>43957</v>
      </c>
      <c r="F1270" s="350">
        <v>9270.9</v>
      </c>
      <c r="S1270" s="225"/>
    </row>
    <row r="1271" spans="4:19" x14ac:dyDescent="0.3">
      <c r="D1271" s="349">
        <v>43956</v>
      </c>
      <c r="F1271" s="350">
        <v>9205.6</v>
      </c>
      <c r="S1271" s="225"/>
    </row>
    <row r="1272" spans="4:19" x14ac:dyDescent="0.3">
      <c r="D1272" s="349">
        <v>43955</v>
      </c>
      <c r="F1272" s="350">
        <v>9293.5</v>
      </c>
      <c r="S1272" s="225"/>
    </row>
    <row r="1273" spans="4:19" x14ac:dyDescent="0.3">
      <c r="D1273" s="349">
        <v>43951</v>
      </c>
      <c r="F1273" s="350">
        <v>9859.9</v>
      </c>
      <c r="S1273" s="225"/>
    </row>
    <row r="1274" spans="4:19" x14ac:dyDescent="0.3">
      <c r="D1274" s="349">
        <v>43950</v>
      </c>
      <c r="F1274" s="350">
        <v>9553.35</v>
      </c>
      <c r="S1274" s="225"/>
    </row>
    <row r="1275" spans="4:19" x14ac:dyDescent="0.3">
      <c r="D1275" s="349">
        <v>43949</v>
      </c>
      <c r="F1275" s="350">
        <v>9380.9</v>
      </c>
      <c r="S1275" s="225"/>
    </row>
    <row r="1276" spans="4:19" x14ac:dyDescent="0.3">
      <c r="D1276" s="349">
        <v>43948</v>
      </c>
      <c r="F1276" s="350">
        <v>9282.2999999999993</v>
      </c>
      <c r="S1276" s="225"/>
    </row>
    <row r="1277" spans="4:19" x14ac:dyDescent="0.3">
      <c r="D1277" s="349">
        <v>43945</v>
      </c>
      <c r="F1277" s="350">
        <v>9154.4</v>
      </c>
      <c r="S1277" s="225"/>
    </row>
    <row r="1278" spans="4:19" x14ac:dyDescent="0.3">
      <c r="D1278" s="349">
        <v>43944</v>
      </c>
      <c r="F1278" s="350">
        <v>9313.9</v>
      </c>
      <c r="S1278" s="225"/>
    </row>
    <row r="1279" spans="4:19" x14ac:dyDescent="0.3">
      <c r="D1279" s="349">
        <v>43943</v>
      </c>
      <c r="F1279" s="350">
        <v>9187.2999999999993</v>
      </c>
      <c r="P1279" s="283"/>
      <c r="S1279" s="225"/>
    </row>
    <row r="1280" spans="4:19" x14ac:dyDescent="0.3">
      <c r="D1280" s="349">
        <v>43942</v>
      </c>
      <c r="F1280" s="350">
        <v>8981.4500000000007</v>
      </c>
      <c r="P1280" s="283"/>
      <c r="S1280" s="225"/>
    </row>
    <row r="1281" spans="4:19" x14ac:dyDescent="0.3">
      <c r="D1281" s="349">
        <v>43941</v>
      </c>
      <c r="F1281" s="350">
        <v>9261.85</v>
      </c>
      <c r="P1281" s="283"/>
      <c r="S1281" s="225"/>
    </row>
    <row r="1282" spans="4:19" x14ac:dyDescent="0.3">
      <c r="D1282" s="349">
        <v>43938</v>
      </c>
      <c r="F1282" s="350">
        <v>9266.75</v>
      </c>
      <c r="P1282" s="283"/>
      <c r="S1282" s="225"/>
    </row>
    <row r="1283" spans="4:19" x14ac:dyDescent="0.3">
      <c r="D1283" s="349">
        <v>43937</v>
      </c>
      <c r="F1283" s="350">
        <v>8992.7999999999993</v>
      </c>
      <c r="P1283" s="283"/>
      <c r="S1283" s="225"/>
    </row>
    <row r="1284" spans="4:19" x14ac:dyDescent="0.3">
      <c r="D1284" s="349">
        <v>43936</v>
      </c>
      <c r="F1284" s="350">
        <v>8925.2999999999993</v>
      </c>
      <c r="P1284" s="283"/>
      <c r="S1284" s="225"/>
    </row>
    <row r="1285" spans="4:19" x14ac:dyDescent="0.3">
      <c r="D1285" s="349">
        <v>43934</v>
      </c>
      <c r="F1285" s="350">
        <v>8993.85</v>
      </c>
      <c r="P1285" s="283"/>
      <c r="S1285" s="225"/>
    </row>
    <row r="1286" spans="4:19" x14ac:dyDescent="0.3">
      <c r="D1286" s="349">
        <v>43930</v>
      </c>
      <c r="F1286" s="350">
        <v>9111.9</v>
      </c>
      <c r="P1286" s="283"/>
      <c r="S1286" s="225"/>
    </row>
    <row r="1287" spans="4:19" x14ac:dyDescent="0.3">
      <c r="D1287" s="349">
        <v>43929</v>
      </c>
      <c r="F1287" s="350">
        <v>8748.75</v>
      </c>
      <c r="S1287" s="225"/>
    </row>
    <row r="1288" spans="4:19" x14ac:dyDescent="0.3">
      <c r="D1288" s="349">
        <v>43928</v>
      </c>
      <c r="F1288" s="350">
        <v>8792.2000000000007</v>
      </c>
      <c r="S1288" s="225"/>
    </row>
    <row r="1289" spans="4:19" x14ac:dyDescent="0.3">
      <c r="D1289" s="349">
        <v>43924</v>
      </c>
      <c r="F1289" s="350">
        <v>8083.8</v>
      </c>
      <c r="S1289" s="225"/>
    </row>
    <row r="1290" spans="4:19" x14ac:dyDescent="0.3">
      <c r="D1290" s="349">
        <v>43922</v>
      </c>
      <c r="F1290" s="350">
        <v>8253.7999999999993</v>
      </c>
      <c r="S1290" s="225"/>
    </row>
    <row r="1291" spans="4:19" x14ac:dyDescent="0.3">
      <c r="D1291" s="349">
        <v>43921</v>
      </c>
      <c r="F1291" s="350">
        <v>8597.75</v>
      </c>
      <c r="S1291" s="225"/>
    </row>
    <row r="1292" spans="4:19" x14ac:dyDescent="0.3">
      <c r="D1292" s="349">
        <v>43920</v>
      </c>
      <c r="F1292" s="350">
        <v>8281.1</v>
      </c>
      <c r="S1292" s="225"/>
    </row>
    <row r="1293" spans="4:19" x14ac:dyDescent="0.3">
      <c r="D1293" s="349">
        <v>43917</v>
      </c>
      <c r="F1293" s="350">
        <v>8660.25</v>
      </c>
      <c r="S1293" s="225"/>
    </row>
    <row r="1294" spans="4:19" x14ac:dyDescent="0.3">
      <c r="D1294" s="349">
        <v>43916</v>
      </c>
      <c r="F1294" s="350">
        <v>8641.4500000000007</v>
      </c>
      <c r="S1294" s="225"/>
    </row>
    <row r="1295" spans="4:19" x14ac:dyDescent="0.3">
      <c r="D1295" s="349">
        <v>43915</v>
      </c>
      <c r="F1295" s="350">
        <v>8317.85</v>
      </c>
      <c r="S1295" s="225"/>
    </row>
    <row r="1296" spans="4:19" x14ac:dyDescent="0.3">
      <c r="D1296" s="349">
        <v>43914</v>
      </c>
      <c r="F1296" s="350">
        <v>7801.05</v>
      </c>
      <c r="S1296" s="225"/>
    </row>
    <row r="1297" spans="4:19" x14ac:dyDescent="0.3">
      <c r="D1297" s="349">
        <v>43913</v>
      </c>
      <c r="F1297" s="350">
        <v>7610.25</v>
      </c>
      <c r="S1297" s="225"/>
    </row>
    <row r="1298" spans="4:19" x14ac:dyDescent="0.3">
      <c r="D1298" s="349">
        <v>43910</v>
      </c>
      <c r="F1298" s="350">
        <v>8745.4500000000007</v>
      </c>
      <c r="P1298" s="283"/>
      <c r="S1298" s="225"/>
    </row>
    <row r="1299" spans="4:19" x14ac:dyDescent="0.3">
      <c r="D1299" s="349">
        <v>43909</v>
      </c>
      <c r="F1299" s="350">
        <v>8263.4500000000007</v>
      </c>
      <c r="P1299" s="283"/>
      <c r="S1299" s="225"/>
    </row>
    <row r="1300" spans="4:19" x14ac:dyDescent="0.3">
      <c r="D1300" s="349">
        <v>43908</v>
      </c>
      <c r="F1300" s="350">
        <v>8468.7999999999993</v>
      </c>
      <c r="P1300" s="283"/>
      <c r="S1300" s="225"/>
    </row>
    <row r="1301" spans="4:19" x14ac:dyDescent="0.3">
      <c r="D1301" s="349">
        <v>43907</v>
      </c>
      <c r="F1301" s="350">
        <v>8967.0499999999993</v>
      </c>
      <c r="P1301" s="283"/>
      <c r="S1301" s="225"/>
    </row>
    <row r="1302" spans="4:19" x14ac:dyDescent="0.3">
      <c r="D1302" s="349">
        <v>43906</v>
      </c>
      <c r="F1302" s="350">
        <v>9197.4</v>
      </c>
      <c r="P1302" s="283"/>
      <c r="S1302" s="225"/>
    </row>
    <row r="1303" spans="4:19" x14ac:dyDescent="0.3">
      <c r="D1303" s="349">
        <v>43903</v>
      </c>
      <c r="F1303" s="350">
        <v>9955.2000000000007</v>
      </c>
      <c r="P1303" s="283"/>
      <c r="S1303" s="225"/>
    </row>
    <row r="1304" spans="4:19" x14ac:dyDescent="0.3">
      <c r="D1304" s="349">
        <v>43902</v>
      </c>
      <c r="F1304" s="350">
        <v>9590.15</v>
      </c>
      <c r="P1304" s="283"/>
      <c r="S1304" s="225"/>
    </row>
    <row r="1305" spans="4:19" x14ac:dyDescent="0.3">
      <c r="D1305" s="349">
        <v>43901</v>
      </c>
      <c r="F1305" s="350">
        <v>10458.4</v>
      </c>
      <c r="P1305" s="283"/>
      <c r="S1305" s="225"/>
    </row>
    <row r="1306" spans="4:19" x14ac:dyDescent="0.3">
      <c r="D1306" s="349">
        <v>43899</v>
      </c>
      <c r="F1306" s="350">
        <v>10451.450000000001</v>
      </c>
      <c r="P1306" s="283"/>
      <c r="S1306" s="225"/>
    </row>
    <row r="1307" spans="4:19" x14ac:dyDescent="0.3">
      <c r="D1307" s="349">
        <v>43896</v>
      </c>
      <c r="F1307" s="350">
        <v>10989.45</v>
      </c>
      <c r="S1307" s="225"/>
    </row>
    <row r="1308" spans="4:19" x14ac:dyDescent="0.3">
      <c r="D1308" s="349">
        <v>43895</v>
      </c>
      <c r="F1308" s="350">
        <v>11269</v>
      </c>
      <c r="S1308" s="225"/>
    </row>
    <row r="1309" spans="4:19" x14ac:dyDescent="0.3">
      <c r="D1309" s="349">
        <v>43894</v>
      </c>
      <c r="F1309" s="350">
        <v>11251</v>
      </c>
      <c r="S1309" s="225"/>
    </row>
    <row r="1310" spans="4:19" x14ac:dyDescent="0.3">
      <c r="D1310" s="349">
        <v>43893</v>
      </c>
      <c r="F1310" s="350">
        <v>11303.3</v>
      </c>
      <c r="S1310" s="225"/>
    </row>
    <row r="1311" spans="4:19" x14ac:dyDescent="0.3">
      <c r="D1311" s="349">
        <v>43892</v>
      </c>
      <c r="F1311" s="350">
        <v>11132.75</v>
      </c>
      <c r="S1311" s="225"/>
    </row>
    <row r="1312" spans="4:19" x14ac:dyDescent="0.3">
      <c r="D1312" s="349">
        <v>43889</v>
      </c>
      <c r="F1312" s="350">
        <v>11201.75</v>
      </c>
      <c r="S1312" s="225"/>
    </row>
    <row r="1313" spans="4:19" x14ac:dyDescent="0.3">
      <c r="D1313" s="349">
        <v>43888</v>
      </c>
      <c r="F1313" s="350">
        <v>11633.3</v>
      </c>
      <c r="S1313" s="225"/>
    </row>
    <row r="1314" spans="4:19" x14ac:dyDescent="0.3">
      <c r="D1314" s="349">
        <v>43887</v>
      </c>
      <c r="F1314" s="350">
        <v>11678.5</v>
      </c>
      <c r="S1314" s="225"/>
    </row>
    <row r="1315" spans="4:19" x14ac:dyDescent="0.3">
      <c r="D1315" s="349">
        <v>43886</v>
      </c>
      <c r="F1315" s="350">
        <v>11797.9</v>
      </c>
      <c r="S1315" s="225"/>
    </row>
    <row r="1316" spans="4:19" x14ac:dyDescent="0.3">
      <c r="D1316" s="349">
        <v>43885</v>
      </c>
      <c r="F1316" s="350">
        <v>11829.4</v>
      </c>
      <c r="S1316" s="225"/>
    </row>
    <row r="1317" spans="4:19" x14ac:dyDescent="0.3">
      <c r="D1317" s="349">
        <v>43881</v>
      </c>
      <c r="F1317" s="350">
        <v>12080.85</v>
      </c>
      <c r="S1317" s="225"/>
    </row>
    <row r="1318" spans="4:19" x14ac:dyDescent="0.3">
      <c r="D1318" s="349">
        <v>43880</v>
      </c>
      <c r="F1318" s="350">
        <v>12125.9</v>
      </c>
      <c r="S1318" s="225"/>
    </row>
    <row r="1319" spans="4:19" x14ac:dyDescent="0.3">
      <c r="D1319" s="349">
        <v>43879</v>
      </c>
      <c r="F1319" s="350">
        <v>11992.5</v>
      </c>
      <c r="S1319" s="225"/>
    </row>
    <row r="1320" spans="4:19" x14ac:dyDescent="0.3">
      <c r="D1320" s="349">
        <v>43878</v>
      </c>
      <c r="F1320" s="350">
        <v>12045.8</v>
      </c>
      <c r="S1320" s="225"/>
    </row>
    <row r="1321" spans="4:19" x14ac:dyDescent="0.3">
      <c r="D1321" s="349">
        <v>43875</v>
      </c>
      <c r="F1321" s="350">
        <v>12113.45</v>
      </c>
      <c r="S1321" s="225"/>
    </row>
    <row r="1322" spans="4:19" x14ac:dyDescent="0.3">
      <c r="D1322" s="349">
        <v>43874</v>
      </c>
      <c r="F1322" s="350">
        <v>12174.65</v>
      </c>
      <c r="P1322" s="283"/>
      <c r="S1322" s="225"/>
    </row>
    <row r="1323" spans="4:19" x14ac:dyDescent="0.3">
      <c r="D1323" s="349">
        <v>43873</v>
      </c>
      <c r="F1323" s="350">
        <v>12201.2</v>
      </c>
      <c r="P1323" s="283"/>
      <c r="S1323" s="225"/>
    </row>
    <row r="1324" spans="4:19" x14ac:dyDescent="0.3">
      <c r="D1324" s="349">
        <v>43872</v>
      </c>
      <c r="F1324" s="350">
        <v>12107.9</v>
      </c>
      <c r="P1324" s="283"/>
      <c r="S1324" s="225"/>
    </row>
    <row r="1325" spans="4:19" x14ac:dyDescent="0.3">
      <c r="D1325" s="349">
        <v>43871</v>
      </c>
      <c r="F1325" s="350">
        <v>12031.5</v>
      </c>
      <c r="P1325" s="283"/>
      <c r="S1325" s="225"/>
    </row>
    <row r="1326" spans="4:19" x14ac:dyDescent="0.3">
      <c r="D1326" s="349">
        <v>43868</v>
      </c>
      <c r="F1326" s="350">
        <v>12098.35</v>
      </c>
      <c r="P1326" s="283"/>
      <c r="S1326" s="225"/>
    </row>
    <row r="1327" spans="4:19" x14ac:dyDescent="0.3">
      <c r="D1327" s="349">
        <v>43867</v>
      </c>
      <c r="F1327" s="350">
        <v>12137.95</v>
      </c>
      <c r="P1327" s="283"/>
      <c r="S1327" s="225"/>
    </row>
    <row r="1328" spans="4:19" x14ac:dyDescent="0.3">
      <c r="D1328" s="349">
        <v>43866</v>
      </c>
      <c r="F1328" s="350">
        <v>12089.15</v>
      </c>
      <c r="P1328" s="283"/>
      <c r="S1328" s="225"/>
    </row>
    <row r="1329" spans="4:19" x14ac:dyDescent="0.3">
      <c r="D1329" s="349">
        <v>43865</v>
      </c>
      <c r="F1329" s="350">
        <v>11979.65</v>
      </c>
      <c r="P1329" s="283"/>
      <c r="S1329" s="225"/>
    </row>
    <row r="1330" spans="4:19" x14ac:dyDescent="0.3">
      <c r="D1330" s="349">
        <v>43864</v>
      </c>
      <c r="F1330" s="350">
        <v>11707.9</v>
      </c>
      <c r="S1330" s="225"/>
    </row>
    <row r="1331" spans="4:19" x14ac:dyDescent="0.3">
      <c r="D1331" s="349">
        <v>43862</v>
      </c>
      <c r="F1331" s="350">
        <v>11661.85</v>
      </c>
      <c r="S1331" s="225"/>
    </row>
    <row r="1332" spans="4:19" x14ac:dyDescent="0.3">
      <c r="D1332" s="349">
        <v>43861</v>
      </c>
      <c r="F1332" s="350">
        <v>11962.1</v>
      </c>
      <c r="S1332" s="225"/>
    </row>
    <row r="1333" spans="4:19" x14ac:dyDescent="0.3">
      <c r="D1333" s="349">
        <v>43860</v>
      </c>
      <c r="F1333" s="350">
        <v>12035.8</v>
      </c>
      <c r="S1333" s="225"/>
    </row>
    <row r="1334" spans="4:19" x14ac:dyDescent="0.3">
      <c r="D1334" s="349">
        <v>43859</v>
      </c>
      <c r="F1334" s="350">
        <v>12129.5</v>
      </c>
      <c r="S1334" s="225"/>
    </row>
    <row r="1335" spans="4:19" x14ac:dyDescent="0.3">
      <c r="D1335" s="349">
        <v>43858</v>
      </c>
      <c r="F1335" s="350">
        <v>12055.8</v>
      </c>
      <c r="S1335" s="225"/>
    </row>
    <row r="1336" spans="4:19" x14ac:dyDescent="0.3">
      <c r="D1336" s="349">
        <v>43857</v>
      </c>
      <c r="F1336" s="350">
        <v>12119</v>
      </c>
      <c r="S1336" s="225"/>
    </row>
    <row r="1337" spans="4:19" x14ac:dyDescent="0.3">
      <c r="D1337" s="349">
        <v>43854</v>
      </c>
      <c r="F1337" s="350">
        <v>12248.25</v>
      </c>
      <c r="S1337" s="225"/>
    </row>
    <row r="1338" spans="4:19" x14ac:dyDescent="0.3">
      <c r="D1338" s="349">
        <v>43853</v>
      </c>
      <c r="F1338" s="350">
        <v>12180.35</v>
      </c>
      <c r="S1338" s="225"/>
    </row>
    <row r="1339" spans="4:19" x14ac:dyDescent="0.3">
      <c r="D1339" s="349">
        <v>43852</v>
      </c>
      <c r="F1339" s="350">
        <v>12106.9</v>
      </c>
      <c r="S1339" s="225"/>
    </row>
    <row r="1340" spans="4:19" x14ac:dyDescent="0.3">
      <c r="D1340" s="349">
        <v>43851</v>
      </c>
      <c r="F1340" s="350">
        <v>12169.85</v>
      </c>
      <c r="S1340" s="225"/>
    </row>
    <row r="1341" spans="4:19" x14ac:dyDescent="0.3">
      <c r="D1341" s="349">
        <v>43850</v>
      </c>
      <c r="F1341" s="350">
        <v>12224.55</v>
      </c>
      <c r="S1341" s="225"/>
    </row>
    <row r="1342" spans="4:19" x14ac:dyDescent="0.3">
      <c r="D1342" s="349">
        <v>43847</v>
      </c>
      <c r="F1342" s="350">
        <v>12352.35</v>
      </c>
      <c r="P1342" s="283"/>
      <c r="S1342" s="225"/>
    </row>
    <row r="1343" spans="4:19" x14ac:dyDescent="0.3">
      <c r="D1343" s="349">
        <v>43846</v>
      </c>
      <c r="F1343" s="350">
        <v>12355.5</v>
      </c>
      <c r="P1343" s="283"/>
      <c r="S1343" s="225"/>
    </row>
    <row r="1344" spans="4:19" x14ac:dyDescent="0.3">
      <c r="D1344" s="349">
        <v>43845</v>
      </c>
      <c r="F1344" s="350">
        <v>12343.3</v>
      </c>
      <c r="P1344" s="283"/>
      <c r="S1344" s="225"/>
    </row>
    <row r="1345" spans="4:19" x14ac:dyDescent="0.3">
      <c r="D1345" s="349">
        <v>43844</v>
      </c>
      <c r="F1345" s="350">
        <v>12362.3</v>
      </c>
      <c r="P1345" s="283"/>
      <c r="S1345" s="225"/>
    </row>
    <row r="1346" spans="4:19" x14ac:dyDescent="0.3">
      <c r="D1346" s="349">
        <v>43843</v>
      </c>
      <c r="F1346" s="350">
        <v>12329.55</v>
      </c>
      <c r="P1346" s="283"/>
      <c r="S1346" s="225"/>
    </row>
    <row r="1347" spans="4:19" x14ac:dyDescent="0.3">
      <c r="D1347" s="349">
        <v>43840</v>
      </c>
      <c r="F1347" s="350">
        <v>12256.8</v>
      </c>
      <c r="P1347" s="283"/>
      <c r="S1347" s="225"/>
    </row>
    <row r="1348" spans="4:19" x14ac:dyDescent="0.3">
      <c r="D1348" s="349">
        <v>43839</v>
      </c>
      <c r="F1348" s="350">
        <v>12215.9</v>
      </c>
      <c r="P1348" s="283"/>
      <c r="S1348" s="225"/>
    </row>
    <row r="1349" spans="4:19" x14ac:dyDescent="0.3">
      <c r="D1349" s="349">
        <v>43838</v>
      </c>
      <c r="F1349" s="350">
        <v>12025.35</v>
      </c>
      <c r="P1349" s="283"/>
      <c r="S1349" s="225"/>
    </row>
    <row r="1350" spans="4:19" x14ac:dyDescent="0.3">
      <c r="D1350" s="349">
        <v>43837</v>
      </c>
      <c r="F1350" s="350">
        <v>12052.95</v>
      </c>
      <c r="P1350" s="283"/>
      <c r="S1350" s="225"/>
    </row>
    <row r="1351" spans="4:19" x14ac:dyDescent="0.3">
      <c r="D1351" s="349">
        <v>43836</v>
      </c>
      <c r="F1351" s="350">
        <v>11993.05</v>
      </c>
      <c r="S1351" s="225"/>
    </row>
    <row r="1352" spans="4:19" x14ac:dyDescent="0.3">
      <c r="D1352" s="349">
        <v>43833</v>
      </c>
      <c r="F1352" s="350">
        <v>12226.65</v>
      </c>
      <c r="S1352" s="225"/>
    </row>
    <row r="1353" spans="4:19" x14ac:dyDescent="0.3">
      <c r="D1353" s="349">
        <v>43832</v>
      </c>
      <c r="F1353" s="350">
        <v>12282.2</v>
      </c>
      <c r="S1353" s="225"/>
    </row>
    <row r="1354" spans="4:19" x14ac:dyDescent="0.3">
      <c r="D1354" s="349">
        <v>43831</v>
      </c>
      <c r="F1354" s="350">
        <v>12182.5</v>
      </c>
      <c r="S1354" s="225"/>
    </row>
    <row r="1355" spans="4:19" x14ac:dyDescent="0.3">
      <c r="D1355" s="349">
        <v>43830</v>
      </c>
      <c r="F1355" s="350">
        <v>12168.45</v>
      </c>
      <c r="S1355" s="225"/>
    </row>
    <row r="1356" spans="4:19" x14ac:dyDescent="0.3">
      <c r="D1356" s="349">
        <v>43829</v>
      </c>
      <c r="F1356" s="350">
        <v>12255.85</v>
      </c>
      <c r="S1356" s="225"/>
    </row>
    <row r="1357" spans="4:19" x14ac:dyDescent="0.3">
      <c r="D1357" s="349">
        <v>43826</v>
      </c>
      <c r="F1357" s="350">
        <v>12245.8</v>
      </c>
      <c r="S1357" s="225"/>
    </row>
    <row r="1358" spans="4:19" x14ac:dyDescent="0.3">
      <c r="D1358" s="349">
        <v>43825</v>
      </c>
      <c r="F1358" s="350">
        <v>12126.55</v>
      </c>
      <c r="S1358" s="225"/>
    </row>
    <row r="1359" spans="4:19" x14ac:dyDescent="0.3">
      <c r="D1359" s="349">
        <v>43823</v>
      </c>
      <c r="F1359" s="350">
        <v>12214.55</v>
      </c>
      <c r="S1359" s="225"/>
    </row>
    <row r="1360" spans="4:19" x14ac:dyDescent="0.3">
      <c r="D1360" s="349">
        <v>43822</v>
      </c>
      <c r="F1360" s="350">
        <v>12262.75</v>
      </c>
      <c r="S1360" s="225"/>
    </row>
    <row r="1361" spans="4:19" x14ac:dyDescent="0.3">
      <c r="D1361" s="349">
        <v>43819</v>
      </c>
      <c r="F1361" s="350">
        <v>12271.8</v>
      </c>
      <c r="S1361" s="225"/>
    </row>
    <row r="1362" spans="4:19" x14ac:dyDescent="0.3">
      <c r="D1362" s="349">
        <v>43818</v>
      </c>
      <c r="F1362" s="350">
        <v>12259.7</v>
      </c>
      <c r="S1362" s="225"/>
    </row>
    <row r="1363" spans="4:19" x14ac:dyDescent="0.3">
      <c r="D1363" s="349">
        <v>43817</v>
      </c>
      <c r="F1363" s="350">
        <v>12221.65</v>
      </c>
      <c r="S1363" s="225"/>
    </row>
    <row r="1364" spans="4:19" x14ac:dyDescent="0.3">
      <c r="D1364" s="349">
        <v>43816</v>
      </c>
      <c r="F1364" s="350">
        <v>12165</v>
      </c>
      <c r="P1364" s="283"/>
      <c r="S1364" s="225"/>
    </row>
    <row r="1365" spans="4:19" x14ac:dyDescent="0.3">
      <c r="D1365" s="349">
        <v>43815</v>
      </c>
      <c r="F1365" s="350">
        <v>12053.95</v>
      </c>
      <c r="P1365" s="283"/>
      <c r="S1365" s="225"/>
    </row>
    <row r="1366" spans="4:19" x14ac:dyDescent="0.3">
      <c r="D1366" s="349">
        <v>43812</v>
      </c>
      <c r="F1366" s="350">
        <v>12086.7</v>
      </c>
      <c r="P1366" s="283"/>
      <c r="S1366" s="225"/>
    </row>
    <row r="1367" spans="4:19" x14ac:dyDescent="0.3">
      <c r="D1367" s="349">
        <v>43811</v>
      </c>
      <c r="F1367" s="350">
        <v>11971.8</v>
      </c>
      <c r="P1367" s="283"/>
      <c r="S1367" s="225"/>
    </row>
    <row r="1368" spans="4:19" x14ac:dyDescent="0.3">
      <c r="D1368" s="349">
        <v>43810</v>
      </c>
      <c r="F1368" s="350">
        <v>11910.15</v>
      </c>
      <c r="P1368" s="283"/>
      <c r="S1368" s="225"/>
    </row>
    <row r="1369" spans="4:19" x14ac:dyDescent="0.3">
      <c r="D1369" s="349">
        <v>43809</v>
      </c>
      <c r="F1369" s="350">
        <v>11856.8</v>
      </c>
      <c r="P1369" s="283"/>
      <c r="S1369" s="225"/>
    </row>
    <row r="1370" spans="4:19" x14ac:dyDescent="0.3">
      <c r="D1370" s="349">
        <v>43808</v>
      </c>
      <c r="F1370" s="350">
        <v>11937.5</v>
      </c>
      <c r="P1370" s="283"/>
      <c r="S1370" s="225"/>
    </row>
    <row r="1371" spans="4:19" x14ac:dyDescent="0.3">
      <c r="D1371" s="349">
        <v>43805</v>
      </c>
      <c r="F1371" s="350">
        <v>11921.5</v>
      </c>
      <c r="S1371" s="225"/>
    </row>
    <row r="1372" spans="4:19" x14ac:dyDescent="0.3">
      <c r="D1372" s="349">
        <v>43804</v>
      </c>
      <c r="F1372" s="350">
        <v>12018.4</v>
      </c>
      <c r="S1372" s="225"/>
    </row>
    <row r="1373" spans="4:19" x14ac:dyDescent="0.3">
      <c r="D1373" s="349">
        <v>43803</v>
      </c>
      <c r="F1373" s="350">
        <v>12043.2</v>
      </c>
      <c r="S1373" s="225"/>
    </row>
    <row r="1374" spans="4:19" x14ac:dyDescent="0.3">
      <c r="D1374" s="349">
        <v>43802</v>
      </c>
      <c r="F1374" s="350">
        <v>11994.2</v>
      </c>
      <c r="S1374" s="225"/>
    </row>
    <row r="1375" spans="4:19" x14ac:dyDescent="0.3">
      <c r="D1375" s="349">
        <v>43801</v>
      </c>
      <c r="F1375" s="350">
        <v>12048.2</v>
      </c>
      <c r="S1375" s="225"/>
    </row>
    <row r="1376" spans="4:19" x14ac:dyDescent="0.3">
      <c r="D1376" s="349">
        <v>43798</v>
      </c>
      <c r="F1376" s="350">
        <v>12056.05</v>
      </c>
      <c r="S1376" s="225"/>
    </row>
    <row r="1377" spans="4:19" x14ac:dyDescent="0.3">
      <c r="D1377" s="349">
        <v>43797</v>
      </c>
      <c r="F1377" s="350">
        <v>12151.15</v>
      </c>
      <c r="S1377" s="225"/>
    </row>
    <row r="1378" spans="4:19" x14ac:dyDescent="0.3">
      <c r="D1378" s="349">
        <v>43796</v>
      </c>
      <c r="F1378" s="350">
        <v>12100.7</v>
      </c>
      <c r="S1378" s="225"/>
    </row>
    <row r="1379" spans="4:19" x14ac:dyDescent="0.3">
      <c r="D1379" s="349">
        <v>43795</v>
      </c>
      <c r="F1379" s="350">
        <v>12037.7</v>
      </c>
      <c r="S1379" s="225"/>
    </row>
    <row r="1380" spans="4:19" x14ac:dyDescent="0.3">
      <c r="D1380" s="349">
        <v>43794</v>
      </c>
      <c r="F1380" s="350">
        <v>12073.75</v>
      </c>
      <c r="S1380" s="225"/>
    </row>
    <row r="1381" spans="4:19" x14ac:dyDescent="0.3">
      <c r="D1381" s="349">
        <v>43791</v>
      </c>
      <c r="F1381" s="350">
        <v>11914.4</v>
      </c>
      <c r="S1381" s="225"/>
    </row>
    <row r="1382" spans="4:19" x14ac:dyDescent="0.3">
      <c r="D1382" s="349">
        <v>43790</v>
      </c>
      <c r="F1382" s="350">
        <v>11968.4</v>
      </c>
      <c r="S1382" s="225"/>
    </row>
    <row r="1383" spans="4:19" x14ac:dyDescent="0.3">
      <c r="D1383" s="349">
        <v>43789</v>
      </c>
      <c r="F1383" s="350">
        <v>11999.1</v>
      </c>
      <c r="S1383" s="225"/>
    </row>
    <row r="1384" spans="4:19" x14ac:dyDescent="0.3">
      <c r="D1384" s="349">
        <v>43788</v>
      </c>
      <c r="F1384" s="350">
        <v>11940.1</v>
      </c>
      <c r="P1384" s="283"/>
      <c r="S1384" s="225"/>
    </row>
    <row r="1385" spans="4:19" x14ac:dyDescent="0.3">
      <c r="D1385" s="349">
        <v>43787</v>
      </c>
      <c r="F1385" s="350">
        <v>11884.5</v>
      </c>
      <c r="P1385" s="283"/>
      <c r="S1385" s="225"/>
    </row>
    <row r="1386" spans="4:19" x14ac:dyDescent="0.3">
      <c r="D1386" s="349">
        <v>43784</v>
      </c>
      <c r="F1386" s="350">
        <v>11895.45</v>
      </c>
      <c r="P1386" s="283"/>
      <c r="S1386" s="225"/>
    </row>
    <row r="1387" spans="4:19" x14ac:dyDescent="0.3">
      <c r="D1387" s="349">
        <v>43783</v>
      </c>
      <c r="F1387" s="350">
        <v>11872.1</v>
      </c>
      <c r="P1387" s="283"/>
      <c r="S1387" s="225"/>
    </row>
    <row r="1388" spans="4:19" x14ac:dyDescent="0.3">
      <c r="D1388" s="349">
        <v>43782</v>
      </c>
      <c r="F1388" s="350">
        <v>11840.45</v>
      </c>
      <c r="P1388" s="283"/>
      <c r="S1388" s="225"/>
    </row>
    <row r="1389" spans="4:19" x14ac:dyDescent="0.3">
      <c r="D1389" s="349">
        <v>43780</v>
      </c>
      <c r="F1389" s="350">
        <v>11913.45</v>
      </c>
      <c r="P1389" s="283"/>
      <c r="S1389" s="225"/>
    </row>
    <row r="1390" spans="4:19" x14ac:dyDescent="0.3">
      <c r="D1390" s="349">
        <v>43777</v>
      </c>
      <c r="F1390" s="350">
        <v>11908.15</v>
      </c>
      <c r="P1390" s="283"/>
      <c r="S1390" s="225"/>
    </row>
    <row r="1391" spans="4:19" x14ac:dyDescent="0.3">
      <c r="D1391" s="349">
        <v>43776</v>
      </c>
      <c r="F1391" s="350">
        <v>12012.05</v>
      </c>
      <c r="S1391" s="225"/>
    </row>
    <row r="1392" spans="4:19" x14ac:dyDescent="0.3">
      <c r="D1392" s="349">
        <v>43775</v>
      </c>
      <c r="F1392" s="350">
        <v>11966.05</v>
      </c>
      <c r="S1392" s="225"/>
    </row>
    <row r="1393" spans="4:19" x14ac:dyDescent="0.3">
      <c r="D1393" s="349">
        <v>43774</v>
      </c>
      <c r="F1393" s="350">
        <v>11917.2</v>
      </c>
      <c r="S1393" s="225"/>
    </row>
    <row r="1394" spans="4:19" x14ac:dyDescent="0.3">
      <c r="D1394" s="349">
        <v>43773</v>
      </c>
      <c r="F1394" s="350">
        <v>11941.3</v>
      </c>
      <c r="S1394" s="225"/>
    </row>
    <row r="1395" spans="4:19" x14ac:dyDescent="0.3">
      <c r="D1395" s="349">
        <v>43770</v>
      </c>
      <c r="F1395" s="350">
        <v>11890.6</v>
      </c>
      <c r="S1395" s="225"/>
    </row>
    <row r="1396" spans="4:19" x14ac:dyDescent="0.3">
      <c r="D1396" s="349">
        <v>43769</v>
      </c>
      <c r="F1396" s="350">
        <v>11877.45</v>
      </c>
      <c r="S1396" s="225"/>
    </row>
    <row r="1397" spans="4:19" x14ac:dyDescent="0.3">
      <c r="D1397" s="349">
        <v>43768</v>
      </c>
      <c r="F1397" s="350">
        <v>11844.1</v>
      </c>
      <c r="S1397" s="225"/>
    </row>
    <row r="1398" spans="4:19" x14ac:dyDescent="0.3">
      <c r="D1398" s="349">
        <v>43767</v>
      </c>
      <c r="F1398" s="350">
        <v>11786.85</v>
      </c>
      <c r="S1398" s="225"/>
    </row>
    <row r="1399" spans="4:19" x14ac:dyDescent="0.3">
      <c r="D1399" s="349">
        <v>43765</v>
      </c>
      <c r="F1399" s="350">
        <v>11627.15</v>
      </c>
      <c r="S1399" s="225"/>
    </row>
    <row r="1400" spans="4:19" x14ac:dyDescent="0.3">
      <c r="D1400" s="349">
        <v>43763</v>
      </c>
      <c r="F1400" s="350">
        <v>11583.9</v>
      </c>
      <c r="S1400" s="225"/>
    </row>
    <row r="1401" spans="4:19" x14ac:dyDescent="0.3">
      <c r="D1401" s="349">
        <v>43762</v>
      </c>
      <c r="F1401" s="350">
        <v>11582.6</v>
      </c>
      <c r="S1401" s="225"/>
    </row>
    <row r="1402" spans="4:19" x14ac:dyDescent="0.3">
      <c r="D1402" s="349">
        <v>43761</v>
      </c>
      <c r="F1402" s="350">
        <v>11604.1</v>
      </c>
      <c r="S1402" s="225"/>
    </row>
    <row r="1403" spans="4:19" x14ac:dyDescent="0.3">
      <c r="D1403" s="349">
        <v>43760</v>
      </c>
      <c r="F1403" s="350">
        <v>11588.35</v>
      </c>
      <c r="P1403" s="283"/>
      <c r="S1403" s="225"/>
    </row>
    <row r="1404" spans="4:19" x14ac:dyDescent="0.3">
      <c r="D1404" s="349">
        <v>43756</v>
      </c>
      <c r="F1404" s="350">
        <v>11661.85</v>
      </c>
      <c r="P1404" s="283"/>
      <c r="S1404" s="225"/>
    </row>
    <row r="1405" spans="4:19" x14ac:dyDescent="0.3">
      <c r="D1405" s="349">
        <v>43755</v>
      </c>
      <c r="F1405" s="350">
        <v>11586.35</v>
      </c>
      <c r="P1405" s="283"/>
      <c r="S1405" s="225"/>
    </row>
    <row r="1406" spans="4:19" x14ac:dyDescent="0.3">
      <c r="D1406" s="349">
        <v>43754</v>
      </c>
      <c r="F1406" s="350">
        <v>11464</v>
      </c>
      <c r="P1406" s="283"/>
      <c r="S1406" s="225"/>
    </row>
    <row r="1407" spans="4:19" x14ac:dyDescent="0.3">
      <c r="D1407" s="349">
        <v>43753</v>
      </c>
      <c r="F1407" s="350">
        <v>11428.3</v>
      </c>
      <c r="P1407" s="283"/>
      <c r="S1407" s="225"/>
    </row>
    <row r="1408" spans="4:19" x14ac:dyDescent="0.3">
      <c r="D1408" s="349">
        <v>43752</v>
      </c>
      <c r="F1408" s="350">
        <v>11341.15</v>
      </c>
      <c r="P1408" s="283"/>
      <c r="S1408" s="225"/>
    </row>
    <row r="1409" spans="4:19" x14ac:dyDescent="0.3">
      <c r="D1409" s="349">
        <v>43749</v>
      </c>
      <c r="F1409" s="350">
        <v>11305.05</v>
      </c>
      <c r="P1409" s="283"/>
      <c r="S1409" s="225"/>
    </row>
    <row r="1410" spans="4:19" x14ac:dyDescent="0.3">
      <c r="D1410" s="349">
        <v>43748</v>
      </c>
      <c r="F1410" s="350">
        <v>11234.55</v>
      </c>
      <c r="S1410" s="225"/>
    </row>
    <row r="1411" spans="4:19" x14ac:dyDescent="0.3">
      <c r="D1411" s="349">
        <v>43747</v>
      </c>
      <c r="F1411" s="350">
        <v>11313.3</v>
      </c>
      <c r="S1411" s="225"/>
    </row>
    <row r="1412" spans="4:19" x14ac:dyDescent="0.3">
      <c r="D1412" s="349">
        <v>43745</v>
      </c>
      <c r="F1412" s="350">
        <v>11126.4</v>
      </c>
      <c r="S1412" s="225"/>
    </row>
    <row r="1413" spans="4:19" x14ac:dyDescent="0.3">
      <c r="D1413" s="349">
        <v>43742</v>
      </c>
      <c r="F1413" s="350">
        <v>11174.75</v>
      </c>
      <c r="S1413" s="225"/>
    </row>
    <row r="1414" spans="4:19" x14ac:dyDescent="0.3">
      <c r="D1414" s="349">
        <v>43741</v>
      </c>
      <c r="F1414" s="350">
        <v>11314</v>
      </c>
      <c r="S1414" s="225"/>
    </row>
    <row r="1415" spans="4:19" x14ac:dyDescent="0.3">
      <c r="D1415" s="349">
        <v>43739</v>
      </c>
      <c r="F1415" s="350">
        <v>11359.9</v>
      </c>
      <c r="S1415" s="225"/>
    </row>
    <row r="1416" spans="4:19" x14ac:dyDescent="0.3">
      <c r="D1416" s="349">
        <v>43738</v>
      </c>
      <c r="F1416" s="350">
        <v>11474.45</v>
      </c>
      <c r="S1416" s="225"/>
    </row>
    <row r="1417" spans="4:19" x14ac:dyDescent="0.3">
      <c r="D1417" s="349">
        <v>43735</v>
      </c>
      <c r="F1417" s="350">
        <v>11512.4</v>
      </c>
      <c r="S1417" s="225"/>
    </row>
    <row r="1418" spans="4:19" x14ac:dyDescent="0.3">
      <c r="D1418" s="349">
        <v>43734</v>
      </c>
      <c r="F1418" s="350">
        <v>11571.2</v>
      </c>
      <c r="S1418" s="225"/>
    </row>
    <row r="1419" spans="4:19" x14ac:dyDescent="0.3">
      <c r="D1419" s="349">
        <v>43733</v>
      </c>
      <c r="F1419" s="350">
        <v>11440.2</v>
      </c>
      <c r="S1419" s="225"/>
    </row>
    <row r="1420" spans="4:19" x14ac:dyDescent="0.3">
      <c r="D1420" s="349">
        <v>43732</v>
      </c>
      <c r="F1420" s="350">
        <v>11588.2</v>
      </c>
      <c r="S1420" s="225"/>
    </row>
    <row r="1421" spans="4:19" x14ac:dyDescent="0.3">
      <c r="D1421" s="349">
        <v>43731</v>
      </c>
      <c r="F1421" s="350">
        <v>11600.2</v>
      </c>
      <c r="S1421" s="225"/>
    </row>
    <row r="1422" spans="4:19" x14ac:dyDescent="0.3">
      <c r="D1422" s="349">
        <v>43728</v>
      </c>
      <c r="F1422" s="350">
        <v>11274.2</v>
      </c>
      <c r="S1422" s="225"/>
    </row>
    <row r="1423" spans="4:19" x14ac:dyDescent="0.3">
      <c r="D1423" s="349">
        <v>43727</v>
      </c>
      <c r="F1423" s="350">
        <v>10704.8</v>
      </c>
      <c r="P1423" s="283"/>
      <c r="S1423" s="225"/>
    </row>
    <row r="1424" spans="4:19" x14ac:dyDescent="0.3">
      <c r="D1424" s="349">
        <v>43726</v>
      </c>
      <c r="F1424" s="350">
        <v>10840.65</v>
      </c>
      <c r="P1424" s="283"/>
      <c r="S1424" s="225"/>
    </row>
    <row r="1425" spans="4:19" x14ac:dyDescent="0.3">
      <c r="D1425" s="349">
        <v>43725</v>
      </c>
      <c r="F1425" s="350">
        <v>10817.6</v>
      </c>
      <c r="P1425" s="283"/>
      <c r="S1425" s="225"/>
    </row>
    <row r="1426" spans="4:19" x14ac:dyDescent="0.3">
      <c r="D1426" s="349">
        <v>43724</v>
      </c>
      <c r="F1426" s="350">
        <v>11003.5</v>
      </c>
      <c r="P1426" s="283"/>
      <c r="S1426" s="225"/>
    </row>
    <row r="1427" spans="4:19" x14ac:dyDescent="0.3">
      <c r="D1427" s="349">
        <v>43721</v>
      </c>
      <c r="F1427" s="350">
        <v>11075.9</v>
      </c>
      <c r="P1427" s="283"/>
      <c r="S1427" s="225"/>
    </row>
    <row r="1428" spans="4:19" x14ac:dyDescent="0.3">
      <c r="D1428" s="349">
        <v>43720</v>
      </c>
      <c r="F1428" s="350">
        <v>10982.8</v>
      </c>
      <c r="P1428" s="283"/>
      <c r="S1428" s="225"/>
    </row>
    <row r="1429" spans="4:19" x14ac:dyDescent="0.3">
      <c r="D1429" s="349">
        <v>43719</v>
      </c>
      <c r="F1429" s="350">
        <v>11035.7</v>
      </c>
      <c r="P1429" s="283"/>
      <c r="S1429" s="225"/>
    </row>
    <row r="1430" spans="4:19" x14ac:dyDescent="0.3">
      <c r="D1430" s="349">
        <v>43717</v>
      </c>
      <c r="F1430" s="350">
        <v>11003.05</v>
      </c>
      <c r="S1430" s="225"/>
    </row>
    <row r="1431" spans="4:19" x14ac:dyDescent="0.3">
      <c r="D1431" s="349">
        <v>43714</v>
      </c>
      <c r="F1431" s="350">
        <v>10946.2</v>
      </c>
      <c r="S1431" s="225"/>
    </row>
    <row r="1432" spans="4:19" x14ac:dyDescent="0.3">
      <c r="D1432" s="349">
        <v>43713</v>
      </c>
      <c r="F1432" s="350">
        <v>10847.9</v>
      </c>
      <c r="S1432" s="225"/>
    </row>
    <row r="1433" spans="4:19" x14ac:dyDescent="0.3">
      <c r="D1433" s="349">
        <v>43712</v>
      </c>
      <c r="F1433" s="350">
        <v>10844.65</v>
      </c>
      <c r="S1433" s="225"/>
    </row>
    <row r="1434" spans="4:19" x14ac:dyDescent="0.3">
      <c r="D1434" s="349">
        <v>43711</v>
      </c>
      <c r="F1434" s="350">
        <v>10797.9</v>
      </c>
      <c r="S1434" s="225"/>
    </row>
    <row r="1435" spans="4:19" x14ac:dyDescent="0.3">
      <c r="D1435" s="349">
        <v>43707</v>
      </c>
      <c r="F1435" s="350">
        <v>11023.25</v>
      </c>
      <c r="S1435" s="225"/>
    </row>
    <row r="1436" spans="4:19" x14ac:dyDescent="0.3">
      <c r="D1436" s="349">
        <v>43706</v>
      </c>
      <c r="F1436" s="350">
        <v>10948.3</v>
      </c>
      <c r="S1436" s="225"/>
    </row>
    <row r="1437" spans="4:19" x14ac:dyDescent="0.3">
      <c r="D1437" s="349">
        <v>43705</v>
      </c>
      <c r="F1437" s="350">
        <v>11046.1</v>
      </c>
      <c r="S1437" s="225"/>
    </row>
    <row r="1438" spans="4:19" x14ac:dyDescent="0.3">
      <c r="D1438" s="349">
        <v>43704</v>
      </c>
      <c r="F1438" s="350">
        <v>11105.35</v>
      </c>
      <c r="S1438" s="225"/>
    </row>
    <row r="1439" spans="4:19" x14ac:dyDescent="0.3">
      <c r="D1439" s="349">
        <v>43703</v>
      </c>
      <c r="F1439" s="350">
        <v>11057.85</v>
      </c>
      <c r="S1439" s="225"/>
    </row>
    <row r="1440" spans="4:19" x14ac:dyDescent="0.3">
      <c r="D1440" s="349">
        <v>43700</v>
      </c>
      <c r="F1440" s="350">
        <v>10829.35</v>
      </c>
      <c r="S1440" s="225"/>
    </row>
    <row r="1441" spans="4:19" x14ac:dyDescent="0.3">
      <c r="D1441" s="349">
        <v>43699</v>
      </c>
      <c r="F1441" s="350">
        <v>10741.35</v>
      </c>
      <c r="S1441" s="225"/>
    </row>
    <row r="1442" spans="4:19" x14ac:dyDescent="0.3">
      <c r="D1442" s="349">
        <v>43698</v>
      </c>
      <c r="F1442" s="350">
        <v>10918.7</v>
      </c>
      <c r="S1442" s="225"/>
    </row>
    <row r="1443" spans="4:19" x14ac:dyDescent="0.3">
      <c r="D1443" s="349">
        <v>43697</v>
      </c>
      <c r="F1443" s="350">
        <v>11017</v>
      </c>
      <c r="P1443" s="283"/>
      <c r="S1443" s="225"/>
    </row>
    <row r="1444" spans="4:19" x14ac:dyDescent="0.3">
      <c r="D1444" s="349">
        <v>43696</v>
      </c>
      <c r="F1444" s="350">
        <v>11053.9</v>
      </c>
      <c r="P1444" s="283"/>
      <c r="S1444" s="225"/>
    </row>
    <row r="1445" spans="4:19" x14ac:dyDescent="0.3">
      <c r="D1445" s="349">
        <v>43693</v>
      </c>
      <c r="F1445" s="350">
        <v>11047.8</v>
      </c>
      <c r="P1445" s="283"/>
      <c r="S1445" s="225"/>
    </row>
    <row r="1446" spans="4:19" x14ac:dyDescent="0.3">
      <c r="D1446" s="349">
        <v>43691</v>
      </c>
      <c r="F1446" s="350">
        <v>11029.4</v>
      </c>
      <c r="P1446" s="283"/>
      <c r="S1446" s="225"/>
    </row>
    <row r="1447" spans="4:19" x14ac:dyDescent="0.3">
      <c r="D1447" s="349">
        <v>43690</v>
      </c>
      <c r="F1447" s="350">
        <v>10925.85</v>
      </c>
      <c r="P1447" s="283"/>
      <c r="S1447" s="225"/>
    </row>
    <row r="1448" spans="4:19" x14ac:dyDescent="0.3">
      <c r="D1448" s="349">
        <v>43686</v>
      </c>
      <c r="F1448" s="350">
        <v>11109.65</v>
      </c>
      <c r="P1448" s="283"/>
      <c r="S1448" s="225"/>
    </row>
    <row r="1449" spans="4:19" x14ac:dyDescent="0.3">
      <c r="D1449" s="349">
        <v>43685</v>
      </c>
      <c r="F1449" s="350">
        <v>11032.45</v>
      </c>
      <c r="P1449" s="283"/>
      <c r="S1449" s="225"/>
    </row>
    <row r="1450" spans="4:19" x14ac:dyDescent="0.3">
      <c r="D1450" s="349">
        <v>43684</v>
      </c>
      <c r="F1450" s="350">
        <v>10855.5</v>
      </c>
      <c r="P1450" s="283"/>
      <c r="S1450" s="225"/>
    </row>
    <row r="1451" spans="4:19" x14ac:dyDescent="0.3">
      <c r="D1451" s="349">
        <v>43683</v>
      </c>
      <c r="F1451" s="350">
        <v>10948.25</v>
      </c>
      <c r="P1451" s="283"/>
      <c r="S1451" s="225"/>
    </row>
    <row r="1452" spans="4:19" x14ac:dyDescent="0.3">
      <c r="D1452" s="349">
        <v>43682</v>
      </c>
      <c r="F1452" s="350">
        <v>10862.6</v>
      </c>
      <c r="P1452" s="283"/>
      <c r="S1452" s="225"/>
    </row>
    <row r="1453" spans="4:19" x14ac:dyDescent="0.3">
      <c r="D1453" s="349">
        <v>43679</v>
      </c>
      <c r="F1453" s="350">
        <v>10997.35</v>
      </c>
      <c r="S1453" s="225"/>
    </row>
    <row r="1454" spans="4:19" x14ac:dyDescent="0.3">
      <c r="D1454" s="349">
        <v>43678</v>
      </c>
      <c r="F1454" s="350">
        <v>10980</v>
      </c>
      <c r="S1454" s="225"/>
    </row>
    <row r="1455" spans="4:19" x14ac:dyDescent="0.3">
      <c r="D1455" s="349">
        <v>43677</v>
      </c>
      <c r="F1455" s="350">
        <v>11118</v>
      </c>
      <c r="S1455" s="225"/>
    </row>
    <row r="1456" spans="4:19" x14ac:dyDescent="0.3">
      <c r="D1456" s="349">
        <v>43676</v>
      </c>
      <c r="F1456" s="350">
        <v>11085.4</v>
      </c>
      <c r="S1456" s="225"/>
    </row>
    <row r="1457" spans="4:19" x14ac:dyDescent="0.3">
      <c r="D1457" s="349">
        <v>43675</v>
      </c>
      <c r="F1457" s="350">
        <v>11189.2</v>
      </c>
      <c r="S1457" s="225"/>
    </row>
    <row r="1458" spans="4:19" x14ac:dyDescent="0.3">
      <c r="D1458" s="349">
        <v>43672</v>
      </c>
      <c r="F1458" s="350">
        <v>11284.3</v>
      </c>
      <c r="S1458" s="225"/>
    </row>
    <row r="1459" spans="4:19" x14ac:dyDescent="0.3">
      <c r="D1459" s="349">
        <v>43671</v>
      </c>
      <c r="F1459" s="350">
        <v>11252.15</v>
      </c>
      <c r="S1459" s="225"/>
    </row>
    <row r="1460" spans="4:19" x14ac:dyDescent="0.3">
      <c r="D1460" s="349">
        <v>43670</v>
      </c>
      <c r="F1460" s="350">
        <v>11271.3</v>
      </c>
      <c r="S1460" s="225"/>
    </row>
    <row r="1461" spans="4:19" x14ac:dyDescent="0.3">
      <c r="D1461" s="349">
        <v>43669</v>
      </c>
      <c r="F1461" s="350">
        <v>11331.05</v>
      </c>
      <c r="S1461" s="225"/>
    </row>
    <row r="1462" spans="4:19" x14ac:dyDescent="0.3">
      <c r="D1462" s="349">
        <v>43668</v>
      </c>
      <c r="F1462" s="350">
        <v>11346.2</v>
      </c>
      <c r="S1462" s="225"/>
    </row>
    <row r="1463" spans="4:19" x14ac:dyDescent="0.3">
      <c r="D1463" s="349">
        <v>43665</v>
      </c>
      <c r="F1463" s="350">
        <v>11419.25</v>
      </c>
      <c r="S1463" s="225"/>
    </row>
    <row r="1464" spans="4:19" x14ac:dyDescent="0.3">
      <c r="D1464" s="349">
        <v>43664</v>
      </c>
      <c r="F1464" s="350">
        <v>11596.9</v>
      </c>
      <c r="S1464" s="225"/>
    </row>
    <row r="1465" spans="4:19" x14ac:dyDescent="0.3">
      <c r="D1465" s="349">
        <v>43663</v>
      </c>
      <c r="F1465" s="350">
        <v>11687.5</v>
      </c>
      <c r="P1465" s="283"/>
      <c r="S1465" s="225"/>
    </row>
    <row r="1466" spans="4:19" x14ac:dyDescent="0.3">
      <c r="D1466" s="349">
        <v>43662</v>
      </c>
      <c r="F1466" s="350">
        <v>11662.6</v>
      </c>
      <c r="P1466" s="283"/>
      <c r="S1466" s="225"/>
    </row>
    <row r="1467" spans="4:19" x14ac:dyDescent="0.3">
      <c r="D1467" s="349">
        <v>43661</v>
      </c>
      <c r="F1467" s="350">
        <v>11588.35</v>
      </c>
      <c r="P1467" s="283"/>
      <c r="S1467" s="225"/>
    </row>
    <row r="1468" spans="4:19" x14ac:dyDescent="0.3">
      <c r="D1468" s="349">
        <v>43658</v>
      </c>
      <c r="F1468" s="350">
        <v>11552.5</v>
      </c>
      <c r="P1468" s="283"/>
      <c r="S1468" s="225"/>
    </row>
    <row r="1469" spans="4:19" x14ac:dyDescent="0.3">
      <c r="D1469" s="349">
        <v>43657</v>
      </c>
      <c r="F1469" s="350">
        <v>11582.9</v>
      </c>
      <c r="P1469" s="283"/>
      <c r="S1469" s="225"/>
    </row>
    <row r="1470" spans="4:19" x14ac:dyDescent="0.3">
      <c r="D1470" s="349">
        <v>43656</v>
      </c>
      <c r="F1470" s="350">
        <v>11498.9</v>
      </c>
      <c r="P1470" s="283"/>
      <c r="S1470" s="225"/>
    </row>
    <row r="1471" spans="4:19" x14ac:dyDescent="0.3">
      <c r="D1471" s="349">
        <v>43655</v>
      </c>
      <c r="F1471" s="350">
        <v>11555.9</v>
      </c>
      <c r="P1471" s="283"/>
      <c r="S1471" s="225"/>
    </row>
    <row r="1472" spans="4:19" x14ac:dyDescent="0.3">
      <c r="D1472" s="349">
        <v>43654</v>
      </c>
      <c r="F1472" s="350">
        <v>11558.6</v>
      </c>
      <c r="S1472" s="225"/>
    </row>
    <row r="1473" spans="4:19" x14ac:dyDescent="0.3">
      <c r="D1473" s="349">
        <v>43651</v>
      </c>
      <c r="F1473" s="350">
        <v>11811.15</v>
      </c>
      <c r="S1473" s="225"/>
    </row>
    <row r="1474" spans="4:19" x14ac:dyDescent="0.3">
      <c r="D1474" s="349">
        <v>43650</v>
      </c>
      <c r="F1474" s="350">
        <v>11946.75</v>
      </c>
      <c r="S1474" s="225"/>
    </row>
    <row r="1475" spans="4:19" x14ac:dyDescent="0.3">
      <c r="D1475" s="349">
        <v>43649</v>
      </c>
      <c r="F1475" s="350">
        <v>11916.75</v>
      </c>
      <c r="S1475" s="225"/>
    </row>
    <row r="1476" spans="4:19" x14ac:dyDescent="0.3">
      <c r="D1476" s="349">
        <v>43648</v>
      </c>
      <c r="F1476" s="350">
        <v>11910.3</v>
      </c>
      <c r="S1476" s="225"/>
    </row>
    <row r="1477" spans="4:19" x14ac:dyDescent="0.3">
      <c r="D1477" s="349">
        <v>43647</v>
      </c>
      <c r="F1477" s="350">
        <v>11865.6</v>
      </c>
      <c r="S1477" s="225"/>
    </row>
    <row r="1478" spans="4:19" x14ac:dyDescent="0.3">
      <c r="D1478" s="349">
        <v>43644</v>
      </c>
      <c r="F1478" s="350">
        <v>11788.85</v>
      </c>
      <c r="S1478" s="225"/>
    </row>
    <row r="1479" spans="4:19" x14ac:dyDescent="0.3">
      <c r="D1479" s="349">
        <v>43643</v>
      </c>
      <c r="F1479" s="350">
        <v>11841.55</v>
      </c>
      <c r="S1479" s="225"/>
    </row>
    <row r="1480" spans="4:19" x14ac:dyDescent="0.3">
      <c r="D1480" s="349">
        <v>43642</v>
      </c>
      <c r="F1480" s="350">
        <v>11847.55</v>
      </c>
      <c r="S1480" s="225"/>
    </row>
    <row r="1481" spans="4:19" x14ac:dyDescent="0.3">
      <c r="D1481" s="349">
        <v>43641</v>
      </c>
      <c r="F1481" s="350">
        <v>11796.45</v>
      </c>
      <c r="S1481" s="225"/>
    </row>
    <row r="1482" spans="4:19" x14ac:dyDescent="0.3">
      <c r="D1482" s="349">
        <v>43640</v>
      </c>
      <c r="F1482" s="350">
        <v>11699.65</v>
      </c>
      <c r="S1482" s="225"/>
    </row>
    <row r="1483" spans="4:19" x14ac:dyDescent="0.3">
      <c r="D1483" s="349">
        <v>43637</v>
      </c>
      <c r="F1483" s="350">
        <v>11724.1</v>
      </c>
      <c r="S1483" s="225"/>
    </row>
    <row r="1484" spans="4:19" x14ac:dyDescent="0.3">
      <c r="D1484" s="349">
        <v>43636</v>
      </c>
      <c r="F1484" s="350">
        <v>11831.75</v>
      </c>
      <c r="S1484" s="225"/>
    </row>
    <row r="1485" spans="4:19" x14ac:dyDescent="0.3">
      <c r="D1485" s="349">
        <v>43635</v>
      </c>
      <c r="F1485" s="350">
        <v>11691.45</v>
      </c>
      <c r="S1485" s="225"/>
    </row>
    <row r="1486" spans="4:19" x14ac:dyDescent="0.3">
      <c r="D1486" s="349">
        <v>43634</v>
      </c>
      <c r="F1486" s="350">
        <v>11691.5</v>
      </c>
      <c r="S1486" s="225"/>
    </row>
    <row r="1487" spans="4:19" x14ac:dyDescent="0.3">
      <c r="D1487" s="349">
        <v>43633</v>
      </c>
      <c r="F1487" s="350">
        <v>11672.15</v>
      </c>
      <c r="P1487" s="283"/>
      <c r="S1487" s="225"/>
    </row>
    <row r="1488" spans="4:19" x14ac:dyDescent="0.3">
      <c r="D1488" s="349">
        <v>43630</v>
      </c>
      <c r="F1488" s="350">
        <v>11823.3</v>
      </c>
      <c r="P1488" s="283"/>
      <c r="S1488" s="225"/>
    </row>
    <row r="1489" spans="4:19" x14ac:dyDescent="0.3">
      <c r="D1489" s="349">
        <v>43629</v>
      </c>
      <c r="F1489" s="350">
        <v>11914.05</v>
      </c>
      <c r="P1489" s="283"/>
      <c r="S1489" s="225"/>
    </row>
    <row r="1490" spans="4:19" x14ac:dyDescent="0.3">
      <c r="D1490" s="349">
        <v>43628</v>
      </c>
      <c r="F1490" s="350">
        <v>11906.2</v>
      </c>
      <c r="P1490" s="283"/>
      <c r="S1490" s="225"/>
    </row>
    <row r="1491" spans="4:19" x14ac:dyDescent="0.3">
      <c r="D1491" s="349">
        <v>43627</v>
      </c>
      <c r="F1491" s="350">
        <v>11965.6</v>
      </c>
      <c r="P1491" s="283"/>
      <c r="S1491" s="225"/>
    </row>
    <row r="1492" spans="4:19" x14ac:dyDescent="0.3">
      <c r="D1492" s="349">
        <v>43626</v>
      </c>
      <c r="F1492" s="350">
        <v>11922.7</v>
      </c>
      <c r="P1492" s="283"/>
      <c r="S1492" s="225"/>
    </row>
    <row r="1493" spans="4:19" x14ac:dyDescent="0.3">
      <c r="D1493" s="349">
        <v>43623</v>
      </c>
      <c r="F1493" s="350">
        <v>11870.65</v>
      </c>
      <c r="P1493" s="283"/>
      <c r="S1493" s="225"/>
    </row>
    <row r="1494" spans="4:19" x14ac:dyDescent="0.3">
      <c r="D1494" s="349">
        <v>43622</v>
      </c>
      <c r="F1494" s="350">
        <v>11843.75</v>
      </c>
      <c r="S1494" s="225"/>
    </row>
    <row r="1495" spans="4:19" x14ac:dyDescent="0.3">
      <c r="D1495" s="349">
        <v>43620</v>
      </c>
      <c r="F1495" s="350">
        <v>12021.65</v>
      </c>
      <c r="S1495" s="225"/>
    </row>
    <row r="1496" spans="4:19" x14ac:dyDescent="0.3">
      <c r="D1496" s="349">
        <v>43619</v>
      </c>
      <c r="F1496" s="350">
        <v>12088.55</v>
      </c>
      <c r="S1496" s="225"/>
    </row>
    <row r="1497" spans="4:19" x14ac:dyDescent="0.3">
      <c r="D1497" s="349">
        <v>43616</v>
      </c>
      <c r="F1497" s="350">
        <v>11922.8</v>
      </c>
      <c r="S1497" s="225"/>
    </row>
    <row r="1498" spans="4:19" x14ac:dyDescent="0.3">
      <c r="D1498" s="349">
        <v>43615</v>
      </c>
      <c r="F1498" s="350">
        <v>11945.9</v>
      </c>
      <c r="S1498" s="225"/>
    </row>
    <row r="1499" spans="4:19" x14ac:dyDescent="0.3">
      <c r="D1499" s="349">
        <v>43614</v>
      </c>
      <c r="F1499" s="350">
        <v>11861.1</v>
      </c>
      <c r="S1499" s="225"/>
    </row>
    <row r="1500" spans="4:19" x14ac:dyDescent="0.3">
      <c r="D1500" s="349">
        <v>43613</v>
      </c>
      <c r="F1500" s="350">
        <v>11928.75</v>
      </c>
      <c r="S1500" s="225"/>
    </row>
    <row r="1501" spans="4:19" x14ac:dyDescent="0.3">
      <c r="D1501" s="349">
        <v>43612</v>
      </c>
      <c r="F1501" s="350">
        <v>11924.75</v>
      </c>
      <c r="S1501" s="225"/>
    </row>
    <row r="1502" spans="4:19" x14ac:dyDescent="0.3">
      <c r="D1502" s="349">
        <v>43609</v>
      </c>
      <c r="F1502" s="350">
        <v>11844.1</v>
      </c>
      <c r="S1502" s="225"/>
    </row>
    <row r="1503" spans="4:19" x14ac:dyDescent="0.3">
      <c r="D1503" s="349">
        <v>43608</v>
      </c>
      <c r="F1503" s="350">
        <v>11657.05</v>
      </c>
      <c r="P1503" s="283"/>
      <c r="S1503" s="225"/>
    </row>
    <row r="1504" spans="4:19" x14ac:dyDescent="0.3">
      <c r="D1504" s="349">
        <v>43607</v>
      </c>
      <c r="F1504" s="350">
        <v>11737.9</v>
      </c>
      <c r="P1504" s="283"/>
      <c r="S1504" s="225"/>
    </row>
    <row r="1505" spans="4:19" x14ac:dyDescent="0.3">
      <c r="D1505" s="349">
        <v>43606</v>
      </c>
      <c r="F1505" s="350">
        <v>11709.1</v>
      </c>
      <c r="P1505" s="283"/>
      <c r="S1505" s="225"/>
    </row>
    <row r="1506" spans="4:19" x14ac:dyDescent="0.3">
      <c r="D1506" s="349">
        <v>43605</v>
      </c>
      <c r="F1506" s="350">
        <v>11828.25</v>
      </c>
      <c r="P1506" s="283"/>
      <c r="S1506" s="225"/>
    </row>
    <row r="1507" spans="4:19" x14ac:dyDescent="0.3">
      <c r="D1507" s="349">
        <v>43602</v>
      </c>
      <c r="F1507" s="350">
        <v>11407.15</v>
      </c>
      <c r="P1507" s="283"/>
      <c r="S1507" s="225"/>
    </row>
    <row r="1508" spans="4:19" x14ac:dyDescent="0.3">
      <c r="D1508" s="349">
        <v>43601</v>
      </c>
      <c r="F1508" s="350">
        <v>11257.1</v>
      </c>
      <c r="P1508" s="283"/>
      <c r="S1508" s="225"/>
    </row>
    <row r="1509" spans="4:19" x14ac:dyDescent="0.3">
      <c r="D1509" s="349">
        <v>43600</v>
      </c>
      <c r="F1509" s="350">
        <v>11157</v>
      </c>
      <c r="P1509" s="283"/>
      <c r="S1509" s="225"/>
    </row>
    <row r="1510" spans="4:19" x14ac:dyDescent="0.3">
      <c r="D1510" s="349">
        <v>43599</v>
      </c>
      <c r="F1510" s="350">
        <v>11222.05</v>
      </c>
      <c r="P1510" s="283"/>
      <c r="S1510" s="225"/>
    </row>
    <row r="1511" spans="4:19" x14ac:dyDescent="0.3">
      <c r="D1511" s="349">
        <v>43598</v>
      </c>
      <c r="F1511" s="350">
        <v>11148.2</v>
      </c>
      <c r="P1511" s="283"/>
      <c r="S1511" s="225"/>
    </row>
    <row r="1512" spans="4:19" x14ac:dyDescent="0.3">
      <c r="D1512" s="349">
        <v>43595</v>
      </c>
      <c r="F1512" s="350">
        <v>11278.9</v>
      </c>
      <c r="P1512" s="283"/>
      <c r="S1512" s="225"/>
    </row>
    <row r="1513" spans="4:19" x14ac:dyDescent="0.3">
      <c r="D1513" s="349">
        <v>43594</v>
      </c>
      <c r="F1513" s="350">
        <v>11301.8</v>
      </c>
      <c r="S1513" s="225"/>
    </row>
    <row r="1514" spans="4:19" x14ac:dyDescent="0.3">
      <c r="D1514" s="349">
        <v>43593</v>
      </c>
      <c r="F1514" s="350">
        <v>11359.45</v>
      </c>
      <c r="S1514" s="225"/>
    </row>
    <row r="1515" spans="4:19" x14ac:dyDescent="0.3">
      <c r="D1515" s="349">
        <v>43592</v>
      </c>
      <c r="F1515" s="350">
        <v>11497.9</v>
      </c>
      <c r="S1515" s="225"/>
    </row>
    <row r="1516" spans="4:19" x14ac:dyDescent="0.3">
      <c r="D1516" s="349">
        <v>43591</v>
      </c>
      <c r="F1516" s="350">
        <v>11598.25</v>
      </c>
      <c r="S1516" s="225"/>
    </row>
    <row r="1517" spans="4:19" x14ac:dyDescent="0.3">
      <c r="D1517" s="349">
        <v>43588</v>
      </c>
      <c r="F1517" s="350">
        <v>11712.25</v>
      </c>
      <c r="S1517" s="225"/>
    </row>
    <row r="1518" spans="4:19" x14ac:dyDescent="0.3">
      <c r="D1518" s="349">
        <v>43587</v>
      </c>
      <c r="F1518" s="350">
        <v>11724.75</v>
      </c>
      <c r="S1518" s="225"/>
    </row>
    <row r="1519" spans="4:19" x14ac:dyDescent="0.3">
      <c r="D1519" s="349">
        <v>43585</v>
      </c>
      <c r="F1519" s="350">
        <v>11748.15</v>
      </c>
      <c r="S1519" s="225"/>
    </row>
    <row r="1520" spans="4:19" x14ac:dyDescent="0.3">
      <c r="D1520" s="349">
        <v>43581</v>
      </c>
      <c r="F1520" s="350">
        <v>11754.65</v>
      </c>
      <c r="S1520" s="225"/>
    </row>
    <row r="1521" spans="4:19" x14ac:dyDescent="0.3">
      <c r="D1521" s="349">
        <v>43580</v>
      </c>
      <c r="F1521" s="350">
        <v>11641.8</v>
      </c>
      <c r="S1521" s="225"/>
    </row>
    <row r="1522" spans="4:19" x14ac:dyDescent="0.3">
      <c r="D1522" s="349">
        <v>43579</v>
      </c>
      <c r="F1522" s="350">
        <v>11726.15</v>
      </c>
      <c r="S1522" s="225"/>
    </row>
    <row r="1523" spans="4:19" x14ac:dyDescent="0.3">
      <c r="D1523" s="349">
        <v>43578</v>
      </c>
      <c r="F1523" s="350">
        <v>11575.95</v>
      </c>
      <c r="S1523" s="225"/>
    </row>
    <row r="1524" spans="4:19" x14ac:dyDescent="0.3">
      <c r="D1524" s="349">
        <v>43577</v>
      </c>
      <c r="F1524" s="350">
        <v>11594.45</v>
      </c>
      <c r="S1524" s="225"/>
    </row>
    <row r="1525" spans="4:19" x14ac:dyDescent="0.3">
      <c r="D1525" s="349">
        <v>43573</v>
      </c>
      <c r="F1525" s="350">
        <v>11752.8</v>
      </c>
      <c r="P1525" s="283"/>
      <c r="S1525" s="225"/>
    </row>
    <row r="1526" spans="4:19" x14ac:dyDescent="0.3">
      <c r="D1526" s="349">
        <v>43571</v>
      </c>
      <c r="F1526" s="350">
        <v>11787.15</v>
      </c>
      <c r="P1526" s="283"/>
      <c r="S1526" s="225"/>
    </row>
    <row r="1527" spans="4:19" x14ac:dyDescent="0.3">
      <c r="D1527" s="349">
        <v>43570</v>
      </c>
      <c r="F1527" s="350">
        <v>11690.35</v>
      </c>
      <c r="P1527" s="283"/>
      <c r="S1527" s="225"/>
    </row>
    <row r="1528" spans="4:19" x14ac:dyDescent="0.3">
      <c r="D1528" s="349">
        <v>43567</v>
      </c>
      <c r="F1528" s="350">
        <v>11643.45</v>
      </c>
      <c r="P1528" s="283"/>
      <c r="S1528" s="225"/>
    </row>
    <row r="1529" spans="4:19" x14ac:dyDescent="0.3">
      <c r="D1529" s="349">
        <v>43566</v>
      </c>
      <c r="F1529" s="350">
        <v>11596.7</v>
      </c>
      <c r="P1529" s="283"/>
      <c r="S1529" s="225"/>
    </row>
    <row r="1530" spans="4:19" x14ac:dyDescent="0.3">
      <c r="D1530" s="349">
        <v>43565</v>
      </c>
      <c r="F1530" s="350">
        <v>11584.3</v>
      </c>
      <c r="P1530" s="283"/>
      <c r="S1530" s="225"/>
    </row>
    <row r="1531" spans="4:19" x14ac:dyDescent="0.3">
      <c r="D1531" s="349">
        <v>43564</v>
      </c>
      <c r="F1531" s="350">
        <v>11671.95</v>
      </c>
      <c r="P1531" s="283"/>
      <c r="S1531" s="225"/>
    </row>
    <row r="1532" spans="4:19" x14ac:dyDescent="0.3">
      <c r="D1532" s="349">
        <v>43563</v>
      </c>
      <c r="F1532" s="350">
        <v>11604.5</v>
      </c>
      <c r="S1532" s="225"/>
    </row>
    <row r="1533" spans="4:19" x14ac:dyDescent="0.3">
      <c r="D1533" s="349">
        <v>43560</v>
      </c>
      <c r="F1533" s="350">
        <v>11665.95</v>
      </c>
      <c r="S1533" s="225"/>
    </row>
    <row r="1534" spans="4:19" x14ac:dyDescent="0.3">
      <c r="D1534" s="349">
        <v>43559</v>
      </c>
      <c r="F1534" s="350">
        <v>11598</v>
      </c>
      <c r="S1534" s="225"/>
    </row>
    <row r="1535" spans="4:19" x14ac:dyDescent="0.3">
      <c r="D1535" s="349">
        <v>43558</v>
      </c>
      <c r="F1535" s="350">
        <v>11643.95</v>
      </c>
      <c r="S1535" s="225"/>
    </row>
    <row r="1536" spans="4:19" x14ac:dyDescent="0.3">
      <c r="D1536" s="349">
        <v>43557</v>
      </c>
      <c r="F1536" s="350">
        <v>11713.2</v>
      </c>
      <c r="S1536" s="225"/>
    </row>
    <row r="1537" spans="4:19" x14ac:dyDescent="0.3">
      <c r="D1537" s="349">
        <v>43556</v>
      </c>
      <c r="F1537" s="350">
        <v>11669.15</v>
      </c>
      <c r="S1537" s="225"/>
    </row>
    <row r="1538" spans="4:19" x14ac:dyDescent="0.3">
      <c r="D1538" s="349">
        <v>43553</v>
      </c>
      <c r="F1538" s="350">
        <v>11623.9</v>
      </c>
      <c r="S1538" s="225"/>
    </row>
    <row r="1539" spans="4:19" x14ac:dyDescent="0.3">
      <c r="D1539" s="349">
        <v>43552</v>
      </c>
      <c r="F1539" s="350">
        <v>11570</v>
      </c>
      <c r="S1539" s="225"/>
    </row>
    <row r="1540" spans="4:19" x14ac:dyDescent="0.3">
      <c r="D1540" s="349">
        <v>43551</v>
      </c>
      <c r="F1540" s="350">
        <v>11445.05</v>
      </c>
      <c r="S1540" s="225"/>
    </row>
    <row r="1541" spans="4:19" x14ac:dyDescent="0.3">
      <c r="D1541" s="349">
        <v>43550</v>
      </c>
      <c r="F1541" s="350">
        <v>11483.25</v>
      </c>
      <c r="S1541" s="225"/>
    </row>
    <row r="1542" spans="4:19" x14ac:dyDescent="0.3">
      <c r="D1542" s="349">
        <v>43549</v>
      </c>
      <c r="F1542" s="350">
        <v>11354.25</v>
      </c>
      <c r="S1542" s="225"/>
    </row>
    <row r="1543" spans="4:19" x14ac:dyDescent="0.3">
      <c r="D1543" s="349">
        <v>43546</v>
      </c>
      <c r="F1543" s="350">
        <v>11456.9</v>
      </c>
      <c r="S1543" s="225"/>
    </row>
    <row r="1544" spans="4:19" x14ac:dyDescent="0.3">
      <c r="D1544" s="349">
        <v>43544</v>
      </c>
      <c r="F1544" s="350">
        <v>11521.05</v>
      </c>
      <c r="P1544" s="283"/>
      <c r="S1544" s="225"/>
    </row>
    <row r="1545" spans="4:19" x14ac:dyDescent="0.3">
      <c r="D1545" s="349">
        <v>43543</v>
      </c>
      <c r="F1545" s="350">
        <v>11532.4</v>
      </c>
      <c r="P1545" s="283"/>
      <c r="S1545" s="225"/>
    </row>
    <row r="1546" spans="4:19" x14ac:dyDescent="0.3">
      <c r="D1546" s="349">
        <v>43542</v>
      </c>
      <c r="F1546" s="350">
        <v>11462.2</v>
      </c>
      <c r="P1546" s="283"/>
      <c r="S1546" s="225"/>
    </row>
    <row r="1547" spans="4:19" x14ac:dyDescent="0.3">
      <c r="D1547" s="349">
        <v>43539</v>
      </c>
      <c r="F1547" s="350">
        <v>11426.85</v>
      </c>
      <c r="P1547" s="283"/>
      <c r="S1547" s="225"/>
    </row>
    <row r="1548" spans="4:19" x14ac:dyDescent="0.3">
      <c r="D1548" s="349">
        <v>43538</v>
      </c>
      <c r="F1548" s="350">
        <v>11343.25</v>
      </c>
      <c r="P1548" s="283"/>
      <c r="S1548" s="225"/>
    </row>
    <row r="1549" spans="4:19" x14ac:dyDescent="0.3">
      <c r="D1549" s="349">
        <v>43537</v>
      </c>
      <c r="F1549" s="350">
        <v>11341.7</v>
      </c>
      <c r="P1549" s="283"/>
      <c r="S1549" s="225"/>
    </row>
    <row r="1550" spans="4:19" x14ac:dyDescent="0.3">
      <c r="D1550" s="349">
        <v>43536</v>
      </c>
      <c r="F1550" s="350">
        <v>11301.2</v>
      </c>
      <c r="P1550" s="283"/>
      <c r="S1550" s="225"/>
    </row>
    <row r="1551" spans="4:19" x14ac:dyDescent="0.3">
      <c r="D1551" s="349">
        <v>43535</v>
      </c>
      <c r="F1551" s="350">
        <v>11168.05</v>
      </c>
      <c r="P1551" s="283"/>
      <c r="S1551" s="225"/>
    </row>
    <row r="1552" spans="4:19" x14ac:dyDescent="0.3">
      <c r="D1552" s="349">
        <v>43532</v>
      </c>
      <c r="F1552" s="350">
        <v>11035.4</v>
      </c>
      <c r="S1552" s="225"/>
    </row>
    <row r="1553" spans="4:19" x14ac:dyDescent="0.3">
      <c r="D1553" s="349">
        <v>43531</v>
      </c>
      <c r="F1553" s="350">
        <v>11058.2</v>
      </c>
      <c r="S1553" s="225"/>
    </row>
    <row r="1554" spans="4:19" x14ac:dyDescent="0.3">
      <c r="D1554" s="349">
        <v>43530</v>
      </c>
      <c r="F1554" s="350">
        <v>11053</v>
      </c>
      <c r="S1554" s="225"/>
    </row>
    <row r="1555" spans="4:19" x14ac:dyDescent="0.3">
      <c r="D1555" s="349">
        <v>43529</v>
      </c>
      <c r="F1555" s="350">
        <v>10987.45</v>
      </c>
      <c r="S1555" s="225"/>
    </row>
    <row r="1556" spans="4:19" x14ac:dyDescent="0.3">
      <c r="D1556" s="349">
        <v>43525</v>
      </c>
      <c r="F1556" s="350">
        <v>10863.5</v>
      </c>
      <c r="S1556" s="225"/>
    </row>
    <row r="1557" spans="4:19" x14ac:dyDescent="0.3">
      <c r="D1557" s="349">
        <v>43524</v>
      </c>
      <c r="F1557" s="350">
        <v>10792.5</v>
      </c>
      <c r="S1557" s="225"/>
    </row>
    <row r="1558" spans="4:19" x14ac:dyDescent="0.3">
      <c r="D1558" s="349">
        <v>43523</v>
      </c>
      <c r="F1558" s="350">
        <v>10806.65</v>
      </c>
      <c r="S1558" s="225"/>
    </row>
    <row r="1559" spans="4:19" x14ac:dyDescent="0.3">
      <c r="D1559" s="349">
        <v>43522</v>
      </c>
      <c r="F1559" s="350">
        <v>10835.3</v>
      </c>
      <c r="S1559" s="225"/>
    </row>
    <row r="1560" spans="4:19" x14ac:dyDescent="0.3">
      <c r="D1560" s="349">
        <v>43521</v>
      </c>
      <c r="F1560" s="350">
        <v>10880.1</v>
      </c>
      <c r="S1560" s="225"/>
    </row>
    <row r="1561" spans="4:19" x14ac:dyDescent="0.3">
      <c r="D1561" s="349">
        <v>43518</v>
      </c>
      <c r="F1561" s="350">
        <v>10791.65</v>
      </c>
      <c r="S1561" s="225"/>
    </row>
    <row r="1562" spans="4:19" x14ac:dyDescent="0.3">
      <c r="D1562" s="349">
        <v>43517</v>
      </c>
      <c r="F1562" s="350">
        <v>10789.85</v>
      </c>
      <c r="S1562" s="225"/>
    </row>
    <row r="1563" spans="4:19" x14ac:dyDescent="0.3">
      <c r="D1563" s="349">
        <v>43516</v>
      </c>
      <c r="F1563" s="350">
        <v>10735.45</v>
      </c>
      <c r="S1563" s="225"/>
    </row>
    <row r="1564" spans="4:19" x14ac:dyDescent="0.3">
      <c r="D1564" s="349">
        <v>43515</v>
      </c>
      <c r="F1564" s="350">
        <v>10604.35</v>
      </c>
      <c r="S1564" s="225"/>
    </row>
    <row r="1565" spans="4:19" x14ac:dyDescent="0.3">
      <c r="D1565" s="349">
        <v>43514</v>
      </c>
      <c r="F1565" s="350">
        <v>10640.95</v>
      </c>
      <c r="S1565" s="225"/>
    </row>
    <row r="1566" spans="4:19" x14ac:dyDescent="0.3">
      <c r="D1566" s="349">
        <v>43511</v>
      </c>
      <c r="F1566" s="350">
        <v>10724.4</v>
      </c>
      <c r="P1566" s="283"/>
      <c r="S1566" s="225"/>
    </row>
    <row r="1567" spans="4:19" x14ac:dyDescent="0.3">
      <c r="D1567" s="349">
        <v>43510</v>
      </c>
      <c r="F1567" s="350">
        <v>10746.05</v>
      </c>
      <c r="P1567" s="283"/>
      <c r="S1567" s="225"/>
    </row>
    <row r="1568" spans="4:19" x14ac:dyDescent="0.3">
      <c r="D1568" s="349">
        <v>43509</v>
      </c>
      <c r="F1568" s="350">
        <v>10793.65</v>
      </c>
      <c r="P1568" s="283"/>
      <c r="S1568" s="225"/>
    </row>
    <row r="1569" spans="4:19" x14ac:dyDescent="0.3">
      <c r="D1569" s="349">
        <v>43508</v>
      </c>
      <c r="F1569" s="350">
        <v>10831.4</v>
      </c>
      <c r="P1569" s="283"/>
      <c r="S1569" s="225"/>
    </row>
    <row r="1570" spans="4:19" x14ac:dyDescent="0.3">
      <c r="D1570" s="349">
        <v>43507</v>
      </c>
      <c r="F1570" s="350">
        <v>10888.8</v>
      </c>
      <c r="P1570" s="283"/>
      <c r="S1570" s="225"/>
    </row>
    <row r="1571" spans="4:19" x14ac:dyDescent="0.3">
      <c r="D1571" s="349">
        <v>43504</v>
      </c>
      <c r="F1571" s="350">
        <v>10943.6</v>
      </c>
      <c r="P1571" s="283"/>
      <c r="S1571" s="225"/>
    </row>
    <row r="1572" spans="4:19" x14ac:dyDescent="0.3">
      <c r="D1572" s="349">
        <v>43503</v>
      </c>
      <c r="F1572" s="350">
        <v>11069.4</v>
      </c>
      <c r="P1572" s="283"/>
      <c r="S1572" s="225"/>
    </row>
    <row r="1573" spans="4:19" x14ac:dyDescent="0.3">
      <c r="D1573" s="349">
        <v>43502</v>
      </c>
      <c r="F1573" s="350">
        <v>11062.45</v>
      </c>
      <c r="P1573" s="283"/>
      <c r="S1573" s="225"/>
    </row>
    <row r="1574" spans="4:19" x14ac:dyDescent="0.3">
      <c r="D1574" s="349">
        <v>43501</v>
      </c>
      <c r="F1574" s="350">
        <v>10934.35</v>
      </c>
      <c r="P1574" s="283"/>
      <c r="S1574" s="225"/>
    </row>
    <row r="1575" spans="4:19" x14ac:dyDescent="0.3">
      <c r="D1575" s="349">
        <v>43500</v>
      </c>
      <c r="F1575" s="350">
        <v>10912.25</v>
      </c>
      <c r="S1575" s="225"/>
    </row>
    <row r="1576" spans="4:19" x14ac:dyDescent="0.3">
      <c r="D1576" s="349">
        <v>43497</v>
      </c>
      <c r="F1576" s="350">
        <v>10893.65</v>
      </c>
      <c r="S1576" s="225"/>
    </row>
    <row r="1577" spans="4:19" x14ac:dyDescent="0.3">
      <c r="D1577" s="349">
        <v>43496</v>
      </c>
      <c r="F1577" s="350">
        <v>10830.95</v>
      </c>
      <c r="S1577" s="225"/>
    </row>
    <row r="1578" spans="4:19" x14ac:dyDescent="0.3">
      <c r="D1578" s="349">
        <v>43495</v>
      </c>
      <c r="F1578" s="350">
        <v>10651.8</v>
      </c>
      <c r="S1578" s="225"/>
    </row>
    <row r="1579" spans="4:19" x14ac:dyDescent="0.3">
      <c r="D1579" s="349">
        <v>43494</v>
      </c>
      <c r="F1579" s="350">
        <v>10652.2</v>
      </c>
      <c r="S1579" s="225"/>
    </row>
    <row r="1580" spans="4:19" x14ac:dyDescent="0.3">
      <c r="D1580" s="349">
        <v>43493</v>
      </c>
      <c r="F1580" s="350">
        <v>10661.55</v>
      </c>
      <c r="S1580" s="225"/>
    </row>
    <row r="1581" spans="4:19" x14ac:dyDescent="0.3">
      <c r="D1581" s="349">
        <v>43490</v>
      </c>
      <c r="F1581" s="350">
        <v>10780.55</v>
      </c>
      <c r="S1581" s="225"/>
    </row>
    <row r="1582" spans="4:19" x14ac:dyDescent="0.3">
      <c r="D1582" s="349">
        <v>43489</v>
      </c>
      <c r="F1582" s="350">
        <v>10849.8</v>
      </c>
      <c r="S1582" s="225"/>
    </row>
    <row r="1583" spans="4:19" x14ac:dyDescent="0.3">
      <c r="D1583" s="349">
        <v>43488</v>
      </c>
      <c r="F1583" s="350">
        <v>10831.5</v>
      </c>
      <c r="S1583" s="225"/>
    </row>
    <row r="1584" spans="4:19" x14ac:dyDescent="0.3">
      <c r="D1584" s="349">
        <v>43487</v>
      </c>
      <c r="F1584" s="350">
        <v>10922.75</v>
      </c>
      <c r="S1584" s="225"/>
    </row>
    <row r="1585" spans="4:19" x14ac:dyDescent="0.3">
      <c r="D1585" s="349">
        <v>43486</v>
      </c>
      <c r="F1585" s="350">
        <v>10961.85</v>
      </c>
      <c r="S1585" s="225"/>
    </row>
    <row r="1586" spans="4:19" x14ac:dyDescent="0.3">
      <c r="D1586" s="349">
        <v>43483</v>
      </c>
      <c r="F1586" s="350">
        <v>10906.95</v>
      </c>
      <c r="S1586" s="225"/>
    </row>
    <row r="1587" spans="4:19" x14ac:dyDescent="0.3">
      <c r="D1587" s="349">
        <v>43482</v>
      </c>
      <c r="F1587" s="350">
        <v>10905.2</v>
      </c>
      <c r="P1587" s="283"/>
      <c r="S1587" s="225"/>
    </row>
    <row r="1588" spans="4:19" x14ac:dyDescent="0.3">
      <c r="D1588" s="349">
        <v>43481</v>
      </c>
      <c r="F1588" s="350">
        <v>10890.3</v>
      </c>
      <c r="P1588" s="283"/>
      <c r="S1588" s="225"/>
    </row>
    <row r="1589" spans="4:19" x14ac:dyDescent="0.3">
      <c r="D1589" s="349">
        <v>43480</v>
      </c>
      <c r="F1589" s="350">
        <v>10886.8</v>
      </c>
      <c r="P1589" s="283"/>
      <c r="S1589" s="225"/>
    </row>
    <row r="1590" spans="4:19" x14ac:dyDescent="0.3">
      <c r="D1590" s="349">
        <v>43479</v>
      </c>
      <c r="F1590" s="350">
        <v>10737.6</v>
      </c>
      <c r="P1590" s="283"/>
      <c r="S1590" s="225"/>
    </row>
    <row r="1591" spans="4:19" x14ac:dyDescent="0.3">
      <c r="D1591" s="349">
        <v>43476</v>
      </c>
      <c r="F1591" s="350">
        <v>10794.95</v>
      </c>
      <c r="P1591" s="283"/>
      <c r="S1591" s="225"/>
    </row>
    <row r="1592" spans="4:19" x14ac:dyDescent="0.3">
      <c r="D1592" s="349">
        <v>43475</v>
      </c>
      <c r="F1592" s="350">
        <v>10821.6</v>
      </c>
      <c r="P1592" s="283"/>
      <c r="S1592" s="225"/>
    </row>
    <row r="1593" spans="4:19" x14ac:dyDescent="0.3">
      <c r="D1593" s="349">
        <v>43474</v>
      </c>
      <c r="F1593" s="350">
        <v>10855.15</v>
      </c>
      <c r="P1593" s="283"/>
      <c r="S1593" s="225"/>
    </row>
    <row r="1594" spans="4:19" x14ac:dyDescent="0.3">
      <c r="D1594" s="349">
        <v>43473</v>
      </c>
      <c r="F1594" s="350">
        <v>10802.15</v>
      </c>
      <c r="P1594" s="283"/>
      <c r="S1594" s="225"/>
    </row>
    <row r="1595" spans="4:19" x14ac:dyDescent="0.3">
      <c r="D1595" s="349">
        <v>43472</v>
      </c>
      <c r="F1595" s="350">
        <v>10771.8</v>
      </c>
      <c r="S1595" s="225"/>
    </row>
    <row r="1596" spans="4:19" x14ac:dyDescent="0.3">
      <c r="D1596" s="349">
        <v>43469</v>
      </c>
      <c r="F1596" s="350">
        <v>10727.35</v>
      </c>
      <c r="S1596" s="225"/>
    </row>
    <row r="1597" spans="4:19" x14ac:dyDescent="0.3">
      <c r="D1597" s="349">
        <v>43468</v>
      </c>
      <c r="F1597" s="350">
        <v>10672.25</v>
      </c>
      <c r="S1597" s="225"/>
    </row>
    <row r="1598" spans="4:19" x14ac:dyDescent="0.3">
      <c r="D1598" s="349">
        <v>43467</v>
      </c>
      <c r="F1598" s="350">
        <v>10792.5</v>
      </c>
      <c r="S1598" s="225"/>
    </row>
    <row r="1599" spans="4:19" x14ac:dyDescent="0.3">
      <c r="D1599" s="349">
        <v>43466</v>
      </c>
      <c r="F1599" s="350">
        <v>10910.1</v>
      </c>
      <c r="S1599" s="225"/>
    </row>
    <row r="1600" spans="4:19" x14ac:dyDescent="0.3">
      <c r="D1600" s="349">
        <v>43465</v>
      </c>
      <c r="F1600" s="350">
        <v>10862.55</v>
      </c>
      <c r="S1600" s="225"/>
    </row>
    <row r="1601" spans="4:19" x14ac:dyDescent="0.3">
      <c r="D1601" s="349">
        <v>43462</v>
      </c>
      <c r="F1601" s="350">
        <v>10859.9</v>
      </c>
      <c r="S1601" s="225"/>
    </row>
    <row r="1602" spans="4:19" x14ac:dyDescent="0.3">
      <c r="D1602" s="349">
        <v>43461</v>
      </c>
      <c r="F1602" s="350">
        <v>10779.8</v>
      </c>
      <c r="S1602" s="225"/>
    </row>
    <row r="1603" spans="4:19" x14ac:dyDescent="0.3">
      <c r="D1603" s="349">
        <v>43460</v>
      </c>
      <c r="F1603" s="350">
        <v>10729.85</v>
      </c>
      <c r="S1603" s="225"/>
    </row>
    <row r="1604" spans="4:19" x14ac:dyDescent="0.3">
      <c r="D1604" s="349">
        <v>43458</v>
      </c>
      <c r="F1604" s="350">
        <v>10663.5</v>
      </c>
      <c r="S1604" s="225"/>
    </row>
    <row r="1605" spans="4:19" x14ac:dyDescent="0.3">
      <c r="D1605" s="349">
        <v>43455</v>
      </c>
      <c r="F1605" s="350">
        <v>10754</v>
      </c>
      <c r="S1605" s="225"/>
    </row>
    <row r="1606" spans="4:19" x14ac:dyDescent="0.3">
      <c r="D1606" s="349">
        <v>43454</v>
      </c>
      <c r="F1606" s="350">
        <v>10951.7</v>
      </c>
      <c r="S1606" s="225"/>
    </row>
    <row r="1607" spans="4:19" x14ac:dyDescent="0.3">
      <c r="D1607" s="349">
        <v>43453</v>
      </c>
      <c r="F1607" s="350">
        <v>10967.3</v>
      </c>
      <c r="S1607" s="225"/>
    </row>
    <row r="1608" spans="4:19" x14ac:dyDescent="0.3">
      <c r="D1608" s="349">
        <v>43452</v>
      </c>
      <c r="F1608" s="350">
        <v>10908.7</v>
      </c>
      <c r="P1608" s="283"/>
      <c r="S1608" s="225"/>
    </row>
    <row r="1609" spans="4:19" x14ac:dyDescent="0.3">
      <c r="D1609" s="349">
        <v>43451</v>
      </c>
      <c r="F1609" s="350">
        <v>10888.35</v>
      </c>
      <c r="P1609" s="283"/>
      <c r="S1609" s="225"/>
    </row>
    <row r="1610" spans="4:19" x14ac:dyDescent="0.3">
      <c r="D1610" s="349">
        <v>43448</v>
      </c>
      <c r="F1610" s="350">
        <v>10805.45</v>
      </c>
      <c r="P1610" s="283"/>
      <c r="S1610" s="225"/>
    </row>
    <row r="1611" spans="4:19" x14ac:dyDescent="0.3">
      <c r="D1611" s="349">
        <v>43447</v>
      </c>
      <c r="F1611" s="350">
        <v>10791.55</v>
      </c>
      <c r="P1611" s="283"/>
      <c r="S1611" s="225"/>
    </row>
    <row r="1612" spans="4:19" x14ac:dyDescent="0.3">
      <c r="D1612" s="349">
        <v>43446</v>
      </c>
      <c r="F1612" s="350">
        <v>10737.6</v>
      </c>
      <c r="P1612" s="283"/>
      <c r="S1612" s="225"/>
    </row>
    <row r="1613" spans="4:19" x14ac:dyDescent="0.3">
      <c r="D1613" s="349">
        <v>43445</v>
      </c>
      <c r="F1613" s="350">
        <v>10549.15</v>
      </c>
      <c r="P1613" s="283"/>
      <c r="S1613" s="225"/>
    </row>
    <row r="1614" spans="4:19" x14ac:dyDescent="0.3">
      <c r="D1614" s="349">
        <v>43444</v>
      </c>
      <c r="F1614" s="350">
        <v>10488.45</v>
      </c>
      <c r="P1614" s="283"/>
      <c r="S1614" s="225"/>
    </row>
    <row r="1615" spans="4:19" x14ac:dyDescent="0.3">
      <c r="D1615" s="349">
        <v>43441</v>
      </c>
      <c r="F1615" s="350">
        <v>10693.7</v>
      </c>
      <c r="S1615" s="225"/>
    </row>
    <row r="1616" spans="4:19" x14ac:dyDescent="0.3">
      <c r="D1616" s="349">
        <v>43440</v>
      </c>
      <c r="F1616" s="350">
        <v>10601.15</v>
      </c>
      <c r="S1616" s="225"/>
    </row>
    <row r="1617" spans="4:19" x14ac:dyDescent="0.3">
      <c r="D1617" s="349">
        <v>43439</v>
      </c>
      <c r="F1617" s="350">
        <v>10782.9</v>
      </c>
      <c r="S1617" s="225"/>
    </row>
    <row r="1618" spans="4:19" x14ac:dyDescent="0.3">
      <c r="D1618" s="349">
        <v>43438</v>
      </c>
      <c r="F1618" s="350">
        <v>10869.5</v>
      </c>
      <c r="S1618" s="225"/>
    </row>
    <row r="1619" spans="4:19" x14ac:dyDescent="0.3">
      <c r="D1619" s="349">
        <v>43437</v>
      </c>
      <c r="F1619" s="350">
        <v>10883.75</v>
      </c>
      <c r="S1619" s="225"/>
    </row>
    <row r="1620" spans="4:19" x14ac:dyDescent="0.3">
      <c r="D1620" s="349">
        <v>43434</v>
      </c>
      <c r="F1620" s="350">
        <v>10876.75</v>
      </c>
      <c r="S1620" s="225"/>
    </row>
    <row r="1621" spans="4:19" x14ac:dyDescent="0.3">
      <c r="D1621" s="349">
        <v>43433</v>
      </c>
      <c r="F1621" s="350">
        <v>10858.7</v>
      </c>
      <c r="S1621" s="225"/>
    </row>
    <row r="1622" spans="4:19" x14ac:dyDescent="0.3">
      <c r="D1622" s="349">
        <v>43432</v>
      </c>
      <c r="F1622" s="350">
        <v>10728.85</v>
      </c>
      <c r="S1622" s="225"/>
    </row>
    <row r="1623" spans="4:19" x14ac:dyDescent="0.3">
      <c r="D1623" s="349">
        <v>43431</v>
      </c>
      <c r="F1623" s="350">
        <v>10685.6</v>
      </c>
      <c r="S1623" s="225"/>
    </row>
    <row r="1624" spans="4:19" x14ac:dyDescent="0.3">
      <c r="D1624" s="349">
        <v>43430</v>
      </c>
      <c r="F1624" s="350">
        <v>10628.6</v>
      </c>
      <c r="S1624" s="225"/>
    </row>
    <row r="1625" spans="4:19" x14ac:dyDescent="0.3">
      <c r="D1625" s="349">
        <v>43426</v>
      </c>
      <c r="F1625" s="350">
        <v>10526.75</v>
      </c>
      <c r="S1625" s="225"/>
    </row>
    <row r="1626" spans="4:19" x14ac:dyDescent="0.3">
      <c r="D1626" s="349">
        <v>43425</v>
      </c>
      <c r="F1626" s="350">
        <v>10600.05</v>
      </c>
      <c r="S1626" s="225"/>
    </row>
    <row r="1627" spans="4:19" x14ac:dyDescent="0.3">
      <c r="D1627" s="349">
        <v>43424</v>
      </c>
      <c r="F1627" s="350">
        <v>10656.2</v>
      </c>
      <c r="P1627" s="283"/>
      <c r="S1627" s="225"/>
    </row>
    <row r="1628" spans="4:19" x14ac:dyDescent="0.3">
      <c r="D1628" s="349">
        <v>43423</v>
      </c>
      <c r="F1628" s="350">
        <v>10763.4</v>
      </c>
      <c r="P1628" s="283"/>
      <c r="S1628" s="225"/>
    </row>
    <row r="1629" spans="4:19" x14ac:dyDescent="0.3">
      <c r="D1629" s="349">
        <v>43420</v>
      </c>
      <c r="F1629" s="350">
        <v>10682.2</v>
      </c>
      <c r="P1629" s="283"/>
      <c r="S1629" s="225"/>
    </row>
    <row r="1630" spans="4:19" x14ac:dyDescent="0.3">
      <c r="D1630" s="349">
        <v>43419</v>
      </c>
      <c r="F1630" s="350">
        <v>10616.7</v>
      </c>
      <c r="P1630" s="283"/>
      <c r="S1630" s="225"/>
    </row>
    <row r="1631" spans="4:19" x14ac:dyDescent="0.3">
      <c r="D1631" s="349">
        <v>43418</v>
      </c>
      <c r="F1631" s="350">
        <v>10576.3</v>
      </c>
      <c r="P1631" s="283"/>
      <c r="S1631" s="225"/>
    </row>
    <row r="1632" spans="4:19" x14ac:dyDescent="0.3">
      <c r="D1632" s="349">
        <v>43417</v>
      </c>
      <c r="F1632" s="350">
        <v>10582.5</v>
      </c>
      <c r="P1632" s="283"/>
      <c r="S1632" s="225"/>
    </row>
    <row r="1633" spans="4:19" x14ac:dyDescent="0.3">
      <c r="D1633" s="349">
        <v>43416</v>
      </c>
      <c r="F1633" s="350">
        <v>10482.200000000001</v>
      </c>
      <c r="P1633" s="283"/>
      <c r="S1633" s="225"/>
    </row>
    <row r="1634" spans="4:19" x14ac:dyDescent="0.3">
      <c r="D1634" s="349">
        <v>43413</v>
      </c>
      <c r="F1634" s="350">
        <v>10585.2</v>
      </c>
      <c r="P1634" s="283"/>
      <c r="S1634" s="225"/>
    </row>
    <row r="1635" spans="4:19" x14ac:dyDescent="0.3">
      <c r="D1635" s="349">
        <v>43411</v>
      </c>
      <c r="F1635" s="350">
        <v>10598.4</v>
      </c>
      <c r="P1635" s="283"/>
      <c r="S1635" s="225"/>
    </row>
    <row r="1636" spans="4:19" x14ac:dyDescent="0.3">
      <c r="D1636" s="349">
        <v>43410</v>
      </c>
      <c r="F1636" s="350">
        <v>10530</v>
      </c>
      <c r="S1636" s="225"/>
    </row>
    <row r="1637" spans="4:19" x14ac:dyDescent="0.3">
      <c r="D1637" s="349">
        <v>43409</v>
      </c>
      <c r="F1637" s="350">
        <v>10524</v>
      </c>
      <c r="S1637" s="225"/>
    </row>
    <row r="1638" spans="4:19" x14ac:dyDescent="0.3">
      <c r="D1638" s="349">
        <v>43406</v>
      </c>
      <c r="F1638" s="350">
        <v>10553</v>
      </c>
      <c r="S1638" s="225"/>
    </row>
    <row r="1639" spans="4:19" x14ac:dyDescent="0.3">
      <c r="D1639" s="349">
        <v>43405</v>
      </c>
      <c r="F1639" s="350">
        <v>10380.450000000001</v>
      </c>
      <c r="S1639" s="225"/>
    </row>
    <row r="1640" spans="4:19" x14ac:dyDescent="0.3">
      <c r="D1640" s="349">
        <v>43404</v>
      </c>
      <c r="F1640" s="350">
        <v>10386.6</v>
      </c>
      <c r="S1640" s="225"/>
    </row>
    <row r="1641" spans="4:19" x14ac:dyDescent="0.3">
      <c r="D1641" s="349">
        <v>43403</v>
      </c>
      <c r="F1641" s="350">
        <v>10198.4</v>
      </c>
      <c r="S1641" s="225"/>
    </row>
    <row r="1642" spans="4:19" x14ac:dyDescent="0.3">
      <c r="D1642" s="349">
        <v>43402</v>
      </c>
      <c r="F1642" s="350">
        <v>10250.85</v>
      </c>
      <c r="S1642" s="225"/>
    </row>
    <row r="1643" spans="4:19" x14ac:dyDescent="0.3">
      <c r="D1643" s="349">
        <v>43399</v>
      </c>
      <c r="F1643" s="350">
        <v>10030</v>
      </c>
      <c r="S1643" s="225"/>
    </row>
    <row r="1644" spans="4:19" x14ac:dyDescent="0.3">
      <c r="D1644" s="349">
        <v>43398</v>
      </c>
      <c r="F1644" s="350">
        <v>10124.9</v>
      </c>
      <c r="S1644" s="225"/>
    </row>
    <row r="1645" spans="4:19" x14ac:dyDescent="0.3">
      <c r="D1645" s="349">
        <v>43397</v>
      </c>
      <c r="F1645" s="350">
        <v>10224.75</v>
      </c>
      <c r="S1645" s="225"/>
    </row>
    <row r="1646" spans="4:19" x14ac:dyDescent="0.3">
      <c r="D1646" s="349">
        <v>43396</v>
      </c>
      <c r="F1646" s="350">
        <v>10146.799999999999</v>
      </c>
      <c r="P1646" s="283"/>
      <c r="S1646" s="225"/>
    </row>
    <row r="1647" spans="4:19" x14ac:dyDescent="0.3">
      <c r="D1647" s="349">
        <v>43395</v>
      </c>
      <c r="F1647" s="350">
        <v>10245.25</v>
      </c>
      <c r="P1647" s="283"/>
      <c r="S1647" s="225"/>
    </row>
    <row r="1648" spans="4:19" x14ac:dyDescent="0.3">
      <c r="D1648" s="349">
        <v>43392</v>
      </c>
      <c r="F1648" s="350">
        <v>10303.549999999999</v>
      </c>
      <c r="P1648" s="283"/>
      <c r="S1648" s="225"/>
    </row>
    <row r="1649" spans="4:19" x14ac:dyDescent="0.3">
      <c r="D1649" s="349">
        <v>43390</v>
      </c>
      <c r="F1649" s="350">
        <v>10453.049999999999</v>
      </c>
      <c r="P1649" s="283"/>
      <c r="S1649" s="225"/>
    </row>
    <row r="1650" spans="4:19" x14ac:dyDescent="0.3">
      <c r="D1650" s="349">
        <v>43389</v>
      </c>
      <c r="F1650" s="350">
        <v>10584.75</v>
      </c>
      <c r="P1650" s="283"/>
      <c r="S1650" s="225"/>
    </row>
    <row r="1651" spans="4:19" x14ac:dyDescent="0.3">
      <c r="D1651" s="349">
        <v>43388</v>
      </c>
      <c r="F1651" s="350">
        <v>10512.5</v>
      </c>
      <c r="P1651" s="283"/>
      <c r="S1651" s="225"/>
    </row>
    <row r="1652" spans="4:19" x14ac:dyDescent="0.3">
      <c r="D1652" s="349">
        <v>43385</v>
      </c>
      <c r="F1652" s="350">
        <v>10472.5</v>
      </c>
      <c r="P1652" s="283"/>
      <c r="S1652" s="225"/>
    </row>
    <row r="1653" spans="4:19" x14ac:dyDescent="0.3">
      <c r="D1653" s="349">
        <v>43384</v>
      </c>
      <c r="F1653" s="350">
        <v>10234.65</v>
      </c>
      <c r="P1653" s="283"/>
      <c r="S1653" s="225"/>
    </row>
    <row r="1654" spans="4:19" x14ac:dyDescent="0.3">
      <c r="D1654" s="349">
        <v>43383</v>
      </c>
      <c r="F1654" s="350">
        <v>10460.1</v>
      </c>
      <c r="S1654" s="225"/>
    </row>
    <row r="1655" spans="4:19" x14ac:dyDescent="0.3">
      <c r="D1655" s="349">
        <v>43382</v>
      </c>
      <c r="F1655" s="350">
        <v>10301.049999999999</v>
      </c>
      <c r="S1655" s="225"/>
    </row>
    <row r="1656" spans="4:19" x14ac:dyDescent="0.3">
      <c r="D1656" s="349">
        <v>43381</v>
      </c>
      <c r="F1656" s="350">
        <v>10348.049999999999</v>
      </c>
      <c r="S1656" s="225"/>
    </row>
    <row r="1657" spans="4:19" x14ac:dyDescent="0.3">
      <c r="D1657" s="349">
        <v>43378</v>
      </c>
      <c r="F1657" s="350">
        <v>10316.450000000001</v>
      </c>
      <c r="S1657" s="225"/>
    </row>
    <row r="1658" spans="4:19" x14ac:dyDescent="0.3">
      <c r="D1658" s="349">
        <v>43377</v>
      </c>
      <c r="F1658" s="350">
        <v>10599.25</v>
      </c>
      <c r="S1658" s="225"/>
    </row>
    <row r="1659" spans="4:19" x14ac:dyDescent="0.3">
      <c r="D1659" s="349">
        <v>43376</v>
      </c>
      <c r="F1659" s="350">
        <v>10858.25</v>
      </c>
      <c r="S1659" s="225"/>
    </row>
    <row r="1660" spans="4:19" x14ac:dyDescent="0.3">
      <c r="D1660" s="349">
        <v>43374</v>
      </c>
      <c r="F1660" s="350">
        <v>11008.3</v>
      </c>
      <c r="S1660" s="225"/>
    </row>
    <row r="1661" spans="4:19" x14ac:dyDescent="0.3">
      <c r="D1661" s="349">
        <v>43371</v>
      </c>
      <c r="F1661" s="350">
        <v>10930.45</v>
      </c>
      <c r="S1661" s="225"/>
    </row>
    <row r="1662" spans="4:19" x14ac:dyDescent="0.3">
      <c r="D1662" s="349">
        <v>43370</v>
      </c>
      <c r="F1662" s="350">
        <v>10977.55</v>
      </c>
      <c r="S1662" s="225"/>
    </row>
    <row r="1663" spans="4:19" x14ac:dyDescent="0.3">
      <c r="D1663" s="349">
        <v>43369</v>
      </c>
      <c r="F1663" s="350">
        <v>11053.8</v>
      </c>
      <c r="S1663" s="225"/>
    </row>
    <row r="1664" spans="4:19" x14ac:dyDescent="0.3">
      <c r="D1664" s="349">
        <v>43368</v>
      </c>
      <c r="F1664" s="350">
        <v>11067.45</v>
      </c>
      <c r="S1664" s="225"/>
    </row>
    <row r="1665" spans="4:19" x14ac:dyDescent="0.3">
      <c r="D1665" s="349">
        <v>43367</v>
      </c>
      <c r="F1665" s="350">
        <v>10967.4</v>
      </c>
      <c r="S1665" s="225"/>
    </row>
    <row r="1666" spans="4:19" x14ac:dyDescent="0.3">
      <c r="D1666" s="349">
        <v>43364</v>
      </c>
      <c r="F1666" s="350">
        <v>11143.1</v>
      </c>
      <c r="S1666" s="225"/>
    </row>
    <row r="1667" spans="4:19" x14ac:dyDescent="0.3">
      <c r="D1667" s="349">
        <v>43362</v>
      </c>
      <c r="F1667" s="350">
        <v>11234.35</v>
      </c>
      <c r="P1667" s="283"/>
      <c r="S1667" s="225"/>
    </row>
    <row r="1668" spans="4:19" x14ac:dyDescent="0.3">
      <c r="D1668" s="349">
        <v>43361</v>
      </c>
      <c r="F1668" s="350">
        <v>11278.9</v>
      </c>
      <c r="P1668" s="283"/>
      <c r="S1668" s="225"/>
    </row>
    <row r="1669" spans="4:19" x14ac:dyDescent="0.3">
      <c r="D1669" s="349">
        <v>43360</v>
      </c>
      <c r="F1669" s="350">
        <v>11377.75</v>
      </c>
      <c r="P1669" s="283"/>
      <c r="S1669" s="225"/>
    </row>
    <row r="1670" spans="4:19" x14ac:dyDescent="0.3">
      <c r="D1670" s="349">
        <v>43357</v>
      </c>
      <c r="F1670" s="350">
        <v>11515.2</v>
      </c>
      <c r="P1670" s="283"/>
      <c r="S1670" s="225"/>
    </row>
    <row r="1671" spans="4:19" x14ac:dyDescent="0.3">
      <c r="D1671" s="349">
        <v>43355</v>
      </c>
      <c r="F1671" s="350">
        <v>11369.9</v>
      </c>
      <c r="P1671" s="283"/>
      <c r="S1671" s="225"/>
    </row>
    <row r="1672" spans="4:19" x14ac:dyDescent="0.3">
      <c r="D1672" s="349">
        <v>43354</v>
      </c>
      <c r="F1672" s="350">
        <v>11287.5</v>
      </c>
      <c r="P1672" s="283"/>
      <c r="S1672" s="225"/>
    </row>
    <row r="1673" spans="4:19" x14ac:dyDescent="0.3">
      <c r="D1673" s="349">
        <v>43353</v>
      </c>
      <c r="F1673" s="350">
        <v>11438.1</v>
      </c>
      <c r="P1673" s="283"/>
      <c r="S1673" s="225"/>
    </row>
    <row r="1674" spans="4:19" x14ac:dyDescent="0.3">
      <c r="D1674" s="349">
        <v>43350</v>
      </c>
      <c r="F1674" s="350">
        <v>11589.1</v>
      </c>
      <c r="P1674" s="283"/>
      <c r="S1674" s="225"/>
    </row>
    <row r="1675" spans="4:19" x14ac:dyDescent="0.3">
      <c r="D1675" s="349">
        <v>43349</v>
      </c>
      <c r="F1675" s="350">
        <v>11536.9</v>
      </c>
      <c r="S1675" s="225"/>
    </row>
    <row r="1676" spans="4:19" x14ac:dyDescent="0.3">
      <c r="D1676" s="349">
        <v>43348</v>
      </c>
      <c r="F1676" s="350">
        <v>11476.95</v>
      </c>
      <c r="S1676" s="225"/>
    </row>
    <row r="1677" spans="4:19" x14ac:dyDescent="0.3">
      <c r="D1677" s="349">
        <v>43347</v>
      </c>
      <c r="F1677" s="350">
        <v>11520.3</v>
      </c>
      <c r="S1677" s="225"/>
    </row>
    <row r="1678" spans="4:19" x14ac:dyDescent="0.3">
      <c r="D1678" s="349">
        <v>43346</v>
      </c>
      <c r="F1678" s="350">
        <v>11582.35</v>
      </c>
      <c r="S1678" s="225"/>
    </row>
    <row r="1679" spans="4:19" x14ac:dyDescent="0.3">
      <c r="D1679" s="349">
        <v>43343</v>
      </c>
      <c r="F1679" s="350">
        <v>11680.5</v>
      </c>
      <c r="S1679" s="225"/>
    </row>
    <row r="1680" spans="4:19" x14ac:dyDescent="0.3">
      <c r="D1680" s="349">
        <v>43342</v>
      </c>
      <c r="F1680" s="350">
        <v>11676.8</v>
      </c>
      <c r="S1680" s="225"/>
    </row>
    <row r="1681" spans="4:19" x14ac:dyDescent="0.3">
      <c r="D1681" s="349">
        <v>43341</v>
      </c>
      <c r="F1681" s="350">
        <v>11691.9</v>
      </c>
      <c r="S1681" s="225"/>
    </row>
    <row r="1682" spans="4:19" x14ac:dyDescent="0.3">
      <c r="D1682" s="349">
        <v>43340</v>
      </c>
      <c r="F1682" s="350">
        <v>11738.5</v>
      </c>
      <c r="S1682" s="225"/>
    </row>
    <row r="1683" spans="4:19" x14ac:dyDescent="0.3">
      <c r="D1683" s="349">
        <v>43339</v>
      </c>
      <c r="F1683" s="350">
        <v>11691.95</v>
      </c>
      <c r="S1683" s="225"/>
    </row>
    <row r="1684" spans="4:19" x14ac:dyDescent="0.3">
      <c r="D1684" s="349">
        <v>43336</v>
      </c>
      <c r="F1684" s="350">
        <v>11557.1</v>
      </c>
      <c r="S1684" s="225"/>
    </row>
    <row r="1685" spans="4:19" x14ac:dyDescent="0.3">
      <c r="D1685" s="349">
        <v>43335</v>
      </c>
      <c r="F1685" s="350">
        <v>11582.75</v>
      </c>
      <c r="S1685" s="225"/>
    </row>
    <row r="1686" spans="4:19" x14ac:dyDescent="0.3">
      <c r="D1686" s="349">
        <v>43333</v>
      </c>
      <c r="F1686" s="350">
        <v>11570.9</v>
      </c>
      <c r="S1686" s="225"/>
    </row>
    <row r="1687" spans="4:19" x14ac:dyDescent="0.3">
      <c r="D1687" s="349">
        <v>43332</v>
      </c>
      <c r="F1687" s="350">
        <v>11551.75</v>
      </c>
      <c r="S1687" s="225"/>
    </row>
    <row r="1688" spans="4:19" x14ac:dyDescent="0.3">
      <c r="D1688" s="349">
        <v>43329</v>
      </c>
      <c r="F1688" s="350">
        <v>11470.75</v>
      </c>
      <c r="P1688" s="283"/>
      <c r="S1688" s="225"/>
    </row>
    <row r="1689" spans="4:19" x14ac:dyDescent="0.3">
      <c r="D1689" s="349">
        <v>43328</v>
      </c>
      <c r="F1689" s="350">
        <v>11385.05</v>
      </c>
      <c r="P1689" s="283"/>
      <c r="S1689" s="225"/>
    </row>
    <row r="1690" spans="4:19" x14ac:dyDescent="0.3">
      <c r="D1690" s="349">
        <v>43326</v>
      </c>
      <c r="F1690" s="350">
        <v>11435.1</v>
      </c>
      <c r="P1690" s="283"/>
      <c r="S1690" s="225"/>
    </row>
    <row r="1691" spans="4:19" x14ac:dyDescent="0.3">
      <c r="D1691" s="349">
        <v>43325</v>
      </c>
      <c r="F1691" s="350">
        <v>11355.75</v>
      </c>
      <c r="P1691" s="283"/>
      <c r="S1691" s="225"/>
    </row>
    <row r="1692" spans="4:19" x14ac:dyDescent="0.3">
      <c r="D1692" s="349">
        <v>43322</v>
      </c>
      <c r="F1692" s="350">
        <v>11429.5</v>
      </c>
      <c r="P1692" s="283"/>
      <c r="S1692" s="225"/>
    </row>
    <row r="1693" spans="4:19" x14ac:dyDescent="0.3">
      <c r="D1693" s="349">
        <v>43321</v>
      </c>
      <c r="F1693" s="350">
        <v>11470.7</v>
      </c>
      <c r="P1693" s="283"/>
      <c r="S1693" s="225"/>
    </row>
    <row r="1694" spans="4:19" x14ac:dyDescent="0.3">
      <c r="D1694" s="349">
        <v>43320</v>
      </c>
      <c r="F1694" s="350">
        <v>11450</v>
      </c>
      <c r="P1694" s="283"/>
      <c r="S1694" s="225"/>
    </row>
    <row r="1695" spans="4:19" x14ac:dyDescent="0.3">
      <c r="D1695" s="349">
        <v>43319</v>
      </c>
      <c r="F1695" s="350">
        <v>11389.45</v>
      </c>
      <c r="P1695" s="283"/>
      <c r="S1695" s="225"/>
    </row>
    <row r="1696" spans="4:19" x14ac:dyDescent="0.3">
      <c r="D1696" s="349">
        <v>43318</v>
      </c>
      <c r="F1696" s="350">
        <v>11387.1</v>
      </c>
      <c r="P1696" s="283"/>
      <c r="S1696" s="225"/>
    </row>
    <row r="1697" spans="4:19" x14ac:dyDescent="0.3">
      <c r="D1697" s="349">
        <v>43315</v>
      </c>
      <c r="F1697" s="350">
        <v>11360.8</v>
      </c>
      <c r="S1697" s="225"/>
    </row>
    <row r="1698" spans="4:19" x14ac:dyDescent="0.3">
      <c r="D1698" s="349">
        <v>43314</v>
      </c>
      <c r="F1698" s="350">
        <v>11244.7</v>
      </c>
      <c r="S1698" s="225"/>
    </row>
    <row r="1699" spans="4:19" x14ac:dyDescent="0.3">
      <c r="D1699" s="349">
        <v>43313</v>
      </c>
      <c r="F1699" s="350">
        <v>11346.2</v>
      </c>
      <c r="S1699" s="225"/>
    </row>
    <row r="1700" spans="4:19" x14ac:dyDescent="0.3">
      <c r="D1700" s="349">
        <v>43312</v>
      </c>
      <c r="F1700" s="350">
        <v>11356.5</v>
      </c>
      <c r="S1700" s="225"/>
    </row>
    <row r="1701" spans="4:19" x14ac:dyDescent="0.3">
      <c r="D1701" s="349">
        <v>43311</v>
      </c>
      <c r="F1701" s="350">
        <v>11319.55</v>
      </c>
      <c r="S1701" s="225"/>
    </row>
    <row r="1702" spans="4:19" x14ac:dyDescent="0.3">
      <c r="D1702" s="349">
        <v>43308</v>
      </c>
      <c r="F1702" s="350">
        <v>11278.35</v>
      </c>
      <c r="S1702" s="225"/>
    </row>
    <row r="1703" spans="4:19" x14ac:dyDescent="0.3">
      <c r="D1703" s="349">
        <v>43307</v>
      </c>
      <c r="F1703" s="350">
        <v>11167.3</v>
      </c>
      <c r="S1703" s="225"/>
    </row>
    <row r="1704" spans="4:19" x14ac:dyDescent="0.3">
      <c r="D1704" s="349">
        <v>43306</v>
      </c>
      <c r="F1704" s="350">
        <v>11132</v>
      </c>
      <c r="S1704" s="225"/>
    </row>
    <row r="1705" spans="4:19" x14ac:dyDescent="0.3">
      <c r="D1705" s="349">
        <v>43305</v>
      </c>
      <c r="F1705" s="350">
        <v>11134.3</v>
      </c>
      <c r="S1705" s="225"/>
    </row>
    <row r="1706" spans="4:19" x14ac:dyDescent="0.3">
      <c r="D1706" s="349">
        <v>43304</v>
      </c>
      <c r="F1706" s="350">
        <v>11084.75</v>
      </c>
      <c r="S1706" s="225"/>
    </row>
    <row r="1707" spans="4:19" x14ac:dyDescent="0.3">
      <c r="D1707" s="349">
        <v>43301</v>
      </c>
      <c r="F1707" s="350">
        <v>11010.2</v>
      </c>
      <c r="S1707" s="225"/>
    </row>
    <row r="1708" spans="4:19" x14ac:dyDescent="0.3">
      <c r="D1708" s="349">
        <v>43300</v>
      </c>
      <c r="F1708" s="350">
        <v>10957.1</v>
      </c>
      <c r="S1708" s="225"/>
    </row>
    <row r="1709" spans="4:19" x14ac:dyDescent="0.3">
      <c r="D1709" s="349">
        <v>43299</v>
      </c>
      <c r="F1709" s="350">
        <v>10980.45</v>
      </c>
      <c r="S1709" s="225"/>
    </row>
    <row r="1710" spans="4:19" x14ac:dyDescent="0.3">
      <c r="D1710" s="349">
        <v>43298</v>
      </c>
      <c r="F1710" s="350">
        <v>11008.05</v>
      </c>
      <c r="P1710" s="283"/>
      <c r="S1710" s="225"/>
    </row>
    <row r="1711" spans="4:19" x14ac:dyDescent="0.3">
      <c r="D1711" s="349">
        <v>43297</v>
      </c>
      <c r="F1711" s="350">
        <v>10936.85</v>
      </c>
      <c r="P1711" s="283"/>
      <c r="S1711" s="225"/>
    </row>
    <row r="1712" spans="4:19" x14ac:dyDescent="0.3">
      <c r="D1712" s="349">
        <v>43294</v>
      </c>
      <c r="F1712" s="350">
        <v>11018.9</v>
      </c>
      <c r="P1712" s="283"/>
      <c r="S1712" s="225"/>
    </row>
    <row r="1713" spans="4:19" x14ac:dyDescent="0.3">
      <c r="D1713" s="349">
        <v>43293</v>
      </c>
      <c r="F1713" s="350">
        <v>11023.2</v>
      </c>
      <c r="P1713" s="283"/>
      <c r="S1713" s="225"/>
    </row>
    <row r="1714" spans="4:19" x14ac:dyDescent="0.3">
      <c r="D1714" s="349">
        <v>43292</v>
      </c>
      <c r="F1714" s="350">
        <v>10948.3</v>
      </c>
      <c r="P1714" s="283"/>
      <c r="S1714" s="225"/>
    </row>
    <row r="1715" spans="4:19" x14ac:dyDescent="0.3">
      <c r="D1715" s="349">
        <v>43291</v>
      </c>
      <c r="F1715" s="350">
        <v>10947.25</v>
      </c>
      <c r="P1715" s="283"/>
      <c r="S1715" s="225"/>
    </row>
    <row r="1716" spans="4:19" x14ac:dyDescent="0.3">
      <c r="D1716" s="349">
        <v>43290</v>
      </c>
      <c r="F1716" s="350">
        <v>10852.9</v>
      </c>
      <c r="P1716" s="283"/>
      <c r="S1716" s="225"/>
    </row>
    <row r="1717" spans="4:19" x14ac:dyDescent="0.3">
      <c r="D1717" s="349">
        <v>43287</v>
      </c>
      <c r="F1717" s="350">
        <v>10772.65</v>
      </c>
      <c r="P1717" s="283"/>
      <c r="S1717" s="225"/>
    </row>
    <row r="1718" spans="4:19" x14ac:dyDescent="0.3">
      <c r="D1718" s="349">
        <v>43286</v>
      </c>
      <c r="F1718" s="350">
        <v>10749.75</v>
      </c>
      <c r="S1718" s="225"/>
    </row>
    <row r="1719" spans="4:19" x14ac:dyDescent="0.3">
      <c r="D1719" s="349">
        <v>43285</v>
      </c>
      <c r="F1719" s="350">
        <v>10769.9</v>
      </c>
      <c r="S1719" s="225"/>
    </row>
    <row r="1720" spans="4:19" x14ac:dyDescent="0.3">
      <c r="D1720" s="349">
        <v>43284</v>
      </c>
      <c r="F1720" s="350">
        <v>10699.9</v>
      </c>
      <c r="S1720" s="225"/>
    </row>
    <row r="1721" spans="4:19" x14ac:dyDescent="0.3">
      <c r="D1721" s="349">
        <v>43283</v>
      </c>
      <c r="F1721" s="350">
        <v>10657.3</v>
      </c>
      <c r="S1721" s="225"/>
    </row>
    <row r="1722" spans="4:19" x14ac:dyDescent="0.3">
      <c r="D1722" s="349">
        <v>43280</v>
      </c>
      <c r="F1722" s="350">
        <v>10714.3</v>
      </c>
      <c r="S1722" s="225"/>
    </row>
    <row r="1723" spans="4:19" x14ac:dyDescent="0.3">
      <c r="D1723" s="349">
        <v>43279</v>
      </c>
      <c r="F1723" s="350">
        <v>10589.1</v>
      </c>
      <c r="S1723" s="225"/>
    </row>
    <row r="1724" spans="4:19" x14ac:dyDescent="0.3">
      <c r="D1724" s="349">
        <v>43278</v>
      </c>
      <c r="F1724" s="350">
        <v>10671.4</v>
      </c>
      <c r="S1724" s="225"/>
    </row>
    <row r="1725" spans="4:19" x14ac:dyDescent="0.3">
      <c r="D1725" s="349">
        <v>43277</v>
      </c>
      <c r="F1725" s="350">
        <v>10769.15</v>
      </c>
      <c r="S1725" s="225"/>
    </row>
    <row r="1726" spans="4:19" x14ac:dyDescent="0.3">
      <c r="D1726" s="349">
        <v>43276</v>
      </c>
      <c r="F1726" s="350">
        <v>10762.45</v>
      </c>
      <c r="S1726" s="225"/>
    </row>
    <row r="1727" spans="4:19" x14ac:dyDescent="0.3">
      <c r="D1727" s="349">
        <v>43273</v>
      </c>
      <c r="F1727" s="350">
        <v>10821.85</v>
      </c>
      <c r="S1727" s="225"/>
    </row>
    <row r="1728" spans="4:19" x14ac:dyDescent="0.3">
      <c r="D1728" s="349">
        <v>43272</v>
      </c>
      <c r="F1728" s="350">
        <v>10741.1</v>
      </c>
      <c r="S1728" s="225"/>
    </row>
    <row r="1729" spans="4:19" x14ac:dyDescent="0.3">
      <c r="D1729" s="349">
        <v>43271</v>
      </c>
      <c r="F1729" s="350">
        <v>10772.05</v>
      </c>
      <c r="S1729" s="225"/>
    </row>
    <row r="1730" spans="4:19" x14ac:dyDescent="0.3">
      <c r="D1730" s="349">
        <v>43270</v>
      </c>
      <c r="F1730" s="350">
        <v>10710.45</v>
      </c>
      <c r="S1730" s="225"/>
    </row>
    <row r="1731" spans="4:19" x14ac:dyDescent="0.3">
      <c r="D1731" s="349">
        <v>43269</v>
      </c>
      <c r="F1731" s="350">
        <v>10799.85</v>
      </c>
      <c r="S1731" s="225"/>
    </row>
    <row r="1732" spans="4:19" x14ac:dyDescent="0.3">
      <c r="D1732" s="349">
        <v>43266</v>
      </c>
      <c r="F1732" s="350">
        <v>10817.7</v>
      </c>
      <c r="P1732" s="283"/>
      <c r="S1732" s="225"/>
    </row>
    <row r="1733" spans="4:19" x14ac:dyDescent="0.3">
      <c r="D1733" s="349">
        <v>43265</v>
      </c>
      <c r="F1733" s="350">
        <v>10808.05</v>
      </c>
      <c r="P1733" s="283"/>
      <c r="S1733" s="225"/>
    </row>
    <row r="1734" spans="4:19" x14ac:dyDescent="0.3">
      <c r="D1734" s="349">
        <v>43264</v>
      </c>
      <c r="F1734" s="350">
        <v>10856.7</v>
      </c>
      <c r="P1734" s="283"/>
      <c r="S1734" s="225"/>
    </row>
    <row r="1735" spans="4:19" x14ac:dyDescent="0.3">
      <c r="D1735" s="349">
        <v>43263</v>
      </c>
      <c r="F1735" s="350">
        <v>10842.85</v>
      </c>
      <c r="P1735" s="283"/>
      <c r="S1735" s="225"/>
    </row>
    <row r="1736" spans="4:19" x14ac:dyDescent="0.3">
      <c r="D1736" s="349">
        <v>43262</v>
      </c>
      <c r="F1736" s="350">
        <v>10786.95</v>
      </c>
      <c r="P1736" s="283"/>
      <c r="S1736" s="225"/>
    </row>
    <row r="1737" spans="4:19" x14ac:dyDescent="0.3">
      <c r="D1737" s="349">
        <v>43259</v>
      </c>
      <c r="F1737" s="350">
        <v>10767.65</v>
      </c>
      <c r="P1737" s="283"/>
      <c r="S1737" s="225"/>
    </row>
    <row r="1738" spans="4:19" x14ac:dyDescent="0.3">
      <c r="D1738" s="349">
        <v>43258</v>
      </c>
      <c r="F1738" s="350">
        <v>10768.35</v>
      </c>
      <c r="P1738" s="283"/>
      <c r="S1738" s="225"/>
    </row>
    <row r="1739" spans="4:19" x14ac:dyDescent="0.3">
      <c r="D1739" s="349">
        <v>43257</v>
      </c>
      <c r="F1739" s="350">
        <v>10684.65</v>
      </c>
      <c r="P1739" s="283"/>
      <c r="S1739" s="225"/>
    </row>
    <row r="1740" spans="4:19" x14ac:dyDescent="0.3">
      <c r="D1740" s="349">
        <v>43256</v>
      </c>
      <c r="F1740" s="350">
        <v>10593.15</v>
      </c>
      <c r="S1740" s="225"/>
    </row>
    <row r="1741" spans="4:19" x14ac:dyDescent="0.3">
      <c r="D1741" s="349">
        <v>43255</v>
      </c>
      <c r="F1741" s="350">
        <v>10628.5</v>
      </c>
      <c r="S1741" s="225"/>
    </row>
    <row r="1742" spans="4:19" x14ac:dyDescent="0.3">
      <c r="D1742" s="349">
        <v>43252</v>
      </c>
      <c r="F1742" s="350">
        <v>10696.2</v>
      </c>
      <c r="S1742" s="225"/>
    </row>
    <row r="1743" spans="4:19" x14ac:dyDescent="0.3">
      <c r="D1743" s="349">
        <v>43251</v>
      </c>
      <c r="F1743" s="350">
        <v>10736.15</v>
      </c>
      <c r="S1743" s="225"/>
    </row>
    <row r="1744" spans="4:19" x14ac:dyDescent="0.3">
      <c r="D1744" s="349">
        <v>43250</v>
      </c>
      <c r="F1744" s="350">
        <v>10614.35</v>
      </c>
      <c r="S1744" s="225"/>
    </row>
    <row r="1745" spans="4:19" x14ac:dyDescent="0.3">
      <c r="D1745" s="349">
        <v>43249</v>
      </c>
      <c r="F1745" s="350">
        <v>10633.3</v>
      </c>
      <c r="S1745" s="225"/>
    </row>
    <row r="1746" spans="4:19" x14ac:dyDescent="0.3">
      <c r="D1746" s="349">
        <v>43248</v>
      </c>
      <c r="F1746" s="350">
        <v>10688.65</v>
      </c>
      <c r="S1746" s="225"/>
    </row>
    <row r="1747" spans="4:19" x14ac:dyDescent="0.3">
      <c r="D1747" s="349">
        <v>43245</v>
      </c>
      <c r="F1747" s="350">
        <v>10605.15</v>
      </c>
      <c r="S1747" s="225"/>
    </row>
    <row r="1748" spans="4:19" x14ac:dyDescent="0.3">
      <c r="D1748" s="349">
        <v>43244</v>
      </c>
      <c r="F1748" s="350">
        <v>10513.85</v>
      </c>
      <c r="S1748" s="225"/>
    </row>
    <row r="1749" spans="4:19" x14ac:dyDescent="0.3">
      <c r="D1749" s="349">
        <v>43243</v>
      </c>
      <c r="F1749" s="350">
        <v>10430.35</v>
      </c>
      <c r="S1749" s="225"/>
    </row>
    <row r="1750" spans="4:19" x14ac:dyDescent="0.3">
      <c r="D1750" s="349">
        <v>43242</v>
      </c>
      <c r="F1750" s="350">
        <v>10536.7</v>
      </c>
      <c r="S1750" s="225"/>
    </row>
    <row r="1751" spans="4:19" x14ac:dyDescent="0.3">
      <c r="D1751" s="349">
        <v>43241</v>
      </c>
      <c r="F1751" s="350">
        <v>10516.7</v>
      </c>
      <c r="S1751" s="225"/>
    </row>
    <row r="1752" spans="4:19" x14ac:dyDescent="0.3">
      <c r="D1752" s="349">
        <v>43238</v>
      </c>
      <c r="F1752" s="350">
        <v>10596.4</v>
      </c>
      <c r="P1752" s="283"/>
      <c r="S1752" s="225"/>
    </row>
    <row r="1753" spans="4:19" x14ac:dyDescent="0.3">
      <c r="D1753" s="349">
        <v>43237</v>
      </c>
      <c r="F1753" s="350">
        <v>10682.7</v>
      </c>
      <c r="P1753" s="283"/>
      <c r="S1753" s="225"/>
    </row>
    <row r="1754" spans="4:19" x14ac:dyDescent="0.3">
      <c r="D1754" s="349">
        <v>43236</v>
      </c>
      <c r="F1754" s="350">
        <v>10741.1</v>
      </c>
      <c r="P1754" s="283"/>
      <c r="S1754" s="225"/>
    </row>
    <row r="1755" spans="4:19" x14ac:dyDescent="0.3">
      <c r="D1755" s="349">
        <v>43235</v>
      </c>
      <c r="F1755" s="350">
        <v>10801.85</v>
      </c>
      <c r="P1755" s="283"/>
      <c r="S1755" s="225"/>
    </row>
    <row r="1756" spans="4:19" x14ac:dyDescent="0.3">
      <c r="D1756" s="349">
        <v>43234</v>
      </c>
      <c r="F1756" s="350">
        <v>10806.6</v>
      </c>
      <c r="P1756" s="283"/>
      <c r="S1756" s="225"/>
    </row>
    <row r="1757" spans="4:19" x14ac:dyDescent="0.3">
      <c r="D1757" s="349">
        <v>43231</v>
      </c>
      <c r="F1757" s="350">
        <v>10806.5</v>
      </c>
      <c r="P1757" s="283"/>
      <c r="S1757" s="225"/>
    </row>
    <row r="1758" spans="4:19" x14ac:dyDescent="0.3">
      <c r="D1758" s="349">
        <v>43230</v>
      </c>
      <c r="F1758" s="350">
        <v>10716.55</v>
      </c>
      <c r="P1758" s="283"/>
      <c r="S1758" s="225"/>
    </row>
    <row r="1759" spans="4:19" x14ac:dyDescent="0.3">
      <c r="D1759" s="349">
        <v>43229</v>
      </c>
      <c r="F1759" s="350">
        <v>10741.7</v>
      </c>
      <c r="P1759" s="283"/>
      <c r="S1759" s="225"/>
    </row>
    <row r="1760" spans="4:19" x14ac:dyDescent="0.3">
      <c r="D1760" s="349">
        <v>43228</v>
      </c>
      <c r="F1760" s="350">
        <v>10717.8</v>
      </c>
      <c r="P1760" s="283"/>
      <c r="S1760" s="225"/>
    </row>
    <row r="1761" spans="4:19" x14ac:dyDescent="0.3">
      <c r="D1761" s="349">
        <v>43227</v>
      </c>
      <c r="F1761" s="350">
        <v>10715.5</v>
      </c>
      <c r="S1761" s="225"/>
    </row>
    <row r="1762" spans="4:19" x14ac:dyDescent="0.3">
      <c r="D1762" s="349">
        <v>43224</v>
      </c>
      <c r="F1762" s="350">
        <v>10618.25</v>
      </c>
      <c r="S1762" s="225"/>
    </row>
    <row r="1763" spans="4:19" x14ac:dyDescent="0.3">
      <c r="D1763" s="349">
        <v>43223</v>
      </c>
      <c r="F1763" s="350">
        <v>10679.65</v>
      </c>
      <c r="S1763" s="225"/>
    </row>
    <row r="1764" spans="4:19" x14ac:dyDescent="0.3">
      <c r="D1764" s="349">
        <v>43222</v>
      </c>
      <c r="F1764" s="350">
        <v>10718.05</v>
      </c>
      <c r="S1764" s="225"/>
    </row>
    <row r="1765" spans="4:19" x14ac:dyDescent="0.3">
      <c r="D1765" s="349">
        <v>43220</v>
      </c>
      <c r="F1765" s="350">
        <v>10739.35</v>
      </c>
      <c r="S1765" s="225"/>
    </row>
    <row r="1766" spans="4:19" x14ac:dyDescent="0.3">
      <c r="D1766" s="349">
        <v>43217</v>
      </c>
      <c r="F1766" s="350">
        <v>10692.3</v>
      </c>
      <c r="S1766" s="225"/>
    </row>
    <row r="1767" spans="4:19" x14ac:dyDescent="0.3">
      <c r="D1767" s="349">
        <v>43216</v>
      </c>
      <c r="F1767" s="350">
        <v>10617.8</v>
      </c>
      <c r="S1767" s="225"/>
    </row>
    <row r="1768" spans="4:19" x14ac:dyDescent="0.3">
      <c r="D1768" s="349">
        <v>43215</v>
      </c>
      <c r="F1768" s="350">
        <v>10570.55</v>
      </c>
      <c r="S1768" s="225"/>
    </row>
    <row r="1769" spans="4:19" x14ac:dyDescent="0.3">
      <c r="D1769" s="349">
        <v>43214</v>
      </c>
      <c r="F1769" s="350">
        <v>10614.35</v>
      </c>
      <c r="S1769" s="225"/>
    </row>
    <row r="1770" spans="4:19" x14ac:dyDescent="0.3">
      <c r="D1770" s="349">
        <v>43213</v>
      </c>
      <c r="F1770" s="350">
        <v>10584.7</v>
      </c>
      <c r="S1770" s="225"/>
    </row>
    <row r="1771" spans="4:19" x14ac:dyDescent="0.3">
      <c r="D1771" s="349">
        <v>43210</v>
      </c>
      <c r="F1771" s="350">
        <v>10564.05</v>
      </c>
      <c r="S1771" s="225"/>
    </row>
    <row r="1772" spans="4:19" x14ac:dyDescent="0.3">
      <c r="D1772" s="349">
        <v>43209</v>
      </c>
      <c r="F1772" s="350">
        <v>10565.3</v>
      </c>
      <c r="S1772" s="225"/>
    </row>
    <row r="1773" spans="4:19" x14ac:dyDescent="0.3">
      <c r="D1773" s="349">
        <v>43208</v>
      </c>
      <c r="F1773" s="350">
        <v>10526.2</v>
      </c>
      <c r="P1773" s="283"/>
      <c r="S1773" s="225"/>
    </row>
    <row r="1774" spans="4:19" x14ac:dyDescent="0.3">
      <c r="D1774" s="349">
        <v>43207</v>
      </c>
      <c r="F1774" s="350">
        <v>10548.7</v>
      </c>
      <c r="P1774" s="283"/>
      <c r="S1774" s="225"/>
    </row>
    <row r="1775" spans="4:19" x14ac:dyDescent="0.3">
      <c r="D1775" s="349">
        <v>43206</v>
      </c>
      <c r="F1775" s="350">
        <v>10528.35</v>
      </c>
      <c r="P1775" s="283"/>
      <c r="S1775" s="225"/>
    </row>
    <row r="1776" spans="4:19" x14ac:dyDescent="0.3">
      <c r="D1776" s="349">
        <v>43203</v>
      </c>
      <c r="F1776" s="350">
        <v>10480.6</v>
      </c>
      <c r="P1776" s="283"/>
      <c r="S1776" s="225"/>
    </row>
    <row r="1777" spans="4:19" x14ac:dyDescent="0.3">
      <c r="D1777" s="349">
        <v>43202</v>
      </c>
      <c r="F1777" s="350">
        <v>10458.65</v>
      </c>
      <c r="P1777" s="283"/>
      <c r="S1777" s="225"/>
    </row>
    <row r="1778" spans="4:19" x14ac:dyDescent="0.3">
      <c r="D1778" s="349">
        <v>43201</v>
      </c>
      <c r="F1778" s="350">
        <v>10417.15</v>
      </c>
      <c r="P1778" s="283"/>
      <c r="S1778" s="225"/>
    </row>
    <row r="1779" spans="4:19" x14ac:dyDescent="0.3">
      <c r="D1779" s="349">
        <v>43200</v>
      </c>
      <c r="F1779" s="350">
        <v>10402.25</v>
      </c>
      <c r="P1779" s="283"/>
      <c r="S1779" s="225"/>
    </row>
    <row r="1780" spans="4:19" x14ac:dyDescent="0.3">
      <c r="D1780" s="349">
        <v>43199</v>
      </c>
      <c r="F1780" s="350">
        <v>10379.35</v>
      </c>
      <c r="S1780" s="225"/>
    </row>
    <row r="1781" spans="4:19" x14ac:dyDescent="0.3">
      <c r="D1781" s="349">
        <v>43196</v>
      </c>
      <c r="F1781" s="350">
        <v>10331.6</v>
      </c>
      <c r="S1781" s="225"/>
    </row>
    <row r="1782" spans="4:19" x14ac:dyDescent="0.3">
      <c r="D1782" s="349">
        <v>43195</v>
      </c>
      <c r="F1782" s="350">
        <v>10325.15</v>
      </c>
      <c r="S1782" s="225"/>
    </row>
    <row r="1783" spans="4:19" x14ac:dyDescent="0.3">
      <c r="D1783" s="349">
        <v>43194</v>
      </c>
      <c r="F1783" s="350">
        <v>10128.4</v>
      </c>
      <c r="S1783" s="225"/>
    </row>
    <row r="1784" spans="4:19" x14ac:dyDescent="0.3">
      <c r="D1784" s="349">
        <v>43193</v>
      </c>
      <c r="F1784" s="350">
        <v>10245</v>
      </c>
      <c r="S1784" s="225"/>
    </row>
    <row r="1785" spans="4:19" x14ac:dyDescent="0.3">
      <c r="D1785" s="349">
        <v>43192</v>
      </c>
      <c r="F1785" s="350">
        <v>10211.799999999999</v>
      </c>
      <c r="S1785" s="225"/>
    </row>
    <row r="1786" spans="4:19" x14ac:dyDescent="0.3">
      <c r="D1786" s="349">
        <v>43187</v>
      </c>
      <c r="F1786" s="350">
        <v>10113.700000000001</v>
      </c>
      <c r="S1786" s="225"/>
    </row>
    <row r="1787" spans="4:19" x14ac:dyDescent="0.3">
      <c r="D1787" s="349">
        <v>43186</v>
      </c>
      <c r="F1787" s="350">
        <v>10184.15</v>
      </c>
      <c r="S1787" s="225"/>
    </row>
    <row r="1788" spans="4:19" x14ac:dyDescent="0.3">
      <c r="D1788" s="349">
        <v>43185</v>
      </c>
      <c r="F1788" s="350">
        <v>10130.65</v>
      </c>
      <c r="S1788" s="225"/>
    </row>
    <row r="1789" spans="4:19" x14ac:dyDescent="0.3">
      <c r="D1789" s="349">
        <v>43182</v>
      </c>
      <c r="F1789" s="350">
        <v>9998.0499999999993</v>
      </c>
      <c r="S1789" s="225"/>
    </row>
    <row r="1790" spans="4:19" x14ac:dyDescent="0.3">
      <c r="D1790" s="349">
        <v>43181</v>
      </c>
      <c r="F1790" s="350">
        <v>10114.75</v>
      </c>
      <c r="S1790" s="225"/>
    </row>
    <row r="1791" spans="4:19" x14ac:dyDescent="0.3">
      <c r="D1791" s="349">
        <v>43180</v>
      </c>
      <c r="F1791" s="350">
        <v>10155.25</v>
      </c>
      <c r="P1791" s="283"/>
      <c r="S1791" s="225"/>
    </row>
    <row r="1792" spans="4:19" x14ac:dyDescent="0.3">
      <c r="D1792" s="349">
        <v>43179</v>
      </c>
      <c r="F1792" s="350">
        <v>10124.35</v>
      </c>
      <c r="P1792" s="283"/>
      <c r="S1792" s="225"/>
    </row>
    <row r="1793" spans="4:19" x14ac:dyDescent="0.3">
      <c r="D1793" s="349">
        <v>43178</v>
      </c>
      <c r="F1793" s="350">
        <v>10094.25</v>
      </c>
      <c r="P1793" s="283"/>
      <c r="S1793" s="225"/>
    </row>
    <row r="1794" spans="4:19" x14ac:dyDescent="0.3">
      <c r="D1794" s="349">
        <v>43175</v>
      </c>
      <c r="F1794" s="350">
        <v>10195.15</v>
      </c>
      <c r="P1794" s="283"/>
      <c r="S1794" s="225"/>
    </row>
    <row r="1795" spans="4:19" x14ac:dyDescent="0.3">
      <c r="D1795" s="349">
        <v>43174</v>
      </c>
      <c r="F1795" s="350">
        <v>10360.15</v>
      </c>
      <c r="P1795" s="283"/>
      <c r="S1795" s="225"/>
    </row>
    <row r="1796" spans="4:19" x14ac:dyDescent="0.3">
      <c r="D1796" s="349">
        <v>43173</v>
      </c>
      <c r="F1796" s="350">
        <v>10410.9</v>
      </c>
      <c r="P1796" s="283"/>
      <c r="S1796" s="225"/>
    </row>
    <row r="1797" spans="4:19" x14ac:dyDescent="0.3">
      <c r="D1797" s="349">
        <v>43172</v>
      </c>
      <c r="F1797" s="350">
        <v>10426.85</v>
      </c>
      <c r="P1797" s="283"/>
      <c r="S1797" s="225"/>
    </row>
    <row r="1798" spans="4:19" x14ac:dyDescent="0.3">
      <c r="D1798" s="349">
        <v>43171</v>
      </c>
      <c r="F1798" s="350">
        <v>10421.4</v>
      </c>
      <c r="P1798" s="283"/>
      <c r="S1798" s="225"/>
    </row>
    <row r="1799" spans="4:19" x14ac:dyDescent="0.3">
      <c r="D1799" s="349">
        <v>43168</v>
      </c>
      <c r="F1799" s="350">
        <v>10226.85</v>
      </c>
      <c r="S1799" s="225"/>
    </row>
    <row r="1800" spans="4:19" x14ac:dyDescent="0.3">
      <c r="D1800" s="349">
        <v>43167</v>
      </c>
      <c r="F1800" s="350">
        <v>10242.65</v>
      </c>
      <c r="S1800" s="225"/>
    </row>
    <row r="1801" spans="4:19" x14ac:dyDescent="0.3">
      <c r="D1801" s="349">
        <v>43166</v>
      </c>
      <c r="F1801" s="350">
        <v>10154.200000000001</v>
      </c>
      <c r="S1801" s="225"/>
    </row>
    <row r="1802" spans="4:19" x14ac:dyDescent="0.3">
      <c r="D1802" s="349">
        <v>43165</v>
      </c>
      <c r="F1802" s="350">
        <v>10249.25</v>
      </c>
      <c r="S1802" s="225"/>
    </row>
    <row r="1803" spans="4:19" x14ac:dyDescent="0.3">
      <c r="D1803" s="349">
        <v>43164</v>
      </c>
      <c r="F1803" s="350">
        <v>10358.85</v>
      </c>
      <c r="S1803" s="225"/>
    </row>
    <row r="1804" spans="4:19" x14ac:dyDescent="0.3">
      <c r="D1804" s="349">
        <v>43160</v>
      </c>
      <c r="F1804" s="350">
        <v>10458.35</v>
      </c>
      <c r="S1804" s="225"/>
    </row>
    <row r="1805" spans="4:19" x14ac:dyDescent="0.3">
      <c r="D1805" s="349">
        <v>43159</v>
      </c>
      <c r="F1805" s="350">
        <v>10492.85</v>
      </c>
      <c r="S1805" s="225"/>
    </row>
    <row r="1806" spans="4:19" x14ac:dyDescent="0.3">
      <c r="D1806" s="349">
        <v>43158</v>
      </c>
      <c r="F1806" s="350">
        <v>10554.3</v>
      </c>
      <c r="S1806" s="225"/>
    </row>
    <row r="1807" spans="4:19" x14ac:dyDescent="0.3">
      <c r="D1807" s="349">
        <v>43157</v>
      </c>
      <c r="F1807" s="350">
        <v>10582.6</v>
      </c>
      <c r="S1807" s="225"/>
    </row>
    <row r="1808" spans="4:19" x14ac:dyDescent="0.3">
      <c r="D1808" s="349">
        <v>43154</v>
      </c>
      <c r="F1808" s="350">
        <v>10491.05</v>
      </c>
      <c r="S1808" s="225"/>
    </row>
    <row r="1809" spans="4:19" x14ac:dyDescent="0.3">
      <c r="D1809" s="349">
        <v>43153</v>
      </c>
      <c r="F1809" s="350">
        <v>10382.700000000001</v>
      </c>
      <c r="S1809" s="225"/>
    </row>
    <row r="1810" spans="4:19" x14ac:dyDescent="0.3">
      <c r="D1810" s="349">
        <v>43152</v>
      </c>
      <c r="F1810" s="350">
        <v>10397.450000000001</v>
      </c>
      <c r="S1810" s="225"/>
    </row>
    <row r="1811" spans="4:19" x14ac:dyDescent="0.3">
      <c r="D1811" s="349">
        <v>43151</v>
      </c>
      <c r="F1811" s="350">
        <v>10360.4</v>
      </c>
      <c r="P1811" s="283"/>
      <c r="S1811" s="225"/>
    </row>
    <row r="1812" spans="4:19" x14ac:dyDescent="0.3">
      <c r="D1812" s="349">
        <v>43150</v>
      </c>
      <c r="F1812" s="350">
        <v>10378.4</v>
      </c>
      <c r="P1812" s="283"/>
      <c r="S1812" s="225"/>
    </row>
    <row r="1813" spans="4:19" x14ac:dyDescent="0.3">
      <c r="D1813" s="349">
        <v>43147</v>
      </c>
      <c r="F1813" s="350">
        <v>10452.299999999999</v>
      </c>
      <c r="P1813" s="283"/>
      <c r="S1813" s="225"/>
    </row>
    <row r="1814" spans="4:19" x14ac:dyDescent="0.3">
      <c r="D1814" s="349">
        <v>43146</v>
      </c>
      <c r="F1814" s="350">
        <v>10545.5</v>
      </c>
      <c r="P1814" s="283"/>
      <c r="S1814" s="225"/>
    </row>
    <row r="1815" spans="4:19" x14ac:dyDescent="0.3">
      <c r="D1815" s="349">
        <v>43145</v>
      </c>
      <c r="F1815" s="350">
        <v>10500.9</v>
      </c>
      <c r="P1815" s="283"/>
      <c r="S1815" s="225"/>
    </row>
    <row r="1816" spans="4:19" x14ac:dyDescent="0.3">
      <c r="D1816" s="349">
        <v>43143</v>
      </c>
      <c r="F1816" s="350">
        <v>10539.75</v>
      </c>
      <c r="P1816" s="283"/>
      <c r="S1816" s="225"/>
    </row>
    <row r="1817" spans="4:19" x14ac:dyDescent="0.3">
      <c r="D1817" s="349">
        <v>43140</v>
      </c>
      <c r="F1817" s="350">
        <v>10454.950000000001</v>
      </c>
      <c r="P1817" s="283"/>
      <c r="S1817" s="225"/>
    </row>
    <row r="1818" spans="4:19" x14ac:dyDescent="0.3">
      <c r="D1818" s="349">
        <v>43139</v>
      </c>
      <c r="F1818" s="350">
        <v>10576.85</v>
      </c>
      <c r="P1818" s="283"/>
      <c r="S1818" s="225"/>
    </row>
    <row r="1819" spans="4:19" x14ac:dyDescent="0.3">
      <c r="D1819" s="349">
        <v>43138</v>
      </c>
      <c r="F1819" s="350">
        <v>10476.700000000001</v>
      </c>
      <c r="P1819" s="283"/>
      <c r="S1819" s="225"/>
    </row>
    <row r="1820" spans="4:19" x14ac:dyDescent="0.3">
      <c r="D1820" s="349">
        <v>43137</v>
      </c>
      <c r="F1820" s="350">
        <v>10498.25</v>
      </c>
      <c r="P1820" s="283"/>
      <c r="S1820" s="225"/>
    </row>
    <row r="1821" spans="4:19" x14ac:dyDescent="0.3">
      <c r="D1821" s="349">
        <v>43136</v>
      </c>
      <c r="F1821" s="350">
        <v>10666.55</v>
      </c>
      <c r="S1821" s="225"/>
    </row>
    <row r="1822" spans="4:19" x14ac:dyDescent="0.3">
      <c r="D1822" s="349">
        <v>43133</v>
      </c>
      <c r="F1822" s="350">
        <v>10760.6</v>
      </c>
      <c r="S1822" s="225"/>
    </row>
    <row r="1823" spans="4:19" x14ac:dyDescent="0.3">
      <c r="D1823" s="349">
        <v>43132</v>
      </c>
      <c r="F1823" s="350">
        <v>11016.9</v>
      </c>
      <c r="S1823" s="225"/>
    </row>
    <row r="1824" spans="4:19" x14ac:dyDescent="0.3">
      <c r="D1824" s="349">
        <v>43131</v>
      </c>
      <c r="F1824" s="350">
        <v>11027.7</v>
      </c>
      <c r="S1824" s="225"/>
    </row>
    <row r="1825" spans="4:19" x14ac:dyDescent="0.3">
      <c r="D1825" s="349">
        <v>43130</v>
      </c>
      <c r="F1825" s="350">
        <v>11049.65</v>
      </c>
      <c r="S1825" s="225"/>
    </row>
    <row r="1826" spans="4:19" x14ac:dyDescent="0.3">
      <c r="D1826" s="349">
        <v>43129</v>
      </c>
      <c r="F1826" s="350">
        <v>11130.4</v>
      </c>
      <c r="S1826" s="225"/>
    </row>
    <row r="1827" spans="4:19" x14ac:dyDescent="0.3">
      <c r="D1827" s="349">
        <v>43125</v>
      </c>
      <c r="F1827" s="350">
        <v>11069.65</v>
      </c>
      <c r="S1827" s="225"/>
    </row>
    <row r="1828" spans="4:19" x14ac:dyDescent="0.3">
      <c r="D1828" s="349">
        <v>43124</v>
      </c>
      <c r="F1828" s="350">
        <v>11086</v>
      </c>
      <c r="S1828" s="225"/>
    </row>
    <row r="1829" spans="4:19" x14ac:dyDescent="0.3">
      <c r="D1829" s="349">
        <v>43123</v>
      </c>
      <c r="F1829" s="350">
        <v>11083.7</v>
      </c>
      <c r="S1829" s="225"/>
    </row>
    <row r="1830" spans="4:19" x14ac:dyDescent="0.3">
      <c r="D1830" s="349">
        <v>43122</v>
      </c>
      <c r="F1830" s="350">
        <v>10966.2</v>
      </c>
      <c r="S1830" s="225"/>
    </row>
    <row r="1831" spans="4:19" x14ac:dyDescent="0.3">
      <c r="D1831" s="349">
        <v>43119</v>
      </c>
      <c r="F1831" s="350">
        <v>10894.7</v>
      </c>
      <c r="S1831" s="225"/>
    </row>
    <row r="1832" spans="4:19" x14ac:dyDescent="0.3">
      <c r="D1832" s="349">
        <v>43118</v>
      </c>
      <c r="F1832" s="350">
        <v>10817</v>
      </c>
      <c r="S1832" s="225"/>
    </row>
    <row r="1833" spans="4:19" x14ac:dyDescent="0.3">
      <c r="D1833" s="349">
        <v>43117</v>
      </c>
      <c r="F1833" s="350">
        <v>10788.55</v>
      </c>
      <c r="P1833" s="283"/>
      <c r="S1833" s="225"/>
    </row>
    <row r="1834" spans="4:19" x14ac:dyDescent="0.3">
      <c r="D1834" s="349">
        <v>43116</v>
      </c>
      <c r="F1834" s="350">
        <v>10700.45</v>
      </c>
      <c r="P1834" s="283"/>
      <c r="S1834" s="225"/>
    </row>
    <row r="1835" spans="4:19" x14ac:dyDescent="0.3">
      <c r="D1835" s="349">
        <v>43115</v>
      </c>
      <c r="F1835" s="350">
        <v>10741.55</v>
      </c>
      <c r="P1835" s="283"/>
      <c r="S1835" s="225"/>
    </row>
    <row r="1836" spans="4:19" x14ac:dyDescent="0.3">
      <c r="D1836" s="349">
        <v>43112</v>
      </c>
      <c r="F1836" s="350">
        <v>10681.25</v>
      </c>
      <c r="P1836" s="283"/>
      <c r="S1836" s="225"/>
    </row>
    <row r="1837" spans="4:19" x14ac:dyDescent="0.3">
      <c r="D1837" s="349">
        <v>43111</v>
      </c>
      <c r="F1837" s="350">
        <v>10651.2</v>
      </c>
      <c r="P1837" s="283"/>
      <c r="S1837" s="225"/>
    </row>
    <row r="1838" spans="4:19" x14ac:dyDescent="0.3">
      <c r="D1838" s="349">
        <v>43110</v>
      </c>
      <c r="F1838" s="350">
        <v>10632.2</v>
      </c>
      <c r="P1838" s="283"/>
      <c r="S1838" s="225"/>
    </row>
    <row r="1839" spans="4:19" x14ac:dyDescent="0.3">
      <c r="D1839" s="349">
        <v>43109</v>
      </c>
      <c r="F1839" s="350">
        <v>10637</v>
      </c>
      <c r="P1839" s="283"/>
      <c r="S1839" s="225"/>
    </row>
    <row r="1840" spans="4:19" x14ac:dyDescent="0.3">
      <c r="D1840" s="349">
        <v>43108</v>
      </c>
      <c r="F1840" s="350">
        <v>10623.6</v>
      </c>
      <c r="P1840" s="283"/>
      <c r="S1840" s="225"/>
    </row>
    <row r="1841" spans="4:19" x14ac:dyDescent="0.3">
      <c r="D1841" s="349">
        <v>43105</v>
      </c>
      <c r="F1841" s="350">
        <v>10558.85</v>
      </c>
      <c r="S1841" s="225"/>
    </row>
    <row r="1842" spans="4:19" x14ac:dyDescent="0.3">
      <c r="D1842" s="349">
        <v>43104</v>
      </c>
      <c r="F1842" s="350">
        <v>10504.8</v>
      </c>
      <c r="S1842" s="225"/>
    </row>
    <row r="1843" spans="4:19" x14ac:dyDescent="0.3">
      <c r="D1843" s="349">
        <v>43103</v>
      </c>
      <c r="F1843" s="350">
        <v>10443.200000000001</v>
      </c>
      <c r="S1843" s="225"/>
    </row>
    <row r="1844" spans="4:19" x14ac:dyDescent="0.3">
      <c r="D1844" s="349">
        <v>43102</v>
      </c>
      <c r="F1844" s="350">
        <v>10442.200000000001</v>
      </c>
      <c r="S1844" s="225"/>
    </row>
    <row r="1845" spans="4:19" x14ac:dyDescent="0.3">
      <c r="D1845" s="349">
        <v>43101</v>
      </c>
      <c r="F1845" s="350">
        <v>10435.549999999999</v>
      </c>
      <c r="S1845" s="225"/>
    </row>
    <row r="1846" spans="4:19" x14ac:dyDescent="0.3">
      <c r="D1846" s="349">
        <v>43098</v>
      </c>
      <c r="F1846" s="350">
        <v>10530.7</v>
      </c>
      <c r="S1846" s="225"/>
    </row>
    <row r="1847" spans="4:19" x14ac:dyDescent="0.3">
      <c r="D1847" s="349">
        <v>43097</v>
      </c>
      <c r="F1847" s="350">
        <v>10477.9</v>
      </c>
      <c r="S1847" s="225"/>
    </row>
    <row r="1848" spans="4:19" x14ac:dyDescent="0.3">
      <c r="D1848" s="349">
        <v>43096</v>
      </c>
      <c r="F1848" s="350">
        <v>10490.75</v>
      </c>
      <c r="S1848" s="225"/>
    </row>
    <row r="1849" spans="4:19" x14ac:dyDescent="0.3">
      <c r="D1849" s="349">
        <v>43095</v>
      </c>
      <c r="F1849" s="350">
        <v>10531.5</v>
      </c>
      <c r="S1849" s="225"/>
    </row>
    <row r="1850" spans="4:19" x14ac:dyDescent="0.3">
      <c r="D1850" s="349">
        <v>43091</v>
      </c>
      <c r="F1850" s="350">
        <v>10493</v>
      </c>
      <c r="S1850" s="225"/>
    </row>
    <row r="1851" spans="4:19" x14ac:dyDescent="0.3">
      <c r="D1851" s="349">
        <v>43090</v>
      </c>
      <c r="F1851" s="350">
        <v>10440.299999999999</v>
      </c>
      <c r="S1851" s="225"/>
    </row>
    <row r="1852" spans="4:19" x14ac:dyDescent="0.3">
      <c r="D1852" s="349">
        <v>43089</v>
      </c>
      <c r="F1852" s="350">
        <v>10444.200000000001</v>
      </c>
      <c r="S1852" s="225"/>
    </row>
    <row r="1853" spans="4:19" x14ac:dyDescent="0.3">
      <c r="D1853" s="349">
        <v>43088</v>
      </c>
      <c r="F1853" s="350">
        <v>10463.200000000001</v>
      </c>
      <c r="S1853" s="225"/>
    </row>
    <row r="1854" spans="4:19" x14ac:dyDescent="0.3">
      <c r="D1854" s="349">
        <v>43087</v>
      </c>
      <c r="F1854" s="350">
        <v>10388.75</v>
      </c>
      <c r="S1854" s="225"/>
    </row>
    <row r="1855" spans="4:19" x14ac:dyDescent="0.3">
      <c r="D1855" s="349">
        <v>43084</v>
      </c>
      <c r="F1855" s="350">
        <v>10333.25</v>
      </c>
      <c r="P1855" s="283"/>
      <c r="S1855" s="225"/>
    </row>
    <row r="1856" spans="4:19" x14ac:dyDescent="0.3">
      <c r="D1856" s="349">
        <v>43083</v>
      </c>
      <c r="F1856" s="350">
        <v>10252.1</v>
      </c>
      <c r="P1856" s="283"/>
      <c r="S1856" s="225"/>
    </row>
    <row r="1857" spans="4:19" x14ac:dyDescent="0.3">
      <c r="D1857" s="349">
        <v>43082</v>
      </c>
      <c r="F1857" s="350">
        <v>10192.950000000001</v>
      </c>
      <c r="P1857" s="283"/>
      <c r="S1857" s="225"/>
    </row>
    <row r="1858" spans="4:19" x14ac:dyDescent="0.3">
      <c r="D1858" s="349">
        <v>43081</v>
      </c>
      <c r="F1858" s="350">
        <v>10240.15</v>
      </c>
      <c r="P1858" s="283"/>
      <c r="S1858" s="225"/>
    </row>
    <row r="1859" spans="4:19" x14ac:dyDescent="0.3">
      <c r="D1859" s="349">
        <v>43080</v>
      </c>
      <c r="F1859" s="350">
        <v>10322.25</v>
      </c>
      <c r="P1859" s="283"/>
      <c r="S1859" s="225"/>
    </row>
    <row r="1860" spans="4:19" x14ac:dyDescent="0.3">
      <c r="D1860" s="349">
        <v>43077</v>
      </c>
      <c r="F1860" s="350">
        <v>10265.65</v>
      </c>
      <c r="P1860" s="283"/>
      <c r="S1860" s="225"/>
    </row>
    <row r="1861" spans="4:19" x14ac:dyDescent="0.3">
      <c r="D1861" s="349">
        <v>43076</v>
      </c>
      <c r="F1861" s="350">
        <v>10166.700000000001</v>
      </c>
      <c r="P1861" s="283"/>
      <c r="S1861" s="225"/>
    </row>
    <row r="1862" spans="4:19" x14ac:dyDescent="0.3">
      <c r="D1862" s="349">
        <v>43075</v>
      </c>
      <c r="F1862" s="350">
        <v>10044.1</v>
      </c>
      <c r="P1862" s="283"/>
      <c r="S1862" s="225"/>
    </row>
    <row r="1863" spans="4:19" x14ac:dyDescent="0.3">
      <c r="D1863" s="349">
        <v>43074</v>
      </c>
      <c r="F1863" s="350">
        <v>10118.25</v>
      </c>
      <c r="S1863" s="225"/>
    </row>
    <row r="1864" spans="4:19" x14ac:dyDescent="0.3">
      <c r="D1864" s="349">
        <v>43073</v>
      </c>
      <c r="F1864" s="350">
        <v>10127.75</v>
      </c>
      <c r="S1864" s="225"/>
    </row>
    <row r="1865" spans="4:19" x14ac:dyDescent="0.3">
      <c r="D1865" s="349">
        <v>43070</v>
      </c>
      <c r="F1865" s="350">
        <v>10121.799999999999</v>
      </c>
      <c r="S1865" s="225"/>
    </row>
    <row r="1866" spans="4:19" x14ac:dyDescent="0.3">
      <c r="D1866" s="349">
        <v>43069</v>
      </c>
      <c r="F1866" s="350">
        <v>10226.549999999999</v>
      </c>
      <c r="S1866" s="225"/>
    </row>
    <row r="1867" spans="4:19" x14ac:dyDescent="0.3">
      <c r="D1867" s="349">
        <v>43068</v>
      </c>
      <c r="F1867" s="350">
        <v>10361.299999999999</v>
      </c>
      <c r="S1867" s="225"/>
    </row>
    <row r="1868" spans="4:19" x14ac:dyDescent="0.3">
      <c r="D1868" s="349">
        <v>43067</v>
      </c>
      <c r="F1868" s="350">
        <v>10370.25</v>
      </c>
      <c r="S1868" s="225"/>
    </row>
    <row r="1869" spans="4:19" x14ac:dyDescent="0.3">
      <c r="D1869" s="349">
        <v>43066</v>
      </c>
      <c r="F1869" s="350">
        <v>10399.549999999999</v>
      </c>
      <c r="S1869" s="225"/>
    </row>
    <row r="1870" spans="4:19" x14ac:dyDescent="0.3">
      <c r="D1870" s="349">
        <v>43063</v>
      </c>
      <c r="F1870" s="350">
        <v>10389.700000000001</v>
      </c>
      <c r="S1870" s="225"/>
    </row>
    <row r="1871" spans="4:19" x14ac:dyDescent="0.3">
      <c r="D1871" s="349">
        <v>43062</v>
      </c>
      <c r="F1871" s="350">
        <v>10348.75</v>
      </c>
      <c r="S1871" s="225"/>
    </row>
    <row r="1872" spans="4:19" x14ac:dyDescent="0.3">
      <c r="D1872" s="349">
        <v>43061</v>
      </c>
      <c r="F1872" s="350">
        <v>10342.299999999999</v>
      </c>
      <c r="S1872" s="225"/>
    </row>
    <row r="1873" spans="4:19" x14ac:dyDescent="0.3">
      <c r="D1873" s="349">
        <v>43060</v>
      </c>
      <c r="F1873" s="350">
        <v>10326.9</v>
      </c>
      <c r="S1873" s="225"/>
    </row>
    <row r="1874" spans="4:19" x14ac:dyDescent="0.3">
      <c r="D1874" s="349">
        <v>43059</v>
      </c>
      <c r="F1874" s="350">
        <v>10298.75</v>
      </c>
      <c r="S1874" s="225"/>
    </row>
    <row r="1875" spans="4:19" x14ac:dyDescent="0.3">
      <c r="D1875" s="349">
        <v>43056</v>
      </c>
      <c r="F1875" s="350">
        <v>10283.6</v>
      </c>
      <c r="P1875" s="283"/>
      <c r="S1875" s="225"/>
    </row>
    <row r="1876" spans="4:19" x14ac:dyDescent="0.3">
      <c r="D1876" s="349">
        <v>43055</v>
      </c>
      <c r="F1876" s="350">
        <v>10214.75</v>
      </c>
      <c r="P1876" s="283"/>
      <c r="S1876" s="225"/>
    </row>
    <row r="1877" spans="4:19" x14ac:dyDescent="0.3">
      <c r="D1877" s="349">
        <v>43054</v>
      </c>
      <c r="F1877" s="350">
        <v>10118.049999999999</v>
      </c>
      <c r="P1877" s="283"/>
      <c r="S1877" s="225"/>
    </row>
    <row r="1878" spans="4:19" x14ac:dyDescent="0.3">
      <c r="D1878" s="349">
        <v>43053</v>
      </c>
      <c r="F1878" s="350">
        <v>10186.6</v>
      </c>
      <c r="P1878" s="283"/>
      <c r="S1878" s="225"/>
    </row>
    <row r="1879" spans="4:19" x14ac:dyDescent="0.3">
      <c r="D1879" s="349">
        <v>43052</v>
      </c>
      <c r="F1879" s="350">
        <v>10224.950000000001</v>
      </c>
      <c r="P1879" s="283"/>
      <c r="S1879" s="225"/>
    </row>
    <row r="1880" spans="4:19" x14ac:dyDescent="0.3">
      <c r="D1880" s="349">
        <v>43049</v>
      </c>
      <c r="F1880" s="350">
        <v>10321.75</v>
      </c>
      <c r="P1880" s="283"/>
      <c r="S1880" s="225"/>
    </row>
    <row r="1881" spans="4:19" x14ac:dyDescent="0.3">
      <c r="D1881" s="349">
        <v>43048</v>
      </c>
      <c r="F1881" s="350">
        <v>10308.950000000001</v>
      </c>
      <c r="P1881" s="283"/>
      <c r="S1881" s="225"/>
    </row>
    <row r="1882" spans="4:19" x14ac:dyDescent="0.3">
      <c r="D1882" s="349">
        <v>43047</v>
      </c>
      <c r="F1882" s="350">
        <v>10303.15</v>
      </c>
      <c r="P1882" s="283"/>
      <c r="S1882" s="225"/>
    </row>
    <row r="1883" spans="4:19" x14ac:dyDescent="0.3">
      <c r="D1883" s="349">
        <v>43046</v>
      </c>
      <c r="F1883" s="350">
        <v>10350.15</v>
      </c>
      <c r="S1883" s="225"/>
    </row>
    <row r="1884" spans="4:19" x14ac:dyDescent="0.3">
      <c r="D1884" s="349">
        <v>43045</v>
      </c>
      <c r="F1884" s="350">
        <v>10451.799999999999</v>
      </c>
      <c r="S1884" s="225"/>
    </row>
    <row r="1885" spans="4:19" x14ac:dyDescent="0.3">
      <c r="D1885" s="349">
        <v>43042</v>
      </c>
      <c r="F1885" s="350">
        <v>10452.5</v>
      </c>
      <c r="S1885" s="225"/>
    </row>
    <row r="1886" spans="4:19" x14ac:dyDescent="0.3">
      <c r="D1886" s="349">
        <v>43041</v>
      </c>
      <c r="F1886" s="350">
        <v>10423.799999999999</v>
      </c>
      <c r="S1886" s="225"/>
    </row>
    <row r="1887" spans="4:19" x14ac:dyDescent="0.3">
      <c r="D1887" s="349">
        <v>43040</v>
      </c>
      <c r="F1887" s="350">
        <v>10440.5</v>
      </c>
      <c r="S1887" s="225"/>
    </row>
    <row r="1888" spans="4:19" x14ac:dyDescent="0.3">
      <c r="D1888" s="349">
        <v>43039</v>
      </c>
      <c r="F1888" s="350">
        <v>10335.299999999999</v>
      </c>
      <c r="S1888" s="225"/>
    </row>
    <row r="1889" spans="4:19" x14ac:dyDescent="0.3">
      <c r="D1889" s="349">
        <v>43038</v>
      </c>
      <c r="F1889" s="350">
        <v>10363.65</v>
      </c>
      <c r="S1889" s="225"/>
    </row>
    <row r="1890" spans="4:19" x14ac:dyDescent="0.3">
      <c r="D1890" s="349">
        <v>43035</v>
      </c>
      <c r="F1890" s="350">
        <v>10323.049999999999</v>
      </c>
      <c r="S1890" s="225"/>
    </row>
    <row r="1891" spans="4:19" x14ac:dyDescent="0.3">
      <c r="D1891" s="349">
        <v>43034</v>
      </c>
      <c r="F1891" s="350">
        <v>10343.799999999999</v>
      </c>
      <c r="S1891" s="225"/>
    </row>
    <row r="1892" spans="4:19" x14ac:dyDescent="0.3">
      <c r="D1892" s="349">
        <v>43033</v>
      </c>
      <c r="F1892" s="350">
        <v>10295.35</v>
      </c>
      <c r="S1892" s="225"/>
    </row>
    <row r="1893" spans="4:19" x14ac:dyDescent="0.3">
      <c r="D1893" s="349">
        <v>43032</v>
      </c>
      <c r="F1893" s="350">
        <v>10207.700000000001</v>
      </c>
      <c r="S1893" s="225"/>
    </row>
    <row r="1894" spans="4:19" x14ac:dyDescent="0.3">
      <c r="D1894" s="349">
        <v>43031</v>
      </c>
      <c r="F1894" s="350">
        <v>10184.85</v>
      </c>
      <c r="S1894" s="225"/>
    </row>
    <row r="1895" spans="4:19" x14ac:dyDescent="0.3">
      <c r="D1895" s="349">
        <v>43027</v>
      </c>
      <c r="F1895" s="350">
        <v>10146.549999999999</v>
      </c>
      <c r="S1895" s="225"/>
    </row>
    <row r="1896" spans="4:19" x14ac:dyDescent="0.3">
      <c r="D1896" s="349">
        <v>43026</v>
      </c>
      <c r="F1896" s="350">
        <v>10210.85</v>
      </c>
      <c r="P1896" s="283"/>
      <c r="S1896" s="225"/>
    </row>
    <row r="1897" spans="4:19" x14ac:dyDescent="0.3">
      <c r="D1897" s="349">
        <v>43025</v>
      </c>
      <c r="F1897" s="350">
        <v>10234.450000000001</v>
      </c>
      <c r="P1897" s="283"/>
      <c r="S1897" s="225"/>
    </row>
    <row r="1898" spans="4:19" x14ac:dyDescent="0.3">
      <c r="D1898" s="349">
        <v>43024</v>
      </c>
      <c r="F1898" s="350">
        <v>10230.85</v>
      </c>
      <c r="P1898" s="283"/>
      <c r="S1898" s="225"/>
    </row>
    <row r="1899" spans="4:19" x14ac:dyDescent="0.3">
      <c r="D1899" s="349">
        <v>43021</v>
      </c>
      <c r="F1899" s="350">
        <v>10167.450000000001</v>
      </c>
      <c r="P1899" s="283"/>
      <c r="S1899" s="225"/>
    </row>
    <row r="1900" spans="4:19" x14ac:dyDescent="0.3">
      <c r="D1900" s="349">
        <v>43020</v>
      </c>
      <c r="F1900" s="350">
        <v>10096.4</v>
      </c>
      <c r="P1900" s="283"/>
      <c r="S1900" s="225"/>
    </row>
    <row r="1901" spans="4:19" x14ac:dyDescent="0.3">
      <c r="D1901" s="349">
        <v>43019</v>
      </c>
      <c r="F1901" s="350">
        <v>9984.7999999999993</v>
      </c>
      <c r="P1901" s="283"/>
      <c r="S1901" s="225"/>
    </row>
    <row r="1902" spans="4:19" x14ac:dyDescent="0.3">
      <c r="D1902" s="349">
        <v>43018</v>
      </c>
      <c r="F1902" s="350">
        <v>10016.950000000001</v>
      </c>
      <c r="P1902" s="283"/>
      <c r="S1902" s="225"/>
    </row>
    <row r="1903" spans="4:19" x14ac:dyDescent="0.3">
      <c r="D1903" s="349">
        <v>43017</v>
      </c>
      <c r="F1903" s="350">
        <v>9988.75</v>
      </c>
      <c r="P1903" s="283"/>
      <c r="S1903" s="225"/>
    </row>
    <row r="1904" spans="4:19" x14ac:dyDescent="0.3">
      <c r="D1904" s="349">
        <v>43014</v>
      </c>
      <c r="F1904" s="350">
        <v>9979.7000000000007</v>
      </c>
      <c r="S1904" s="225"/>
    </row>
    <row r="1905" spans="4:19" x14ac:dyDescent="0.3">
      <c r="D1905" s="349">
        <v>43013</v>
      </c>
      <c r="F1905" s="350">
        <v>9888.7000000000007</v>
      </c>
      <c r="S1905" s="225"/>
    </row>
    <row r="1906" spans="4:19" x14ac:dyDescent="0.3">
      <c r="D1906" s="349">
        <v>43012</v>
      </c>
      <c r="F1906" s="350">
        <v>9914.9</v>
      </c>
      <c r="S1906" s="225"/>
    </row>
    <row r="1907" spans="4:19" x14ac:dyDescent="0.3">
      <c r="D1907" s="349">
        <v>43011</v>
      </c>
      <c r="F1907" s="350">
        <v>9859.5</v>
      </c>
      <c r="S1907" s="225"/>
    </row>
    <row r="1908" spans="4:19" x14ac:dyDescent="0.3">
      <c r="D1908" s="349">
        <v>43007</v>
      </c>
      <c r="F1908" s="350">
        <v>9788.6</v>
      </c>
      <c r="S1908" s="225"/>
    </row>
    <row r="1909" spans="4:19" x14ac:dyDescent="0.3">
      <c r="D1909" s="349">
        <v>43006</v>
      </c>
      <c r="F1909" s="350">
        <v>9768.9500000000007</v>
      </c>
      <c r="S1909" s="225"/>
    </row>
    <row r="1910" spans="4:19" x14ac:dyDescent="0.3">
      <c r="D1910" s="349">
        <v>43005</v>
      </c>
      <c r="F1910" s="350">
        <v>9735.75</v>
      </c>
      <c r="S1910" s="225"/>
    </row>
    <row r="1911" spans="4:19" x14ac:dyDescent="0.3">
      <c r="D1911" s="349">
        <v>43004</v>
      </c>
      <c r="F1911" s="350">
        <v>9871.5</v>
      </c>
      <c r="S1911" s="225"/>
    </row>
    <row r="1912" spans="4:19" x14ac:dyDescent="0.3">
      <c r="D1912" s="349">
        <v>43003</v>
      </c>
      <c r="F1912" s="350">
        <v>9872.6</v>
      </c>
      <c r="S1912" s="225"/>
    </row>
    <row r="1913" spans="4:19" x14ac:dyDescent="0.3">
      <c r="D1913" s="349">
        <v>43000</v>
      </c>
      <c r="F1913" s="350">
        <v>9964.4</v>
      </c>
      <c r="S1913" s="225"/>
    </row>
    <row r="1914" spans="4:19" x14ac:dyDescent="0.3">
      <c r="D1914" s="349">
        <v>42999</v>
      </c>
      <c r="F1914" s="350">
        <v>10121.9</v>
      </c>
      <c r="S1914" s="225"/>
    </row>
    <row r="1915" spans="4:19" x14ac:dyDescent="0.3">
      <c r="D1915" s="349">
        <v>42998</v>
      </c>
      <c r="F1915" s="350">
        <v>10141.15</v>
      </c>
      <c r="S1915" s="225"/>
    </row>
    <row r="1916" spans="4:19" x14ac:dyDescent="0.3">
      <c r="D1916" s="349">
        <v>42997</v>
      </c>
      <c r="F1916" s="350">
        <v>10147.549999999999</v>
      </c>
      <c r="P1916" s="283"/>
      <c r="S1916" s="225"/>
    </row>
    <row r="1917" spans="4:19" x14ac:dyDescent="0.3">
      <c r="D1917" s="349">
        <v>42996</v>
      </c>
      <c r="F1917" s="350">
        <v>10153.1</v>
      </c>
      <c r="P1917" s="283"/>
      <c r="S1917" s="225"/>
    </row>
    <row r="1918" spans="4:19" x14ac:dyDescent="0.3">
      <c r="D1918" s="349">
        <v>42993</v>
      </c>
      <c r="F1918" s="350">
        <v>10085.4</v>
      </c>
      <c r="P1918" s="283"/>
      <c r="S1918" s="225"/>
    </row>
    <row r="1919" spans="4:19" x14ac:dyDescent="0.3">
      <c r="D1919" s="349">
        <v>42992</v>
      </c>
      <c r="F1919" s="350">
        <v>10086.6</v>
      </c>
      <c r="P1919" s="283"/>
      <c r="S1919" s="225"/>
    </row>
    <row r="1920" spans="4:19" x14ac:dyDescent="0.3">
      <c r="D1920" s="349">
        <v>42991</v>
      </c>
      <c r="F1920" s="350">
        <v>10079.299999999999</v>
      </c>
      <c r="P1920" s="283"/>
      <c r="S1920" s="225"/>
    </row>
    <row r="1921" spans="4:19" x14ac:dyDescent="0.3">
      <c r="D1921" s="349">
        <v>42990</v>
      </c>
      <c r="F1921" s="350">
        <v>10093.049999999999</v>
      </c>
      <c r="P1921" s="283"/>
      <c r="S1921" s="225"/>
    </row>
    <row r="1922" spans="4:19" x14ac:dyDescent="0.3">
      <c r="D1922" s="349">
        <v>42989</v>
      </c>
      <c r="F1922" s="350">
        <v>10006.049999999999</v>
      </c>
      <c r="P1922" s="283"/>
      <c r="S1922" s="225"/>
    </row>
    <row r="1923" spans="4:19" x14ac:dyDescent="0.3">
      <c r="D1923" s="349">
        <v>42986</v>
      </c>
      <c r="F1923" s="350">
        <v>9934.7999999999993</v>
      </c>
      <c r="P1923" s="283"/>
      <c r="S1923" s="225"/>
    </row>
    <row r="1924" spans="4:19" x14ac:dyDescent="0.3">
      <c r="D1924" s="349">
        <v>42985</v>
      </c>
      <c r="F1924" s="350">
        <v>9929.9</v>
      </c>
      <c r="P1924" s="283"/>
      <c r="S1924" s="225"/>
    </row>
    <row r="1925" spans="4:19" x14ac:dyDescent="0.3">
      <c r="D1925" s="349">
        <v>42984</v>
      </c>
      <c r="F1925" s="350">
        <v>9916.2000000000007</v>
      </c>
      <c r="S1925" s="225"/>
    </row>
    <row r="1926" spans="4:19" x14ac:dyDescent="0.3">
      <c r="D1926" s="349">
        <v>42983</v>
      </c>
      <c r="F1926" s="350">
        <v>9952.2000000000007</v>
      </c>
      <c r="S1926" s="225"/>
    </row>
    <row r="1927" spans="4:19" x14ac:dyDescent="0.3">
      <c r="D1927" s="349">
        <v>42982</v>
      </c>
      <c r="F1927" s="350">
        <v>9912.85</v>
      </c>
      <c r="S1927" s="225"/>
    </row>
    <row r="1928" spans="4:19" x14ac:dyDescent="0.3">
      <c r="D1928" s="349">
        <v>42979</v>
      </c>
      <c r="F1928" s="350">
        <v>9974.4</v>
      </c>
      <c r="S1928" s="225"/>
    </row>
    <row r="1929" spans="4:19" x14ac:dyDescent="0.3">
      <c r="D1929" s="349">
        <v>42978</v>
      </c>
      <c r="F1929" s="350">
        <v>9917.9</v>
      </c>
      <c r="S1929" s="225"/>
    </row>
    <row r="1930" spans="4:19" x14ac:dyDescent="0.3">
      <c r="D1930" s="349">
        <v>42977</v>
      </c>
      <c r="F1930" s="350">
        <v>9884.4</v>
      </c>
      <c r="S1930" s="225"/>
    </row>
    <row r="1931" spans="4:19" x14ac:dyDescent="0.3">
      <c r="D1931" s="349">
        <v>42976</v>
      </c>
      <c r="F1931" s="350">
        <v>9796.0499999999993</v>
      </c>
      <c r="S1931" s="225"/>
    </row>
    <row r="1932" spans="4:19" x14ac:dyDescent="0.3">
      <c r="D1932" s="349">
        <v>42975</v>
      </c>
      <c r="F1932" s="350">
        <v>9912.7999999999993</v>
      </c>
      <c r="S1932" s="225"/>
    </row>
    <row r="1933" spans="4:19" x14ac:dyDescent="0.3">
      <c r="D1933" s="349">
        <v>42971</v>
      </c>
      <c r="F1933" s="350">
        <v>9857.0499999999993</v>
      </c>
      <c r="S1933" s="225"/>
    </row>
    <row r="1934" spans="4:19" x14ac:dyDescent="0.3">
      <c r="D1934" s="349">
        <v>42970</v>
      </c>
      <c r="F1934" s="350">
        <v>9852.5</v>
      </c>
      <c r="S1934" s="225"/>
    </row>
    <row r="1935" spans="4:19" x14ac:dyDescent="0.3">
      <c r="D1935" s="349">
        <v>42969</v>
      </c>
      <c r="F1935" s="350">
        <v>9765.5499999999993</v>
      </c>
      <c r="S1935" s="225"/>
    </row>
    <row r="1936" spans="4:19" x14ac:dyDescent="0.3">
      <c r="D1936" s="349">
        <v>42968</v>
      </c>
      <c r="F1936" s="350">
        <v>9754.35</v>
      </c>
      <c r="S1936" s="225"/>
    </row>
    <row r="1937" spans="4:19" x14ac:dyDescent="0.3">
      <c r="D1937" s="349">
        <v>42965</v>
      </c>
      <c r="F1937" s="350">
        <v>9837.4</v>
      </c>
      <c r="S1937" s="225"/>
    </row>
    <row r="1938" spans="4:19" x14ac:dyDescent="0.3">
      <c r="D1938" s="349">
        <v>42964</v>
      </c>
      <c r="F1938" s="350">
        <v>9904.15</v>
      </c>
      <c r="P1938" s="283"/>
      <c r="S1938" s="225"/>
    </row>
    <row r="1939" spans="4:19" x14ac:dyDescent="0.3">
      <c r="D1939" s="349">
        <v>42963</v>
      </c>
      <c r="F1939" s="350">
        <v>9897.2999999999993</v>
      </c>
      <c r="P1939" s="283"/>
      <c r="S1939" s="225"/>
    </row>
    <row r="1940" spans="4:19" x14ac:dyDescent="0.3">
      <c r="D1940" s="349">
        <v>42961</v>
      </c>
      <c r="F1940" s="350">
        <v>9794.15</v>
      </c>
      <c r="P1940" s="283"/>
      <c r="S1940" s="225"/>
    </row>
    <row r="1941" spans="4:19" x14ac:dyDescent="0.3">
      <c r="D1941" s="349">
        <v>42958</v>
      </c>
      <c r="F1941" s="350">
        <v>9710.7999999999993</v>
      </c>
      <c r="P1941" s="283"/>
      <c r="S1941" s="225"/>
    </row>
    <row r="1942" spans="4:19" x14ac:dyDescent="0.3">
      <c r="D1942" s="349">
        <v>42957</v>
      </c>
      <c r="F1942" s="350">
        <v>9820.25</v>
      </c>
      <c r="P1942" s="283"/>
      <c r="S1942" s="225"/>
    </row>
    <row r="1943" spans="4:19" x14ac:dyDescent="0.3">
      <c r="D1943" s="349">
        <v>42956</v>
      </c>
      <c r="F1943" s="350">
        <v>9908.0499999999993</v>
      </c>
      <c r="P1943" s="283"/>
      <c r="S1943" s="225"/>
    </row>
    <row r="1944" spans="4:19" x14ac:dyDescent="0.3">
      <c r="D1944" s="349">
        <v>42955</v>
      </c>
      <c r="F1944" s="350">
        <v>9978.5499999999993</v>
      </c>
      <c r="P1944" s="283"/>
      <c r="S1944" s="225"/>
    </row>
    <row r="1945" spans="4:19" x14ac:dyDescent="0.3">
      <c r="D1945" s="349">
        <v>42954</v>
      </c>
      <c r="F1945" s="350">
        <v>10057.4</v>
      </c>
      <c r="P1945" s="283"/>
      <c r="S1945" s="225"/>
    </row>
    <row r="1946" spans="4:19" x14ac:dyDescent="0.3">
      <c r="D1946" s="349">
        <v>42951</v>
      </c>
      <c r="F1946" s="350">
        <v>10066.4</v>
      </c>
      <c r="S1946" s="225"/>
    </row>
    <row r="1947" spans="4:19" x14ac:dyDescent="0.3">
      <c r="D1947" s="349">
        <v>42950</v>
      </c>
      <c r="F1947" s="350">
        <v>10013.65</v>
      </c>
      <c r="S1947" s="225"/>
    </row>
    <row r="1948" spans="4:19" x14ac:dyDescent="0.3">
      <c r="D1948" s="349">
        <v>42949</v>
      </c>
      <c r="F1948" s="350">
        <v>10081.5</v>
      </c>
      <c r="S1948" s="225"/>
    </row>
    <row r="1949" spans="4:19" x14ac:dyDescent="0.3">
      <c r="D1949" s="349">
        <v>42948</v>
      </c>
      <c r="F1949" s="350">
        <v>10114.65</v>
      </c>
      <c r="S1949" s="225"/>
    </row>
    <row r="1950" spans="4:19" x14ac:dyDescent="0.3">
      <c r="D1950" s="349">
        <v>42947</v>
      </c>
      <c r="F1950" s="350">
        <v>10077.1</v>
      </c>
      <c r="S1950" s="225"/>
    </row>
    <row r="1951" spans="4:19" x14ac:dyDescent="0.3">
      <c r="D1951" s="349">
        <v>42944</v>
      </c>
      <c r="F1951" s="350">
        <v>10014.5</v>
      </c>
      <c r="S1951" s="225"/>
    </row>
    <row r="1952" spans="4:19" x14ac:dyDescent="0.3">
      <c r="D1952" s="349">
        <v>42943</v>
      </c>
      <c r="F1952" s="350">
        <v>10020.549999999999</v>
      </c>
      <c r="S1952" s="225"/>
    </row>
    <row r="1953" spans="4:19" x14ac:dyDescent="0.3">
      <c r="D1953" s="349">
        <v>42942</v>
      </c>
      <c r="F1953" s="350">
        <v>10020.65</v>
      </c>
      <c r="S1953" s="225"/>
    </row>
    <row r="1954" spans="4:19" x14ac:dyDescent="0.3">
      <c r="D1954" s="349">
        <v>42941</v>
      </c>
      <c r="F1954" s="350">
        <v>9964.5499999999993</v>
      </c>
      <c r="S1954" s="225"/>
    </row>
    <row r="1955" spans="4:19" x14ac:dyDescent="0.3">
      <c r="D1955" s="349">
        <v>42940</v>
      </c>
      <c r="F1955" s="350">
        <v>9966.4</v>
      </c>
      <c r="S1955" s="225"/>
    </row>
    <row r="1956" spans="4:19" x14ac:dyDescent="0.3">
      <c r="D1956" s="349">
        <v>42937</v>
      </c>
      <c r="F1956" s="350">
        <v>9915.25</v>
      </c>
      <c r="S1956" s="225"/>
    </row>
    <row r="1957" spans="4:19" x14ac:dyDescent="0.3">
      <c r="D1957" s="349">
        <v>42936</v>
      </c>
      <c r="F1957" s="350">
        <v>9873.2999999999993</v>
      </c>
      <c r="S1957" s="225"/>
    </row>
    <row r="1958" spans="4:19" x14ac:dyDescent="0.3">
      <c r="D1958" s="349">
        <v>42935</v>
      </c>
      <c r="F1958" s="350">
        <v>9899.6</v>
      </c>
      <c r="S1958" s="225"/>
    </row>
    <row r="1959" spans="4:19" x14ac:dyDescent="0.3">
      <c r="D1959" s="349">
        <v>42934</v>
      </c>
      <c r="F1959" s="350">
        <v>9827.15</v>
      </c>
      <c r="P1959" s="283"/>
      <c r="S1959" s="225"/>
    </row>
    <row r="1960" spans="4:19" x14ac:dyDescent="0.3">
      <c r="D1960" s="349">
        <v>42933</v>
      </c>
      <c r="F1960" s="350">
        <v>9915.9500000000007</v>
      </c>
      <c r="P1960" s="283"/>
      <c r="S1960" s="225"/>
    </row>
    <row r="1961" spans="4:19" x14ac:dyDescent="0.3">
      <c r="D1961" s="349">
        <v>42930</v>
      </c>
      <c r="F1961" s="350">
        <v>9886.35</v>
      </c>
      <c r="P1961" s="283"/>
      <c r="S1961" s="225"/>
    </row>
    <row r="1962" spans="4:19" x14ac:dyDescent="0.3">
      <c r="D1962" s="349">
        <v>42929</v>
      </c>
      <c r="F1962" s="350">
        <v>9891.7000000000007</v>
      </c>
      <c r="P1962" s="283"/>
      <c r="S1962" s="225"/>
    </row>
    <row r="1963" spans="4:19" x14ac:dyDescent="0.3">
      <c r="D1963" s="349">
        <v>42928</v>
      </c>
      <c r="F1963" s="350">
        <v>9816.1</v>
      </c>
      <c r="P1963" s="283"/>
      <c r="S1963" s="225"/>
    </row>
    <row r="1964" spans="4:19" x14ac:dyDescent="0.3">
      <c r="D1964" s="349">
        <v>42927</v>
      </c>
      <c r="F1964" s="350">
        <v>9786.0499999999993</v>
      </c>
      <c r="P1964" s="283"/>
      <c r="S1964" s="225"/>
    </row>
    <row r="1965" spans="4:19" x14ac:dyDescent="0.3">
      <c r="D1965" s="349">
        <v>42926</v>
      </c>
      <c r="F1965" s="350">
        <v>9771.0499999999993</v>
      </c>
      <c r="P1965" s="283"/>
      <c r="S1965" s="225"/>
    </row>
    <row r="1966" spans="4:19" x14ac:dyDescent="0.3">
      <c r="D1966" s="349">
        <v>42923</v>
      </c>
      <c r="F1966" s="350">
        <v>9665.7999999999993</v>
      </c>
      <c r="P1966" s="283"/>
      <c r="S1966" s="225"/>
    </row>
    <row r="1967" spans="4:19" x14ac:dyDescent="0.3">
      <c r="D1967" s="349">
        <v>42922</v>
      </c>
      <c r="F1967" s="350">
        <v>9674.5499999999993</v>
      </c>
      <c r="S1967" s="225"/>
    </row>
    <row r="1968" spans="4:19" x14ac:dyDescent="0.3">
      <c r="D1968" s="349">
        <v>42921</v>
      </c>
      <c r="F1968" s="350">
        <v>9637.6</v>
      </c>
      <c r="S1968" s="225"/>
    </row>
    <row r="1969" spans="4:19" x14ac:dyDescent="0.3">
      <c r="D1969" s="349">
        <v>42920</v>
      </c>
      <c r="F1969" s="350">
        <v>9613.2999999999993</v>
      </c>
      <c r="S1969" s="225"/>
    </row>
    <row r="1970" spans="4:19" x14ac:dyDescent="0.3">
      <c r="D1970" s="349">
        <v>42919</v>
      </c>
      <c r="F1970" s="350">
        <v>9615</v>
      </c>
      <c r="S1970" s="225"/>
    </row>
    <row r="1971" spans="4:19" x14ac:dyDescent="0.3">
      <c r="D1971" s="349">
        <v>42916</v>
      </c>
      <c r="F1971" s="350">
        <v>9520.9</v>
      </c>
      <c r="S1971" s="225"/>
    </row>
    <row r="1972" spans="4:19" x14ac:dyDescent="0.3">
      <c r="D1972" s="349">
        <v>42915</v>
      </c>
      <c r="F1972" s="350">
        <v>9504.1</v>
      </c>
      <c r="S1972" s="225"/>
    </row>
    <row r="1973" spans="4:19" x14ac:dyDescent="0.3">
      <c r="D1973" s="349">
        <v>42914</v>
      </c>
      <c r="F1973" s="350">
        <v>9491.25</v>
      </c>
      <c r="S1973" s="225"/>
    </row>
    <row r="1974" spans="4:19" x14ac:dyDescent="0.3">
      <c r="D1974" s="349">
        <v>42913</v>
      </c>
      <c r="F1974" s="350">
        <v>9511.4</v>
      </c>
      <c r="S1974" s="225"/>
    </row>
    <row r="1975" spans="4:19" x14ac:dyDescent="0.3">
      <c r="D1975" s="349">
        <v>42909</v>
      </c>
      <c r="F1975" s="350">
        <v>9574.9500000000007</v>
      </c>
      <c r="S1975" s="225"/>
    </row>
    <row r="1976" spans="4:19" x14ac:dyDescent="0.3">
      <c r="D1976" s="349">
        <v>42908</v>
      </c>
      <c r="F1976" s="350">
        <v>9630</v>
      </c>
      <c r="S1976" s="225"/>
    </row>
    <row r="1977" spans="4:19" x14ac:dyDescent="0.3">
      <c r="D1977" s="349">
        <v>42907</v>
      </c>
      <c r="F1977" s="350">
        <v>9633.6</v>
      </c>
      <c r="S1977" s="225"/>
    </row>
    <row r="1978" spans="4:19" x14ac:dyDescent="0.3">
      <c r="D1978" s="349">
        <v>42906</v>
      </c>
      <c r="F1978" s="350">
        <v>9653.5</v>
      </c>
      <c r="S1978" s="225"/>
    </row>
    <row r="1979" spans="4:19" x14ac:dyDescent="0.3">
      <c r="D1979" s="349">
        <v>42905</v>
      </c>
      <c r="F1979" s="350">
        <v>9657.5499999999993</v>
      </c>
      <c r="S1979" s="225"/>
    </row>
    <row r="1980" spans="4:19" x14ac:dyDescent="0.3">
      <c r="D1980" s="349">
        <v>42902</v>
      </c>
      <c r="F1980" s="350">
        <v>9588.0499999999993</v>
      </c>
      <c r="P1980" s="283"/>
      <c r="S1980" s="225"/>
    </row>
    <row r="1981" spans="4:19" x14ac:dyDescent="0.3">
      <c r="D1981" s="349">
        <v>42901</v>
      </c>
      <c r="F1981" s="350">
        <v>9578.0499999999993</v>
      </c>
      <c r="P1981" s="283"/>
      <c r="S1981" s="225"/>
    </row>
    <row r="1982" spans="4:19" x14ac:dyDescent="0.3">
      <c r="D1982" s="349">
        <v>42900</v>
      </c>
      <c r="F1982" s="350">
        <v>9618.15</v>
      </c>
      <c r="P1982" s="283"/>
      <c r="S1982" s="225"/>
    </row>
    <row r="1983" spans="4:19" x14ac:dyDescent="0.3">
      <c r="D1983" s="349">
        <v>42899</v>
      </c>
      <c r="F1983" s="350">
        <v>9606.9</v>
      </c>
      <c r="P1983" s="283"/>
      <c r="S1983" s="225"/>
    </row>
    <row r="1984" spans="4:19" x14ac:dyDescent="0.3">
      <c r="D1984" s="349">
        <v>42898</v>
      </c>
      <c r="F1984" s="350">
        <v>9616.4</v>
      </c>
      <c r="P1984" s="283"/>
      <c r="S1984" s="225"/>
    </row>
    <row r="1985" spans="4:19" x14ac:dyDescent="0.3">
      <c r="D1985" s="349">
        <v>42895</v>
      </c>
      <c r="F1985" s="350">
        <v>9668.25</v>
      </c>
      <c r="P1985" s="283"/>
      <c r="S1985" s="225"/>
    </row>
    <row r="1986" spans="4:19" x14ac:dyDescent="0.3">
      <c r="D1986" s="349">
        <v>42894</v>
      </c>
      <c r="F1986" s="350">
        <v>9647.25</v>
      </c>
      <c r="P1986" s="283"/>
      <c r="S1986" s="225"/>
    </row>
    <row r="1987" spans="4:19" x14ac:dyDescent="0.3">
      <c r="D1987" s="349">
        <v>42893</v>
      </c>
      <c r="F1987" s="350">
        <v>9663.9</v>
      </c>
      <c r="P1987" s="283"/>
      <c r="S1987" s="225"/>
    </row>
    <row r="1988" spans="4:19" x14ac:dyDescent="0.3">
      <c r="D1988" s="349">
        <v>42892</v>
      </c>
      <c r="F1988" s="350">
        <v>9637.15</v>
      </c>
      <c r="P1988" s="283"/>
      <c r="S1988" s="225"/>
    </row>
    <row r="1989" spans="4:19" x14ac:dyDescent="0.3">
      <c r="D1989" s="349">
        <v>42891</v>
      </c>
      <c r="F1989" s="350">
        <v>9675.1</v>
      </c>
      <c r="S1989" s="225"/>
    </row>
    <row r="1990" spans="4:19" x14ac:dyDescent="0.3">
      <c r="D1990" s="349">
        <v>42888</v>
      </c>
      <c r="F1990" s="350">
        <v>9653.5</v>
      </c>
      <c r="S1990" s="225"/>
    </row>
    <row r="1991" spans="4:19" x14ac:dyDescent="0.3">
      <c r="D1991" s="349">
        <v>42887</v>
      </c>
      <c r="F1991" s="350">
        <v>9616.1</v>
      </c>
      <c r="S1991" s="225"/>
    </row>
    <row r="1992" spans="4:19" x14ac:dyDescent="0.3">
      <c r="D1992" s="349">
        <v>42886</v>
      </c>
      <c r="F1992" s="350">
        <v>9621.25</v>
      </c>
      <c r="S1992" s="225"/>
    </row>
    <row r="1993" spans="4:19" x14ac:dyDescent="0.3">
      <c r="D1993" s="349">
        <v>42885</v>
      </c>
      <c r="F1993" s="350">
        <v>9624.5499999999993</v>
      </c>
      <c r="S1993" s="225"/>
    </row>
    <row r="1994" spans="4:19" x14ac:dyDescent="0.3">
      <c r="D1994" s="349">
        <v>42884</v>
      </c>
      <c r="F1994" s="350">
        <v>9604.9</v>
      </c>
      <c r="S1994" s="225"/>
    </row>
    <row r="1995" spans="4:19" x14ac:dyDescent="0.3">
      <c r="D1995" s="349">
        <v>42881</v>
      </c>
      <c r="F1995" s="350">
        <v>9595.1</v>
      </c>
      <c r="S1995" s="225"/>
    </row>
    <row r="1996" spans="4:19" x14ac:dyDescent="0.3">
      <c r="D1996" s="349">
        <v>42880</v>
      </c>
      <c r="F1996" s="350">
        <v>9509.75</v>
      </c>
      <c r="S1996" s="225"/>
    </row>
    <row r="1997" spans="4:19" x14ac:dyDescent="0.3">
      <c r="D1997" s="349">
        <v>42879</v>
      </c>
      <c r="F1997" s="350">
        <v>9360.5499999999993</v>
      </c>
      <c r="S1997" s="225"/>
    </row>
    <row r="1998" spans="4:19" x14ac:dyDescent="0.3">
      <c r="D1998" s="349">
        <v>42878</v>
      </c>
      <c r="F1998" s="350">
        <v>9386.15</v>
      </c>
      <c r="S1998" s="225"/>
    </row>
    <row r="1999" spans="4:19" x14ac:dyDescent="0.3">
      <c r="D1999" s="349">
        <v>42877</v>
      </c>
      <c r="F1999" s="350">
        <v>9438.25</v>
      </c>
      <c r="S1999" s="225"/>
    </row>
    <row r="2000" spans="4:19" x14ac:dyDescent="0.3">
      <c r="D2000" s="349">
        <v>42874</v>
      </c>
      <c r="F2000" s="350">
        <v>9427.9</v>
      </c>
      <c r="P2000" s="283"/>
      <c r="S2000" s="225"/>
    </row>
    <row r="2001" spans="4:19" x14ac:dyDescent="0.3">
      <c r="D2001" s="349">
        <v>42873</v>
      </c>
      <c r="F2001" s="350">
        <v>9429.4500000000007</v>
      </c>
      <c r="P2001" s="283"/>
      <c r="S2001" s="225"/>
    </row>
    <row r="2002" spans="4:19" x14ac:dyDescent="0.3">
      <c r="D2002" s="349">
        <v>42872</v>
      </c>
      <c r="F2002" s="350">
        <v>9525.75</v>
      </c>
      <c r="P2002" s="283"/>
      <c r="S2002" s="225"/>
    </row>
    <row r="2003" spans="4:19" x14ac:dyDescent="0.3">
      <c r="D2003" s="349">
        <v>42871</v>
      </c>
      <c r="F2003" s="350">
        <v>9512.25</v>
      </c>
      <c r="P2003" s="283"/>
      <c r="S2003" s="225"/>
    </row>
    <row r="2004" spans="4:19" x14ac:dyDescent="0.3">
      <c r="D2004" s="349">
        <v>42870</v>
      </c>
      <c r="F2004" s="350">
        <v>9445.4</v>
      </c>
      <c r="P2004" s="283"/>
      <c r="S2004" s="225"/>
    </row>
    <row r="2005" spans="4:19" x14ac:dyDescent="0.3">
      <c r="D2005" s="349">
        <v>42867</v>
      </c>
      <c r="F2005" s="350">
        <v>9400.9</v>
      </c>
      <c r="P2005" s="283"/>
      <c r="S2005" s="225"/>
    </row>
    <row r="2006" spans="4:19" x14ac:dyDescent="0.3">
      <c r="D2006" s="349">
        <v>42866</v>
      </c>
      <c r="F2006" s="350">
        <v>9422.4</v>
      </c>
      <c r="P2006" s="283"/>
      <c r="S2006" s="225"/>
    </row>
    <row r="2007" spans="4:19" x14ac:dyDescent="0.3">
      <c r="D2007" s="349">
        <v>42865</v>
      </c>
      <c r="F2007" s="350">
        <v>9407.2999999999993</v>
      </c>
      <c r="S2007" s="225"/>
    </row>
    <row r="2008" spans="4:19" x14ac:dyDescent="0.3">
      <c r="D2008" s="349">
        <v>42864</v>
      </c>
      <c r="F2008" s="350">
        <v>9316.85</v>
      </c>
      <c r="S2008" s="225"/>
    </row>
    <row r="2009" spans="4:19" x14ac:dyDescent="0.3">
      <c r="D2009" s="349">
        <v>42863</v>
      </c>
      <c r="F2009" s="350">
        <v>9314.0499999999993</v>
      </c>
      <c r="S2009" s="225"/>
    </row>
    <row r="2010" spans="4:19" x14ac:dyDescent="0.3">
      <c r="D2010" s="349">
        <v>42860</v>
      </c>
      <c r="F2010" s="350">
        <v>9285.2999999999993</v>
      </c>
      <c r="S2010" s="225"/>
    </row>
    <row r="2011" spans="4:19" x14ac:dyDescent="0.3">
      <c r="D2011" s="349">
        <v>42859</v>
      </c>
      <c r="F2011" s="350">
        <v>9359.9</v>
      </c>
      <c r="S2011" s="225"/>
    </row>
    <row r="2012" spans="4:19" x14ac:dyDescent="0.3">
      <c r="D2012" s="349">
        <v>42858</v>
      </c>
      <c r="F2012" s="350">
        <v>9311.9500000000007</v>
      </c>
      <c r="S2012" s="225"/>
    </row>
    <row r="2013" spans="4:19" x14ac:dyDescent="0.3">
      <c r="D2013" s="349">
        <v>42857</v>
      </c>
      <c r="F2013" s="350">
        <v>9313.7999999999993</v>
      </c>
      <c r="S2013" s="225"/>
    </row>
    <row r="2014" spans="4:19" x14ac:dyDescent="0.3">
      <c r="D2014" s="349">
        <v>42853</v>
      </c>
      <c r="F2014" s="350">
        <v>9304.0499999999993</v>
      </c>
      <c r="S2014" s="225"/>
    </row>
    <row r="2015" spans="4:19" x14ac:dyDescent="0.3">
      <c r="D2015" s="349">
        <v>42852</v>
      </c>
      <c r="F2015" s="350">
        <v>9342.15</v>
      </c>
      <c r="S2015" s="225"/>
    </row>
    <row r="2016" spans="4:19" x14ac:dyDescent="0.3">
      <c r="D2016" s="349">
        <v>42851</v>
      </c>
      <c r="F2016" s="350">
        <v>9351.85</v>
      </c>
      <c r="S2016" s="225"/>
    </row>
    <row r="2017" spans="4:19" x14ac:dyDescent="0.3">
      <c r="D2017" s="349">
        <v>42850</v>
      </c>
      <c r="F2017" s="350">
        <v>9306.6</v>
      </c>
      <c r="S2017" s="225"/>
    </row>
    <row r="2018" spans="4:19" x14ac:dyDescent="0.3">
      <c r="D2018" s="349">
        <v>42849</v>
      </c>
      <c r="F2018" s="350">
        <v>9217.9500000000007</v>
      </c>
      <c r="S2018" s="225"/>
    </row>
    <row r="2019" spans="4:19" x14ac:dyDescent="0.3">
      <c r="D2019" s="349">
        <v>42846</v>
      </c>
      <c r="F2019" s="350">
        <v>9119.4</v>
      </c>
      <c r="S2019" s="225"/>
    </row>
    <row r="2020" spans="4:19" x14ac:dyDescent="0.3">
      <c r="D2020" s="349">
        <v>42845</v>
      </c>
      <c r="F2020" s="350">
        <v>9136.4</v>
      </c>
      <c r="S2020" s="225"/>
    </row>
    <row r="2021" spans="4:19" x14ac:dyDescent="0.3">
      <c r="D2021" s="349">
        <v>42844</v>
      </c>
      <c r="F2021" s="350">
        <v>9103.5</v>
      </c>
      <c r="P2021" s="283"/>
      <c r="S2021" s="225"/>
    </row>
    <row r="2022" spans="4:19" x14ac:dyDescent="0.3">
      <c r="D2022" s="349">
        <v>42843</v>
      </c>
      <c r="F2022" s="350">
        <v>9105.15</v>
      </c>
      <c r="P2022" s="283"/>
      <c r="S2022" s="225"/>
    </row>
    <row r="2023" spans="4:19" x14ac:dyDescent="0.3">
      <c r="D2023" s="349">
        <v>42842</v>
      </c>
      <c r="F2023" s="350">
        <v>9139.2999999999993</v>
      </c>
      <c r="P2023" s="283"/>
      <c r="S2023" s="225"/>
    </row>
    <row r="2024" spans="4:19" x14ac:dyDescent="0.3">
      <c r="D2024" s="349">
        <v>42838</v>
      </c>
      <c r="F2024" s="350">
        <v>9150.7999999999993</v>
      </c>
      <c r="P2024" s="283"/>
      <c r="S2024" s="225"/>
    </row>
    <row r="2025" spans="4:19" x14ac:dyDescent="0.3">
      <c r="D2025" s="349">
        <v>42837</v>
      </c>
      <c r="F2025" s="350">
        <v>9203.4500000000007</v>
      </c>
      <c r="P2025" s="283"/>
      <c r="S2025" s="225"/>
    </row>
    <row r="2026" spans="4:19" x14ac:dyDescent="0.3">
      <c r="D2026" s="349">
        <v>42836</v>
      </c>
      <c r="F2026" s="350">
        <v>9237</v>
      </c>
      <c r="P2026" s="283"/>
      <c r="S2026" s="225"/>
    </row>
    <row r="2027" spans="4:19" x14ac:dyDescent="0.3">
      <c r="D2027" s="349">
        <v>42835</v>
      </c>
      <c r="F2027" s="350">
        <v>9181.4500000000007</v>
      </c>
      <c r="P2027" s="283"/>
      <c r="S2027" s="225"/>
    </row>
    <row r="2028" spans="4:19" x14ac:dyDescent="0.3">
      <c r="D2028" s="349">
        <v>42832</v>
      </c>
      <c r="F2028" s="350">
        <v>9198.2999999999993</v>
      </c>
      <c r="P2028" s="283"/>
      <c r="S2028" s="225"/>
    </row>
    <row r="2029" spans="4:19" x14ac:dyDescent="0.3">
      <c r="D2029" s="349">
        <v>42831</v>
      </c>
      <c r="F2029" s="350">
        <v>9261.9500000000007</v>
      </c>
      <c r="S2029" s="225"/>
    </row>
    <row r="2030" spans="4:19" x14ac:dyDescent="0.3">
      <c r="D2030" s="349">
        <v>42830</v>
      </c>
      <c r="F2030" s="350">
        <v>9265.15</v>
      </c>
      <c r="S2030" s="225"/>
    </row>
    <row r="2031" spans="4:19" x14ac:dyDescent="0.3">
      <c r="D2031" s="349">
        <v>42828</v>
      </c>
      <c r="F2031" s="350">
        <v>9237.85</v>
      </c>
      <c r="S2031" s="225"/>
    </row>
    <row r="2032" spans="4:19" x14ac:dyDescent="0.3">
      <c r="D2032" s="349">
        <v>42825</v>
      </c>
      <c r="F2032" s="350">
        <v>9173.75</v>
      </c>
      <c r="S2032" s="225"/>
    </row>
    <row r="2033" spans="4:19" x14ac:dyDescent="0.3">
      <c r="D2033" s="349">
        <v>42824</v>
      </c>
      <c r="F2033" s="350">
        <v>9173.75</v>
      </c>
      <c r="S2033" s="225"/>
    </row>
    <row r="2034" spans="4:19" x14ac:dyDescent="0.3">
      <c r="D2034" s="349">
        <v>42823</v>
      </c>
      <c r="F2034" s="350">
        <v>9143.7999999999993</v>
      </c>
      <c r="S2034" s="225"/>
    </row>
    <row r="2035" spans="4:19" x14ac:dyDescent="0.3">
      <c r="D2035" s="349">
        <v>42822</v>
      </c>
      <c r="F2035" s="350">
        <v>9100.7999999999993</v>
      </c>
      <c r="S2035" s="225"/>
    </row>
    <row r="2036" spans="4:19" x14ac:dyDescent="0.3">
      <c r="D2036" s="349">
        <v>42821</v>
      </c>
      <c r="F2036" s="350">
        <v>9045.2000000000007</v>
      </c>
      <c r="S2036" s="225"/>
    </row>
    <row r="2037" spans="4:19" x14ac:dyDescent="0.3">
      <c r="D2037" s="349">
        <v>42818</v>
      </c>
      <c r="F2037" s="350">
        <v>9108</v>
      </c>
      <c r="S2037" s="225"/>
    </row>
    <row r="2038" spans="4:19" x14ac:dyDescent="0.3">
      <c r="D2038" s="349">
        <v>42817</v>
      </c>
      <c r="F2038" s="350">
        <v>9086.2999999999993</v>
      </c>
      <c r="S2038" s="225"/>
    </row>
    <row r="2039" spans="4:19" x14ac:dyDescent="0.3">
      <c r="D2039" s="349">
        <v>42816</v>
      </c>
      <c r="F2039" s="350">
        <v>9030.4500000000007</v>
      </c>
      <c r="S2039" s="225"/>
    </row>
    <row r="2040" spans="4:19" x14ac:dyDescent="0.3">
      <c r="D2040" s="349">
        <v>42815</v>
      </c>
      <c r="F2040" s="350">
        <v>9121.5</v>
      </c>
      <c r="P2040" s="283"/>
      <c r="S2040" s="225"/>
    </row>
    <row r="2041" spans="4:19" x14ac:dyDescent="0.3">
      <c r="D2041" s="349">
        <v>42814</v>
      </c>
      <c r="F2041" s="350">
        <v>9126.85</v>
      </c>
      <c r="P2041" s="283"/>
      <c r="S2041" s="225"/>
    </row>
    <row r="2042" spans="4:19" x14ac:dyDescent="0.3">
      <c r="D2042" s="349">
        <v>42811</v>
      </c>
      <c r="F2042" s="350">
        <v>9160.0499999999993</v>
      </c>
      <c r="P2042" s="283"/>
      <c r="S2042" s="225"/>
    </row>
    <row r="2043" spans="4:19" x14ac:dyDescent="0.3">
      <c r="D2043" s="349">
        <v>42810</v>
      </c>
      <c r="F2043" s="350">
        <v>9153.7000000000007</v>
      </c>
      <c r="P2043" s="283"/>
      <c r="S2043" s="225"/>
    </row>
    <row r="2044" spans="4:19" x14ac:dyDescent="0.3">
      <c r="D2044" s="349">
        <v>42809</v>
      </c>
      <c r="F2044" s="350">
        <v>9084.7999999999993</v>
      </c>
      <c r="P2044" s="283"/>
      <c r="S2044" s="225"/>
    </row>
    <row r="2045" spans="4:19" x14ac:dyDescent="0.3">
      <c r="D2045" s="349">
        <v>42808</v>
      </c>
      <c r="F2045" s="350">
        <v>9087</v>
      </c>
      <c r="P2045" s="283"/>
      <c r="S2045" s="225"/>
    </row>
    <row r="2046" spans="4:19" x14ac:dyDescent="0.3">
      <c r="D2046" s="349">
        <v>42804</v>
      </c>
      <c r="F2046" s="350">
        <v>8934.5499999999993</v>
      </c>
      <c r="P2046" s="283"/>
      <c r="S2046" s="225"/>
    </row>
    <row r="2047" spans="4:19" x14ac:dyDescent="0.3">
      <c r="D2047" s="349">
        <v>42803</v>
      </c>
      <c r="F2047" s="350">
        <v>8927</v>
      </c>
      <c r="P2047" s="283"/>
      <c r="S2047" s="225"/>
    </row>
    <row r="2048" spans="4:19" x14ac:dyDescent="0.3">
      <c r="D2048" s="349">
        <v>42802</v>
      </c>
      <c r="F2048" s="350">
        <v>8924.2999999999993</v>
      </c>
      <c r="S2048" s="225"/>
    </row>
    <row r="2049" spans="4:19" x14ac:dyDescent="0.3">
      <c r="D2049" s="349">
        <v>42801</v>
      </c>
      <c r="F2049" s="350">
        <v>8946.9</v>
      </c>
      <c r="S2049" s="225"/>
    </row>
    <row r="2050" spans="4:19" x14ac:dyDescent="0.3">
      <c r="D2050" s="349">
        <v>42800</v>
      </c>
      <c r="F2050" s="350">
        <v>8963.4500000000007</v>
      </c>
      <c r="S2050" s="225"/>
    </row>
    <row r="2051" spans="4:19" x14ac:dyDescent="0.3">
      <c r="D2051" s="349">
        <v>42797</v>
      </c>
      <c r="F2051" s="350">
        <v>8897.5499999999993</v>
      </c>
      <c r="S2051" s="225"/>
    </row>
    <row r="2052" spans="4:19" x14ac:dyDescent="0.3">
      <c r="D2052" s="349">
        <v>42796</v>
      </c>
      <c r="F2052" s="350">
        <v>8899.75</v>
      </c>
      <c r="S2052" s="225"/>
    </row>
    <row r="2053" spans="4:19" x14ac:dyDescent="0.3">
      <c r="D2053" s="349">
        <v>42795</v>
      </c>
      <c r="F2053" s="350">
        <v>8945.7999999999993</v>
      </c>
      <c r="S2053" s="225"/>
    </row>
    <row r="2054" spans="4:19" x14ac:dyDescent="0.3">
      <c r="D2054" s="349">
        <v>42794</v>
      </c>
      <c r="F2054" s="350">
        <v>8879.6</v>
      </c>
      <c r="S2054" s="225"/>
    </row>
    <row r="2055" spans="4:19" x14ac:dyDescent="0.3">
      <c r="D2055" s="349">
        <v>42793</v>
      </c>
      <c r="F2055" s="350">
        <v>8896.7000000000007</v>
      </c>
      <c r="S2055" s="225"/>
    </row>
    <row r="2056" spans="4:19" x14ac:dyDescent="0.3">
      <c r="D2056" s="349">
        <v>42789</v>
      </c>
      <c r="F2056" s="350">
        <v>8939.5</v>
      </c>
      <c r="S2056" s="225"/>
    </row>
    <row r="2057" spans="4:19" x14ac:dyDescent="0.3">
      <c r="D2057" s="349">
        <v>42788</v>
      </c>
      <c r="F2057" s="350">
        <v>8926.9</v>
      </c>
      <c r="S2057" s="225"/>
    </row>
    <row r="2058" spans="4:19" x14ac:dyDescent="0.3">
      <c r="D2058" s="349">
        <v>42787</v>
      </c>
      <c r="F2058" s="350">
        <v>8907.85</v>
      </c>
      <c r="S2058" s="225"/>
    </row>
    <row r="2059" spans="4:19" x14ac:dyDescent="0.3">
      <c r="D2059" s="349">
        <v>42786</v>
      </c>
      <c r="F2059" s="350">
        <v>8879.2000000000007</v>
      </c>
      <c r="S2059" s="225"/>
    </row>
    <row r="2060" spans="4:19" x14ac:dyDescent="0.3">
      <c r="D2060" s="349">
        <v>42783</v>
      </c>
      <c r="F2060" s="350">
        <v>8821.7000000000007</v>
      </c>
      <c r="P2060" s="283"/>
      <c r="S2060" s="225"/>
    </row>
    <row r="2061" spans="4:19" x14ac:dyDescent="0.3">
      <c r="D2061" s="349">
        <v>42782</v>
      </c>
      <c r="F2061" s="350">
        <v>8778</v>
      </c>
      <c r="P2061" s="283"/>
      <c r="S2061" s="225"/>
    </row>
    <row r="2062" spans="4:19" x14ac:dyDescent="0.3">
      <c r="D2062" s="349">
        <v>42781</v>
      </c>
      <c r="F2062" s="350">
        <v>8724.7000000000007</v>
      </c>
      <c r="P2062" s="283"/>
      <c r="S2062" s="225"/>
    </row>
    <row r="2063" spans="4:19" x14ac:dyDescent="0.3">
      <c r="D2063" s="349">
        <v>42780</v>
      </c>
      <c r="F2063" s="350">
        <v>8792.2999999999993</v>
      </c>
      <c r="P2063" s="283"/>
      <c r="S2063" s="225"/>
    </row>
    <row r="2064" spans="4:19" x14ac:dyDescent="0.3">
      <c r="D2064" s="349">
        <v>42779</v>
      </c>
      <c r="F2064" s="350">
        <v>8805.0499999999993</v>
      </c>
      <c r="P2064" s="283"/>
      <c r="S2064" s="225"/>
    </row>
    <row r="2065" spans="4:19" x14ac:dyDescent="0.3">
      <c r="D2065" s="349">
        <v>42776</v>
      </c>
      <c r="F2065" s="350">
        <v>8793.5499999999993</v>
      </c>
      <c r="P2065" s="283"/>
      <c r="S2065" s="225"/>
    </row>
    <row r="2066" spans="4:19" x14ac:dyDescent="0.3">
      <c r="D2066" s="349">
        <v>42775</v>
      </c>
      <c r="F2066" s="350">
        <v>8778.4</v>
      </c>
      <c r="P2066" s="283"/>
      <c r="S2066" s="225"/>
    </row>
    <row r="2067" spans="4:19" x14ac:dyDescent="0.3">
      <c r="D2067" s="349">
        <v>42774</v>
      </c>
      <c r="F2067" s="350">
        <v>8769.0499999999993</v>
      </c>
      <c r="P2067" s="283"/>
      <c r="S2067" s="225"/>
    </row>
    <row r="2068" spans="4:19" x14ac:dyDescent="0.3">
      <c r="D2068" s="349">
        <v>42773</v>
      </c>
      <c r="F2068" s="350">
        <v>8768.2999999999993</v>
      </c>
      <c r="P2068" s="283"/>
      <c r="S2068" s="225"/>
    </row>
    <row r="2069" spans="4:19" x14ac:dyDescent="0.3">
      <c r="D2069" s="349">
        <v>42772</v>
      </c>
      <c r="F2069" s="350">
        <v>8801.0499999999993</v>
      </c>
      <c r="S2069" s="225"/>
    </row>
    <row r="2070" spans="4:19" x14ac:dyDescent="0.3">
      <c r="D2070" s="349">
        <v>42769</v>
      </c>
      <c r="F2070" s="350">
        <v>8740.9500000000007</v>
      </c>
      <c r="S2070" s="225"/>
    </row>
    <row r="2071" spans="4:19" x14ac:dyDescent="0.3">
      <c r="D2071" s="349">
        <v>42768</v>
      </c>
      <c r="F2071" s="350">
        <v>8734.25</v>
      </c>
      <c r="S2071" s="225"/>
    </row>
    <row r="2072" spans="4:19" x14ac:dyDescent="0.3">
      <c r="D2072" s="349">
        <v>42767</v>
      </c>
      <c r="F2072" s="350">
        <v>8716.4</v>
      </c>
      <c r="S2072" s="225"/>
    </row>
    <row r="2073" spans="4:19" x14ac:dyDescent="0.3">
      <c r="D2073" s="349">
        <v>42766</v>
      </c>
      <c r="F2073" s="350">
        <v>8561.2999999999993</v>
      </c>
      <c r="S2073" s="225"/>
    </row>
    <row r="2074" spans="4:19" x14ac:dyDescent="0.3">
      <c r="D2074" s="349">
        <v>42765</v>
      </c>
      <c r="F2074" s="350">
        <v>8632.75</v>
      </c>
      <c r="S2074" s="225"/>
    </row>
    <row r="2075" spans="4:19" x14ac:dyDescent="0.3">
      <c r="D2075" s="349">
        <v>42762</v>
      </c>
      <c r="F2075" s="350">
        <v>8641.25</v>
      </c>
      <c r="S2075" s="225"/>
    </row>
    <row r="2076" spans="4:19" x14ac:dyDescent="0.3">
      <c r="D2076" s="349">
        <v>42760</v>
      </c>
      <c r="F2076" s="350">
        <v>8602.75</v>
      </c>
      <c r="S2076" s="225"/>
    </row>
    <row r="2077" spans="4:19" x14ac:dyDescent="0.3">
      <c r="D2077" s="349">
        <v>42759</v>
      </c>
      <c r="F2077" s="350">
        <v>8475.7999999999993</v>
      </c>
      <c r="S2077" s="225"/>
    </row>
    <row r="2078" spans="4:19" x14ac:dyDescent="0.3">
      <c r="D2078" s="349">
        <v>42758</v>
      </c>
      <c r="F2078" s="350">
        <v>8391.5</v>
      </c>
      <c r="S2078" s="225"/>
    </row>
    <row r="2079" spans="4:19" x14ac:dyDescent="0.3">
      <c r="D2079" s="349">
        <v>42755</v>
      </c>
      <c r="F2079" s="350">
        <v>8349.35</v>
      </c>
      <c r="S2079" s="225"/>
    </row>
    <row r="2080" spans="4:19" x14ac:dyDescent="0.3">
      <c r="D2080" s="349">
        <v>42754</v>
      </c>
      <c r="F2080" s="350">
        <v>8435.1</v>
      </c>
      <c r="S2080" s="225"/>
    </row>
    <row r="2081" spans="4:19" x14ac:dyDescent="0.3">
      <c r="D2081" s="349">
        <v>42753</v>
      </c>
      <c r="F2081" s="350">
        <v>8417</v>
      </c>
      <c r="S2081" s="225"/>
    </row>
    <row r="2082" spans="4:19" x14ac:dyDescent="0.3">
      <c r="D2082" s="349">
        <v>42752</v>
      </c>
      <c r="F2082" s="350">
        <v>8398</v>
      </c>
      <c r="S2082" s="225"/>
    </row>
    <row r="2083" spans="4:19" x14ac:dyDescent="0.3">
      <c r="D2083" s="349">
        <v>42751</v>
      </c>
      <c r="F2083" s="350">
        <v>8412.7999999999993</v>
      </c>
      <c r="P2083" s="283"/>
      <c r="S2083" s="225"/>
    </row>
    <row r="2084" spans="4:19" x14ac:dyDescent="0.3">
      <c r="D2084" s="349">
        <v>42748</v>
      </c>
      <c r="F2084" s="350">
        <v>8400.35</v>
      </c>
      <c r="P2084" s="283"/>
      <c r="S2084" s="225"/>
    </row>
    <row r="2085" spans="4:19" x14ac:dyDescent="0.3">
      <c r="D2085" s="349">
        <v>42747</v>
      </c>
      <c r="F2085" s="350">
        <v>8407.2000000000007</v>
      </c>
      <c r="P2085" s="283"/>
      <c r="S2085" s="225"/>
    </row>
    <row r="2086" spans="4:19" x14ac:dyDescent="0.3">
      <c r="D2086" s="349">
        <v>42746</v>
      </c>
      <c r="F2086" s="350">
        <v>8380.65</v>
      </c>
      <c r="P2086" s="283"/>
      <c r="S2086" s="225"/>
    </row>
    <row r="2087" spans="4:19" x14ac:dyDescent="0.3">
      <c r="D2087" s="349">
        <v>42745</v>
      </c>
      <c r="F2087" s="350">
        <v>8288.6</v>
      </c>
      <c r="P2087" s="283"/>
      <c r="S2087" s="225"/>
    </row>
    <row r="2088" spans="4:19" x14ac:dyDescent="0.3">
      <c r="D2088" s="349">
        <v>42744</v>
      </c>
      <c r="F2088" s="350">
        <v>8236.0499999999993</v>
      </c>
      <c r="P2088" s="283"/>
      <c r="S2088" s="225"/>
    </row>
    <row r="2089" spans="4:19" x14ac:dyDescent="0.3">
      <c r="D2089" s="349">
        <v>42741</v>
      </c>
      <c r="F2089" s="350">
        <v>8243.7999999999993</v>
      </c>
      <c r="P2089" s="283"/>
      <c r="S2089" s="225"/>
    </row>
    <row r="2090" spans="4:19" x14ac:dyDescent="0.3">
      <c r="D2090" s="349">
        <v>42740</v>
      </c>
      <c r="F2090" s="350">
        <v>8273.7999999999993</v>
      </c>
      <c r="P2090" s="283"/>
      <c r="S2090" s="225"/>
    </row>
    <row r="2091" spans="4:19" x14ac:dyDescent="0.3">
      <c r="D2091" s="349">
        <v>42739</v>
      </c>
      <c r="F2091" s="350">
        <v>8190.5</v>
      </c>
      <c r="S2091" s="225"/>
    </row>
    <row r="2092" spans="4:19" x14ac:dyDescent="0.3">
      <c r="D2092" s="349">
        <v>42738</v>
      </c>
      <c r="F2092" s="350">
        <v>8192.25</v>
      </c>
      <c r="S2092" s="225"/>
    </row>
    <row r="2093" spans="4:19" x14ac:dyDescent="0.3">
      <c r="D2093" s="349">
        <v>42737</v>
      </c>
      <c r="F2093" s="350">
        <v>8179.5</v>
      </c>
      <c r="S2093" s="225"/>
    </row>
    <row r="2094" spans="4:19" x14ac:dyDescent="0.3">
      <c r="D2094" s="349">
        <v>42734</v>
      </c>
      <c r="F2094" s="350">
        <v>8185.8</v>
      </c>
      <c r="S2094" s="225"/>
    </row>
    <row r="2095" spans="4:19" x14ac:dyDescent="0.3">
      <c r="D2095" s="349">
        <v>42733</v>
      </c>
      <c r="F2095" s="350">
        <v>8103.6</v>
      </c>
      <c r="S2095" s="225"/>
    </row>
    <row r="2096" spans="4:19" x14ac:dyDescent="0.3">
      <c r="D2096" s="349">
        <v>42732</v>
      </c>
      <c r="F2096" s="350">
        <v>8034.85</v>
      </c>
      <c r="S2096" s="225"/>
    </row>
    <row r="2097" spans="4:19" x14ac:dyDescent="0.3">
      <c r="D2097" s="349">
        <v>42731</v>
      </c>
      <c r="F2097" s="350">
        <v>8032.85</v>
      </c>
      <c r="S2097" s="225"/>
    </row>
    <row r="2098" spans="4:19" x14ac:dyDescent="0.3">
      <c r="D2098" s="349">
        <v>42730</v>
      </c>
      <c r="F2098" s="350">
        <v>7908.25</v>
      </c>
      <c r="S2098" s="225"/>
    </row>
    <row r="2099" spans="4:19" x14ac:dyDescent="0.3">
      <c r="D2099" s="349">
        <v>42727</v>
      </c>
      <c r="F2099" s="350">
        <v>7985.75</v>
      </c>
      <c r="S2099" s="225"/>
    </row>
    <row r="2100" spans="4:19" x14ac:dyDescent="0.3">
      <c r="D2100" s="349">
        <v>42726</v>
      </c>
      <c r="F2100" s="350">
        <v>7979.1</v>
      </c>
      <c r="S2100" s="225"/>
    </row>
    <row r="2101" spans="4:19" x14ac:dyDescent="0.3">
      <c r="D2101" s="349">
        <v>42725</v>
      </c>
      <c r="F2101" s="350">
        <v>8061.3</v>
      </c>
      <c r="S2101" s="225"/>
    </row>
    <row r="2102" spans="4:19" x14ac:dyDescent="0.3">
      <c r="D2102" s="349">
        <v>42724</v>
      </c>
      <c r="F2102" s="350">
        <v>8082.4</v>
      </c>
      <c r="S2102" s="225"/>
    </row>
    <row r="2103" spans="4:19" x14ac:dyDescent="0.3">
      <c r="D2103" s="349">
        <v>42723</v>
      </c>
      <c r="F2103" s="350">
        <v>8104.35</v>
      </c>
      <c r="P2103" s="283"/>
      <c r="S2103" s="225"/>
    </row>
    <row r="2104" spans="4:19" x14ac:dyDescent="0.3">
      <c r="D2104" s="349">
        <v>42720</v>
      </c>
      <c r="F2104" s="350">
        <v>8139.45</v>
      </c>
      <c r="P2104" s="283"/>
      <c r="S2104" s="225"/>
    </row>
    <row r="2105" spans="4:19" x14ac:dyDescent="0.3">
      <c r="D2105" s="349">
        <v>42719</v>
      </c>
      <c r="F2105" s="350">
        <v>8153.6</v>
      </c>
      <c r="P2105" s="283"/>
      <c r="S2105" s="225"/>
    </row>
    <row r="2106" spans="4:19" x14ac:dyDescent="0.3">
      <c r="D2106" s="349">
        <v>42718</v>
      </c>
      <c r="F2106" s="350">
        <v>8182.45</v>
      </c>
      <c r="P2106" s="283"/>
      <c r="S2106" s="225"/>
    </row>
    <row r="2107" spans="4:19" x14ac:dyDescent="0.3">
      <c r="D2107" s="349">
        <v>42717</v>
      </c>
      <c r="F2107" s="350">
        <v>8221.7999999999993</v>
      </c>
      <c r="P2107" s="283"/>
      <c r="S2107" s="225"/>
    </row>
    <row r="2108" spans="4:19" x14ac:dyDescent="0.3">
      <c r="D2108" s="349">
        <v>42716</v>
      </c>
      <c r="F2108" s="350">
        <v>8170.8</v>
      </c>
      <c r="P2108" s="283"/>
      <c r="S2108" s="225"/>
    </row>
    <row r="2109" spans="4:19" x14ac:dyDescent="0.3">
      <c r="D2109" s="349">
        <v>42713</v>
      </c>
      <c r="F2109" s="350">
        <v>8261.75</v>
      </c>
      <c r="P2109" s="283"/>
      <c r="S2109" s="225"/>
    </row>
    <row r="2110" spans="4:19" x14ac:dyDescent="0.3">
      <c r="D2110" s="349">
        <v>42712</v>
      </c>
      <c r="F2110" s="350">
        <v>8246.85</v>
      </c>
      <c r="P2110" s="283"/>
      <c r="S2110" s="225"/>
    </row>
    <row r="2111" spans="4:19" x14ac:dyDescent="0.3">
      <c r="D2111" s="349">
        <v>42711</v>
      </c>
      <c r="F2111" s="350">
        <v>8102.05</v>
      </c>
      <c r="P2111" s="283"/>
      <c r="S2111" s="225"/>
    </row>
    <row r="2112" spans="4:19" x14ac:dyDescent="0.3">
      <c r="D2112" s="349">
        <v>42710</v>
      </c>
      <c r="F2112" s="350">
        <v>8143.15</v>
      </c>
      <c r="S2112" s="225"/>
    </row>
    <row r="2113" spans="4:19" x14ac:dyDescent="0.3">
      <c r="D2113" s="349">
        <v>42709</v>
      </c>
      <c r="F2113" s="350">
        <v>8128.75</v>
      </c>
      <c r="S2113" s="225"/>
    </row>
    <row r="2114" spans="4:19" x14ac:dyDescent="0.3">
      <c r="D2114" s="349">
        <v>42706</v>
      </c>
      <c r="F2114" s="350">
        <v>8086.8</v>
      </c>
      <c r="S2114" s="225"/>
    </row>
    <row r="2115" spans="4:19" x14ac:dyDescent="0.3">
      <c r="D2115" s="349">
        <v>42705</v>
      </c>
      <c r="F2115" s="350">
        <v>8192.9</v>
      </c>
      <c r="S2115" s="225"/>
    </row>
    <row r="2116" spans="4:19" x14ac:dyDescent="0.3">
      <c r="D2116" s="349">
        <v>42704</v>
      </c>
      <c r="F2116" s="350">
        <v>8224.5</v>
      </c>
      <c r="S2116" s="225"/>
    </row>
    <row r="2117" spans="4:19" x14ac:dyDescent="0.3">
      <c r="D2117" s="349">
        <v>42703</v>
      </c>
      <c r="F2117" s="350">
        <v>8142.15</v>
      </c>
      <c r="S2117" s="225"/>
    </row>
    <row r="2118" spans="4:19" x14ac:dyDescent="0.3">
      <c r="D2118" s="349">
        <v>42702</v>
      </c>
      <c r="F2118" s="350">
        <v>8126.9</v>
      </c>
      <c r="S2118" s="225"/>
    </row>
    <row r="2119" spans="4:19" x14ac:dyDescent="0.3">
      <c r="D2119" s="349">
        <v>42699</v>
      </c>
      <c r="F2119" s="350">
        <v>8114.3</v>
      </c>
      <c r="S2119" s="225"/>
    </row>
    <row r="2120" spans="4:19" x14ac:dyDescent="0.3">
      <c r="D2120" s="349">
        <v>42698</v>
      </c>
      <c r="F2120" s="350">
        <v>7965.5</v>
      </c>
      <c r="S2120" s="225"/>
    </row>
    <row r="2121" spans="4:19" x14ac:dyDescent="0.3">
      <c r="D2121" s="349">
        <v>42697</v>
      </c>
      <c r="F2121" s="350">
        <v>8033.3</v>
      </c>
      <c r="S2121" s="225"/>
    </row>
    <row r="2122" spans="4:19" x14ac:dyDescent="0.3">
      <c r="D2122" s="349">
        <v>42696</v>
      </c>
      <c r="F2122" s="350">
        <v>8002.3</v>
      </c>
      <c r="S2122" s="225"/>
    </row>
    <row r="2123" spans="4:19" x14ac:dyDescent="0.3">
      <c r="D2123" s="349">
        <v>42695</v>
      </c>
      <c r="F2123" s="350">
        <v>7929.1</v>
      </c>
      <c r="S2123" s="225"/>
    </row>
    <row r="2124" spans="4:19" x14ac:dyDescent="0.3">
      <c r="D2124" s="349">
        <v>42692</v>
      </c>
      <c r="F2124" s="350">
        <v>8074.1</v>
      </c>
      <c r="S2124" s="225"/>
    </row>
    <row r="2125" spans="4:19" x14ac:dyDescent="0.3">
      <c r="D2125" s="349">
        <v>42691</v>
      </c>
      <c r="F2125" s="350">
        <v>8079.95</v>
      </c>
      <c r="P2125" s="283"/>
      <c r="S2125" s="225"/>
    </row>
    <row r="2126" spans="4:19" x14ac:dyDescent="0.3">
      <c r="D2126" s="349">
        <v>42690</v>
      </c>
      <c r="F2126" s="350">
        <v>8111.6</v>
      </c>
      <c r="P2126" s="283"/>
      <c r="S2126" s="225"/>
    </row>
    <row r="2127" spans="4:19" x14ac:dyDescent="0.3">
      <c r="D2127" s="349">
        <v>42689</v>
      </c>
      <c r="F2127" s="350">
        <v>8108.45</v>
      </c>
      <c r="P2127" s="283"/>
      <c r="S2127" s="225"/>
    </row>
    <row r="2128" spans="4:19" x14ac:dyDescent="0.3">
      <c r="D2128" s="349">
        <v>42685</v>
      </c>
      <c r="F2128" s="350">
        <v>8296.2999999999993</v>
      </c>
      <c r="P2128" s="283"/>
      <c r="S2128" s="225"/>
    </row>
    <row r="2129" spans="4:19" x14ac:dyDescent="0.3">
      <c r="D2129" s="349">
        <v>42684</v>
      </c>
      <c r="F2129" s="350">
        <v>8525.75</v>
      </c>
      <c r="P2129" s="283"/>
      <c r="S2129" s="225"/>
    </row>
    <row r="2130" spans="4:19" x14ac:dyDescent="0.3">
      <c r="D2130" s="349">
        <v>42683</v>
      </c>
      <c r="F2130" s="350">
        <v>8432</v>
      </c>
      <c r="P2130" s="283"/>
      <c r="S2130" s="225"/>
    </row>
    <row r="2131" spans="4:19" x14ac:dyDescent="0.3">
      <c r="D2131" s="349">
        <v>42682</v>
      </c>
      <c r="F2131" s="350">
        <v>8543.5499999999993</v>
      </c>
      <c r="S2131" s="225"/>
    </row>
    <row r="2132" spans="4:19" x14ac:dyDescent="0.3">
      <c r="D2132" s="349">
        <v>42681</v>
      </c>
      <c r="F2132" s="350">
        <v>8497.0499999999993</v>
      </c>
      <c r="S2132" s="225"/>
    </row>
    <row r="2133" spans="4:19" x14ac:dyDescent="0.3">
      <c r="D2133" s="349">
        <v>42678</v>
      </c>
      <c r="F2133" s="350">
        <v>8433.75</v>
      </c>
      <c r="S2133" s="225"/>
    </row>
    <row r="2134" spans="4:19" x14ac:dyDescent="0.3">
      <c r="D2134" s="349">
        <v>42677</v>
      </c>
      <c r="F2134" s="350">
        <v>8484.9500000000007</v>
      </c>
      <c r="S2134" s="225"/>
    </row>
    <row r="2135" spans="4:19" x14ac:dyDescent="0.3">
      <c r="D2135" s="349">
        <v>42676</v>
      </c>
      <c r="F2135" s="350">
        <v>8514</v>
      </c>
      <c r="S2135" s="225"/>
    </row>
    <row r="2136" spans="4:19" x14ac:dyDescent="0.3">
      <c r="D2136" s="349">
        <v>42675</v>
      </c>
      <c r="F2136" s="350">
        <v>8626.25</v>
      </c>
      <c r="S2136" s="225"/>
    </row>
    <row r="2137" spans="4:19" x14ac:dyDescent="0.3">
      <c r="D2137" s="349">
        <v>42673</v>
      </c>
      <c r="F2137" s="350">
        <v>8625.7000000000007</v>
      </c>
      <c r="S2137" s="225"/>
    </row>
    <row r="2138" spans="4:19" x14ac:dyDescent="0.3">
      <c r="D2138" s="349">
        <v>42671</v>
      </c>
      <c r="F2138" s="350">
        <v>8638</v>
      </c>
      <c r="S2138" s="225"/>
    </row>
    <row r="2139" spans="4:19" x14ac:dyDescent="0.3">
      <c r="D2139" s="349">
        <v>42670</v>
      </c>
      <c r="F2139" s="350">
        <v>8615.25</v>
      </c>
      <c r="S2139" s="225"/>
    </row>
    <row r="2140" spans="4:19" x14ac:dyDescent="0.3">
      <c r="D2140" s="349">
        <v>42669</v>
      </c>
      <c r="F2140" s="350">
        <v>8615.25</v>
      </c>
      <c r="S2140" s="225"/>
    </row>
    <row r="2141" spans="4:19" x14ac:dyDescent="0.3">
      <c r="D2141" s="349">
        <v>42668</v>
      </c>
      <c r="F2141" s="350">
        <v>8691.2999999999993</v>
      </c>
      <c r="S2141" s="225"/>
    </row>
    <row r="2142" spans="4:19" x14ac:dyDescent="0.3">
      <c r="D2142" s="349">
        <v>42667</v>
      </c>
      <c r="F2142" s="350">
        <v>8708.9500000000007</v>
      </c>
      <c r="S2142" s="225"/>
    </row>
    <row r="2143" spans="4:19" x14ac:dyDescent="0.3">
      <c r="D2143" s="349">
        <v>42664</v>
      </c>
      <c r="F2143" s="350">
        <v>8693.0499999999993</v>
      </c>
      <c r="S2143" s="225"/>
    </row>
    <row r="2144" spans="4:19" x14ac:dyDescent="0.3">
      <c r="D2144" s="349">
        <v>42663</v>
      </c>
      <c r="F2144" s="350">
        <v>8699.4</v>
      </c>
      <c r="P2144" s="283"/>
      <c r="S2144" s="225"/>
    </row>
    <row r="2145" spans="4:19" x14ac:dyDescent="0.3">
      <c r="D2145" s="349">
        <v>42662</v>
      </c>
      <c r="F2145" s="350">
        <v>8659.1</v>
      </c>
      <c r="P2145" s="283"/>
      <c r="S2145" s="225"/>
    </row>
    <row r="2146" spans="4:19" x14ac:dyDescent="0.3">
      <c r="D2146" s="349">
        <v>42661</v>
      </c>
      <c r="F2146" s="350">
        <v>8677.9</v>
      </c>
      <c r="P2146" s="283"/>
      <c r="S2146" s="225"/>
    </row>
    <row r="2147" spans="4:19" x14ac:dyDescent="0.3">
      <c r="D2147" s="349">
        <v>42660</v>
      </c>
      <c r="F2147" s="350">
        <v>8520.4</v>
      </c>
      <c r="P2147" s="283"/>
      <c r="S2147" s="225"/>
    </row>
    <row r="2148" spans="4:19" x14ac:dyDescent="0.3">
      <c r="D2148" s="349">
        <v>42657</v>
      </c>
      <c r="F2148" s="350">
        <v>8583.4</v>
      </c>
      <c r="P2148" s="283"/>
      <c r="S2148" s="225"/>
    </row>
    <row r="2149" spans="4:19" x14ac:dyDescent="0.3">
      <c r="D2149" s="349">
        <v>42656</v>
      </c>
      <c r="F2149" s="350">
        <v>8573.35</v>
      </c>
      <c r="P2149" s="283"/>
      <c r="S2149" s="225"/>
    </row>
    <row r="2150" spans="4:19" x14ac:dyDescent="0.3">
      <c r="D2150" s="349">
        <v>42653</v>
      </c>
      <c r="F2150" s="350">
        <v>8708.7999999999993</v>
      </c>
      <c r="P2150" s="283"/>
      <c r="S2150" s="225"/>
    </row>
    <row r="2151" spans="4:19" x14ac:dyDescent="0.3">
      <c r="D2151" s="349">
        <v>42650</v>
      </c>
      <c r="F2151" s="350">
        <v>8697.6</v>
      </c>
      <c r="S2151" s="225"/>
    </row>
    <row r="2152" spans="4:19" x14ac:dyDescent="0.3">
      <c r="D2152" s="349">
        <v>42649</v>
      </c>
      <c r="F2152" s="350">
        <v>8709.5499999999993</v>
      </c>
      <c r="S2152" s="225"/>
    </row>
    <row r="2153" spans="4:19" x14ac:dyDescent="0.3">
      <c r="D2153" s="349">
        <v>42648</v>
      </c>
      <c r="F2153" s="350">
        <v>8743.9500000000007</v>
      </c>
      <c r="S2153" s="225"/>
    </row>
    <row r="2154" spans="4:19" x14ac:dyDescent="0.3">
      <c r="D2154" s="349">
        <v>42647</v>
      </c>
      <c r="F2154" s="350">
        <v>8769.15</v>
      </c>
      <c r="S2154" s="225"/>
    </row>
    <row r="2155" spans="4:19" x14ac:dyDescent="0.3">
      <c r="D2155" s="349">
        <v>42646</v>
      </c>
      <c r="F2155" s="350">
        <v>8738.1</v>
      </c>
      <c r="S2155" s="225"/>
    </row>
    <row r="2156" spans="4:19" x14ac:dyDescent="0.3">
      <c r="D2156" s="349">
        <v>42643</v>
      </c>
      <c r="F2156" s="350">
        <v>8611.15</v>
      </c>
      <c r="S2156" s="225"/>
    </row>
    <row r="2157" spans="4:19" x14ac:dyDescent="0.3">
      <c r="D2157" s="349">
        <v>42642</v>
      </c>
      <c r="F2157" s="350">
        <v>8591.25</v>
      </c>
      <c r="S2157" s="225"/>
    </row>
    <row r="2158" spans="4:19" x14ac:dyDescent="0.3">
      <c r="D2158" s="349">
        <v>42641</v>
      </c>
      <c r="F2158" s="350">
        <v>8745.15</v>
      </c>
      <c r="S2158" s="225"/>
    </row>
    <row r="2159" spans="4:19" x14ac:dyDescent="0.3">
      <c r="D2159" s="349">
        <v>42640</v>
      </c>
      <c r="F2159" s="350">
        <v>8706.4</v>
      </c>
      <c r="S2159" s="225"/>
    </row>
    <row r="2160" spans="4:19" x14ac:dyDescent="0.3">
      <c r="D2160" s="349">
        <v>42639</v>
      </c>
      <c r="F2160" s="350">
        <v>8723.0499999999993</v>
      </c>
      <c r="S2160" s="225"/>
    </row>
    <row r="2161" spans="4:19" x14ac:dyDescent="0.3">
      <c r="D2161" s="349">
        <v>42636</v>
      </c>
      <c r="F2161" s="350">
        <v>8831.5499999999993</v>
      </c>
      <c r="S2161" s="225"/>
    </row>
    <row r="2162" spans="4:19" x14ac:dyDescent="0.3">
      <c r="D2162" s="349">
        <v>42635</v>
      </c>
      <c r="F2162" s="350">
        <v>8867.4500000000007</v>
      </c>
      <c r="S2162" s="225"/>
    </row>
    <row r="2163" spans="4:19" x14ac:dyDescent="0.3">
      <c r="D2163" s="349">
        <v>42634</v>
      </c>
      <c r="F2163" s="350">
        <v>8777.15</v>
      </c>
      <c r="P2163" s="283"/>
      <c r="S2163" s="225"/>
    </row>
    <row r="2164" spans="4:19" x14ac:dyDescent="0.3">
      <c r="D2164" s="349">
        <v>42633</v>
      </c>
      <c r="F2164" s="350">
        <v>8775.9</v>
      </c>
      <c r="P2164" s="283"/>
      <c r="S2164" s="225"/>
    </row>
    <row r="2165" spans="4:19" x14ac:dyDescent="0.3">
      <c r="D2165" s="349">
        <v>42632</v>
      </c>
      <c r="F2165" s="350">
        <v>8808.4</v>
      </c>
      <c r="P2165" s="283"/>
      <c r="S2165" s="225"/>
    </row>
    <row r="2166" spans="4:19" x14ac:dyDescent="0.3">
      <c r="D2166" s="349">
        <v>42629</v>
      </c>
      <c r="F2166" s="350">
        <v>8779.85</v>
      </c>
      <c r="P2166" s="283"/>
      <c r="S2166" s="225"/>
    </row>
    <row r="2167" spans="4:19" x14ac:dyDescent="0.3">
      <c r="D2167" s="349">
        <v>42628</v>
      </c>
      <c r="F2167" s="350">
        <v>8742.5499999999993</v>
      </c>
      <c r="P2167" s="283"/>
      <c r="S2167" s="225"/>
    </row>
    <row r="2168" spans="4:19" x14ac:dyDescent="0.3">
      <c r="D2168" s="349">
        <v>42627</v>
      </c>
      <c r="F2168" s="350">
        <v>8726.6</v>
      </c>
      <c r="P2168" s="283"/>
      <c r="S2168" s="225"/>
    </row>
    <row r="2169" spans="4:19" x14ac:dyDescent="0.3">
      <c r="D2169" s="349">
        <v>42625</v>
      </c>
      <c r="F2169" s="350">
        <v>8715.6</v>
      </c>
      <c r="P2169" s="283"/>
      <c r="S2169" s="225"/>
    </row>
    <row r="2170" spans="4:19" x14ac:dyDescent="0.3">
      <c r="D2170" s="349">
        <v>42622</v>
      </c>
      <c r="F2170" s="350">
        <v>8866.7000000000007</v>
      </c>
      <c r="P2170" s="283"/>
      <c r="S2170" s="225"/>
    </row>
    <row r="2171" spans="4:19" x14ac:dyDescent="0.3">
      <c r="D2171" s="349">
        <v>42621</v>
      </c>
      <c r="F2171" s="350">
        <v>8952.5</v>
      </c>
      <c r="P2171" s="283"/>
      <c r="S2171" s="225"/>
    </row>
    <row r="2172" spans="4:19" x14ac:dyDescent="0.3">
      <c r="D2172" s="349">
        <v>42620</v>
      </c>
      <c r="F2172" s="350">
        <v>8917.9500000000007</v>
      </c>
      <c r="P2172" s="283"/>
      <c r="S2172" s="225"/>
    </row>
    <row r="2173" spans="4:19" x14ac:dyDescent="0.3">
      <c r="D2173" s="349">
        <v>42619</v>
      </c>
      <c r="F2173" s="350">
        <v>8943</v>
      </c>
      <c r="S2173" s="225"/>
    </row>
    <row r="2174" spans="4:19" x14ac:dyDescent="0.3">
      <c r="D2174" s="349">
        <v>42615</v>
      </c>
      <c r="F2174" s="350">
        <v>8809.65</v>
      </c>
      <c r="S2174" s="225"/>
    </row>
    <row r="2175" spans="4:19" x14ac:dyDescent="0.3">
      <c r="D2175" s="349">
        <v>42614</v>
      </c>
      <c r="F2175" s="350">
        <v>8774.65</v>
      </c>
      <c r="S2175" s="225"/>
    </row>
    <row r="2176" spans="4:19" x14ac:dyDescent="0.3">
      <c r="D2176" s="349">
        <v>42613</v>
      </c>
      <c r="F2176" s="350">
        <v>8786.2000000000007</v>
      </c>
      <c r="S2176" s="225"/>
    </row>
    <row r="2177" spans="4:19" x14ac:dyDescent="0.3">
      <c r="D2177" s="349">
        <v>42612</v>
      </c>
      <c r="F2177" s="350">
        <v>8744.35</v>
      </c>
      <c r="S2177" s="225"/>
    </row>
    <row r="2178" spans="4:19" x14ac:dyDescent="0.3">
      <c r="D2178" s="349">
        <v>42611</v>
      </c>
      <c r="F2178" s="350">
        <v>8607.4500000000007</v>
      </c>
      <c r="S2178" s="225"/>
    </row>
    <row r="2179" spans="4:19" x14ac:dyDescent="0.3">
      <c r="D2179" s="349">
        <v>42608</v>
      </c>
      <c r="F2179" s="350">
        <v>8572.5499999999993</v>
      </c>
      <c r="S2179" s="225"/>
    </row>
    <row r="2180" spans="4:19" x14ac:dyDescent="0.3">
      <c r="D2180" s="349">
        <v>42607</v>
      </c>
      <c r="F2180" s="350">
        <v>8592.2000000000007</v>
      </c>
      <c r="S2180" s="225"/>
    </row>
    <row r="2181" spans="4:19" x14ac:dyDescent="0.3">
      <c r="D2181" s="349">
        <v>42606</v>
      </c>
      <c r="F2181" s="350">
        <v>8650.2999999999993</v>
      </c>
      <c r="S2181" s="225"/>
    </row>
    <row r="2182" spans="4:19" x14ac:dyDescent="0.3">
      <c r="D2182" s="349">
        <v>42605</v>
      </c>
      <c r="F2182" s="350">
        <v>8632.6</v>
      </c>
      <c r="S2182" s="225"/>
    </row>
    <row r="2183" spans="4:19" x14ac:dyDescent="0.3">
      <c r="D2183" s="349">
        <v>42604</v>
      </c>
      <c r="F2183" s="350">
        <v>8629.15</v>
      </c>
      <c r="S2183" s="225"/>
    </row>
    <row r="2184" spans="4:19" x14ac:dyDescent="0.3">
      <c r="D2184" s="349">
        <v>42601</v>
      </c>
      <c r="F2184" s="350">
        <v>8666.9</v>
      </c>
      <c r="S2184" s="225"/>
    </row>
    <row r="2185" spans="4:19" x14ac:dyDescent="0.3">
      <c r="D2185" s="349">
        <v>42600</v>
      </c>
      <c r="F2185" s="350">
        <v>8673.25</v>
      </c>
      <c r="S2185" s="225"/>
    </row>
    <row r="2186" spans="4:19" x14ac:dyDescent="0.3">
      <c r="D2186" s="349">
        <v>42599</v>
      </c>
      <c r="F2186" s="350">
        <v>8624.0499999999993</v>
      </c>
      <c r="P2186" s="283"/>
      <c r="S2186" s="225"/>
    </row>
    <row r="2187" spans="4:19" x14ac:dyDescent="0.3">
      <c r="D2187" s="349">
        <v>42598</v>
      </c>
      <c r="F2187" s="350">
        <v>8642.5499999999993</v>
      </c>
      <c r="P2187" s="283"/>
      <c r="S2187" s="225"/>
    </row>
    <row r="2188" spans="4:19" x14ac:dyDescent="0.3">
      <c r="D2188" s="349">
        <v>42594</v>
      </c>
      <c r="F2188" s="350">
        <v>8672.15</v>
      </c>
      <c r="P2188" s="283"/>
      <c r="S2188" s="225"/>
    </row>
    <row r="2189" spans="4:19" x14ac:dyDescent="0.3">
      <c r="D2189" s="349">
        <v>42593</v>
      </c>
      <c r="F2189" s="350">
        <v>8592.15</v>
      </c>
      <c r="P2189" s="283"/>
      <c r="S2189" s="225"/>
    </row>
    <row r="2190" spans="4:19" x14ac:dyDescent="0.3">
      <c r="D2190" s="349">
        <v>42592</v>
      </c>
      <c r="F2190" s="350">
        <v>8575.2999999999993</v>
      </c>
      <c r="P2190" s="283"/>
      <c r="S2190" s="225"/>
    </row>
    <row r="2191" spans="4:19" x14ac:dyDescent="0.3">
      <c r="D2191" s="349">
        <v>42591</v>
      </c>
      <c r="F2191" s="350">
        <v>8678.25</v>
      </c>
      <c r="P2191" s="283"/>
      <c r="S2191" s="225"/>
    </row>
    <row r="2192" spans="4:19" x14ac:dyDescent="0.3">
      <c r="D2192" s="349">
        <v>42590</v>
      </c>
      <c r="F2192" s="350">
        <v>8711.35</v>
      </c>
      <c r="P2192" s="283"/>
      <c r="S2192" s="225"/>
    </row>
    <row r="2193" spans="4:19" x14ac:dyDescent="0.3">
      <c r="D2193" s="349">
        <v>42587</v>
      </c>
      <c r="F2193" s="350">
        <v>8683.15</v>
      </c>
      <c r="S2193" s="225"/>
    </row>
    <row r="2194" spans="4:19" x14ac:dyDescent="0.3">
      <c r="D2194" s="349">
        <v>42586</v>
      </c>
      <c r="F2194" s="350">
        <v>8551.1</v>
      </c>
      <c r="S2194" s="225"/>
    </row>
    <row r="2195" spans="4:19" x14ac:dyDescent="0.3">
      <c r="D2195" s="349">
        <v>42585</v>
      </c>
      <c r="F2195" s="350">
        <v>8544.85</v>
      </c>
      <c r="S2195" s="225"/>
    </row>
    <row r="2196" spans="4:19" x14ac:dyDescent="0.3">
      <c r="D2196" s="349">
        <v>42584</v>
      </c>
      <c r="F2196" s="350">
        <v>8622.9</v>
      </c>
      <c r="S2196" s="225"/>
    </row>
    <row r="2197" spans="4:19" x14ac:dyDescent="0.3">
      <c r="D2197" s="349">
        <v>42583</v>
      </c>
      <c r="F2197" s="350">
        <v>8636.5499999999993</v>
      </c>
      <c r="S2197" s="225"/>
    </row>
    <row r="2198" spans="4:19" x14ac:dyDescent="0.3">
      <c r="D2198" s="349">
        <v>42580</v>
      </c>
      <c r="F2198" s="350">
        <v>8638.5</v>
      </c>
      <c r="S2198" s="225"/>
    </row>
    <row r="2199" spans="4:19" x14ac:dyDescent="0.3">
      <c r="D2199" s="349">
        <v>42579</v>
      </c>
      <c r="F2199" s="350">
        <v>8666.2999999999993</v>
      </c>
      <c r="S2199" s="225"/>
    </row>
    <row r="2200" spans="4:19" x14ac:dyDescent="0.3">
      <c r="D2200" s="349">
        <v>42578</v>
      </c>
      <c r="F2200" s="350">
        <v>8615.7999999999993</v>
      </c>
      <c r="S2200" s="225"/>
    </row>
    <row r="2201" spans="4:19" x14ac:dyDescent="0.3">
      <c r="D2201" s="349">
        <v>42577</v>
      </c>
      <c r="F2201" s="350">
        <v>8590.65</v>
      </c>
      <c r="S2201" s="225"/>
    </row>
    <row r="2202" spans="4:19" x14ac:dyDescent="0.3">
      <c r="D2202" s="349">
        <v>42576</v>
      </c>
      <c r="F2202" s="350">
        <v>8635.65</v>
      </c>
      <c r="S2202" s="225"/>
    </row>
    <row r="2203" spans="4:19" x14ac:dyDescent="0.3">
      <c r="D2203" s="349">
        <v>42573</v>
      </c>
      <c r="F2203" s="350">
        <v>8541.2000000000007</v>
      </c>
      <c r="S2203" s="225"/>
    </row>
    <row r="2204" spans="4:19" x14ac:dyDescent="0.3">
      <c r="D2204" s="349">
        <v>42572</v>
      </c>
      <c r="F2204" s="350">
        <v>8510.1</v>
      </c>
      <c r="S2204" s="225"/>
    </row>
    <row r="2205" spans="4:19" x14ac:dyDescent="0.3">
      <c r="D2205" s="349">
        <v>42571</v>
      </c>
      <c r="F2205" s="350">
        <v>8565.85</v>
      </c>
      <c r="S2205" s="225"/>
    </row>
    <row r="2206" spans="4:19" x14ac:dyDescent="0.3">
      <c r="D2206" s="349">
        <v>42570</v>
      </c>
      <c r="F2206" s="350">
        <v>8528.5499999999993</v>
      </c>
      <c r="S2206" s="225"/>
    </row>
    <row r="2207" spans="4:19" x14ac:dyDescent="0.3">
      <c r="D2207" s="349">
        <v>42569</v>
      </c>
      <c r="F2207" s="350">
        <v>8508.7000000000007</v>
      </c>
      <c r="P2207" s="283"/>
      <c r="S2207" s="225"/>
    </row>
    <row r="2208" spans="4:19" x14ac:dyDescent="0.3">
      <c r="D2208" s="349">
        <v>42566</v>
      </c>
      <c r="F2208" s="350">
        <v>8541.4</v>
      </c>
      <c r="P2208" s="283"/>
      <c r="S2208" s="225"/>
    </row>
    <row r="2209" spans="4:19" x14ac:dyDescent="0.3">
      <c r="D2209" s="349">
        <v>42565</v>
      </c>
      <c r="F2209" s="350">
        <v>8565</v>
      </c>
      <c r="P2209" s="283"/>
      <c r="S2209" s="225"/>
    </row>
    <row r="2210" spans="4:19" x14ac:dyDescent="0.3">
      <c r="D2210" s="349">
        <v>42564</v>
      </c>
      <c r="F2210" s="350">
        <v>8519.5</v>
      </c>
      <c r="P2210" s="283"/>
      <c r="S2210" s="225"/>
    </row>
    <row r="2211" spans="4:19" x14ac:dyDescent="0.3">
      <c r="D2211" s="349">
        <v>42563</v>
      </c>
      <c r="F2211" s="350">
        <v>8521.0499999999993</v>
      </c>
      <c r="P2211" s="283"/>
      <c r="S2211" s="225"/>
    </row>
    <row r="2212" spans="4:19" x14ac:dyDescent="0.3">
      <c r="D2212" s="349">
        <v>42562</v>
      </c>
      <c r="F2212" s="350">
        <v>8467.9</v>
      </c>
      <c r="P2212" s="283"/>
      <c r="S2212" s="225"/>
    </row>
    <row r="2213" spans="4:19" x14ac:dyDescent="0.3">
      <c r="D2213" s="349">
        <v>42559</v>
      </c>
      <c r="F2213" s="350">
        <v>8323.2000000000007</v>
      </c>
      <c r="P2213" s="283"/>
      <c r="S2213" s="225"/>
    </row>
    <row r="2214" spans="4:19" x14ac:dyDescent="0.3">
      <c r="D2214" s="349">
        <v>42558</v>
      </c>
      <c r="F2214" s="350">
        <v>8337.9</v>
      </c>
      <c r="P2214" s="283"/>
      <c r="S2214" s="225"/>
    </row>
    <row r="2215" spans="4:19" x14ac:dyDescent="0.3">
      <c r="D2215" s="349">
        <v>42556</v>
      </c>
      <c r="F2215" s="350">
        <v>8335.9500000000007</v>
      </c>
      <c r="S2215" s="225"/>
    </row>
    <row r="2216" spans="4:19" x14ac:dyDescent="0.3">
      <c r="D2216" s="349">
        <v>42555</v>
      </c>
      <c r="F2216" s="350">
        <v>8370.7000000000007</v>
      </c>
      <c r="S2216" s="225"/>
    </row>
    <row r="2217" spans="4:19" x14ac:dyDescent="0.3">
      <c r="D2217" s="349">
        <v>42552</v>
      </c>
      <c r="F2217" s="350">
        <v>8328.35</v>
      </c>
      <c r="S2217" s="225"/>
    </row>
    <row r="2218" spans="4:19" x14ac:dyDescent="0.3">
      <c r="D2218" s="349">
        <v>42551</v>
      </c>
      <c r="F2218" s="350">
        <v>8287.75</v>
      </c>
      <c r="S2218" s="225"/>
    </row>
    <row r="2219" spans="4:19" x14ac:dyDescent="0.3">
      <c r="D2219" s="349">
        <v>42550</v>
      </c>
      <c r="F2219" s="350">
        <v>8204</v>
      </c>
      <c r="S2219" s="225"/>
    </row>
    <row r="2220" spans="4:19" x14ac:dyDescent="0.3">
      <c r="D2220" s="349">
        <v>42549</v>
      </c>
      <c r="F2220" s="350">
        <v>8127.85</v>
      </c>
      <c r="S2220" s="225"/>
    </row>
    <row r="2221" spans="4:19" x14ac:dyDescent="0.3">
      <c r="D2221" s="349">
        <v>42548</v>
      </c>
      <c r="F2221" s="350">
        <v>8094.7</v>
      </c>
      <c r="S2221" s="225"/>
    </row>
    <row r="2222" spans="4:19" x14ac:dyDescent="0.3">
      <c r="D2222" s="349">
        <v>42545</v>
      </c>
      <c r="F2222" s="350">
        <v>8088.6</v>
      </c>
      <c r="S2222" s="225"/>
    </row>
    <row r="2223" spans="4:19" x14ac:dyDescent="0.3">
      <c r="D2223" s="349">
        <v>42544</v>
      </c>
      <c r="F2223" s="350">
        <v>8270.4500000000007</v>
      </c>
      <c r="S2223" s="225"/>
    </row>
    <row r="2224" spans="4:19" x14ac:dyDescent="0.3">
      <c r="D2224" s="349">
        <v>42543</v>
      </c>
      <c r="F2224" s="350">
        <v>8203.7000000000007</v>
      </c>
      <c r="S2224" s="225"/>
    </row>
    <row r="2225" spans="4:19" x14ac:dyDescent="0.3">
      <c r="D2225" s="349">
        <v>42542</v>
      </c>
      <c r="F2225" s="350">
        <v>8219.9</v>
      </c>
      <c r="S2225" s="225"/>
    </row>
    <row r="2226" spans="4:19" x14ac:dyDescent="0.3">
      <c r="D2226" s="349">
        <v>42541</v>
      </c>
      <c r="F2226" s="350">
        <v>8238.5</v>
      </c>
      <c r="S2226" s="225"/>
    </row>
    <row r="2227" spans="4:19" x14ac:dyDescent="0.3">
      <c r="D2227" s="349">
        <v>42538</v>
      </c>
      <c r="F2227" s="350">
        <v>8170.2</v>
      </c>
      <c r="S2227" s="225"/>
    </row>
    <row r="2228" spans="4:19" x14ac:dyDescent="0.3">
      <c r="D2228" s="349">
        <v>42537</v>
      </c>
      <c r="F2228" s="350">
        <v>8140.75</v>
      </c>
      <c r="P2228" s="283"/>
      <c r="S2228" s="225"/>
    </row>
    <row r="2229" spans="4:19" x14ac:dyDescent="0.3">
      <c r="D2229" s="349">
        <v>42536</v>
      </c>
      <c r="F2229" s="350">
        <v>8206.6</v>
      </c>
      <c r="P2229" s="283"/>
      <c r="S2229" s="225"/>
    </row>
    <row r="2230" spans="4:19" x14ac:dyDescent="0.3">
      <c r="D2230" s="349">
        <v>42535</v>
      </c>
      <c r="F2230" s="350">
        <v>8108.85</v>
      </c>
      <c r="P2230" s="283"/>
      <c r="S2230" s="225"/>
    </row>
    <row r="2231" spans="4:19" x14ac:dyDescent="0.3">
      <c r="D2231" s="349">
        <v>42534</v>
      </c>
      <c r="F2231" s="350">
        <v>8110.6</v>
      </c>
      <c r="P2231" s="283"/>
      <c r="S2231" s="225"/>
    </row>
    <row r="2232" spans="4:19" x14ac:dyDescent="0.3">
      <c r="D2232" s="349">
        <v>42531</v>
      </c>
      <c r="F2232" s="350">
        <v>8170.05</v>
      </c>
      <c r="P2232" s="283"/>
      <c r="S2232" s="225"/>
    </row>
    <row r="2233" spans="4:19" x14ac:dyDescent="0.3">
      <c r="D2233" s="349">
        <v>42530</v>
      </c>
      <c r="F2233" s="350">
        <v>8203.6</v>
      </c>
      <c r="P2233" s="283"/>
      <c r="S2233" s="225"/>
    </row>
    <row r="2234" spans="4:19" x14ac:dyDescent="0.3">
      <c r="D2234" s="349">
        <v>42529</v>
      </c>
      <c r="F2234" s="350">
        <v>8273.0499999999993</v>
      </c>
      <c r="P2234" s="283"/>
      <c r="S2234" s="225"/>
    </row>
    <row r="2235" spans="4:19" x14ac:dyDescent="0.3">
      <c r="D2235" s="349">
        <v>42528</v>
      </c>
      <c r="F2235" s="350">
        <v>8266.4500000000007</v>
      </c>
      <c r="P2235" s="283"/>
      <c r="S2235" s="225"/>
    </row>
    <row r="2236" spans="4:19" x14ac:dyDescent="0.3">
      <c r="D2236" s="349">
        <v>42527</v>
      </c>
      <c r="F2236" s="350">
        <v>8201.0499999999993</v>
      </c>
      <c r="P2236" s="283"/>
      <c r="S2236" s="225"/>
    </row>
    <row r="2237" spans="4:19" x14ac:dyDescent="0.3">
      <c r="D2237" s="349">
        <v>42524</v>
      </c>
      <c r="F2237" s="350">
        <v>8220.7999999999993</v>
      </c>
      <c r="S2237" s="225"/>
    </row>
    <row r="2238" spans="4:19" x14ac:dyDescent="0.3">
      <c r="D2238" s="349">
        <v>42523</v>
      </c>
      <c r="F2238" s="350">
        <v>8218.9500000000007</v>
      </c>
      <c r="S2238" s="225"/>
    </row>
    <row r="2239" spans="4:19" x14ac:dyDescent="0.3">
      <c r="D2239" s="349">
        <v>42522</v>
      </c>
      <c r="F2239" s="350">
        <v>8179.95</v>
      </c>
      <c r="S2239" s="225"/>
    </row>
    <row r="2240" spans="4:19" x14ac:dyDescent="0.3">
      <c r="D2240" s="349">
        <v>42521</v>
      </c>
      <c r="F2240" s="350">
        <v>8160.1</v>
      </c>
      <c r="S2240" s="225"/>
    </row>
    <row r="2241" spans="4:19" x14ac:dyDescent="0.3">
      <c r="D2241" s="349">
        <v>42520</v>
      </c>
      <c r="F2241" s="350">
        <v>8178.5</v>
      </c>
      <c r="S2241" s="225"/>
    </row>
    <row r="2242" spans="4:19" x14ac:dyDescent="0.3">
      <c r="D2242" s="349">
        <v>42517</v>
      </c>
      <c r="F2242" s="350">
        <v>8156.65</v>
      </c>
      <c r="S2242" s="225"/>
    </row>
    <row r="2243" spans="4:19" x14ac:dyDescent="0.3">
      <c r="D2243" s="349">
        <v>42516</v>
      </c>
      <c r="F2243" s="350">
        <v>8069.65</v>
      </c>
      <c r="S2243" s="225"/>
    </row>
    <row r="2244" spans="4:19" x14ac:dyDescent="0.3">
      <c r="D2244" s="349">
        <v>42515</v>
      </c>
      <c r="F2244" s="350">
        <v>7934.9</v>
      </c>
      <c r="S2244" s="225"/>
    </row>
    <row r="2245" spans="4:19" x14ac:dyDescent="0.3">
      <c r="D2245" s="349">
        <v>42514</v>
      </c>
      <c r="F2245" s="350">
        <v>7748.85</v>
      </c>
      <c r="S2245" s="225"/>
    </row>
    <row r="2246" spans="4:19" x14ac:dyDescent="0.3">
      <c r="D2246" s="349">
        <v>42513</v>
      </c>
      <c r="F2246" s="350">
        <v>7731.05</v>
      </c>
      <c r="S2246" s="225"/>
    </row>
    <row r="2247" spans="4:19" x14ac:dyDescent="0.3">
      <c r="D2247" s="349">
        <v>42510</v>
      </c>
      <c r="F2247" s="350">
        <v>7749.7</v>
      </c>
      <c r="P2247" s="283"/>
      <c r="S2247" s="225"/>
    </row>
    <row r="2248" spans="4:19" x14ac:dyDescent="0.3">
      <c r="D2248" s="349">
        <v>42509</v>
      </c>
      <c r="F2248" s="350">
        <v>7783.4</v>
      </c>
      <c r="P2248" s="283"/>
      <c r="S2248" s="225"/>
    </row>
    <row r="2249" spans="4:19" x14ac:dyDescent="0.3">
      <c r="D2249" s="349">
        <v>42508</v>
      </c>
      <c r="F2249" s="350">
        <v>7870.15</v>
      </c>
      <c r="P2249" s="283"/>
      <c r="S2249" s="225"/>
    </row>
    <row r="2250" spans="4:19" x14ac:dyDescent="0.3">
      <c r="D2250" s="349">
        <v>42507</v>
      </c>
      <c r="F2250" s="350">
        <v>7890.75</v>
      </c>
      <c r="P2250" s="283"/>
      <c r="S2250" s="225"/>
    </row>
    <row r="2251" spans="4:19" x14ac:dyDescent="0.3">
      <c r="D2251" s="349">
        <v>42506</v>
      </c>
      <c r="F2251" s="350">
        <v>7860.75</v>
      </c>
      <c r="P2251" s="283"/>
      <c r="S2251" s="225"/>
    </row>
    <row r="2252" spans="4:19" x14ac:dyDescent="0.3">
      <c r="D2252" s="349">
        <v>42503</v>
      </c>
      <c r="F2252" s="350">
        <v>7814.9</v>
      </c>
      <c r="P2252" s="283"/>
      <c r="S2252" s="225"/>
    </row>
    <row r="2253" spans="4:19" x14ac:dyDescent="0.3">
      <c r="D2253" s="349">
        <v>42502</v>
      </c>
      <c r="F2253" s="350">
        <v>7900.4</v>
      </c>
      <c r="P2253" s="283"/>
      <c r="S2253" s="225"/>
    </row>
    <row r="2254" spans="4:19" x14ac:dyDescent="0.3">
      <c r="D2254" s="349">
        <v>42501</v>
      </c>
      <c r="F2254" s="350">
        <v>7848.85</v>
      </c>
      <c r="P2254" s="283"/>
      <c r="S2254" s="225"/>
    </row>
    <row r="2255" spans="4:19" x14ac:dyDescent="0.3">
      <c r="D2255" s="349">
        <v>42500</v>
      </c>
      <c r="F2255" s="350">
        <v>7887.8</v>
      </c>
      <c r="S2255" s="225"/>
    </row>
    <row r="2256" spans="4:19" x14ac:dyDescent="0.3">
      <c r="D2256" s="349">
        <v>42499</v>
      </c>
      <c r="F2256" s="350">
        <v>7866.05</v>
      </c>
      <c r="S2256" s="225"/>
    </row>
    <row r="2257" spans="4:19" x14ac:dyDescent="0.3">
      <c r="D2257" s="349">
        <v>42496</v>
      </c>
      <c r="F2257" s="350">
        <v>7733.45</v>
      </c>
      <c r="S2257" s="225"/>
    </row>
    <row r="2258" spans="4:19" x14ac:dyDescent="0.3">
      <c r="D2258" s="349">
        <v>42495</v>
      </c>
      <c r="F2258" s="350">
        <v>7735.5</v>
      </c>
      <c r="S2258" s="225"/>
    </row>
    <row r="2259" spans="4:19" x14ac:dyDescent="0.3">
      <c r="D2259" s="349">
        <v>42494</v>
      </c>
      <c r="F2259" s="350">
        <v>7706.55</v>
      </c>
      <c r="S2259" s="225"/>
    </row>
    <row r="2260" spans="4:19" x14ac:dyDescent="0.3">
      <c r="D2260" s="349">
        <v>42493</v>
      </c>
      <c r="F2260" s="350">
        <v>7747</v>
      </c>
      <c r="S2260" s="225"/>
    </row>
    <row r="2261" spans="4:19" x14ac:dyDescent="0.3">
      <c r="D2261" s="349">
        <v>42492</v>
      </c>
      <c r="F2261" s="350">
        <v>7805.9</v>
      </c>
      <c r="S2261" s="225"/>
    </row>
    <row r="2262" spans="4:19" x14ac:dyDescent="0.3">
      <c r="D2262" s="349">
        <v>42489</v>
      </c>
      <c r="F2262" s="350">
        <v>7849.8</v>
      </c>
      <c r="S2262" s="225"/>
    </row>
    <row r="2263" spans="4:19" x14ac:dyDescent="0.3">
      <c r="D2263" s="349">
        <v>42488</v>
      </c>
      <c r="F2263" s="350">
        <v>7847.25</v>
      </c>
      <c r="S2263" s="225"/>
    </row>
    <row r="2264" spans="4:19" x14ac:dyDescent="0.3">
      <c r="D2264" s="349">
        <v>42487</v>
      </c>
      <c r="F2264" s="350">
        <v>7979.9</v>
      </c>
      <c r="S2264" s="225"/>
    </row>
    <row r="2265" spans="4:19" x14ac:dyDescent="0.3">
      <c r="D2265" s="349">
        <v>42486</v>
      </c>
      <c r="F2265" s="350">
        <v>7962.65</v>
      </c>
      <c r="S2265" s="225"/>
    </row>
    <row r="2266" spans="4:19" x14ac:dyDescent="0.3">
      <c r="D2266" s="349">
        <v>42485</v>
      </c>
      <c r="F2266" s="350">
        <v>7855.05</v>
      </c>
      <c r="S2266" s="225"/>
    </row>
    <row r="2267" spans="4:19" x14ac:dyDescent="0.3">
      <c r="D2267" s="349">
        <v>42482</v>
      </c>
      <c r="F2267" s="350">
        <v>7899.3</v>
      </c>
      <c r="P2267" s="283"/>
      <c r="S2267" s="225"/>
    </row>
    <row r="2268" spans="4:19" x14ac:dyDescent="0.3">
      <c r="D2268" s="349">
        <v>42481</v>
      </c>
      <c r="F2268" s="350">
        <v>7912.05</v>
      </c>
      <c r="P2268" s="283"/>
      <c r="S2268" s="225"/>
    </row>
    <row r="2269" spans="4:19" x14ac:dyDescent="0.3">
      <c r="D2269" s="349">
        <v>42480</v>
      </c>
      <c r="F2269" s="350">
        <v>7914.75</v>
      </c>
      <c r="P2269" s="283"/>
      <c r="S2269" s="225"/>
    </row>
    <row r="2270" spans="4:19" x14ac:dyDescent="0.3">
      <c r="D2270" s="349">
        <v>42478</v>
      </c>
      <c r="F2270" s="350">
        <v>7914.7</v>
      </c>
      <c r="P2270" s="283"/>
      <c r="S2270" s="225"/>
    </row>
    <row r="2271" spans="4:19" x14ac:dyDescent="0.3">
      <c r="D2271" s="349">
        <v>42473</v>
      </c>
      <c r="F2271" s="350">
        <v>7850.45</v>
      </c>
      <c r="P2271" s="283"/>
      <c r="S2271" s="225"/>
    </row>
    <row r="2272" spans="4:19" x14ac:dyDescent="0.3">
      <c r="D2272" s="349">
        <v>42472</v>
      </c>
      <c r="F2272" s="350">
        <v>7708.95</v>
      </c>
      <c r="P2272" s="283"/>
      <c r="S2272" s="225"/>
    </row>
    <row r="2273" spans="4:19" x14ac:dyDescent="0.3">
      <c r="D2273" s="349">
        <v>42471</v>
      </c>
      <c r="F2273" s="350">
        <v>7671.4</v>
      </c>
      <c r="P2273" s="283"/>
      <c r="S2273" s="225"/>
    </row>
    <row r="2274" spans="4:19" x14ac:dyDescent="0.3">
      <c r="D2274" s="349">
        <v>42468</v>
      </c>
      <c r="F2274" s="350">
        <v>7555.2</v>
      </c>
      <c r="P2274" s="283"/>
      <c r="S2274" s="225"/>
    </row>
    <row r="2275" spans="4:19" x14ac:dyDescent="0.3">
      <c r="D2275" s="349">
        <v>42467</v>
      </c>
      <c r="F2275" s="350">
        <v>7546.45</v>
      </c>
      <c r="S2275" s="225"/>
    </row>
    <row r="2276" spans="4:19" x14ac:dyDescent="0.3">
      <c r="D2276" s="349">
        <v>42466</v>
      </c>
      <c r="F2276" s="350">
        <v>7614.35</v>
      </c>
      <c r="S2276" s="225"/>
    </row>
    <row r="2277" spans="4:19" x14ac:dyDescent="0.3">
      <c r="D2277" s="349">
        <v>42465</v>
      </c>
      <c r="F2277" s="350">
        <v>7603.2</v>
      </c>
      <c r="S2277" s="225"/>
    </row>
    <row r="2278" spans="4:19" x14ac:dyDescent="0.3">
      <c r="D2278" s="349">
        <v>42464</v>
      </c>
      <c r="F2278" s="350">
        <v>7758.8</v>
      </c>
      <c r="S2278" s="225"/>
    </row>
    <row r="2279" spans="4:19" x14ac:dyDescent="0.3">
      <c r="D2279" s="349">
        <v>42461</v>
      </c>
      <c r="F2279" s="350">
        <v>7713.05</v>
      </c>
      <c r="S2279" s="225"/>
    </row>
    <row r="2280" spans="4:19" x14ac:dyDescent="0.3">
      <c r="D2280" s="349">
        <v>42460</v>
      </c>
      <c r="F2280" s="350">
        <v>7738.4</v>
      </c>
      <c r="S2280" s="225"/>
    </row>
    <row r="2281" spans="4:19" x14ac:dyDescent="0.3">
      <c r="D2281" s="349">
        <v>42459</v>
      </c>
      <c r="F2281" s="350">
        <v>7735.2</v>
      </c>
      <c r="S2281" s="225"/>
    </row>
    <row r="2282" spans="4:19" x14ac:dyDescent="0.3">
      <c r="D2282" s="349">
        <v>42458</v>
      </c>
      <c r="F2282" s="350">
        <v>7597</v>
      </c>
      <c r="S2282" s="225"/>
    </row>
    <row r="2283" spans="4:19" x14ac:dyDescent="0.3">
      <c r="D2283" s="349">
        <v>42457</v>
      </c>
      <c r="F2283" s="350">
        <v>7615.1</v>
      </c>
      <c r="S2283" s="225"/>
    </row>
    <row r="2284" spans="4:19" x14ac:dyDescent="0.3">
      <c r="D2284" s="349">
        <v>42452</v>
      </c>
      <c r="F2284" s="350">
        <v>7716.5</v>
      </c>
      <c r="S2284" s="225"/>
    </row>
    <row r="2285" spans="4:19" x14ac:dyDescent="0.3">
      <c r="D2285" s="349">
        <v>42451</v>
      </c>
      <c r="F2285" s="350">
        <v>7714.9</v>
      </c>
      <c r="S2285" s="225"/>
    </row>
    <row r="2286" spans="4:19" x14ac:dyDescent="0.3">
      <c r="D2286" s="349">
        <v>42450</v>
      </c>
      <c r="F2286" s="350">
        <v>7704.25</v>
      </c>
      <c r="P2286" s="283"/>
      <c r="S2286" s="225"/>
    </row>
    <row r="2287" spans="4:19" x14ac:dyDescent="0.3">
      <c r="D2287" s="349">
        <v>42447</v>
      </c>
      <c r="F2287" s="350">
        <v>7604.35</v>
      </c>
      <c r="P2287" s="283"/>
      <c r="S2287" s="225"/>
    </row>
    <row r="2288" spans="4:19" x14ac:dyDescent="0.3">
      <c r="D2288" s="349">
        <v>42446</v>
      </c>
      <c r="F2288" s="350">
        <v>7512.55</v>
      </c>
      <c r="P2288" s="283"/>
      <c r="S2288" s="225"/>
    </row>
    <row r="2289" spans="4:19" x14ac:dyDescent="0.3">
      <c r="D2289" s="349">
        <v>42445</v>
      </c>
      <c r="F2289" s="350">
        <v>7498.75</v>
      </c>
      <c r="P2289" s="283"/>
      <c r="S2289" s="225"/>
    </row>
    <row r="2290" spans="4:19" x14ac:dyDescent="0.3">
      <c r="D2290" s="349">
        <v>42444</v>
      </c>
      <c r="F2290" s="350">
        <v>7460.6</v>
      </c>
      <c r="P2290" s="283"/>
      <c r="S2290" s="225"/>
    </row>
    <row r="2291" spans="4:19" x14ac:dyDescent="0.3">
      <c r="D2291" s="349">
        <v>42443</v>
      </c>
      <c r="F2291" s="350">
        <v>7538.75</v>
      </c>
      <c r="P2291" s="283"/>
      <c r="S2291" s="225"/>
    </row>
    <row r="2292" spans="4:19" x14ac:dyDescent="0.3">
      <c r="D2292" s="349">
        <v>42440</v>
      </c>
      <c r="F2292" s="350">
        <v>7510.2</v>
      </c>
      <c r="P2292" s="283"/>
      <c r="S2292" s="225"/>
    </row>
    <row r="2293" spans="4:19" x14ac:dyDescent="0.3">
      <c r="D2293" s="349">
        <v>42439</v>
      </c>
      <c r="F2293" s="350">
        <v>7486.15</v>
      </c>
      <c r="P2293" s="283"/>
      <c r="S2293" s="225"/>
    </row>
    <row r="2294" spans="4:19" x14ac:dyDescent="0.3">
      <c r="D2294" s="349">
        <v>42438</v>
      </c>
      <c r="F2294" s="350">
        <v>7531.8</v>
      </c>
      <c r="P2294" s="283"/>
      <c r="S2294" s="225"/>
    </row>
    <row r="2295" spans="4:19" x14ac:dyDescent="0.3">
      <c r="D2295" s="349">
        <v>42437</v>
      </c>
      <c r="F2295" s="350">
        <v>7485.3</v>
      </c>
      <c r="P2295" s="283"/>
      <c r="S2295" s="225"/>
    </row>
    <row r="2296" spans="4:19" x14ac:dyDescent="0.3">
      <c r="D2296" s="349">
        <v>42433</v>
      </c>
      <c r="F2296" s="350">
        <v>7485.35</v>
      </c>
      <c r="S2296" s="225"/>
    </row>
    <row r="2297" spans="4:19" x14ac:dyDescent="0.3">
      <c r="D2297" s="349">
        <v>42432</v>
      </c>
      <c r="F2297" s="350">
        <v>7475.6</v>
      </c>
      <c r="S2297" s="225"/>
    </row>
    <row r="2298" spans="4:19" x14ac:dyDescent="0.3">
      <c r="D2298" s="349">
        <v>42431</v>
      </c>
      <c r="F2298" s="350">
        <v>7368.85</v>
      </c>
      <c r="S2298" s="225"/>
    </row>
    <row r="2299" spans="4:19" x14ac:dyDescent="0.3">
      <c r="D2299" s="349">
        <v>42430</v>
      </c>
      <c r="F2299" s="350">
        <v>7222.3</v>
      </c>
      <c r="S2299" s="225"/>
    </row>
    <row r="2300" spans="4:19" x14ac:dyDescent="0.3">
      <c r="D2300" s="349">
        <v>42429</v>
      </c>
      <c r="F2300" s="350">
        <v>6987.05</v>
      </c>
      <c r="S2300" s="225"/>
    </row>
    <row r="2301" spans="4:19" x14ac:dyDescent="0.3">
      <c r="D2301" s="349">
        <v>42426</v>
      </c>
      <c r="F2301" s="350">
        <v>7029.75</v>
      </c>
      <c r="S2301" s="225"/>
    </row>
    <row r="2302" spans="4:19" x14ac:dyDescent="0.3">
      <c r="D2302" s="349">
        <v>42425</v>
      </c>
      <c r="F2302" s="350">
        <v>6970.6</v>
      </c>
      <c r="S2302" s="225"/>
    </row>
    <row r="2303" spans="4:19" x14ac:dyDescent="0.3">
      <c r="D2303" s="349">
        <v>42424</v>
      </c>
      <c r="F2303" s="350">
        <v>7018.7</v>
      </c>
      <c r="S2303" s="225"/>
    </row>
    <row r="2304" spans="4:19" x14ac:dyDescent="0.3">
      <c r="D2304" s="349">
        <v>42423</v>
      </c>
      <c r="F2304" s="350">
        <v>7109.55</v>
      </c>
      <c r="S2304" s="225"/>
    </row>
    <row r="2305" spans="4:19" x14ac:dyDescent="0.3">
      <c r="D2305" s="349">
        <v>42422</v>
      </c>
      <c r="F2305" s="350">
        <v>7234.55</v>
      </c>
      <c r="S2305" s="225"/>
    </row>
    <row r="2306" spans="4:19" x14ac:dyDescent="0.3">
      <c r="D2306" s="349">
        <v>42419</v>
      </c>
      <c r="F2306" s="350">
        <v>7210.75</v>
      </c>
      <c r="S2306" s="225"/>
    </row>
    <row r="2307" spans="4:19" x14ac:dyDescent="0.3">
      <c r="D2307" s="349">
        <v>42418</v>
      </c>
      <c r="F2307" s="350">
        <v>7191.75</v>
      </c>
      <c r="S2307" s="225"/>
    </row>
    <row r="2308" spans="4:19" x14ac:dyDescent="0.3">
      <c r="D2308" s="349">
        <v>42417</v>
      </c>
      <c r="F2308" s="350">
        <v>7108.45</v>
      </c>
      <c r="P2308" s="283"/>
      <c r="S2308" s="225"/>
    </row>
    <row r="2309" spans="4:19" x14ac:dyDescent="0.3">
      <c r="D2309" s="349">
        <v>42416</v>
      </c>
      <c r="F2309" s="350">
        <v>7048.25</v>
      </c>
      <c r="P2309" s="283"/>
      <c r="S2309" s="225"/>
    </row>
    <row r="2310" spans="4:19" x14ac:dyDescent="0.3">
      <c r="D2310" s="349">
        <v>42415</v>
      </c>
      <c r="F2310" s="350">
        <v>7162.95</v>
      </c>
      <c r="P2310" s="283"/>
      <c r="S2310" s="225"/>
    </row>
    <row r="2311" spans="4:19" x14ac:dyDescent="0.3">
      <c r="D2311" s="349">
        <v>42412</v>
      </c>
      <c r="F2311" s="350">
        <v>6980.95</v>
      </c>
      <c r="P2311" s="283"/>
      <c r="S2311" s="225"/>
    </row>
    <row r="2312" spans="4:19" x14ac:dyDescent="0.3">
      <c r="D2312" s="349">
        <v>42411</v>
      </c>
      <c r="F2312" s="350">
        <v>6976.35</v>
      </c>
      <c r="P2312" s="283"/>
      <c r="S2312" s="225"/>
    </row>
    <row r="2313" spans="4:19" x14ac:dyDescent="0.3">
      <c r="D2313" s="349">
        <v>42410</v>
      </c>
      <c r="F2313" s="350">
        <v>7215.7</v>
      </c>
      <c r="P2313" s="283"/>
      <c r="S2313" s="225"/>
    </row>
    <row r="2314" spans="4:19" x14ac:dyDescent="0.3">
      <c r="D2314" s="349">
        <v>42409</v>
      </c>
      <c r="F2314" s="350">
        <v>7298.2</v>
      </c>
      <c r="P2314" s="283"/>
      <c r="S2314" s="225"/>
    </row>
    <row r="2315" spans="4:19" x14ac:dyDescent="0.3">
      <c r="D2315" s="349">
        <v>42408</v>
      </c>
      <c r="F2315" s="350">
        <v>7387.25</v>
      </c>
      <c r="P2315" s="283"/>
      <c r="S2315" s="225"/>
    </row>
    <row r="2316" spans="4:19" x14ac:dyDescent="0.3">
      <c r="D2316" s="349">
        <v>42405</v>
      </c>
      <c r="F2316" s="350">
        <v>7489.1</v>
      </c>
      <c r="S2316" s="225"/>
    </row>
    <row r="2317" spans="4:19" x14ac:dyDescent="0.3">
      <c r="D2317" s="349">
        <v>42404</v>
      </c>
      <c r="F2317" s="350">
        <v>7404</v>
      </c>
      <c r="S2317" s="225"/>
    </row>
    <row r="2318" spans="4:19" x14ac:dyDescent="0.3">
      <c r="D2318" s="349">
        <v>42403</v>
      </c>
      <c r="F2318" s="350">
        <v>7361.8</v>
      </c>
      <c r="S2318" s="225"/>
    </row>
    <row r="2319" spans="4:19" x14ac:dyDescent="0.3">
      <c r="D2319" s="349">
        <v>42402</v>
      </c>
      <c r="F2319" s="350">
        <v>7455.55</v>
      </c>
      <c r="S2319" s="225"/>
    </row>
    <row r="2320" spans="4:19" x14ac:dyDescent="0.3">
      <c r="D2320" s="349">
        <v>42401</v>
      </c>
      <c r="F2320" s="350">
        <v>7555.95</v>
      </c>
      <c r="S2320" s="225"/>
    </row>
    <row r="2321" spans="4:19" x14ac:dyDescent="0.3">
      <c r="D2321" s="349">
        <v>42398</v>
      </c>
      <c r="F2321" s="350">
        <v>7563.55</v>
      </c>
      <c r="S2321" s="225"/>
    </row>
    <row r="2322" spans="4:19" x14ac:dyDescent="0.3">
      <c r="D2322" s="349">
        <v>42397</v>
      </c>
      <c r="F2322" s="350">
        <v>7424.65</v>
      </c>
      <c r="S2322" s="225"/>
    </row>
    <row r="2323" spans="4:19" x14ac:dyDescent="0.3">
      <c r="D2323" s="349">
        <v>42396</v>
      </c>
      <c r="F2323" s="350">
        <v>7437.75</v>
      </c>
      <c r="S2323" s="225"/>
    </row>
    <row r="2324" spans="4:19" x14ac:dyDescent="0.3">
      <c r="D2324" s="349">
        <v>42394</v>
      </c>
      <c r="F2324" s="350">
        <v>7436.15</v>
      </c>
      <c r="S2324" s="225"/>
    </row>
    <row r="2325" spans="4:19" x14ac:dyDescent="0.3">
      <c r="D2325" s="349">
        <v>42391</v>
      </c>
      <c r="F2325" s="350">
        <v>7422.45</v>
      </c>
      <c r="S2325" s="225"/>
    </row>
    <row r="2326" spans="4:19" x14ac:dyDescent="0.3">
      <c r="D2326" s="349">
        <v>42390</v>
      </c>
      <c r="F2326" s="350">
        <v>7276.8</v>
      </c>
      <c r="S2326" s="225"/>
    </row>
    <row r="2327" spans="4:19" x14ac:dyDescent="0.3">
      <c r="D2327" s="349">
        <v>42389</v>
      </c>
      <c r="F2327" s="350">
        <v>7309.3</v>
      </c>
      <c r="S2327" s="225"/>
    </row>
    <row r="2328" spans="4:19" x14ac:dyDescent="0.3">
      <c r="D2328" s="349">
        <v>42388</v>
      </c>
      <c r="F2328" s="350">
        <v>7435.1</v>
      </c>
      <c r="S2328" s="225"/>
    </row>
    <row r="2329" spans="4:19" x14ac:dyDescent="0.3">
      <c r="D2329" s="349">
        <v>42387</v>
      </c>
      <c r="F2329" s="350">
        <v>7351</v>
      </c>
      <c r="P2329" s="283"/>
      <c r="S2329" s="225"/>
    </row>
    <row r="2330" spans="4:19" x14ac:dyDescent="0.3">
      <c r="D2330" s="349">
        <v>42384</v>
      </c>
      <c r="F2330" s="350">
        <v>7437.8</v>
      </c>
      <c r="P2330" s="283"/>
      <c r="S2330" s="225"/>
    </row>
    <row r="2331" spans="4:19" x14ac:dyDescent="0.3">
      <c r="D2331" s="349">
        <v>42383</v>
      </c>
      <c r="F2331" s="350">
        <v>7536.8</v>
      </c>
      <c r="P2331" s="283"/>
      <c r="S2331" s="225"/>
    </row>
    <row r="2332" spans="4:19" x14ac:dyDescent="0.3">
      <c r="D2332" s="349">
        <v>42382</v>
      </c>
      <c r="F2332" s="350">
        <v>7562.4</v>
      </c>
      <c r="P2332" s="283"/>
      <c r="S2332" s="225"/>
    </row>
    <row r="2333" spans="4:19" x14ac:dyDescent="0.3">
      <c r="D2333" s="349">
        <v>42381</v>
      </c>
      <c r="F2333" s="350">
        <v>7510.3</v>
      </c>
      <c r="P2333" s="283"/>
      <c r="S2333" s="225"/>
    </row>
    <row r="2334" spans="4:19" x14ac:dyDescent="0.3">
      <c r="D2334" s="349">
        <v>42380</v>
      </c>
      <c r="F2334" s="350">
        <v>7563.85</v>
      </c>
      <c r="P2334" s="283"/>
      <c r="S2334" s="225"/>
    </row>
    <row r="2335" spans="4:19" x14ac:dyDescent="0.3">
      <c r="D2335" s="349">
        <v>42377</v>
      </c>
      <c r="F2335" s="350">
        <v>7601.35</v>
      </c>
      <c r="P2335" s="283"/>
      <c r="S2335" s="225"/>
    </row>
    <row r="2336" spans="4:19" x14ac:dyDescent="0.3">
      <c r="D2336" s="349">
        <v>42376</v>
      </c>
      <c r="F2336" s="350">
        <v>7568.3</v>
      </c>
      <c r="P2336" s="283"/>
      <c r="S2336" s="225"/>
    </row>
    <row r="2337" spans="4:19" x14ac:dyDescent="0.3">
      <c r="D2337" s="349">
        <v>42375</v>
      </c>
      <c r="F2337" s="350">
        <v>7741</v>
      </c>
      <c r="P2337" s="283"/>
      <c r="S2337" s="225"/>
    </row>
    <row r="2338" spans="4:19" x14ac:dyDescent="0.3">
      <c r="D2338" s="349">
        <v>42374</v>
      </c>
      <c r="F2338" s="350">
        <v>7784.65</v>
      </c>
      <c r="S2338" s="225"/>
    </row>
    <row r="2339" spans="4:19" x14ac:dyDescent="0.3">
      <c r="D2339" s="349">
        <v>42373</v>
      </c>
      <c r="F2339" s="350">
        <v>7791.3</v>
      </c>
      <c r="S2339" s="225"/>
    </row>
    <row r="2340" spans="4:19" x14ac:dyDescent="0.3">
      <c r="D2340" s="349">
        <v>42370</v>
      </c>
      <c r="F2340" s="350">
        <v>7963.2</v>
      </c>
      <c r="S2340" s="225"/>
    </row>
    <row r="2341" spans="4:19" x14ac:dyDescent="0.3">
      <c r="D2341" s="349">
        <v>42369</v>
      </c>
      <c r="F2341" s="350">
        <v>7946.35</v>
      </c>
      <c r="S2341" s="225"/>
    </row>
    <row r="2342" spans="4:19" x14ac:dyDescent="0.3">
      <c r="D2342" s="349">
        <v>42368</v>
      </c>
      <c r="F2342" s="350">
        <v>7896.25</v>
      </c>
      <c r="S2342" s="225"/>
    </row>
    <row r="2343" spans="4:19" x14ac:dyDescent="0.3">
      <c r="D2343" s="349">
        <v>42367</v>
      </c>
      <c r="F2343" s="350">
        <v>7928.95</v>
      </c>
      <c r="S2343" s="225"/>
    </row>
    <row r="2344" spans="4:19" x14ac:dyDescent="0.3">
      <c r="D2344" s="349">
        <v>42366</v>
      </c>
      <c r="F2344" s="350">
        <v>7925.15</v>
      </c>
      <c r="S2344" s="225"/>
    </row>
    <row r="2345" spans="4:19" x14ac:dyDescent="0.3">
      <c r="D2345" s="349">
        <v>42362</v>
      </c>
      <c r="F2345" s="350">
        <v>7861.05</v>
      </c>
      <c r="S2345" s="225"/>
    </row>
    <row r="2346" spans="4:19" x14ac:dyDescent="0.3">
      <c r="D2346" s="349">
        <v>42361</v>
      </c>
      <c r="F2346" s="350">
        <v>7865.95</v>
      </c>
      <c r="S2346" s="225"/>
    </row>
    <row r="2347" spans="4:19" x14ac:dyDescent="0.3">
      <c r="D2347" s="349">
        <v>42360</v>
      </c>
      <c r="F2347" s="350">
        <v>7786.1</v>
      </c>
      <c r="S2347" s="225"/>
    </row>
    <row r="2348" spans="4:19" x14ac:dyDescent="0.3">
      <c r="D2348" s="349">
        <v>42359</v>
      </c>
      <c r="F2348" s="350">
        <v>7834.45</v>
      </c>
      <c r="S2348" s="225"/>
    </row>
    <row r="2349" spans="4:19" x14ac:dyDescent="0.3">
      <c r="D2349" s="349">
        <v>42356</v>
      </c>
      <c r="F2349" s="350">
        <v>7761.95</v>
      </c>
      <c r="P2349" s="283"/>
      <c r="S2349" s="225"/>
    </row>
    <row r="2350" spans="4:19" x14ac:dyDescent="0.3">
      <c r="D2350" s="349">
        <v>42355</v>
      </c>
      <c r="F2350" s="350">
        <v>7844.35</v>
      </c>
      <c r="P2350" s="283"/>
      <c r="S2350" s="225"/>
    </row>
    <row r="2351" spans="4:19" x14ac:dyDescent="0.3">
      <c r="D2351" s="349">
        <v>42354</v>
      </c>
      <c r="F2351" s="350">
        <v>7750.9</v>
      </c>
      <c r="P2351" s="283"/>
      <c r="S2351" s="225"/>
    </row>
    <row r="2352" spans="4:19" x14ac:dyDescent="0.3">
      <c r="D2352" s="349">
        <v>42353</v>
      </c>
      <c r="F2352" s="350">
        <v>7700.9</v>
      </c>
      <c r="P2352" s="283"/>
      <c r="S2352" s="225"/>
    </row>
    <row r="2353" spans="4:19" x14ac:dyDescent="0.3">
      <c r="D2353" s="349">
        <v>42352</v>
      </c>
      <c r="F2353" s="350">
        <v>7650.05</v>
      </c>
      <c r="P2353" s="283"/>
      <c r="S2353" s="225"/>
    </row>
    <row r="2354" spans="4:19" x14ac:dyDescent="0.3">
      <c r="D2354" s="349">
        <v>42349</v>
      </c>
      <c r="F2354" s="350">
        <v>7610.45</v>
      </c>
      <c r="P2354" s="283"/>
      <c r="S2354" s="225"/>
    </row>
    <row r="2355" spans="4:19" x14ac:dyDescent="0.3">
      <c r="D2355" s="349">
        <v>42348</v>
      </c>
      <c r="F2355" s="350">
        <v>7683.3</v>
      </c>
      <c r="P2355" s="283"/>
      <c r="S2355" s="225"/>
    </row>
    <row r="2356" spans="4:19" x14ac:dyDescent="0.3">
      <c r="D2356" s="349">
        <v>42347</v>
      </c>
      <c r="F2356" s="350">
        <v>7612.5</v>
      </c>
      <c r="P2356" s="283"/>
      <c r="S2356" s="225"/>
    </row>
    <row r="2357" spans="4:19" x14ac:dyDescent="0.3">
      <c r="D2357" s="349">
        <v>42346</v>
      </c>
      <c r="F2357" s="350">
        <v>7701.7</v>
      </c>
      <c r="S2357" s="225"/>
    </row>
    <row r="2358" spans="4:19" x14ac:dyDescent="0.3">
      <c r="D2358" s="349">
        <v>42345</v>
      </c>
      <c r="F2358" s="350">
        <v>7765.4</v>
      </c>
      <c r="S2358" s="225"/>
    </row>
    <row r="2359" spans="4:19" x14ac:dyDescent="0.3">
      <c r="D2359" s="349">
        <v>42342</v>
      </c>
      <c r="F2359" s="350">
        <v>7781.9</v>
      </c>
      <c r="S2359" s="225"/>
    </row>
    <row r="2360" spans="4:19" x14ac:dyDescent="0.3">
      <c r="D2360" s="349">
        <v>42341</v>
      </c>
      <c r="F2360" s="350">
        <v>7864.15</v>
      </c>
      <c r="S2360" s="225"/>
    </row>
    <row r="2361" spans="4:19" x14ac:dyDescent="0.3">
      <c r="D2361" s="349">
        <v>42340</v>
      </c>
      <c r="F2361" s="350">
        <v>7931.35</v>
      </c>
      <c r="S2361" s="225"/>
    </row>
    <row r="2362" spans="4:19" x14ac:dyDescent="0.3">
      <c r="D2362" s="349">
        <v>42339</v>
      </c>
      <c r="F2362" s="350">
        <v>7954.9</v>
      </c>
      <c r="S2362" s="225"/>
    </row>
    <row r="2363" spans="4:19" x14ac:dyDescent="0.3">
      <c r="D2363" s="349">
        <v>42338</v>
      </c>
      <c r="F2363" s="350">
        <v>7935.25</v>
      </c>
      <c r="S2363" s="225"/>
    </row>
    <row r="2364" spans="4:19" x14ac:dyDescent="0.3">
      <c r="D2364" s="349">
        <v>42335</v>
      </c>
      <c r="F2364" s="350">
        <v>7942.7</v>
      </c>
      <c r="S2364" s="225"/>
    </row>
    <row r="2365" spans="4:19" x14ac:dyDescent="0.3">
      <c r="D2365" s="349">
        <v>42334</v>
      </c>
      <c r="F2365" s="350">
        <v>7883.8</v>
      </c>
      <c r="S2365" s="225"/>
    </row>
    <row r="2366" spans="4:19" x14ac:dyDescent="0.3">
      <c r="D2366" s="349">
        <v>42332</v>
      </c>
      <c r="F2366" s="350">
        <v>7831.6</v>
      </c>
      <c r="S2366" s="225"/>
    </row>
    <row r="2367" spans="4:19" x14ac:dyDescent="0.3">
      <c r="D2367" s="349">
        <v>42331</v>
      </c>
      <c r="F2367" s="350">
        <v>7849.25</v>
      </c>
      <c r="S2367" s="225"/>
    </row>
    <row r="2368" spans="4:19" x14ac:dyDescent="0.3">
      <c r="D2368" s="349">
        <v>42328</v>
      </c>
      <c r="F2368" s="350">
        <v>7856.55</v>
      </c>
      <c r="S2368" s="225"/>
    </row>
    <row r="2369" spans="4:19" x14ac:dyDescent="0.3">
      <c r="D2369" s="349">
        <v>42327</v>
      </c>
      <c r="F2369" s="350">
        <v>7842.75</v>
      </c>
      <c r="S2369" s="225"/>
    </row>
    <row r="2370" spans="4:19" x14ac:dyDescent="0.3">
      <c r="D2370" s="349">
        <v>42326</v>
      </c>
      <c r="F2370" s="350">
        <v>7731.8</v>
      </c>
      <c r="P2370" s="283"/>
      <c r="S2370" s="225"/>
    </row>
    <row r="2371" spans="4:19" x14ac:dyDescent="0.3">
      <c r="D2371" s="349">
        <v>42325</v>
      </c>
      <c r="F2371" s="350">
        <v>7837.55</v>
      </c>
      <c r="P2371" s="283"/>
      <c r="S2371" s="225"/>
    </row>
    <row r="2372" spans="4:19" x14ac:dyDescent="0.3">
      <c r="D2372" s="349">
        <v>42324</v>
      </c>
      <c r="F2372" s="350">
        <v>7806.6</v>
      </c>
      <c r="P2372" s="283"/>
      <c r="S2372" s="225"/>
    </row>
    <row r="2373" spans="4:19" x14ac:dyDescent="0.3">
      <c r="D2373" s="349">
        <v>42321</v>
      </c>
      <c r="F2373" s="350">
        <v>7762.25</v>
      </c>
      <c r="P2373" s="283"/>
      <c r="S2373" s="225"/>
    </row>
    <row r="2374" spans="4:19" x14ac:dyDescent="0.3">
      <c r="D2374" s="349">
        <v>42319</v>
      </c>
      <c r="F2374" s="350">
        <v>7825</v>
      </c>
      <c r="P2374" s="283"/>
      <c r="S2374" s="225"/>
    </row>
    <row r="2375" spans="4:19" x14ac:dyDescent="0.3">
      <c r="D2375" s="349">
        <v>42318</v>
      </c>
      <c r="F2375" s="350">
        <v>7783.35</v>
      </c>
      <c r="P2375" s="283"/>
      <c r="S2375" s="225"/>
    </row>
    <row r="2376" spans="4:19" x14ac:dyDescent="0.3">
      <c r="D2376" s="349">
        <v>42317</v>
      </c>
      <c r="F2376" s="350">
        <v>7915.2</v>
      </c>
      <c r="P2376" s="283"/>
      <c r="S2376" s="225"/>
    </row>
    <row r="2377" spans="4:19" x14ac:dyDescent="0.3">
      <c r="D2377" s="349">
        <v>42314</v>
      </c>
      <c r="F2377" s="350">
        <v>7954.3</v>
      </c>
      <c r="S2377" s="225"/>
    </row>
    <row r="2378" spans="4:19" x14ac:dyDescent="0.3">
      <c r="D2378" s="349">
        <v>42313</v>
      </c>
      <c r="F2378" s="350">
        <v>7955.45</v>
      </c>
      <c r="S2378" s="225"/>
    </row>
    <row r="2379" spans="4:19" x14ac:dyDescent="0.3">
      <c r="D2379" s="349">
        <v>42312</v>
      </c>
      <c r="F2379" s="350">
        <v>8040.2</v>
      </c>
      <c r="S2379" s="225"/>
    </row>
    <row r="2380" spans="4:19" x14ac:dyDescent="0.3">
      <c r="D2380" s="349">
        <v>42311</v>
      </c>
      <c r="F2380" s="350">
        <v>8060.7</v>
      </c>
      <c r="S2380" s="225"/>
    </row>
    <row r="2381" spans="4:19" x14ac:dyDescent="0.3">
      <c r="D2381" s="349">
        <v>42310</v>
      </c>
      <c r="F2381" s="350">
        <v>8050.8</v>
      </c>
      <c r="S2381" s="225"/>
    </row>
    <row r="2382" spans="4:19" x14ac:dyDescent="0.3">
      <c r="D2382" s="349">
        <v>42307</v>
      </c>
      <c r="F2382" s="350">
        <v>8065.8</v>
      </c>
      <c r="S2382" s="225"/>
    </row>
    <row r="2383" spans="4:19" x14ac:dyDescent="0.3">
      <c r="D2383" s="349">
        <v>42306</v>
      </c>
      <c r="F2383" s="350">
        <v>8111.75</v>
      </c>
      <c r="S2383" s="225"/>
    </row>
    <row r="2384" spans="4:19" x14ac:dyDescent="0.3">
      <c r="D2384" s="349">
        <v>42305</v>
      </c>
      <c r="F2384" s="350">
        <v>8171.2</v>
      </c>
      <c r="S2384" s="225"/>
    </row>
    <row r="2385" spans="4:19" x14ac:dyDescent="0.3">
      <c r="D2385" s="349">
        <v>42304</v>
      </c>
      <c r="F2385" s="350">
        <v>8232.9</v>
      </c>
      <c r="S2385" s="225"/>
    </row>
    <row r="2386" spans="4:19" x14ac:dyDescent="0.3">
      <c r="D2386" s="349">
        <v>42303</v>
      </c>
      <c r="F2386" s="350">
        <v>8260.5499999999993</v>
      </c>
      <c r="S2386" s="225"/>
    </row>
    <row r="2387" spans="4:19" x14ac:dyDescent="0.3">
      <c r="D2387" s="349">
        <v>42300</v>
      </c>
      <c r="F2387" s="350">
        <v>8295.4500000000007</v>
      </c>
      <c r="S2387" s="225"/>
    </row>
    <row r="2388" spans="4:19" x14ac:dyDescent="0.3">
      <c r="D2388" s="349">
        <v>42298</v>
      </c>
      <c r="F2388" s="350">
        <v>8251.7000000000007</v>
      </c>
      <c r="P2388" s="283"/>
      <c r="S2388" s="225"/>
    </row>
    <row r="2389" spans="4:19" x14ac:dyDescent="0.3">
      <c r="D2389" s="349">
        <v>42297</v>
      </c>
      <c r="F2389" s="350">
        <v>8261.65</v>
      </c>
      <c r="P2389" s="283"/>
      <c r="S2389" s="225"/>
    </row>
    <row r="2390" spans="4:19" x14ac:dyDescent="0.3">
      <c r="D2390" s="349">
        <v>42296</v>
      </c>
      <c r="F2390" s="350">
        <v>8275.0499999999993</v>
      </c>
      <c r="P2390" s="283"/>
      <c r="S2390" s="225"/>
    </row>
    <row r="2391" spans="4:19" x14ac:dyDescent="0.3">
      <c r="D2391" s="349">
        <v>42293</v>
      </c>
      <c r="F2391" s="350">
        <v>8238.15</v>
      </c>
      <c r="P2391" s="283"/>
      <c r="S2391" s="225"/>
    </row>
    <row r="2392" spans="4:19" x14ac:dyDescent="0.3">
      <c r="D2392" s="349">
        <v>42292</v>
      </c>
      <c r="F2392" s="350">
        <v>8179.5</v>
      </c>
      <c r="P2392" s="283"/>
      <c r="S2392" s="225"/>
    </row>
    <row r="2393" spans="4:19" x14ac:dyDescent="0.3">
      <c r="D2393" s="349">
        <v>42291</v>
      </c>
      <c r="F2393" s="350">
        <v>8107.9</v>
      </c>
      <c r="P2393" s="283"/>
      <c r="S2393" s="225"/>
    </row>
    <row r="2394" spans="4:19" x14ac:dyDescent="0.3">
      <c r="D2394" s="349">
        <v>42290</v>
      </c>
      <c r="F2394" s="350">
        <v>8131.7</v>
      </c>
      <c r="P2394" s="283"/>
      <c r="S2394" s="225"/>
    </row>
    <row r="2395" spans="4:19" x14ac:dyDescent="0.3">
      <c r="D2395" s="349">
        <v>42289</v>
      </c>
      <c r="F2395" s="350">
        <v>8143.6</v>
      </c>
      <c r="P2395" s="283"/>
      <c r="S2395" s="225"/>
    </row>
    <row r="2396" spans="4:19" x14ac:dyDescent="0.3">
      <c r="D2396" s="349">
        <v>42286</v>
      </c>
      <c r="F2396" s="350">
        <v>8189.7</v>
      </c>
      <c r="P2396" s="283"/>
      <c r="S2396" s="225"/>
    </row>
    <row r="2397" spans="4:19" x14ac:dyDescent="0.3">
      <c r="D2397" s="349">
        <v>42285</v>
      </c>
      <c r="F2397" s="350">
        <v>8129.35</v>
      </c>
      <c r="S2397" s="225"/>
    </row>
    <row r="2398" spans="4:19" x14ac:dyDescent="0.3">
      <c r="D2398" s="349">
        <v>42284</v>
      </c>
      <c r="F2398" s="350">
        <v>8177.4</v>
      </c>
      <c r="S2398" s="225"/>
    </row>
    <row r="2399" spans="4:19" x14ac:dyDescent="0.3">
      <c r="D2399" s="349">
        <v>42283</v>
      </c>
      <c r="F2399" s="350">
        <v>8152.9</v>
      </c>
      <c r="S2399" s="225"/>
    </row>
    <row r="2400" spans="4:19" x14ac:dyDescent="0.3">
      <c r="D2400" s="349">
        <v>42282</v>
      </c>
      <c r="F2400" s="350">
        <v>8119.3</v>
      </c>
      <c r="S2400" s="225"/>
    </row>
    <row r="2401" spans="4:19" x14ac:dyDescent="0.3">
      <c r="D2401" s="349">
        <v>42278</v>
      </c>
      <c r="F2401" s="350">
        <v>7950.9</v>
      </c>
      <c r="S2401" s="225"/>
    </row>
    <row r="2402" spans="4:19" x14ac:dyDescent="0.3">
      <c r="D2402" s="349">
        <v>42277</v>
      </c>
      <c r="F2402" s="350">
        <v>7948.9</v>
      </c>
      <c r="S2402" s="225"/>
    </row>
    <row r="2403" spans="4:19" x14ac:dyDescent="0.3">
      <c r="D2403" s="349">
        <v>42276</v>
      </c>
      <c r="F2403" s="350">
        <v>7843.3</v>
      </c>
      <c r="S2403" s="225"/>
    </row>
    <row r="2404" spans="4:19" x14ac:dyDescent="0.3">
      <c r="D2404" s="349">
        <v>42275</v>
      </c>
      <c r="F2404" s="350">
        <v>7795.7</v>
      </c>
      <c r="S2404" s="225"/>
    </row>
    <row r="2405" spans="4:19" x14ac:dyDescent="0.3">
      <c r="D2405" s="349">
        <v>42271</v>
      </c>
      <c r="F2405" s="350">
        <v>7868.5</v>
      </c>
      <c r="S2405" s="225"/>
    </row>
    <row r="2406" spans="4:19" x14ac:dyDescent="0.3">
      <c r="D2406" s="349">
        <v>42270</v>
      </c>
      <c r="F2406" s="350">
        <v>7845.95</v>
      </c>
      <c r="S2406" s="225"/>
    </row>
    <row r="2407" spans="4:19" x14ac:dyDescent="0.3">
      <c r="D2407" s="349">
        <v>42269</v>
      </c>
      <c r="F2407" s="350">
        <v>7812</v>
      </c>
      <c r="S2407" s="225"/>
    </row>
    <row r="2408" spans="4:19" x14ac:dyDescent="0.3">
      <c r="D2408" s="349">
        <v>42268</v>
      </c>
      <c r="F2408" s="350">
        <v>7977.1</v>
      </c>
      <c r="S2408" s="225"/>
    </row>
    <row r="2409" spans="4:19" x14ac:dyDescent="0.3">
      <c r="D2409" s="349">
        <v>42265</v>
      </c>
      <c r="F2409" s="350">
        <v>7981.9</v>
      </c>
      <c r="S2409" s="225"/>
    </row>
    <row r="2410" spans="4:19" x14ac:dyDescent="0.3">
      <c r="D2410" s="349">
        <v>42263</v>
      </c>
      <c r="F2410" s="350">
        <v>7899.15</v>
      </c>
      <c r="P2410" s="283"/>
      <c r="S2410" s="225"/>
    </row>
    <row r="2411" spans="4:19" x14ac:dyDescent="0.3">
      <c r="D2411" s="349">
        <v>42262</v>
      </c>
      <c r="F2411" s="350">
        <v>7829.1</v>
      </c>
      <c r="P2411" s="283"/>
      <c r="S2411" s="225"/>
    </row>
    <row r="2412" spans="4:19" x14ac:dyDescent="0.3">
      <c r="D2412" s="349">
        <v>42261</v>
      </c>
      <c r="F2412" s="350">
        <v>7872.25</v>
      </c>
      <c r="P2412" s="283"/>
      <c r="S2412" s="225"/>
    </row>
    <row r="2413" spans="4:19" x14ac:dyDescent="0.3">
      <c r="D2413" s="349">
        <v>42258</v>
      </c>
      <c r="F2413" s="350">
        <v>7789.3</v>
      </c>
      <c r="P2413" s="283"/>
      <c r="S2413" s="225"/>
    </row>
    <row r="2414" spans="4:19" x14ac:dyDescent="0.3">
      <c r="D2414" s="349">
        <v>42257</v>
      </c>
      <c r="F2414" s="350">
        <v>7788.1</v>
      </c>
      <c r="P2414" s="283"/>
      <c r="S2414" s="225"/>
    </row>
    <row r="2415" spans="4:19" x14ac:dyDescent="0.3">
      <c r="D2415" s="349">
        <v>42256</v>
      </c>
      <c r="F2415" s="350">
        <v>7818.6</v>
      </c>
      <c r="P2415" s="283"/>
      <c r="S2415" s="225"/>
    </row>
    <row r="2416" spans="4:19" x14ac:dyDescent="0.3">
      <c r="D2416" s="349">
        <v>42255</v>
      </c>
      <c r="F2416" s="350">
        <v>7688.25</v>
      </c>
      <c r="P2416" s="283"/>
      <c r="S2416" s="225"/>
    </row>
    <row r="2417" spans="4:19" x14ac:dyDescent="0.3">
      <c r="D2417" s="349">
        <v>42254</v>
      </c>
      <c r="F2417" s="350">
        <v>7558.8</v>
      </c>
      <c r="P2417" s="283"/>
      <c r="S2417" s="225"/>
    </row>
    <row r="2418" spans="4:19" x14ac:dyDescent="0.3">
      <c r="D2418" s="349">
        <v>42251</v>
      </c>
      <c r="F2418" s="350">
        <v>7655.05</v>
      </c>
      <c r="S2418" s="225"/>
    </row>
    <row r="2419" spans="4:19" x14ac:dyDescent="0.3">
      <c r="D2419" s="349">
        <v>42250</v>
      </c>
      <c r="F2419" s="350">
        <v>7823</v>
      </c>
      <c r="S2419" s="225"/>
    </row>
    <row r="2420" spans="4:19" x14ac:dyDescent="0.3">
      <c r="D2420" s="349">
        <v>42249</v>
      </c>
      <c r="F2420" s="350">
        <v>7717</v>
      </c>
      <c r="S2420" s="225"/>
    </row>
    <row r="2421" spans="4:19" x14ac:dyDescent="0.3">
      <c r="D2421" s="349">
        <v>42248</v>
      </c>
      <c r="F2421" s="350">
        <v>7785.85</v>
      </c>
      <c r="S2421" s="225"/>
    </row>
    <row r="2422" spans="4:19" x14ac:dyDescent="0.3">
      <c r="D2422" s="349">
        <v>42247</v>
      </c>
      <c r="F2422" s="350">
        <v>7971.3</v>
      </c>
      <c r="S2422" s="225"/>
    </row>
    <row r="2423" spans="4:19" x14ac:dyDescent="0.3">
      <c r="D2423" s="349">
        <v>42244</v>
      </c>
      <c r="F2423" s="350">
        <v>8001.95</v>
      </c>
      <c r="S2423" s="225"/>
    </row>
    <row r="2424" spans="4:19" x14ac:dyDescent="0.3">
      <c r="D2424" s="349">
        <v>42243</v>
      </c>
      <c r="F2424" s="350">
        <v>7948.95</v>
      </c>
      <c r="S2424" s="225"/>
    </row>
    <row r="2425" spans="4:19" x14ac:dyDescent="0.3">
      <c r="D2425" s="349">
        <v>42242</v>
      </c>
      <c r="F2425" s="350">
        <v>7791.85</v>
      </c>
      <c r="S2425" s="225"/>
    </row>
    <row r="2426" spans="4:19" x14ac:dyDescent="0.3">
      <c r="D2426" s="349">
        <v>42241</v>
      </c>
      <c r="F2426" s="350">
        <v>7880.7</v>
      </c>
      <c r="S2426" s="225"/>
    </row>
    <row r="2427" spans="4:19" x14ac:dyDescent="0.3">
      <c r="D2427" s="349">
        <v>42240</v>
      </c>
      <c r="F2427" s="350">
        <v>7809</v>
      </c>
      <c r="S2427" s="225"/>
    </row>
    <row r="2428" spans="4:19" x14ac:dyDescent="0.3">
      <c r="D2428" s="349">
        <v>42237</v>
      </c>
      <c r="F2428" s="350">
        <v>8299.9500000000007</v>
      </c>
      <c r="S2428" s="225"/>
    </row>
    <row r="2429" spans="4:19" x14ac:dyDescent="0.3">
      <c r="D2429" s="349">
        <v>42236</v>
      </c>
      <c r="F2429" s="350">
        <v>8372.75</v>
      </c>
      <c r="S2429" s="225"/>
    </row>
    <row r="2430" spans="4:19" x14ac:dyDescent="0.3">
      <c r="D2430" s="349">
        <v>42235</v>
      </c>
      <c r="F2430" s="350">
        <v>8495.15</v>
      </c>
      <c r="S2430" s="225"/>
    </row>
    <row r="2431" spans="4:19" x14ac:dyDescent="0.3">
      <c r="D2431" s="349">
        <v>42234</v>
      </c>
      <c r="F2431" s="350">
        <v>8466.5499999999993</v>
      </c>
      <c r="S2431" s="225"/>
    </row>
    <row r="2432" spans="4:19" x14ac:dyDescent="0.3">
      <c r="D2432" s="349">
        <v>42233</v>
      </c>
      <c r="F2432" s="350">
        <v>8477.2999999999993</v>
      </c>
      <c r="S2432" s="225"/>
    </row>
    <row r="2433" spans="4:19" x14ac:dyDescent="0.3">
      <c r="D2433" s="349">
        <v>42230</v>
      </c>
      <c r="F2433" s="350">
        <v>8518.5499999999993</v>
      </c>
      <c r="P2433" s="283"/>
      <c r="S2433" s="225"/>
    </row>
    <row r="2434" spans="4:19" x14ac:dyDescent="0.3">
      <c r="D2434" s="349">
        <v>42229</v>
      </c>
      <c r="F2434" s="350">
        <v>8355.85</v>
      </c>
      <c r="P2434" s="283"/>
      <c r="S2434" s="225"/>
    </row>
    <row r="2435" spans="4:19" x14ac:dyDescent="0.3">
      <c r="D2435" s="349">
        <v>42228</v>
      </c>
      <c r="F2435" s="350">
        <v>8349.4500000000007</v>
      </c>
      <c r="P2435" s="283"/>
      <c r="S2435" s="225"/>
    </row>
    <row r="2436" spans="4:19" x14ac:dyDescent="0.3">
      <c r="D2436" s="349">
        <v>42227</v>
      </c>
      <c r="F2436" s="350">
        <v>8462.35</v>
      </c>
      <c r="P2436" s="283"/>
      <c r="S2436" s="225"/>
    </row>
    <row r="2437" spans="4:19" x14ac:dyDescent="0.3">
      <c r="D2437" s="349">
        <v>42226</v>
      </c>
      <c r="F2437" s="350">
        <v>8525.6</v>
      </c>
      <c r="P2437" s="283"/>
      <c r="S2437" s="225"/>
    </row>
    <row r="2438" spans="4:19" x14ac:dyDescent="0.3">
      <c r="D2438" s="349">
        <v>42223</v>
      </c>
      <c r="F2438" s="350">
        <v>8564.6</v>
      </c>
      <c r="P2438" s="283"/>
      <c r="S2438" s="225"/>
    </row>
    <row r="2439" spans="4:19" x14ac:dyDescent="0.3">
      <c r="D2439" s="349">
        <v>42222</v>
      </c>
      <c r="F2439" s="350">
        <v>8588.65</v>
      </c>
      <c r="P2439" s="283"/>
      <c r="S2439" s="225"/>
    </row>
    <row r="2440" spans="4:19" x14ac:dyDescent="0.3">
      <c r="D2440" s="349">
        <v>42221</v>
      </c>
      <c r="F2440" s="350">
        <v>8567.9500000000007</v>
      </c>
      <c r="P2440" s="283"/>
      <c r="S2440" s="225"/>
    </row>
    <row r="2441" spans="4:19" x14ac:dyDescent="0.3">
      <c r="D2441" s="349">
        <v>42220</v>
      </c>
      <c r="F2441" s="350">
        <v>8516.9</v>
      </c>
      <c r="S2441" s="225"/>
    </row>
    <row r="2442" spans="4:19" x14ac:dyDescent="0.3">
      <c r="D2442" s="349">
        <v>42219</v>
      </c>
      <c r="F2442" s="350">
        <v>8543.0499999999993</v>
      </c>
      <c r="S2442" s="225"/>
    </row>
    <row r="2443" spans="4:19" x14ac:dyDescent="0.3">
      <c r="D2443" s="349">
        <v>42216</v>
      </c>
      <c r="F2443" s="350">
        <v>8532.85</v>
      </c>
      <c r="S2443" s="225"/>
    </row>
    <row r="2444" spans="4:19" x14ac:dyDescent="0.3">
      <c r="D2444" s="349">
        <v>42215</v>
      </c>
      <c r="F2444" s="350">
        <v>8421.7999999999993</v>
      </c>
      <c r="S2444" s="225"/>
    </row>
    <row r="2445" spans="4:19" x14ac:dyDescent="0.3">
      <c r="D2445" s="349">
        <v>42214</v>
      </c>
      <c r="F2445" s="350">
        <v>8375.0499999999993</v>
      </c>
      <c r="S2445" s="225"/>
    </row>
    <row r="2446" spans="4:19" x14ac:dyDescent="0.3">
      <c r="D2446" s="349">
        <v>42213</v>
      </c>
      <c r="F2446" s="350">
        <v>8337</v>
      </c>
      <c r="S2446" s="225"/>
    </row>
    <row r="2447" spans="4:19" x14ac:dyDescent="0.3">
      <c r="D2447" s="349">
        <v>42212</v>
      </c>
      <c r="F2447" s="350">
        <v>8361</v>
      </c>
      <c r="S2447" s="225"/>
    </row>
    <row r="2448" spans="4:19" x14ac:dyDescent="0.3">
      <c r="D2448" s="349">
        <v>42209</v>
      </c>
      <c r="F2448" s="350">
        <v>8521.5499999999993</v>
      </c>
      <c r="S2448" s="225"/>
    </row>
    <row r="2449" spans="4:19" x14ac:dyDescent="0.3">
      <c r="D2449" s="349">
        <v>42208</v>
      </c>
      <c r="F2449" s="350">
        <v>8589.7999999999993</v>
      </c>
      <c r="S2449" s="225"/>
    </row>
    <row r="2450" spans="4:19" x14ac:dyDescent="0.3">
      <c r="D2450" s="349">
        <v>42207</v>
      </c>
      <c r="F2450" s="350">
        <v>8633.5</v>
      </c>
      <c r="S2450" s="225"/>
    </row>
    <row r="2451" spans="4:19" x14ac:dyDescent="0.3">
      <c r="D2451" s="349">
        <v>42206</v>
      </c>
      <c r="F2451" s="350">
        <v>8529.4500000000007</v>
      </c>
      <c r="S2451" s="225"/>
    </row>
    <row r="2452" spans="4:19" x14ac:dyDescent="0.3">
      <c r="D2452" s="349">
        <v>42205</v>
      </c>
      <c r="F2452" s="350">
        <v>8603.4500000000007</v>
      </c>
      <c r="S2452" s="225"/>
    </row>
    <row r="2453" spans="4:19" x14ac:dyDescent="0.3">
      <c r="D2453" s="349">
        <v>42202</v>
      </c>
      <c r="F2453" s="350">
        <v>8609.85</v>
      </c>
      <c r="P2453" s="283"/>
      <c r="S2453" s="225"/>
    </row>
    <row r="2454" spans="4:19" x14ac:dyDescent="0.3">
      <c r="D2454" s="349">
        <v>42201</v>
      </c>
      <c r="F2454" s="350">
        <v>8608.0499999999993</v>
      </c>
      <c r="P2454" s="283"/>
      <c r="S2454" s="225"/>
    </row>
    <row r="2455" spans="4:19" x14ac:dyDescent="0.3">
      <c r="D2455" s="349">
        <v>42200</v>
      </c>
      <c r="F2455" s="350">
        <v>8523.7999999999993</v>
      </c>
      <c r="P2455" s="283"/>
      <c r="S2455" s="225"/>
    </row>
    <row r="2456" spans="4:19" x14ac:dyDescent="0.3">
      <c r="D2456" s="349">
        <v>42199</v>
      </c>
      <c r="F2456" s="350">
        <v>8454.1</v>
      </c>
      <c r="P2456" s="283"/>
      <c r="S2456" s="225"/>
    </row>
    <row r="2457" spans="4:19" x14ac:dyDescent="0.3">
      <c r="D2457" s="349">
        <v>42198</v>
      </c>
      <c r="F2457" s="350">
        <v>8459.65</v>
      </c>
      <c r="P2457" s="283"/>
      <c r="S2457" s="225"/>
    </row>
    <row r="2458" spans="4:19" x14ac:dyDescent="0.3">
      <c r="D2458" s="349">
        <v>42195</v>
      </c>
      <c r="F2458" s="350">
        <v>8360.5499999999993</v>
      </c>
      <c r="P2458" s="283"/>
      <c r="S2458" s="225"/>
    </row>
    <row r="2459" spans="4:19" x14ac:dyDescent="0.3">
      <c r="D2459" s="349">
        <v>42194</v>
      </c>
      <c r="F2459" s="350">
        <v>8328.5499999999993</v>
      </c>
      <c r="P2459" s="283"/>
      <c r="S2459" s="225"/>
    </row>
    <row r="2460" spans="4:19" x14ac:dyDescent="0.3">
      <c r="D2460" s="349">
        <v>42193</v>
      </c>
      <c r="F2460" s="350">
        <v>8363.0499999999993</v>
      </c>
      <c r="P2460" s="283"/>
      <c r="S2460" s="225"/>
    </row>
    <row r="2461" spans="4:19" x14ac:dyDescent="0.3">
      <c r="D2461" s="349">
        <v>42192</v>
      </c>
      <c r="F2461" s="350">
        <v>8510.7999999999993</v>
      </c>
      <c r="P2461" s="283"/>
      <c r="S2461" s="225"/>
    </row>
    <row r="2462" spans="4:19" x14ac:dyDescent="0.3">
      <c r="D2462" s="349">
        <v>42191</v>
      </c>
      <c r="F2462" s="350">
        <v>8522.15</v>
      </c>
      <c r="P2462" s="283"/>
      <c r="S2462" s="225"/>
    </row>
    <row r="2463" spans="4:19" x14ac:dyDescent="0.3">
      <c r="D2463" s="349">
        <v>42188</v>
      </c>
      <c r="F2463" s="350">
        <v>8484.9</v>
      </c>
      <c r="S2463" s="225"/>
    </row>
    <row r="2464" spans="4:19" x14ac:dyDescent="0.3">
      <c r="D2464" s="349">
        <v>42187</v>
      </c>
      <c r="F2464" s="350">
        <v>8444.9</v>
      </c>
      <c r="S2464" s="225"/>
    </row>
    <row r="2465" spans="4:19" x14ac:dyDescent="0.3">
      <c r="D2465" s="349">
        <v>42186</v>
      </c>
      <c r="F2465" s="350">
        <v>8453.0499999999993</v>
      </c>
      <c r="S2465" s="225"/>
    </row>
    <row r="2466" spans="4:19" x14ac:dyDescent="0.3">
      <c r="D2466" s="349">
        <v>42185</v>
      </c>
      <c r="F2466" s="350">
        <v>8368.5</v>
      </c>
      <c r="S2466" s="225"/>
    </row>
    <row r="2467" spans="4:19" x14ac:dyDescent="0.3">
      <c r="D2467" s="349">
        <v>42184</v>
      </c>
      <c r="F2467" s="350">
        <v>8318.4</v>
      </c>
      <c r="S2467" s="225"/>
    </row>
    <row r="2468" spans="4:19" x14ac:dyDescent="0.3">
      <c r="D2468" s="349">
        <v>42181</v>
      </c>
      <c r="F2468" s="350">
        <v>8381.1</v>
      </c>
      <c r="S2468" s="225"/>
    </row>
    <row r="2469" spans="4:19" x14ac:dyDescent="0.3">
      <c r="D2469" s="349">
        <v>42180</v>
      </c>
      <c r="F2469" s="350">
        <v>8398</v>
      </c>
      <c r="S2469" s="225"/>
    </row>
    <row r="2470" spans="4:19" x14ac:dyDescent="0.3">
      <c r="D2470" s="349">
        <v>42179</v>
      </c>
      <c r="F2470" s="350">
        <v>8360.85</v>
      </c>
      <c r="S2470" s="225"/>
    </row>
    <row r="2471" spans="4:19" x14ac:dyDescent="0.3">
      <c r="D2471" s="349">
        <v>42178</v>
      </c>
      <c r="F2471" s="350">
        <v>8381.5499999999993</v>
      </c>
      <c r="S2471" s="225"/>
    </row>
    <row r="2472" spans="4:19" x14ac:dyDescent="0.3">
      <c r="D2472" s="349">
        <v>42177</v>
      </c>
      <c r="F2472" s="350">
        <v>8353.1</v>
      </c>
      <c r="S2472" s="225"/>
    </row>
    <row r="2473" spans="4:19" x14ac:dyDescent="0.3">
      <c r="D2473" s="349">
        <v>42174</v>
      </c>
      <c r="F2473" s="350">
        <v>8224.9500000000007</v>
      </c>
      <c r="S2473" s="225"/>
    </row>
    <row r="2474" spans="4:19" x14ac:dyDescent="0.3">
      <c r="D2474" s="349">
        <v>42173</v>
      </c>
      <c r="F2474" s="350">
        <v>8174.6</v>
      </c>
      <c r="S2474" s="225"/>
    </row>
    <row r="2475" spans="4:19" x14ac:dyDescent="0.3">
      <c r="D2475" s="349">
        <v>42172</v>
      </c>
      <c r="F2475" s="350">
        <v>8091.55</v>
      </c>
      <c r="S2475" s="225"/>
    </row>
    <row r="2476" spans="4:19" x14ac:dyDescent="0.3">
      <c r="D2476" s="349">
        <v>42171</v>
      </c>
      <c r="F2476" s="350">
        <v>8047.3</v>
      </c>
      <c r="P2476" s="283"/>
      <c r="S2476" s="225"/>
    </row>
    <row r="2477" spans="4:19" x14ac:dyDescent="0.3">
      <c r="D2477" s="349">
        <v>42170</v>
      </c>
      <c r="F2477" s="350">
        <v>8013.9</v>
      </c>
      <c r="P2477" s="283"/>
      <c r="S2477" s="225"/>
    </row>
    <row r="2478" spans="4:19" x14ac:dyDescent="0.3">
      <c r="D2478" s="349">
        <v>42167</v>
      </c>
      <c r="F2478" s="350">
        <v>7982.9</v>
      </c>
      <c r="P2478" s="283"/>
      <c r="S2478" s="225"/>
    </row>
    <row r="2479" spans="4:19" x14ac:dyDescent="0.3">
      <c r="D2479" s="349">
        <v>42166</v>
      </c>
      <c r="F2479" s="350">
        <v>7965.35</v>
      </c>
      <c r="P2479" s="283"/>
      <c r="S2479" s="225"/>
    </row>
    <row r="2480" spans="4:19" x14ac:dyDescent="0.3">
      <c r="D2480" s="349">
        <v>42165</v>
      </c>
      <c r="F2480" s="350">
        <v>8124.45</v>
      </c>
      <c r="P2480" s="283"/>
      <c r="S2480" s="225"/>
    </row>
    <row r="2481" spans="4:19" x14ac:dyDescent="0.3">
      <c r="D2481" s="349">
        <v>42164</v>
      </c>
      <c r="F2481" s="350">
        <v>8022.4</v>
      </c>
      <c r="P2481" s="283"/>
      <c r="S2481" s="225"/>
    </row>
    <row r="2482" spans="4:19" x14ac:dyDescent="0.3">
      <c r="D2482" s="349">
        <v>42163</v>
      </c>
      <c r="F2482" s="350">
        <v>8044.15</v>
      </c>
      <c r="P2482" s="283"/>
      <c r="S2482" s="225"/>
    </row>
    <row r="2483" spans="4:19" x14ac:dyDescent="0.3">
      <c r="D2483" s="349">
        <v>42160</v>
      </c>
      <c r="F2483" s="350">
        <v>8114.7</v>
      </c>
      <c r="S2483" s="225"/>
    </row>
    <row r="2484" spans="4:19" x14ac:dyDescent="0.3">
      <c r="D2484" s="349">
        <v>42159</v>
      </c>
      <c r="F2484" s="350">
        <v>8130.65</v>
      </c>
      <c r="S2484" s="225"/>
    </row>
    <row r="2485" spans="4:19" x14ac:dyDescent="0.3">
      <c r="D2485" s="349">
        <v>42158</v>
      </c>
      <c r="F2485" s="350">
        <v>8135.1</v>
      </c>
      <c r="S2485" s="225"/>
    </row>
    <row r="2486" spans="4:19" x14ac:dyDescent="0.3">
      <c r="D2486" s="349">
        <v>42157</v>
      </c>
      <c r="F2486" s="350">
        <v>8236.4500000000007</v>
      </c>
      <c r="S2486" s="225"/>
    </row>
    <row r="2487" spans="4:19" x14ac:dyDescent="0.3">
      <c r="D2487" s="349">
        <v>42156</v>
      </c>
      <c r="F2487" s="350">
        <v>8433.4</v>
      </c>
      <c r="S2487" s="225"/>
    </row>
    <row r="2488" spans="4:19" x14ac:dyDescent="0.3">
      <c r="D2488" s="349">
        <v>42153</v>
      </c>
      <c r="F2488" s="350">
        <v>8433.65</v>
      </c>
      <c r="S2488" s="225"/>
    </row>
    <row r="2489" spans="4:19" x14ac:dyDescent="0.3">
      <c r="D2489" s="349">
        <v>42152</v>
      </c>
      <c r="F2489" s="350">
        <v>8319</v>
      </c>
      <c r="S2489" s="225"/>
    </row>
    <row r="2490" spans="4:19" x14ac:dyDescent="0.3">
      <c r="D2490" s="349">
        <v>42151</v>
      </c>
      <c r="F2490" s="350">
        <v>8334.6</v>
      </c>
      <c r="S2490" s="225"/>
    </row>
    <row r="2491" spans="4:19" x14ac:dyDescent="0.3">
      <c r="D2491" s="349">
        <v>42150</v>
      </c>
      <c r="F2491" s="350">
        <v>8339.35</v>
      </c>
      <c r="S2491" s="225"/>
    </row>
    <row r="2492" spans="4:19" x14ac:dyDescent="0.3">
      <c r="D2492" s="349">
        <v>42149</v>
      </c>
      <c r="F2492" s="350">
        <v>8370.25</v>
      </c>
      <c r="S2492" s="225"/>
    </row>
    <row r="2493" spans="4:19" x14ac:dyDescent="0.3">
      <c r="D2493" s="349">
        <v>42146</v>
      </c>
      <c r="F2493" s="350">
        <v>8458.9500000000007</v>
      </c>
      <c r="S2493" s="225"/>
    </row>
    <row r="2494" spans="4:19" x14ac:dyDescent="0.3">
      <c r="D2494" s="349">
        <v>42145</v>
      </c>
      <c r="F2494" s="350">
        <v>8421</v>
      </c>
      <c r="S2494" s="225"/>
    </row>
    <row r="2495" spans="4:19" x14ac:dyDescent="0.3">
      <c r="D2495" s="283"/>
      <c r="S2495" s="225"/>
    </row>
    <row r="2496" spans="4:19" x14ac:dyDescent="0.3">
      <c r="D2496" s="283"/>
      <c r="P2496" s="283"/>
      <c r="S2496" s="225"/>
    </row>
    <row r="2497" spans="4:19" x14ac:dyDescent="0.3">
      <c r="D2497" s="283"/>
      <c r="P2497" s="283"/>
      <c r="S2497" s="225"/>
    </row>
    <row r="2498" spans="4:19" x14ac:dyDescent="0.3">
      <c r="D2498" s="283"/>
      <c r="P2498" s="283"/>
      <c r="S2498" s="225"/>
    </row>
    <row r="2499" spans="4:19" x14ac:dyDescent="0.3">
      <c r="D2499" s="283"/>
      <c r="P2499" s="283"/>
      <c r="S2499" s="225"/>
    </row>
    <row r="2500" spans="4:19" x14ac:dyDescent="0.3">
      <c r="P2500" s="283"/>
      <c r="S2500" s="225"/>
    </row>
  </sheetData>
  <mergeCells count="1">
    <mergeCell ref="D4:G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187D0-523B-46FB-B4A9-E2052FAB753B}">
  <dimension ref="D4:S16"/>
  <sheetViews>
    <sheetView showGridLines="0" workbookViewId="0">
      <selection activeCell="S32" sqref="S32"/>
    </sheetView>
  </sheetViews>
  <sheetFormatPr defaultColWidth="8.88671875" defaultRowHeight="13.8" x14ac:dyDescent="0.25"/>
  <cols>
    <col min="1" max="3" width="1.33203125" style="1" customWidth="1"/>
    <col min="4" max="11" width="8.88671875" style="1"/>
    <col min="12" max="12" width="14.109375" style="1" bestFit="1" customWidth="1"/>
    <col min="13" max="13" width="10.6640625" style="1" bestFit="1" customWidth="1"/>
    <col min="14" max="16384" width="8.88671875" style="1"/>
  </cols>
  <sheetData>
    <row r="4" spans="4:19" ht="16.95" customHeight="1" x14ac:dyDescent="0.3">
      <c r="D4" s="529" t="s">
        <v>211</v>
      </c>
      <c r="E4" s="529"/>
      <c r="F4" s="529"/>
      <c r="G4" s="529"/>
      <c r="H4" s="529"/>
      <c r="I4" s="529"/>
      <c r="J4" s="529"/>
      <c r="K4" s="529"/>
      <c r="L4" s="529"/>
      <c r="M4" s="529"/>
      <c r="N4" s="529"/>
      <c r="O4" s="529"/>
      <c r="P4" s="530"/>
      <c r="Q4" s="530"/>
      <c r="R4" s="530"/>
      <c r="S4" s="530"/>
    </row>
    <row r="5" spans="4:19" x14ac:dyDescent="0.25">
      <c r="D5" s="86"/>
      <c r="E5" s="86"/>
      <c r="F5" s="86"/>
      <c r="G5" s="86"/>
      <c r="H5" s="86"/>
      <c r="I5" s="86"/>
      <c r="J5" s="86"/>
      <c r="K5" s="86"/>
      <c r="L5" s="86"/>
      <c r="M5" s="86"/>
      <c r="N5" s="86"/>
      <c r="O5" s="86"/>
    </row>
    <row r="6" spans="4:19" ht="17.399999999999999" x14ac:dyDescent="0.3">
      <c r="D6" s="87" t="s">
        <v>212</v>
      </c>
      <c r="E6" s="351"/>
      <c r="F6" s="88"/>
      <c r="G6" s="89"/>
      <c r="H6" s="89"/>
      <c r="I6" s="89"/>
      <c r="J6" s="89"/>
      <c r="K6" s="89"/>
      <c r="L6" s="89"/>
      <c r="M6" s="89"/>
      <c r="N6" s="89"/>
      <c r="O6" s="89"/>
    </row>
    <row r="7" spans="4:19" x14ac:dyDescent="0.25">
      <c r="D7" s="86"/>
      <c r="E7" s="86"/>
      <c r="F7" s="86"/>
      <c r="G7" s="86"/>
      <c r="H7" s="86"/>
      <c r="I7" s="86"/>
      <c r="J7" s="86"/>
      <c r="K7" s="86"/>
      <c r="L7" s="86"/>
      <c r="M7" s="86"/>
      <c r="N7" s="86"/>
      <c r="O7" s="86"/>
    </row>
    <row r="8" spans="4:19" x14ac:dyDescent="0.25">
      <c r="D8" s="86"/>
      <c r="E8" s="86"/>
      <c r="F8" s="86"/>
      <c r="G8" s="86"/>
      <c r="H8" s="86"/>
      <c r="I8" s="86"/>
      <c r="J8" s="90"/>
      <c r="K8" s="90"/>
      <c r="L8" s="90"/>
      <c r="M8" s="91" t="s">
        <v>213</v>
      </c>
      <c r="N8" s="86"/>
      <c r="O8" s="86"/>
    </row>
    <row r="9" spans="4:19" x14ac:dyDescent="0.25">
      <c r="D9" s="86"/>
      <c r="E9" s="86"/>
      <c r="F9" s="86"/>
      <c r="G9" s="86"/>
      <c r="H9" s="86"/>
      <c r="I9" s="86"/>
      <c r="J9" s="91" t="s">
        <v>167</v>
      </c>
      <c r="K9" s="91" t="s">
        <v>214</v>
      </c>
      <c r="L9" s="91" t="s">
        <v>215</v>
      </c>
      <c r="M9" s="91" t="s">
        <v>216</v>
      </c>
      <c r="N9" s="86"/>
      <c r="O9" s="86"/>
    </row>
    <row r="10" spans="4:19" x14ac:dyDescent="0.25">
      <c r="D10" s="86"/>
      <c r="E10" s="86"/>
      <c r="F10" s="86"/>
      <c r="G10" s="86"/>
      <c r="H10" s="86"/>
      <c r="I10" s="86" t="s">
        <v>217</v>
      </c>
      <c r="J10" s="92">
        <f>MAX(Comps!K21:K23)</f>
        <v>689.95670230879784</v>
      </c>
      <c r="K10" s="93">
        <v>53</v>
      </c>
      <c r="L10" s="93">
        <v>528</v>
      </c>
      <c r="M10" s="92">
        <v>507</v>
      </c>
      <c r="N10" s="86"/>
      <c r="O10" s="86"/>
    </row>
    <row r="11" spans="4:19" x14ac:dyDescent="0.25">
      <c r="D11" s="86"/>
      <c r="E11" s="86"/>
      <c r="F11" s="86"/>
      <c r="G11" s="86"/>
      <c r="H11" s="86"/>
      <c r="I11" s="86" t="s">
        <v>217</v>
      </c>
      <c r="J11" s="92">
        <f>J10</f>
        <v>689.95670230879784</v>
      </c>
      <c r="K11" s="93">
        <f>K10</f>
        <v>53</v>
      </c>
      <c r="L11" s="93">
        <f>L10</f>
        <v>528</v>
      </c>
      <c r="M11" s="92">
        <f>M10</f>
        <v>507</v>
      </c>
      <c r="N11" s="86"/>
      <c r="O11" s="86"/>
    </row>
    <row r="12" spans="4:19" x14ac:dyDescent="0.25">
      <c r="D12" s="86"/>
      <c r="E12" s="86"/>
      <c r="F12" s="86"/>
      <c r="G12" s="86"/>
      <c r="H12" s="86"/>
      <c r="I12" s="86" t="s">
        <v>218</v>
      </c>
      <c r="J12" s="92">
        <f>MIN(Comps!K21:K23)</f>
        <v>49.696735459662293</v>
      </c>
      <c r="K12" s="93">
        <v>46</v>
      </c>
      <c r="L12" s="93">
        <v>209</v>
      </c>
      <c r="M12" s="92">
        <v>361</v>
      </c>
      <c r="N12" s="86"/>
      <c r="O12" s="86"/>
    </row>
    <row r="13" spans="4:19" x14ac:dyDescent="0.25">
      <c r="D13" s="86"/>
      <c r="E13" s="86"/>
      <c r="F13" s="86"/>
      <c r="G13" s="86"/>
      <c r="H13" s="86"/>
      <c r="I13" s="86" t="s">
        <v>218</v>
      </c>
      <c r="J13" s="92">
        <f>J12</f>
        <v>49.696735459662293</v>
      </c>
      <c r="K13" s="93">
        <f>K12</f>
        <v>46</v>
      </c>
      <c r="L13" s="93">
        <f>L12</f>
        <v>209</v>
      </c>
      <c r="M13" s="92">
        <f>M12</f>
        <v>361</v>
      </c>
      <c r="N13" s="86"/>
      <c r="O13" s="86"/>
    </row>
    <row r="14" spans="4:19" x14ac:dyDescent="0.25">
      <c r="D14" s="86"/>
      <c r="E14" s="86"/>
      <c r="F14" s="86"/>
      <c r="G14" s="86"/>
      <c r="H14" s="86"/>
      <c r="I14" s="86"/>
      <c r="J14" s="92"/>
      <c r="K14" s="93"/>
      <c r="L14" s="93"/>
      <c r="M14" s="92"/>
      <c r="N14" s="86"/>
      <c r="O14" s="86"/>
    </row>
    <row r="15" spans="4:19" x14ac:dyDescent="0.25">
      <c r="D15" s="86"/>
      <c r="E15" s="86"/>
      <c r="F15" s="86"/>
      <c r="G15" s="86"/>
      <c r="H15" s="86"/>
      <c r="I15" s="86"/>
      <c r="J15" s="86"/>
      <c r="K15" s="86"/>
      <c r="L15" s="86"/>
      <c r="M15" s="86"/>
      <c r="N15" s="86"/>
      <c r="O15" s="86"/>
    </row>
    <row r="16" spans="4:19" ht="15" x14ac:dyDescent="0.25">
      <c r="D16" s="87" t="s">
        <v>219</v>
      </c>
      <c r="E16" s="87"/>
      <c r="F16" s="87"/>
      <c r="G16" s="87"/>
      <c r="H16" s="87"/>
      <c r="I16" s="87"/>
      <c r="J16" s="87"/>
      <c r="K16" s="87"/>
      <c r="L16" s="87"/>
      <c r="M16" s="87"/>
      <c r="N16" s="87"/>
      <c r="O16" s="87"/>
    </row>
  </sheetData>
  <mergeCells count="2">
    <mergeCell ref="D4:O4"/>
    <mergeCell ref="P4:S4"/>
  </mergeCells>
  <pageMargins left="0.7" right="0.7" top="0.75" bottom="0.75" header="0.3" footer="0.3"/>
  <ignoredErrors>
    <ignoredError sqref="J12" formula="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Assumptions</vt:lpstr>
      <vt:lpstr>P&amp;L Inputs</vt:lpstr>
      <vt:lpstr>BS Inputs</vt:lpstr>
      <vt:lpstr>Revenue Buildup</vt:lpstr>
      <vt:lpstr>Cost Buildup</vt:lpstr>
      <vt:lpstr>BS Items</vt:lpstr>
      <vt:lpstr>Working Schedule</vt:lpstr>
      <vt:lpstr>Common Sizing Statement</vt:lpstr>
      <vt:lpstr>Income Statement</vt:lpstr>
      <vt:lpstr>Balance Sheet</vt:lpstr>
      <vt:lpstr>Cash Flow</vt:lpstr>
      <vt:lpstr>DCF Valuation</vt:lpstr>
      <vt:lpstr>Comps</vt:lpstr>
      <vt:lpstr>Comps Data</vt:lpstr>
      <vt:lpstr>Ratio Analysis</vt:lpstr>
      <vt:lpstr>Equity Beta</vt:lpstr>
      <vt:lpstr>WACC</vt:lpstr>
      <vt:lpstr>Market Return</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22BBA10087 Sumit</dc:creator>
  <cp:lastModifiedBy>22BBA10087 Sumit</cp:lastModifiedBy>
  <dcterms:created xsi:type="dcterms:W3CDTF">2025-04-24T13:44:04Z</dcterms:created>
  <dcterms:modified xsi:type="dcterms:W3CDTF">2025-06-23T09:23:16Z</dcterms:modified>
</cp:coreProperties>
</file>