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46B5E63763813A18/Desktop/"/>
    </mc:Choice>
  </mc:AlternateContent>
  <xr:revisionPtr revIDLastSave="0" documentId="8_{55F71058-FEA7-4B7F-9377-DEA092172F53}" xr6:coauthVersionLast="47" xr6:coauthVersionMax="47" xr10:uidLastSave="{00000000-0000-0000-0000-000000000000}"/>
  <bookViews>
    <workbookView xWindow="-108" yWindow="-108" windowWidth="23256" windowHeight="12456" xr2:uid="{42FB5C55-715F-44AE-B9C4-568878EF0453}"/>
  </bookViews>
  <sheets>
    <sheet name="Index" sheetId="18" r:id="rId1"/>
    <sheet name="Assumptions" sheetId="17" r:id="rId2"/>
    <sheet name="P&amp;L Inputs" sheetId="1" r:id="rId3"/>
    <sheet name="BS Inputs" sheetId="2" r:id="rId4"/>
    <sheet name="Income Buildup" sheetId="4" r:id="rId5"/>
    <sheet name="Cost Buildup" sheetId="19" r:id="rId6"/>
    <sheet name="Common Sizing Statement" sheetId="6" r:id="rId7"/>
    <sheet name="BS Items" sheetId="23" r:id="rId8"/>
    <sheet name="Working Sheet" sheetId="24" r:id="rId9"/>
    <sheet name="Income Statement" sheetId="7" r:id="rId10"/>
    <sheet name="Balance Sheet" sheetId="8" r:id="rId11"/>
    <sheet name="Cash Flow Statement" sheetId="20" r:id="rId12"/>
    <sheet name="Ratio Analysis" sheetId="9" r:id="rId13"/>
    <sheet name="DCF Valuation" sheetId="10" r:id="rId14"/>
    <sheet name="Equity Beta" sheetId="11" r:id="rId15"/>
    <sheet name="WACC" sheetId="12" r:id="rId16"/>
    <sheet name="Comps" sheetId="13" r:id="rId17"/>
    <sheet name="Comps Data" sheetId="14" r:id="rId18"/>
    <sheet name="Market Return" sheetId="15" r:id="rId19"/>
    <sheet name="Summary" sheetId="16" r:id="rId2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37" i="10" l="1"/>
  <c r="U36" i="10"/>
  <c r="S31" i="9"/>
  <c r="R31" i="9"/>
  <c r="Q31" i="9"/>
  <c r="P31" i="9"/>
  <c r="O31" i="9"/>
  <c r="N31" i="9"/>
  <c r="M31" i="9"/>
  <c r="L31" i="9"/>
  <c r="K31" i="9"/>
  <c r="J31" i="9"/>
  <c r="I31" i="9"/>
  <c r="H31" i="9"/>
  <c r="G31" i="9"/>
  <c r="F31" i="9"/>
  <c r="O9" i="11"/>
  <c r="J16" i="15" l="1"/>
  <c r="J18" i="15" s="1"/>
  <c r="K10" i="24"/>
  <c r="D24" i="17"/>
  <c r="G12" i="11"/>
  <c r="G11" i="11"/>
  <c r="J12" i="11"/>
  <c r="J11" i="11"/>
  <c r="F7" i="24"/>
  <c r="G7" i="24" s="1"/>
  <c r="H7" i="24" s="1"/>
  <c r="I7" i="24" s="1"/>
  <c r="J7" i="24" s="1"/>
  <c r="K7" i="24" s="1"/>
  <c r="L7" i="24" s="1"/>
  <c r="M7" i="24" s="1"/>
  <c r="N7" i="24" s="1"/>
  <c r="O7" i="24" s="1"/>
  <c r="P7" i="24" s="1"/>
  <c r="Q7" i="24" s="1"/>
  <c r="R7" i="24" s="1"/>
  <c r="S7" i="24" s="1"/>
  <c r="I12" i="24"/>
  <c r="I20" i="8" s="1"/>
  <c r="H12" i="24"/>
  <c r="H20" i="8" s="1"/>
  <c r="G12" i="24"/>
  <c r="G20" i="8" s="1"/>
  <c r="F12" i="24"/>
  <c r="F20" i="8" s="1"/>
  <c r="E12" i="24"/>
  <c r="F9" i="24" s="1"/>
  <c r="H9" i="24"/>
  <c r="G9" i="24"/>
  <c r="E20" i="8" l="1"/>
  <c r="I9" i="24"/>
  <c r="J9" i="24"/>
  <c r="D17" i="13" l="1"/>
  <c r="F17" i="13"/>
  <c r="G17" i="13"/>
  <c r="H17" i="13" s="1"/>
  <c r="K17" i="13" s="1"/>
  <c r="I17" i="13"/>
  <c r="J17" i="13"/>
  <c r="M17" i="13"/>
  <c r="O17" i="13"/>
  <c r="R17" i="13"/>
  <c r="S17" i="13"/>
  <c r="E15" i="10"/>
  <c r="E12" i="10"/>
  <c r="N17" i="13" l="1"/>
  <c r="Q17" i="13"/>
  <c r="S13" i="13"/>
  <c r="S14" i="13"/>
  <c r="S15" i="13"/>
  <c r="S16" i="13"/>
  <c r="R13" i="13"/>
  <c r="R14" i="13"/>
  <c r="R15" i="13"/>
  <c r="R16" i="13"/>
  <c r="O13" i="13"/>
  <c r="O14" i="13"/>
  <c r="O15" i="13"/>
  <c r="O16" i="13"/>
  <c r="M13" i="13"/>
  <c r="M14" i="13"/>
  <c r="M15" i="13"/>
  <c r="M16" i="13"/>
  <c r="J13" i="13"/>
  <c r="J14" i="13"/>
  <c r="J15" i="13"/>
  <c r="J16" i="13"/>
  <c r="I13" i="13"/>
  <c r="I14" i="13"/>
  <c r="I15" i="13"/>
  <c r="I16" i="13"/>
  <c r="S12" i="13"/>
  <c r="O12" i="13"/>
  <c r="R12" i="13"/>
  <c r="M12" i="13"/>
  <c r="J12" i="13"/>
  <c r="I12" i="13"/>
  <c r="G13" i="13"/>
  <c r="G14" i="13"/>
  <c r="G15" i="13"/>
  <c r="G16" i="13"/>
  <c r="F13" i="13"/>
  <c r="F14" i="13"/>
  <c r="F15" i="13"/>
  <c r="F16" i="13"/>
  <c r="G12" i="13"/>
  <c r="F12" i="13"/>
  <c r="D12" i="13"/>
  <c r="D13" i="13"/>
  <c r="D14" i="13"/>
  <c r="D15" i="13"/>
  <c r="D16" i="13"/>
  <c r="G10" i="14"/>
  <c r="G11" i="14"/>
  <c r="G12" i="14"/>
  <c r="G13" i="14"/>
  <c r="G14" i="14"/>
  <c r="G15" i="14"/>
  <c r="G16" i="14"/>
  <c r="C17" i="17"/>
  <c r="D17" i="17" s="1"/>
  <c r="K20" i="12"/>
  <c r="K19" i="12"/>
  <c r="M15" i="16"/>
  <c r="L15" i="16"/>
  <c r="K15" i="16"/>
  <c r="M13" i="16"/>
  <c r="L13" i="16"/>
  <c r="K13" i="16"/>
  <c r="P36" i="10"/>
  <c r="K36" i="10"/>
  <c r="E13" i="10"/>
  <c r="K41" i="10" l="1"/>
  <c r="G63" i="10" s="1"/>
  <c r="D22" i="17"/>
  <c r="D25" i="17" s="1"/>
  <c r="E42" i="12"/>
  <c r="S22" i="13"/>
  <c r="R22" i="13"/>
  <c r="O22" i="13"/>
  <c r="M22" i="13"/>
  <c r="J22" i="13"/>
  <c r="I22" i="13"/>
  <c r="G22" i="13"/>
  <c r="F22" i="13"/>
  <c r="G13" i="12"/>
  <c r="G14" i="12"/>
  <c r="G15" i="12"/>
  <c r="G16" i="12"/>
  <c r="G17" i="12"/>
  <c r="G12" i="12"/>
  <c r="D12" i="12"/>
  <c r="D13" i="12"/>
  <c r="D14" i="12"/>
  <c r="D15" i="12"/>
  <c r="D16" i="12"/>
  <c r="D17" i="12"/>
  <c r="I15" i="19"/>
  <c r="E25" i="7"/>
  <c r="F25" i="7"/>
  <c r="G25" i="7"/>
  <c r="H25" i="7"/>
  <c r="I25" i="7"/>
  <c r="E23" i="7"/>
  <c r="F23" i="7"/>
  <c r="G23" i="7"/>
  <c r="H23" i="7"/>
  <c r="I23" i="7"/>
  <c r="I13" i="7"/>
  <c r="E30" i="19"/>
  <c r="F30" i="19"/>
  <c r="G30" i="19"/>
  <c r="H30" i="19"/>
  <c r="I30" i="19"/>
  <c r="E27" i="19"/>
  <c r="F27" i="19"/>
  <c r="G27" i="19"/>
  <c r="G14" i="7" s="1"/>
  <c r="H27" i="19"/>
  <c r="H14" i="7" s="1"/>
  <c r="I27" i="19"/>
  <c r="I14" i="7" s="1"/>
  <c r="E24" i="19"/>
  <c r="E22" i="7" s="1"/>
  <c r="F24" i="19"/>
  <c r="F22" i="7" s="1"/>
  <c r="G24" i="19"/>
  <c r="H24" i="19"/>
  <c r="H22" i="7" s="1"/>
  <c r="I24" i="19"/>
  <c r="I22" i="7" s="1"/>
  <c r="E21" i="19"/>
  <c r="E11" i="24" s="1"/>
  <c r="F21" i="19"/>
  <c r="G21" i="19"/>
  <c r="G11" i="24" s="1"/>
  <c r="G10" i="24" s="1"/>
  <c r="H21" i="19"/>
  <c r="H11" i="24" s="1"/>
  <c r="H10" i="24" s="1"/>
  <c r="I21" i="19"/>
  <c r="I11" i="24" s="1"/>
  <c r="I10" i="24" s="1"/>
  <c r="E18" i="19"/>
  <c r="E15" i="7" s="1"/>
  <c r="F18" i="19"/>
  <c r="F15" i="7" s="1"/>
  <c r="G18" i="19"/>
  <c r="G15" i="7" s="1"/>
  <c r="H18" i="19"/>
  <c r="H15" i="7" s="1"/>
  <c r="I18" i="19"/>
  <c r="I15" i="7" s="1"/>
  <c r="E15" i="19"/>
  <c r="E13" i="7" s="1"/>
  <c r="F15" i="19"/>
  <c r="F13" i="7" s="1"/>
  <c r="G15" i="19"/>
  <c r="G13" i="7" s="1"/>
  <c r="H15" i="19"/>
  <c r="H13" i="7" s="1"/>
  <c r="E12" i="19"/>
  <c r="E12" i="7" s="1"/>
  <c r="F12" i="19"/>
  <c r="F12" i="7" s="1"/>
  <c r="G12" i="19"/>
  <c r="G12" i="7" s="1"/>
  <c r="H12" i="19"/>
  <c r="H12" i="7" s="1"/>
  <c r="I12" i="19"/>
  <c r="I12" i="7" s="1"/>
  <c r="I22" i="1"/>
  <c r="H22" i="1"/>
  <c r="G22" i="1"/>
  <c r="F22" i="1"/>
  <c r="E22" i="1"/>
  <c r="J274" i="11"/>
  <c r="J273" i="11"/>
  <c r="J272" i="11"/>
  <c r="J271" i="11"/>
  <c r="J270" i="11"/>
  <c r="J269" i="11"/>
  <c r="J268" i="11"/>
  <c r="J267" i="11"/>
  <c r="J266" i="11"/>
  <c r="J265" i="11"/>
  <c r="J264" i="11"/>
  <c r="J263" i="11"/>
  <c r="J262" i="11"/>
  <c r="J261" i="11"/>
  <c r="J260" i="11"/>
  <c r="J259" i="11"/>
  <c r="J258" i="11"/>
  <c r="J257" i="11"/>
  <c r="J256" i="11"/>
  <c r="J255" i="11"/>
  <c r="J254" i="11"/>
  <c r="J253" i="11"/>
  <c r="J252" i="11"/>
  <c r="J251" i="11"/>
  <c r="J250" i="11"/>
  <c r="J249" i="11"/>
  <c r="J248" i="11"/>
  <c r="J247" i="11"/>
  <c r="J246" i="11"/>
  <c r="J245" i="11"/>
  <c r="J244" i="11"/>
  <c r="J243" i="11"/>
  <c r="J242" i="11"/>
  <c r="J241" i="11"/>
  <c r="J240" i="11"/>
  <c r="J239" i="11"/>
  <c r="J238" i="11"/>
  <c r="J237" i="11"/>
  <c r="J236" i="11"/>
  <c r="J235" i="11"/>
  <c r="J234" i="11"/>
  <c r="J233" i="11"/>
  <c r="J232" i="11"/>
  <c r="J231" i="11"/>
  <c r="J230" i="11"/>
  <c r="J229" i="11"/>
  <c r="J228" i="11"/>
  <c r="J227" i="11"/>
  <c r="J226" i="11"/>
  <c r="J225" i="11"/>
  <c r="J224" i="11"/>
  <c r="J223" i="11"/>
  <c r="J222" i="11"/>
  <c r="J221" i="11"/>
  <c r="J220" i="11"/>
  <c r="J219" i="11"/>
  <c r="J218" i="11"/>
  <c r="J217" i="11"/>
  <c r="J216" i="11"/>
  <c r="J215" i="11"/>
  <c r="J214" i="11"/>
  <c r="J213" i="11"/>
  <c r="J212" i="11"/>
  <c r="J211" i="11"/>
  <c r="J210" i="11"/>
  <c r="J209" i="11"/>
  <c r="J208" i="11"/>
  <c r="J207" i="11"/>
  <c r="J206" i="11"/>
  <c r="J205" i="11"/>
  <c r="J204" i="11"/>
  <c r="J203" i="11"/>
  <c r="J202" i="11"/>
  <c r="J201" i="11"/>
  <c r="J200" i="11"/>
  <c r="J199" i="11"/>
  <c r="J198" i="11"/>
  <c r="J197" i="11"/>
  <c r="J196" i="11"/>
  <c r="J195" i="11"/>
  <c r="J194" i="11"/>
  <c r="J193" i="11"/>
  <c r="J192" i="11"/>
  <c r="J191" i="11"/>
  <c r="J190" i="11"/>
  <c r="J189" i="11"/>
  <c r="J188" i="11"/>
  <c r="J187" i="11"/>
  <c r="J186" i="11"/>
  <c r="J185" i="11"/>
  <c r="J184" i="11"/>
  <c r="J183" i="11"/>
  <c r="J182" i="11"/>
  <c r="J181" i="11"/>
  <c r="J180" i="11"/>
  <c r="J179" i="11"/>
  <c r="J178" i="11"/>
  <c r="J177" i="11"/>
  <c r="J176" i="11"/>
  <c r="J175" i="11"/>
  <c r="J174" i="11"/>
  <c r="J173" i="11"/>
  <c r="J172" i="11"/>
  <c r="J171" i="11"/>
  <c r="J170" i="11"/>
  <c r="J169" i="11"/>
  <c r="J168" i="11"/>
  <c r="J167" i="11"/>
  <c r="J166" i="11"/>
  <c r="J165" i="11"/>
  <c r="J164" i="11"/>
  <c r="J163" i="11"/>
  <c r="J162" i="11"/>
  <c r="J161" i="11"/>
  <c r="J160" i="11"/>
  <c r="J159" i="11"/>
  <c r="J158" i="11"/>
  <c r="J157" i="11"/>
  <c r="J156" i="11"/>
  <c r="J155" i="11"/>
  <c r="J154" i="11"/>
  <c r="J153" i="11"/>
  <c r="J152" i="11"/>
  <c r="J151" i="11"/>
  <c r="J150" i="11"/>
  <c r="J149" i="11"/>
  <c r="J148" i="11"/>
  <c r="J147" i="11"/>
  <c r="J146" i="11"/>
  <c r="J145" i="11"/>
  <c r="J144" i="11"/>
  <c r="J143" i="11"/>
  <c r="J142" i="11"/>
  <c r="J141" i="11"/>
  <c r="J140" i="11"/>
  <c r="J139" i="11"/>
  <c r="J138" i="11"/>
  <c r="J137" i="11"/>
  <c r="J136" i="11"/>
  <c r="J135" i="11"/>
  <c r="J134" i="11"/>
  <c r="J133" i="11"/>
  <c r="J132" i="11"/>
  <c r="J131" i="11"/>
  <c r="J130" i="11"/>
  <c r="J129" i="11"/>
  <c r="J128" i="11"/>
  <c r="J127" i="11"/>
  <c r="J126" i="11"/>
  <c r="J125" i="11"/>
  <c r="J124" i="11"/>
  <c r="J123" i="11"/>
  <c r="J122" i="11"/>
  <c r="J121" i="11"/>
  <c r="J120" i="11"/>
  <c r="J119" i="11"/>
  <c r="J118" i="11"/>
  <c r="J117" i="11"/>
  <c r="J116" i="11"/>
  <c r="J115" i="11"/>
  <c r="J114" i="11"/>
  <c r="J113" i="11"/>
  <c r="J112" i="11"/>
  <c r="J111" i="11"/>
  <c r="J110" i="11"/>
  <c r="J109" i="11"/>
  <c r="J108" i="11"/>
  <c r="J107" i="11"/>
  <c r="J106" i="11"/>
  <c r="J105" i="11"/>
  <c r="J104" i="11"/>
  <c r="J103" i="11"/>
  <c r="J102" i="11"/>
  <c r="J101" i="11"/>
  <c r="J100" i="11"/>
  <c r="J99" i="11"/>
  <c r="J98" i="11"/>
  <c r="J97" i="11"/>
  <c r="J96" i="11"/>
  <c r="J95" i="11"/>
  <c r="J94" i="11"/>
  <c r="J93" i="11"/>
  <c r="J92" i="11"/>
  <c r="J91" i="11"/>
  <c r="J90" i="11"/>
  <c r="J89" i="11"/>
  <c r="J88" i="11"/>
  <c r="J87" i="11"/>
  <c r="J86" i="11"/>
  <c r="J85" i="11"/>
  <c r="J84" i="11"/>
  <c r="J83" i="11"/>
  <c r="J82" i="11"/>
  <c r="J81" i="11"/>
  <c r="J80" i="11"/>
  <c r="J79" i="11"/>
  <c r="J78" i="11"/>
  <c r="J77" i="11"/>
  <c r="J76" i="11"/>
  <c r="J75" i="11"/>
  <c r="J74" i="11"/>
  <c r="J73" i="11"/>
  <c r="J72" i="11"/>
  <c r="J71" i="11"/>
  <c r="J70" i="11"/>
  <c r="J69" i="11"/>
  <c r="J68" i="11"/>
  <c r="J67" i="11"/>
  <c r="J66" i="11"/>
  <c r="J65" i="11"/>
  <c r="J64" i="11"/>
  <c r="J63" i="11"/>
  <c r="J62" i="11"/>
  <c r="J61" i="11"/>
  <c r="J60" i="11"/>
  <c r="J59" i="11"/>
  <c r="J58" i="11"/>
  <c r="J57" i="11"/>
  <c r="J56" i="11"/>
  <c r="J55" i="11"/>
  <c r="J54" i="11"/>
  <c r="J53" i="11"/>
  <c r="J52" i="11"/>
  <c r="J51" i="11"/>
  <c r="J50" i="11"/>
  <c r="J49" i="11"/>
  <c r="J48" i="11"/>
  <c r="J47" i="11"/>
  <c r="J46" i="11"/>
  <c r="J45" i="11"/>
  <c r="J44" i="11"/>
  <c r="J43" i="11"/>
  <c r="J42" i="11"/>
  <c r="J41" i="11"/>
  <c r="J40" i="11"/>
  <c r="J39" i="11"/>
  <c r="J38" i="11"/>
  <c r="J37" i="11"/>
  <c r="J36" i="11"/>
  <c r="J35" i="11"/>
  <c r="J34" i="11"/>
  <c r="J33" i="11"/>
  <c r="J32" i="11"/>
  <c r="J31" i="11"/>
  <c r="J30" i="11"/>
  <c r="J29" i="11"/>
  <c r="J28" i="11"/>
  <c r="J27" i="11"/>
  <c r="J26" i="11"/>
  <c r="J25" i="11"/>
  <c r="J24" i="11"/>
  <c r="J23" i="11"/>
  <c r="J22" i="11"/>
  <c r="J21" i="11"/>
  <c r="J20" i="11"/>
  <c r="J19" i="11"/>
  <c r="J18" i="11"/>
  <c r="J17" i="11"/>
  <c r="J16" i="11"/>
  <c r="J15" i="11"/>
  <c r="J14" i="11"/>
  <c r="J13" i="11"/>
  <c r="G274" i="11"/>
  <c r="G273" i="11"/>
  <c r="G272" i="11"/>
  <c r="G271" i="11"/>
  <c r="G270" i="11"/>
  <c r="G269" i="11"/>
  <c r="G268" i="11"/>
  <c r="G267" i="11"/>
  <c r="G266" i="11"/>
  <c r="G265" i="11"/>
  <c r="G264" i="11"/>
  <c r="G263" i="11"/>
  <c r="G262" i="11"/>
  <c r="G261" i="11"/>
  <c r="G260" i="11"/>
  <c r="G259" i="11"/>
  <c r="G258" i="11"/>
  <c r="G257" i="11"/>
  <c r="G256" i="11"/>
  <c r="G255" i="11"/>
  <c r="G254" i="11"/>
  <c r="G253" i="11"/>
  <c r="G252" i="11"/>
  <c r="G251" i="11"/>
  <c r="G250" i="11"/>
  <c r="G249" i="11"/>
  <c r="G248" i="11"/>
  <c r="G247" i="11"/>
  <c r="G246" i="11"/>
  <c r="G245" i="11"/>
  <c r="G244" i="11"/>
  <c r="G243" i="11"/>
  <c r="G242" i="11"/>
  <c r="G241" i="11"/>
  <c r="G240" i="11"/>
  <c r="G239" i="11"/>
  <c r="G238" i="11"/>
  <c r="G237" i="11"/>
  <c r="G236" i="11"/>
  <c r="G235" i="11"/>
  <c r="G234" i="11"/>
  <c r="G233" i="11"/>
  <c r="G232" i="11"/>
  <c r="G231" i="11"/>
  <c r="G230" i="11"/>
  <c r="G229" i="11"/>
  <c r="G228" i="11"/>
  <c r="G227" i="11"/>
  <c r="G226" i="11"/>
  <c r="G225" i="11"/>
  <c r="G224" i="11"/>
  <c r="G223" i="11"/>
  <c r="G222" i="11"/>
  <c r="G221" i="11"/>
  <c r="G220" i="11"/>
  <c r="G219" i="11"/>
  <c r="G218" i="11"/>
  <c r="G217" i="11"/>
  <c r="G216" i="11"/>
  <c r="G215" i="11"/>
  <c r="G214" i="11"/>
  <c r="G213" i="11"/>
  <c r="G212" i="11"/>
  <c r="G211" i="11"/>
  <c r="G210" i="11"/>
  <c r="G209" i="11"/>
  <c r="G208" i="11"/>
  <c r="G207" i="11"/>
  <c r="G206" i="11"/>
  <c r="G205" i="11"/>
  <c r="G204" i="11"/>
  <c r="G203" i="11"/>
  <c r="G202" i="11"/>
  <c r="G201" i="11"/>
  <c r="G200" i="11"/>
  <c r="G199" i="11"/>
  <c r="G198" i="11"/>
  <c r="G197" i="11"/>
  <c r="G196" i="11"/>
  <c r="G195" i="11"/>
  <c r="G194" i="11"/>
  <c r="G193" i="11"/>
  <c r="G192" i="11"/>
  <c r="G191" i="11"/>
  <c r="G190" i="11"/>
  <c r="G189" i="11"/>
  <c r="G188" i="11"/>
  <c r="G187" i="11"/>
  <c r="G186" i="11"/>
  <c r="G185" i="11"/>
  <c r="G184" i="11"/>
  <c r="G183" i="11"/>
  <c r="G182" i="11"/>
  <c r="G181" i="11"/>
  <c r="G180" i="11"/>
  <c r="G179" i="11"/>
  <c r="G178" i="11"/>
  <c r="G177" i="11"/>
  <c r="G176" i="11"/>
  <c r="G175" i="11"/>
  <c r="G174" i="11"/>
  <c r="G173" i="11"/>
  <c r="G172" i="11"/>
  <c r="G171" i="11"/>
  <c r="G170" i="11"/>
  <c r="G169" i="11"/>
  <c r="G168" i="11"/>
  <c r="G167" i="11"/>
  <c r="G166" i="11"/>
  <c r="G165" i="11"/>
  <c r="G164" i="11"/>
  <c r="G163" i="11"/>
  <c r="G162" i="11"/>
  <c r="G161" i="11"/>
  <c r="G160" i="11"/>
  <c r="G159" i="11"/>
  <c r="G158" i="11"/>
  <c r="G157" i="11"/>
  <c r="G156" i="11"/>
  <c r="G155" i="11"/>
  <c r="G154" i="11"/>
  <c r="G153" i="11"/>
  <c r="G152" i="11"/>
  <c r="G151" i="11"/>
  <c r="G150" i="11"/>
  <c r="G149" i="11"/>
  <c r="G148" i="11"/>
  <c r="G147" i="11"/>
  <c r="G146" i="11"/>
  <c r="G145" i="11"/>
  <c r="G144" i="11"/>
  <c r="G143" i="11"/>
  <c r="G142" i="11"/>
  <c r="G141" i="11"/>
  <c r="G140" i="11"/>
  <c r="G139" i="11"/>
  <c r="G138" i="11"/>
  <c r="G137" i="11"/>
  <c r="G136" i="11"/>
  <c r="G135" i="11"/>
  <c r="G134" i="11"/>
  <c r="G133" i="11"/>
  <c r="G132" i="11"/>
  <c r="G131" i="11"/>
  <c r="G130" i="11"/>
  <c r="G129" i="11"/>
  <c r="G128" i="11"/>
  <c r="G127" i="11"/>
  <c r="G126" i="11"/>
  <c r="G125" i="11"/>
  <c r="G124" i="11"/>
  <c r="G123" i="11"/>
  <c r="G122" i="11"/>
  <c r="G121" i="11"/>
  <c r="G120" i="11"/>
  <c r="G119" i="11"/>
  <c r="G118" i="11"/>
  <c r="G117" i="11"/>
  <c r="G116" i="11"/>
  <c r="G115" i="11"/>
  <c r="G114" i="11"/>
  <c r="G113" i="11"/>
  <c r="G112" i="11"/>
  <c r="G111" i="11"/>
  <c r="G110" i="11"/>
  <c r="G109" i="11"/>
  <c r="G108" i="11"/>
  <c r="G107" i="11"/>
  <c r="G106" i="11"/>
  <c r="G105" i="11"/>
  <c r="G104" i="11"/>
  <c r="G103" i="11"/>
  <c r="G102" i="11"/>
  <c r="G101" i="11"/>
  <c r="G100" i="11"/>
  <c r="G99" i="11"/>
  <c r="G98" i="11"/>
  <c r="G97" i="11"/>
  <c r="G96" i="11"/>
  <c r="G95" i="11"/>
  <c r="G94" i="11"/>
  <c r="G93" i="11"/>
  <c r="G92" i="11"/>
  <c r="G91" i="11"/>
  <c r="G90" i="11"/>
  <c r="G89" i="11"/>
  <c r="G88" i="11"/>
  <c r="G87" i="11"/>
  <c r="G86" i="11"/>
  <c r="G85" i="11"/>
  <c r="G84" i="11"/>
  <c r="G83" i="11"/>
  <c r="G82" i="11"/>
  <c r="G81" i="11"/>
  <c r="G80" i="11"/>
  <c r="G79" i="11"/>
  <c r="G78" i="11"/>
  <c r="G77" i="11"/>
  <c r="G76" i="11"/>
  <c r="G75" i="11"/>
  <c r="G74" i="11"/>
  <c r="G73" i="11"/>
  <c r="G72" i="11"/>
  <c r="G71" i="11"/>
  <c r="G70" i="11"/>
  <c r="G69" i="11"/>
  <c r="G68" i="11"/>
  <c r="G67" i="11"/>
  <c r="G66" i="11"/>
  <c r="G65" i="11"/>
  <c r="G64" i="11"/>
  <c r="G63" i="11"/>
  <c r="G62" i="11"/>
  <c r="G61" i="11"/>
  <c r="G60" i="11"/>
  <c r="G59" i="11"/>
  <c r="G58" i="11"/>
  <c r="G57" i="11"/>
  <c r="G56" i="11"/>
  <c r="G55" i="11"/>
  <c r="G54" i="11"/>
  <c r="G53" i="11"/>
  <c r="G52" i="11"/>
  <c r="G51" i="11"/>
  <c r="G50" i="11"/>
  <c r="G49" i="11"/>
  <c r="G48" i="11"/>
  <c r="G47" i="11"/>
  <c r="G46" i="11"/>
  <c r="G45" i="11"/>
  <c r="G44" i="11"/>
  <c r="G43" i="11"/>
  <c r="G42" i="11"/>
  <c r="G41" i="11"/>
  <c r="G40" i="11"/>
  <c r="G39" i="11"/>
  <c r="G38" i="11"/>
  <c r="G37" i="11"/>
  <c r="G36" i="11"/>
  <c r="G35" i="11"/>
  <c r="G34" i="11"/>
  <c r="G33" i="11"/>
  <c r="G32" i="11"/>
  <c r="G31" i="11"/>
  <c r="G30" i="11"/>
  <c r="G29" i="11"/>
  <c r="G28" i="11"/>
  <c r="G27" i="11"/>
  <c r="G26" i="11"/>
  <c r="G25" i="11"/>
  <c r="G24" i="11"/>
  <c r="G23" i="11"/>
  <c r="G22" i="11"/>
  <c r="G21" i="11"/>
  <c r="G20" i="11"/>
  <c r="G19" i="11"/>
  <c r="G18" i="11"/>
  <c r="G17" i="11"/>
  <c r="G16" i="11"/>
  <c r="G15" i="11"/>
  <c r="G14" i="11"/>
  <c r="G13" i="11"/>
  <c r="J28" i="10" l="1"/>
  <c r="G14" i="20"/>
  <c r="G46" i="20" s="1"/>
  <c r="G21" i="20"/>
  <c r="H22" i="20"/>
  <c r="J14" i="20"/>
  <c r="J46" i="20" s="1"/>
  <c r="F14" i="20"/>
  <c r="F46" i="20" s="1"/>
  <c r="J21" i="20"/>
  <c r="F21" i="20"/>
  <c r="G22" i="20"/>
  <c r="I14" i="20"/>
  <c r="I46" i="20" s="1"/>
  <c r="I21" i="20"/>
  <c r="J22" i="20"/>
  <c r="F22" i="20"/>
  <c r="H17" i="7"/>
  <c r="F20" i="7"/>
  <c r="F11" i="24"/>
  <c r="F10" i="24" s="1"/>
  <c r="G28" i="10" s="1"/>
  <c r="H21" i="20"/>
  <c r="I22" i="20"/>
  <c r="K22" i="12"/>
  <c r="G17" i="7"/>
  <c r="F14" i="7"/>
  <c r="G22" i="7"/>
  <c r="I20" i="7"/>
  <c r="E20" i="7"/>
  <c r="F17" i="7"/>
  <c r="H20" i="7"/>
  <c r="E14" i="7"/>
  <c r="G20" i="7"/>
  <c r="I17" i="7"/>
  <c r="F17" i="12"/>
  <c r="H17" i="12" s="1"/>
  <c r="I17" i="12" s="1"/>
  <c r="H13" i="13"/>
  <c r="K13" i="13" s="1"/>
  <c r="H15" i="13"/>
  <c r="H16" i="13"/>
  <c r="H14" i="13"/>
  <c r="F31" i="20"/>
  <c r="G31" i="20"/>
  <c r="H31" i="20"/>
  <c r="I31" i="20"/>
  <c r="E25" i="23"/>
  <c r="F25" i="23"/>
  <c r="G25" i="23"/>
  <c r="H25" i="23"/>
  <c r="I25" i="23"/>
  <c r="E21" i="8"/>
  <c r="F21" i="8"/>
  <c r="F36" i="20" s="1"/>
  <c r="G21" i="8"/>
  <c r="H21" i="8"/>
  <c r="I21" i="8"/>
  <c r="I36" i="20" s="1"/>
  <c r="E22" i="19"/>
  <c r="F22" i="19"/>
  <c r="G22" i="19"/>
  <c r="H22" i="19"/>
  <c r="I22" i="19"/>
  <c r="J22" i="19" s="1"/>
  <c r="E31" i="8"/>
  <c r="F31" i="8"/>
  <c r="G31" i="8"/>
  <c r="H31" i="8"/>
  <c r="I31" i="8"/>
  <c r="E36" i="8"/>
  <c r="F36" i="8"/>
  <c r="G36" i="8"/>
  <c r="H36" i="8"/>
  <c r="I36" i="8"/>
  <c r="E35" i="8"/>
  <c r="F35" i="8"/>
  <c r="G35" i="8"/>
  <c r="H35" i="8"/>
  <c r="I35" i="8"/>
  <c r="E34" i="8"/>
  <c r="F34" i="8"/>
  <c r="G34" i="8"/>
  <c r="H34" i="8"/>
  <c r="I34" i="8"/>
  <c r="E30" i="8"/>
  <c r="F30" i="8"/>
  <c r="G30" i="8"/>
  <c r="H30" i="8"/>
  <c r="I30" i="8"/>
  <c r="E27" i="8"/>
  <c r="F27" i="8"/>
  <c r="G27" i="8"/>
  <c r="H27" i="8"/>
  <c r="I27" i="8"/>
  <c r="E26" i="8"/>
  <c r="F26" i="8"/>
  <c r="G26" i="8"/>
  <c r="H26" i="8"/>
  <c r="I26" i="8"/>
  <c r="E19" i="8"/>
  <c r="F19" i="8"/>
  <c r="G19" i="8"/>
  <c r="H19" i="8"/>
  <c r="I19" i="8"/>
  <c r="E18" i="8"/>
  <c r="E22" i="23" s="1"/>
  <c r="F18" i="8"/>
  <c r="F22" i="23" s="1"/>
  <c r="G18" i="8"/>
  <c r="G22" i="23" s="1"/>
  <c r="H18" i="8"/>
  <c r="H22" i="23" s="1"/>
  <c r="I18" i="8"/>
  <c r="I22" i="23" s="1"/>
  <c r="E15" i="8"/>
  <c r="F15" i="8"/>
  <c r="G15" i="8"/>
  <c r="H15" i="8"/>
  <c r="I15" i="8"/>
  <c r="E14" i="8"/>
  <c r="E13" i="23" s="1"/>
  <c r="F14" i="8"/>
  <c r="F13" i="23" s="1"/>
  <c r="G14" i="8"/>
  <c r="G13" i="23" s="1"/>
  <c r="H14" i="8"/>
  <c r="H13" i="23" s="1"/>
  <c r="I14" i="8"/>
  <c r="I13" i="23" s="1"/>
  <c r="E13" i="8"/>
  <c r="E12" i="23" s="1"/>
  <c r="F13" i="8"/>
  <c r="F12" i="23" s="1"/>
  <c r="G13" i="8"/>
  <c r="H13" i="8"/>
  <c r="H12" i="23" s="1"/>
  <c r="I13" i="8"/>
  <c r="I12" i="23" s="1"/>
  <c r="J12" i="23" s="1"/>
  <c r="E12" i="8"/>
  <c r="F12" i="8"/>
  <c r="F11" i="23" s="1"/>
  <c r="G12" i="8"/>
  <c r="G11" i="23" s="1"/>
  <c r="H12" i="8"/>
  <c r="H11" i="23" s="1"/>
  <c r="I12" i="8"/>
  <c r="F7" i="23"/>
  <c r="G7" i="23" s="1"/>
  <c r="H7" i="23" s="1"/>
  <c r="I7" i="23" s="1"/>
  <c r="J7" i="23" s="1"/>
  <c r="K7" i="23" s="1"/>
  <c r="L7" i="23" s="1"/>
  <c r="M7" i="23" s="1"/>
  <c r="N7" i="23" s="1"/>
  <c r="O7" i="23" s="1"/>
  <c r="P7" i="23" s="1"/>
  <c r="Q7" i="23" s="1"/>
  <c r="R7" i="23" s="1"/>
  <c r="S7" i="23" s="1"/>
  <c r="F12" i="4"/>
  <c r="G12" i="4"/>
  <c r="H12" i="4"/>
  <c r="I12" i="4"/>
  <c r="J10" i="24" l="1"/>
  <c r="L10" i="24" s="1"/>
  <c r="M10" i="24" s="1"/>
  <c r="N10" i="24" s="1"/>
  <c r="O10" i="24" s="1"/>
  <c r="P10" i="24" s="1"/>
  <c r="Q10" i="24" s="1"/>
  <c r="R10" i="24" s="1"/>
  <c r="S10" i="24" s="1"/>
  <c r="F13" i="20"/>
  <c r="F27" i="10"/>
  <c r="K12" i="23"/>
  <c r="J13" i="8"/>
  <c r="F40" i="20"/>
  <c r="H36" i="23"/>
  <c r="E43" i="23"/>
  <c r="F46" i="23"/>
  <c r="G49" i="23"/>
  <c r="H26" i="9"/>
  <c r="J26" i="8"/>
  <c r="K26" i="8" s="1"/>
  <c r="L26" i="8" s="1"/>
  <c r="M26" i="8" s="1"/>
  <c r="N26" i="8" s="1"/>
  <c r="O26" i="8" s="1"/>
  <c r="P26" i="8" s="1"/>
  <c r="Q26" i="8" s="1"/>
  <c r="R26" i="8" s="1"/>
  <c r="S26" i="8" s="1"/>
  <c r="S40" i="20" s="1"/>
  <c r="E47" i="6"/>
  <c r="F34" i="23"/>
  <c r="G36" i="23"/>
  <c r="G51" i="6"/>
  <c r="I46" i="23"/>
  <c r="E46" i="23"/>
  <c r="F49" i="23"/>
  <c r="G39" i="23"/>
  <c r="G26" i="9"/>
  <c r="H13" i="20"/>
  <c r="H27" i="10"/>
  <c r="H32" i="23"/>
  <c r="I34" i="23"/>
  <c r="E34" i="23"/>
  <c r="F36" i="23"/>
  <c r="G55" i="6"/>
  <c r="H46" i="23"/>
  <c r="I49" i="23"/>
  <c r="I57" i="6"/>
  <c r="E49" i="23"/>
  <c r="F39" i="23"/>
  <c r="F26" i="9"/>
  <c r="E17" i="7"/>
  <c r="J13" i="20"/>
  <c r="J27" i="10"/>
  <c r="J16" i="4"/>
  <c r="J17" i="4" s="1"/>
  <c r="K17" i="4" s="1"/>
  <c r="L17" i="4" s="1"/>
  <c r="M17" i="4" s="1"/>
  <c r="N17" i="4" s="1"/>
  <c r="O17" i="4" s="1"/>
  <c r="P17" i="4" s="1"/>
  <c r="Q17" i="4" s="1"/>
  <c r="R17" i="4" s="1"/>
  <c r="S17" i="4" s="1"/>
  <c r="I11" i="23"/>
  <c r="E37" i="10"/>
  <c r="K38" i="10" s="1"/>
  <c r="G32" i="23"/>
  <c r="H34" i="23"/>
  <c r="I36" i="23"/>
  <c r="E36" i="23"/>
  <c r="F43" i="23"/>
  <c r="G46" i="23"/>
  <c r="H49" i="23"/>
  <c r="I39" i="23"/>
  <c r="E38" i="10"/>
  <c r="K37" i="10" s="1"/>
  <c r="K39" i="10" s="1"/>
  <c r="I26" i="9"/>
  <c r="E39" i="23"/>
  <c r="E26" i="9"/>
  <c r="I13" i="20"/>
  <c r="I27" i="10"/>
  <c r="H14" i="20"/>
  <c r="H46" i="20" s="1"/>
  <c r="G13" i="20"/>
  <c r="G35" i="20" s="1"/>
  <c r="G27" i="10"/>
  <c r="J11" i="24"/>
  <c r="J12" i="24" s="1"/>
  <c r="L17" i="12"/>
  <c r="Q13" i="13"/>
  <c r="N13" i="13"/>
  <c r="F13" i="12"/>
  <c r="H13" i="12" s="1"/>
  <c r="I15" i="23"/>
  <c r="H15" i="23"/>
  <c r="F20" i="23"/>
  <c r="E15" i="23"/>
  <c r="G15" i="23"/>
  <c r="I20" i="23"/>
  <c r="E20" i="23"/>
  <c r="G20" i="23"/>
  <c r="F15" i="23"/>
  <c r="H20" i="23"/>
  <c r="H36" i="20"/>
  <c r="I27" i="20"/>
  <c r="I43" i="20"/>
  <c r="E25" i="19"/>
  <c r="H25" i="19"/>
  <c r="I26" i="20"/>
  <c r="I40" i="20"/>
  <c r="H43" i="20"/>
  <c r="H26" i="20"/>
  <c r="H40" i="20"/>
  <c r="Q40" i="20"/>
  <c r="G28" i="19"/>
  <c r="G25" i="19"/>
  <c r="G25" i="20"/>
  <c r="I44" i="20"/>
  <c r="M40" i="20"/>
  <c r="I43" i="23"/>
  <c r="I42" i="20"/>
  <c r="I17" i="20"/>
  <c r="I25" i="20"/>
  <c r="I34" i="20"/>
  <c r="H28" i="19"/>
  <c r="E37" i="8"/>
  <c r="E57" i="6" s="1"/>
  <c r="H18" i="20"/>
  <c r="H25" i="20"/>
  <c r="H34" i="20"/>
  <c r="P40" i="20"/>
  <c r="H35" i="20"/>
  <c r="F25" i="19"/>
  <c r="G43" i="23"/>
  <c r="G42" i="20"/>
  <c r="G18" i="20"/>
  <c r="G27" i="20"/>
  <c r="G26" i="20"/>
  <c r="G36" i="20"/>
  <c r="G34" i="20"/>
  <c r="G33" i="20"/>
  <c r="G40" i="20"/>
  <c r="G44" i="20"/>
  <c r="G43" i="20"/>
  <c r="O40" i="20"/>
  <c r="K40" i="20"/>
  <c r="I35" i="20"/>
  <c r="E28" i="19"/>
  <c r="I18" i="20"/>
  <c r="I33" i="20"/>
  <c r="I37" i="20" s="1"/>
  <c r="H43" i="23"/>
  <c r="H42" i="20"/>
  <c r="H17" i="20"/>
  <c r="H27" i="20"/>
  <c r="I29" i="10" s="1"/>
  <c r="H33" i="20"/>
  <c r="H44" i="20"/>
  <c r="L40" i="20"/>
  <c r="I25" i="19"/>
  <c r="G23" i="8"/>
  <c r="G17" i="20"/>
  <c r="E11" i="23"/>
  <c r="E51" i="20"/>
  <c r="F42" i="20"/>
  <c r="F18" i="20"/>
  <c r="F17" i="20"/>
  <c r="F27" i="20"/>
  <c r="G29" i="10" s="1"/>
  <c r="F26" i="20"/>
  <c r="F25" i="20"/>
  <c r="F34" i="20"/>
  <c r="F33" i="20"/>
  <c r="F44" i="20"/>
  <c r="F43" i="20"/>
  <c r="R40" i="20"/>
  <c r="N40" i="20"/>
  <c r="J40" i="20"/>
  <c r="I28" i="19"/>
  <c r="F35" i="20"/>
  <c r="F28" i="19"/>
  <c r="H28" i="23"/>
  <c r="F28" i="23"/>
  <c r="F16" i="12"/>
  <c r="H16" i="12" s="1"/>
  <c r="K16" i="13"/>
  <c r="F14" i="12"/>
  <c r="H14" i="12" s="1"/>
  <c r="K14" i="13"/>
  <c r="K15" i="13"/>
  <c r="F15" i="12"/>
  <c r="H15" i="12" s="1"/>
  <c r="E32" i="23"/>
  <c r="F37" i="8"/>
  <c r="F48" i="6" s="1"/>
  <c r="G37" i="8"/>
  <c r="G39" i="8" s="1"/>
  <c r="I32" i="23"/>
  <c r="E23" i="8"/>
  <c r="E40" i="6" s="1"/>
  <c r="H23" i="8"/>
  <c r="H36" i="6" s="1"/>
  <c r="F23" i="8"/>
  <c r="I37" i="8"/>
  <c r="I47" i="6" s="1"/>
  <c r="F32" i="23"/>
  <c r="F52" i="23" s="1"/>
  <c r="G34" i="23"/>
  <c r="G52" i="23" s="1"/>
  <c r="I23" i="8"/>
  <c r="H37" i="8"/>
  <c r="H56" i="6" s="1"/>
  <c r="H39" i="23"/>
  <c r="G12" i="23"/>
  <c r="G28" i="23" s="1"/>
  <c r="I43" i="4"/>
  <c r="H43" i="4"/>
  <c r="G43" i="4"/>
  <c r="F43" i="4"/>
  <c r="E43" i="4"/>
  <c r="I36" i="4"/>
  <c r="J40" i="4" s="1"/>
  <c r="J36" i="4" s="1"/>
  <c r="H36" i="4"/>
  <c r="G36" i="4"/>
  <c r="F36" i="4"/>
  <c r="I28" i="4"/>
  <c r="J32" i="4" s="1"/>
  <c r="H28" i="4"/>
  <c r="G28" i="4"/>
  <c r="F28" i="4"/>
  <c r="I20" i="4"/>
  <c r="J24" i="4" s="1"/>
  <c r="H20" i="4"/>
  <c r="G20" i="4"/>
  <c r="F20" i="4"/>
  <c r="K16" i="4" l="1"/>
  <c r="K12" i="4" s="1"/>
  <c r="J12" i="4"/>
  <c r="J11" i="4" s="1"/>
  <c r="K11" i="4" s="1"/>
  <c r="J15" i="4"/>
  <c r="K15" i="4" s="1"/>
  <c r="L15" i="4" s="1"/>
  <c r="M15" i="4" s="1"/>
  <c r="N15" i="4" s="1"/>
  <c r="O15" i="4" s="1"/>
  <c r="P15" i="4" s="1"/>
  <c r="Q15" i="4" s="1"/>
  <c r="R15" i="4" s="1"/>
  <c r="S15" i="4" s="1"/>
  <c r="I28" i="23"/>
  <c r="E52" i="6"/>
  <c r="I52" i="6"/>
  <c r="G56" i="6"/>
  <c r="E51" i="6"/>
  <c r="H48" i="6"/>
  <c r="E48" i="6"/>
  <c r="E58" i="6" s="1"/>
  <c r="H47" i="6"/>
  <c r="E56" i="6"/>
  <c r="H55" i="6"/>
  <c r="H52" i="6"/>
  <c r="F56" i="6"/>
  <c r="I55" i="6"/>
  <c r="F47" i="6"/>
  <c r="H51" i="6"/>
  <c r="E36" i="12"/>
  <c r="D31" i="17"/>
  <c r="E52" i="23"/>
  <c r="H29" i="10"/>
  <c r="J29" i="10"/>
  <c r="H57" i="6"/>
  <c r="F55" i="6"/>
  <c r="I51" i="6"/>
  <c r="G47" i="6"/>
  <c r="F51" i="6"/>
  <c r="I48" i="6"/>
  <c r="I58" i="6" s="1"/>
  <c r="F57" i="6"/>
  <c r="I56" i="6"/>
  <c r="G57" i="6"/>
  <c r="E55" i="6"/>
  <c r="F52" i="6"/>
  <c r="I52" i="23"/>
  <c r="G52" i="6"/>
  <c r="G48" i="6"/>
  <c r="L12" i="23"/>
  <c r="K13" i="8"/>
  <c r="K9" i="24"/>
  <c r="J20" i="8"/>
  <c r="H37" i="20"/>
  <c r="H40" i="6"/>
  <c r="K22" i="19"/>
  <c r="L22" i="19" s="1"/>
  <c r="M22" i="19" s="1"/>
  <c r="N22" i="19" s="1"/>
  <c r="O22" i="19" s="1"/>
  <c r="P22" i="19" s="1"/>
  <c r="Q22" i="19" s="1"/>
  <c r="R22" i="19" s="1"/>
  <c r="S22" i="19" s="1"/>
  <c r="E28" i="23"/>
  <c r="N14" i="13"/>
  <c r="Q14" i="13"/>
  <c r="Q16" i="13"/>
  <c r="N16" i="13"/>
  <c r="N15" i="13"/>
  <c r="Q15" i="13"/>
  <c r="I13" i="12"/>
  <c r="L13" i="12"/>
  <c r="E36" i="6"/>
  <c r="I25" i="9"/>
  <c r="I34" i="6"/>
  <c r="I33" i="6"/>
  <c r="I35" i="6"/>
  <c r="I41" i="6"/>
  <c r="I42" i="6"/>
  <c r="I39" i="6"/>
  <c r="F33" i="6"/>
  <c r="F39" i="6"/>
  <c r="F42" i="6"/>
  <c r="F34" i="6"/>
  <c r="F25" i="9"/>
  <c r="F35" i="6"/>
  <c r="F41" i="6"/>
  <c r="G42" i="6"/>
  <c r="G25" i="9"/>
  <c r="G33" i="6"/>
  <c r="G39" i="6"/>
  <c r="G34" i="6"/>
  <c r="G35" i="6"/>
  <c r="G41" i="6"/>
  <c r="H25" i="9"/>
  <c r="H35" i="6"/>
  <c r="H41" i="6"/>
  <c r="H42" i="6"/>
  <c r="H33" i="6"/>
  <c r="H39" i="6"/>
  <c r="H34" i="6"/>
  <c r="G40" i="6"/>
  <c r="F36" i="6"/>
  <c r="G36" i="6"/>
  <c r="F40" i="6"/>
  <c r="I36" i="6"/>
  <c r="I40" i="6"/>
  <c r="E25" i="9"/>
  <c r="E34" i="6"/>
  <c r="E39" i="6"/>
  <c r="E35" i="6"/>
  <c r="E41" i="6"/>
  <c r="E33" i="6"/>
  <c r="E42" i="6"/>
  <c r="H28" i="10"/>
  <c r="I39" i="8"/>
  <c r="F39" i="8"/>
  <c r="F37" i="20"/>
  <c r="G37" i="20"/>
  <c r="F50" i="20"/>
  <c r="E53" i="20"/>
  <c r="J25" i="19"/>
  <c r="K25" i="19" s="1"/>
  <c r="L25" i="19" s="1"/>
  <c r="M25" i="19" s="1"/>
  <c r="N25" i="19" s="1"/>
  <c r="O25" i="19" s="1"/>
  <c r="P25" i="19" s="1"/>
  <c r="Q25" i="19" s="1"/>
  <c r="R25" i="19" s="1"/>
  <c r="S25" i="19" s="1"/>
  <c r="E39" i="8"/>
  <c r="H39" i="8"/>
  <c r="J25" i="20"/>
  <c r="J28" i="19"/>
  <c r="K28" i="19" s="1"/>
  <c r="L28" i="19" s="1"/>
  <c r="M28" i="19" s="1"/>
  <c r="N28" i="19" s="1"/>
  <c r="O28" i="19" s="1"/>
  <c r="P28" i="19" s="1"/>
  <c r="Q28" i="19" s="1"/>
  <c r="R28" i="19" s="1"/>
  <c r="S28" i="19" s="1"/>
  <c r="G47" i="4"/>
  <c r="G10" i="19"/>
  <c r="G10" i="7"/>
  <c r="F47" i="4"/>
  <c r="F10" i="7"/>
  <c r="F10" i="19"/>
  <c r="H10" i="19"/>
  <c r="H10" i="7"/>
  <c r="E10" i="7"/>
  <c r="E17" i="6" s="1"/>
  <c r="E10" i="19"/>
  <c r="I10" i="7"/>
  <c r="I10" i="19"/>
  <c r="I15" i="12"/>
  <c r="L15" i="12"/>
  <c r="I14" i="12"/>
  <c r="L14" i="12"/>
  <c r="L16" i="12"/>
  <c r="I16" i="12"/>
  <c r="J21" i="19"/>
  <c r="K28" i="10"/>
  <c r="J32" i="23"/>
  <c r="K32" i="23" s="1"/>
  <c r="H52" i="23"/>
  <c r="L16" i="4"/>
  <c r="H44" i="4"/>
  <c r="J25" i="4"/>
  <c r="K25" i="4" s="1"/>
  <c r="L25" i="4" s="1"/>
  <c r="M25" i="4" s="1"/>
  <c r="N25" i="4" s="1"/>
  <c r="O25" i="4" s="1"/>
  <c r="P25" i="4" s="1"/>
  <c r="Q25" i="4" s="1"/>
  <c r="R25" i="4" s="1"/>
  <c r="S25" i="4" s="1"/>
  <c r="I44" i="4"/>
  <c r="H47" i="4"/>
  <c r="E47" i="4"/>
  <c r="J47" i="4" s="1"/>
  <c r="I47" i="4"/>
  <c r="J39" i="4"/>
  <c r="K39" i="4" s="1"/>
  <c r="L39" i="4" s="1"/>
  <c r="M39" i="4" s="1"/>
  <c r="N39" i="4" s="1"/>
  <c r="O39" i="4" s="1"/>
  <c r="P39" i="4" s="1"/>
  <c r="Q39" i="4" s="1"/>
  <c r="R39" i="4" s="1"/>
  <c r="S39" i="4" s="1"/>
  <c r="F44" i="4"/>
  <c r="G44" i="4"/>
  <c r="H29" i="9" l="1"/>
  <c r="H10" i="6"/>
  <c r="H12" i="6"/>
  <c r="H25" i="6"/>
  <c r="H15" i="6"/>
  <c r="H23" i="6"/>
  <c r="H14" i="6"/>
  <c r="H13" i="6"/>
  <c r="H22" i="6"/>
  <c r="H17" i="6"/>
  <c r="H20" i="6"/>
  <c r="F58" i="6"/>
  <c r="F10" i="6"/>
  <c r="F29" i="9"/>
  <c r="F13" i="6"/>
  <c r="F22" i="6"/>
  <c r="F23" i="6"/>
  <c r="F15" i="6"/>
  <c r="F12" i="6"/>
  <c r="F25" i="6"/>
  <c r="F17" i="6"/>
  <c r="F14" i="6"/>
  <c r="F20" i="6"/>
  <c r="I29" i="9"/>
  <c r="I10" i="6"/>
  <c r="I13" i="6"/>
  <c r="I14" i="6"/>
  <c r="I25" i="6"/>
  <c r="I12" i="6"/>
  <c r="I15" i="6"/>
  <c r="I22" i="6"/>
  <c r="I23" i="6"/>
  <c r="I17" i="6"/>
  <c r="I20" i="6"/>
  <c r="G29" i="9"/>
  <c r="G10" i="6"/>
  <c r="G12" i="6"/>
  <c r="G23" i="6"/>
  <c r="G13" i="6"/>
  <c r="G25" i="6"/>
  <c r="G15" i="6"/>
  <c r="G14" i="6"/>
  <c r="G17" i="6"/>
  <c r="G20" i="6"/>
  <c r="G22" i="6"/>
  <c r="M12" i="23"/>
  <c r="L13" i="8"/>
  <c r="G58" i="6"/>
  <c r="E10" i="6"/>
  <c r="E13" i="6"/>
  <c r="E25" i="6"/>
  <c r="E22" i="6"/>
  <c r="E23" i="6"/>
  <c r="E12" i="6"/>
  <c r="E15" i="6"/>
  <c r="E14" i="6"/>
  <c r="E20" i="6"/>
  <c r="H58" i="6"/>
  <c r="K11" i="24"/>
  <c r="K12" i="24" s="1"/>
  <c r="H44" i="6"/>
  <c r="E44" i="6"/>
  <c r="G44" i="6"/>
  <c r="I44" i="6"/>
  <c r="F44" i="6"/>
  <c r="I28" i="10"/>
  <c r="L28" i="10"/>
  <c r="K25" i="20"/>
  <c r="E19" i="19"/>
  <c r="E16" i="19"/>
  <c r="E13" i="19"/>
  <c r="G16" i="19"/>
  <c r="G19" i="19"/>
  <c r="G13" i="19"/>
  <c r="E19" i="7"/>
  <c r="E16" i="23"/>
  <c r="E50" i="23"/>
  <c r="E14" i="23"/>
  <c r="E26" i="23"/>
  <c r="E37" i="23"/>
  <c r="E40" i="23"/>
  <c r="E44" i="23"/>
  <c r="E23" i="23"/>
  <c r="E21" i="23"/>
  <c r="E47" i="23"/>
  <c r="F19" i="7"/>
  <c r="F40" i="23"/>
  <c r="F37" i="23"/>
  <c r="F16" i="23"/>
  <c r="F44" i="23"/>
  <c r="F14" i="23"/>
  <c r="F47" i="23"/>
  <c r="F26" i="23"/>
  <c r="F21" i="23"/>
  <c r="F23" i="23"/>
  <c r="F50" i="23"/>
  <c r="J41" i="4"/>
  <c r="K41" i="4" s="1"/>
  <c r="L41" i="4" s="1"/>
  <c r="M41" i="4" s="1"/>
  <c r="N41" i="4" s="1"/>
  <c r="O41" i="4" s="1"/>
  <c r="P41" i="4" s="1"/>
  <c r="Q41" i="4" s="1"/>
  <c r="R41" i="4" s="1"/>
  <c r="S41" i="4" s="1"/>
  <c r="J35" i="4"/>
  <c r="I19" i="7"/>
  <c r="I37" i="23"/>
  <c r="I40" i="23"/>
  <c r="I44" i="23"/>
  <c r="I23" i="23"/>
  <c r="I21" i="23"/>
  <c r="I50" i="23"/>
  <c r="I47" i="23"/>
  <c r="I16" i="23"/>
  <c r="I26" i="23"/>
  <c r="J26" i="23" s="1"/>
  <c r="K26" i="23" s="1"/>
  <c r="L26" i="23" s="1"/>
  <c r="M26" i="23" s="1"/>
  <c r="I14" i="23"/>
  <c r="J14" i="23" s="1"/>
  <c r="K14" i="23" s="1"/>
  <c r="L14" i="23" s="1"/>
  <c r="M14" i="23" s="1"/>
  <c r="N14" i="23" s="1"/>
  <c r="O14" i="23" s="1"/>
  <c r="P14" i="23" s="1"/>
  <c r="Q14" i="23" s="1"/>
  <c r="R14" i="23" s="1"/>
  <c r="S14" i="23" s="1"/>
  <c r="H19" i="19"/>
  <c r="H13" i="19"/>
  <c r="H16" i="19"/>
  <c r="G19" i="7"/>
  <c r="G40" i="23"/>
  <c r="G21" i="23"/>
  <c r="G23" i="23"/>
  <c r="G44" i="23"/>
  <c r="G47" i="23"/>
  <c r="G14" i="23"/>
  <c r="G16" i="23"/>
  <c r="G50" i="23"/>
  <c r="G37" i="23"/>
  <c r="G26" i="23"/>
  <c r="F13" i="19"/>
  <c r="F16" i="19"/>
  <c r="F19" i="19"/>
  <c r="I19" i="19"/>
  <c r="I13" i="19"/>
  <c r="I16" i="19"/>
  <c r="H19" i="7"/>
  <c r="H16" i="23"/>
  <c r="H23" i="23"/>
  <c r="H44" i="23"/>
  <c r="H26" i="23"/>
  <c r="H21" i="23"/>
  <c r="H47" i="23"/>
  <c r="H50" i="23"/>
  <c r="H14" i="23"/>
  <c r="H37" i="23"/>
  <c r="H40" i="23"/>
  <c r="J23" i="4"/>
  <c r="K23" i="4" s="1"/>
  <c r="L23" i="4" s="1"/>
  <c r="M23" i="4" s="1"/>
  <c r="N23" i="4" s="1"/>
  <c r="O23" i="4" s="1"/>
  <c r="P23" i="4" s="1"/>
  <c r="Q23" i="4" s="1"/>
  <c r="R23" i="4" s="1"/>
  <c r="S23" i="4" s="1"/>
  <c r="J33" i="4"/>
  <c r="K33" i="4" s="1"/>
  <c r="L33" i="4" s="1"/>
  <c r="M33" i="4" s="1"/>
  <c r="N33" i="4" s="1"/>
  <c r="O33" i="4" s="1"/>
  <c r="P33" i="4" s="1"/>
  <c r="Q33" i="4" s="1"/>
  <c r="R33" i="4" s="1"/>
  <c r="S33" i="4" s="1"/>
  <c r="K32" i="4"/>
  <c r="J28" i="4"/>
  <c r="J27" i="4" s="1"/>
  <c r="K24" i="4"/>
  <c r="J20" i="4"/>
  <c r="J19" i="4" s="1"/>
  <c r="L32" i="23"/>
  <c r="M16" i="4"/>
  <c r="L12" i="4"/>
  <c r="L11" i="4" s="1"/>
  <c r="K40" i="4"/>
  <c r="K36" i="4" s="1"/>
  <c r="J31" i="4"/>
  <c r="K31" i="4" s="1"/>
  <c r="L31" i="4" s="1"/>
  <c r="M31" i="4" s="1"/>
  <c r="N31" i="4" s="1"/>
  <c r="O31" i="4" s="1"/>
  <c r="P31" i="4" s="1"/>
  <c r="Q31" i="4" s="1"/>
  <c r="R31" i="4" s="1"/>
  <c r="S31" i="4" s="1"/>
  <c r="F21" i="7" l="1"/>
  <c r="F11" i="9"/>
  <c r="F19" i="6"/>
  <c r="I21" i="7"/>
  <c r="I11" i="9"/>
  <c r="I19" i="6"/>
  <c r="E21" i="7"/>
  <c r="E19" i="6"/>
  <c r="E11" i="9"/>
  <c r="N12" i="23"/>
  <c r="M13" i="8"/>
  <c r="G21" i="7"/>
  <c r="G19" i="6"/>
  <c r="G11" i="9"/>
  <c r="J19" i="19"/>
  <c r="K19" i="19" s="1"/>
  <c r="L19" i="19" s="1"/>
  <c r="M19" i="19" s="1"/>
  <c r="N19" i="19" s="1"/>
  <c r="O19" i="19" s="1"/>
  <c r="P19" i="19" s="1"/>
  <c r="Q19" i="19" s="1"/>
  <c r="R19" i="19" s="1"/>
  <c r="S19" i="19" s="1"/>
  <c r="H21" i="7"/>
  <c r="H11" i="9"/>
  <c r="H19" i="6"/>
  <c r="K21" i="19"/>
  <c r="L9" i="24"/>
  <c r="L11" i="24" s="1"/>
  <c r="L12" i="24" s="1"/>
  <c r="K20" i="8"/>
  <c r="M28" i="10"/>
  <c r="J43" i="4"/>
  <c r="J44" i="4" s="1"/>
  <c r="L25" i="20"/>
  <c r="J40" i="23"/>
  <c r="K40" i="23" s="1"/>
  <c r="L40" i="23" s="1"/>
  <c r="M40" i="23" s="1"/>
  <c r="J47" i="23"/>
  <c r="K47" i="23" s="1"/>
  <c r="L47" i="23" s="1"/>
  <c r="M47" i="23" s="1"/>
  <c r="N47" i="23" s="1"/>
  <c r="O47" i="23" s="1"/>
  <c r="P47" i="23" s="1"/>
  <c r="Q47" i="23" s="1"/>
  <c r="J50" i="23"/>
  <c r="K50" i="23" s="1"/>
  <c r="L50" i="23" s="1"/>
  <c r="M50" i="23" s="1"/>
  <c r="N50" i="23" s="1"/>
  <c r="O50" i="23" s="1"/>
  <c r="P50" i="23" s="1"/>
  <c r="J21" i="23"/>
  <c r="K21" i="23" s="1"/>
  <c r="L21" i="23" s="1"/>
  <c r="M21" i="23" s="1"/>
  <c r="N21" i="23" s="1"/>
  <c r="J37" i="23"/>
  <c r="K37" i="23" s="1"/>
  <c r="L37" i="23" s="1"/>
  <c r="M37" i="23" s="1"/>
  <c r="N37" i="23" s="1"/>
  <c r="O37" i="23" s="1"/>
  <c r="P37" i="23" s="1"/>
  <c r="J16" i="23"/>
  <c r="K16" i="23" s="1"/>
  <c r="L16" i="23" s="1"/>
  <c r="M16" i="23" s="1"/>
  <c r="N16" i="23" s="1"/>
  <c r="K47" i="4"/>
  <c r="L47" i="4" s="1"/>
  <c r="M47" i="4" s="1"/>
  <c r="N47" i="4" s="1"/>
  <c r="O47" i="4" s="1"/>
  <c r="P47" i="4" s="1"/>
  <c r="Q47" i="4" s="1"/>
  <c r="R47" i="4" s="1"/>
  <c r="S47" i="4" s="1"/>
  <c r="J46" i="4"/>
  <c r="J23" i="23"/>
  <c r="K23" i="23" s="1"/>
  <c r="L23" i="23" s="1"/>
  <c r="M23" i="23" s="1"/>
  <c r="N23" i="23" s="1"/>
  <c r="J13" i="19"/>
  <c r="K13" i="19" s="1"/>
  <c r="L13" i="19" s="1"/>
  <c r="M13" i="19" s="1"/>
  <c r="N13" i="19" s="1"/>
  <c r="O13" i="19" s="1"/>
  <c r="P13" i="19" s="1"/>
  <c r="Q13" i="19" s="1"/>
  <c r="R13" i="19" s="1"/>
  <c r="S13" i="19" s="1"/>
  <c r="L40" i="4"/>
  <c r="L36" i="4" s="1"/>
  <c r="J16" i="19"/>
  <c r="K16" i="19" s="1"/>
  <c r="L16" i="19" s="1"/>
  <c r="M16" i="19" s="1"/>
  <c r="N16" i="19" s="1"/>
  <c r="O16" i="19" s="1"/>
  <c r="K35" i="4"/>
  <c r="J44" i="23"/>
  <c r="K44" i="23" s="1"/>
  <c r="L44" i="23" s="1"/>
  <c r="M44" i="23" s="1"/>
  <c r="L32" i="4"/>
  <c r="K28" i="4"/>
  <c r="K27" i="4" s="1"/>
  <c r="L24" i="4"/>
  <c r="K20" i="4"/>
  <c r="K19" i="4" s="1"/>
  <c r="J35" i="20"/>
  <c r="M32" i="23"/>
  <c r="N26" i="23"/>
  <c r="N16" i="4"/>
  <c r="M12" i="4"/>
  <c r="M11" i="4" s="1"/>
  <c r="H24" i="7" l="1"/>
  <c r="H12" i="9"/>
  <c r="I24" i="10"/>
  <c r="H32" i="9"/>
  <c r="H21" i="6"/>
  <c r="H18" i="9"/>
  <c r="G24" i="7"/>
  <c r="G32" i="9"/>
  <c r="G12" i="9"/>
  <c r="G21" i="6"/>
  <c r="H24" i="10"/>
  <c r="G18" i="9"/>
  <c r="I24" i="7"/>
  <c r="I32" i="9"/>
  <c r="I12" i="9"/>
  <c r="I21" i="6"/>
  <c r="J24" i="10"/>
  <c r="I18" i="9"/>
  <c r="E24" i="7"/>
  <c r="E32" i="9"/>
  <c r="E21" i="6"/>
  <c r="E12" i="9"/>
  <c r="F24" i="10"/>
  <c r="O12" i="23"/>
  <c r="N13" i="8"/>
  <c r="F24" i="7"/>
  <c r="F32" i="9"/>
  <c r="F21" i="6"/>
  <c r="F12" i="9"/>
  <c r="G24" i="10"/>
  <c r="F18" i="9"/>
  <c r="M9" i="24"/>
  <c r="M11" i="24" s="1"/>
  <c r="M12" i="24" s="1"/>
  <c r="L20" i="8"/>
  <c r="M40" i="4"/>
  <c r="M36" i="4" s="1"/>
  <c r="J10" i="19"/>
  <c r="J12" i="19" s="1"/>
  <c r="J12" i="7" s="1"/>
  <c r="J10" i="7"/>
  <c r="J25" i="23" s="1"/>
  <c r="J21" i="8" s="1"/>
  <c r="J36" i="20" s="1"/>
  <c r="N28" i="10"/>
  <c r="L35" i="4"/>
  <c r="M25" i="20"/>
  <c r="K46" i="4"/>
  <c r="J23" i="7"/>
  <c r="K21" i="20" s="1"/>
  <c r="K43" i="4"/>
  <c r="M32" i="4"/>
  <c r="L28" i="4"/>
  <c r="L27" i="4" s="1"/>
  <c r="M24" i="4"/>
  <c r="L20" i="4"/>
  <c r="L19" i="4" s="1"/>
  <c r="P16" i="19"/>
  <c r="J20" i="7"/>
  <c r="K27" i="10" s="1"/>
  <c r="L21" i="19"/>
  <c r="N32" i="23"/>
  <c r="O26" i="23"/>
  <c r="Q37" i="23"/>
  <c r="R47" i="23"/>
  <c r="Q50" i="23"/>
  <c r="N44" i="23"/>
  <c r="N40" i="23"/>
  <c r="O16" i="23"/>
  <c r="O23" i="23"/>
  <c r="O21" i="23"/>
  <c r="O16" i="4"/>
  <c r="N12" i="4"/>
  <c r="N11" i="4" s="1"/>
  <c r="N40" i="4"/>
  <c r="N36" i="4" s="1"/>
  <c r="P12" i="23" l="1"/>
  <c r="O13" i="8"/>
  <c r="E13" i="9"/>
  <c r="E24" i="6"/>
  <c r="E14" i="9"/>
  <c r="E20" i="9"/>
  <c r="E26" i="7"/>
  <c r="E31" i="19"/>
  <c r="F11" i="20"/>
  <c r="F28" i="20" s="1"/>
  <c r="G19" i="9"/>
  <c r="G24" i="6"/>
  <c r="G13" i="9"/>
  <c r="G14" i="9"/>
  <c r="G20" i="9"/>
  <c r="G26" i="7"/>
  <c r="H11" i="20"/>
  <c r="H28" i="20" s="1"/>
  <c r="G31" i="19"/>
  <c r="F24" i="6"/>
  <c r="F19" i="9"/>
  <c r="F13" i="9"/>
  <c r="F20" i="9"/>
  <c r="F14" i="9"/>
  <c r="F31" i="19"/>
  <c r="G11" i="20"/>
  <c r="G28" i="20" s="1"/>
  <c r="F26" i="7"/>
  <c r="I13" i="9"/>
  <c r="I19" i="9"/>
  <c r="I24" i="6"/>
  <c r="I14" i="9"/>
  <c r="I20" i="9"/>
  <c r="I31" i="19"/>
  <c r="I26" i="7"/>
  <c r="J11" i="20"/>
  <c r="H13" i="9"/>
  <c r="H24" i="6"/>
  <c r="H19" i="9"/>
  <c r="H20" i="9"/>
  <c r="H14" i="9"/>
  <c r="H26" i="7"/>
  <c r="I11" i="20"/>
  <c r="I28" i="20" s="1"/>
  <c r="H31" i="19"/>
  <c r="M35" i="4"/>
  <c r="N9" i="24"/>
  <c r="N11" i="24" s="1"/>
  <c r="N12" i="24" s="1"/>
  <c r="M20" i="8"/>
  <c r="J15" i="19"/>
  <c r="J13" i="7" s="1"/>
  <c r="J18" i="19"/>
  <c r="J15" i="7" s="1"/>
  <c r="J36" i="23"/>
  <c r="J30" i="8" s="1"/>
  <c r="J27" i="19" s="1"/>
  <c r="J14" i="7" s="1"/>
  <c r="J46" i="23"/>
  <c r="J35" i="8" s="1"/>
  <c r="J43" i="20" s="1"/>
  <c r="J13" i="23"/>
  <c r="J14" i="8" s="1"/>
  <c r="J26" i="20" s="1"/>
  <c r="J20" i="23"/>
  <c r="J19" i="8" s="1"/>
  <c r="J34" i="20" s="1"/>
  <c r="J49" i="23"/>
  <c r="J36" i="8" s="1"/>
  <c r="J44" i="20" s="1"/>
  <c r="J29" i="9"/>
  <c r="J15" i="23"/>
  <c r="J15" i="8" s="1"/>
  <c r="J27" i="20" s="1"/>
  <c r="J39" i="23"/>
  <c r="J31" i="8" s="1"/>
  <c r="J43" i="23"/>
  <c r="J34" i="8" s="1"/>
  <c r="J42" i="20" s="1"/>
  <c r="J22" i="23"/>
  <c r="J18" i="8" s="1"/>
  <c r="J33" i="20" s="1"/>
  <c r="O28" i="10"/>
  <c r="N35" i="4"/>
  <c r="N25" i="20"/>
  <c r="J22" i="12"/>
  <c r="K31" i="19"/>
  <c r="L31" i="19" s="1"/>
  <c r="M31" i="19" s="1"/>
  <c r="N31" i="19" s="1"/>
  <c r="O31" i="19" s="1"/>
  <c r="P31" i="19" s="1"/>
  <c r="L46" i="4"/>
  <c r="K23" i="7"/>
  <c r="L21" i="20" s="1"/>
  <c r="L43" i="4"/>
  <c r="N24" i="4"/>
  <c r="M20" i="4"/>
  <c r="M19" i="4" s="1"/>
  <c r="K44" i="4"/>
  <c r="K10" i="7"/>
  <c r="K10" i="19"/>
  <c r="N32" i="4"/>
  <c r="M28" i="4"/>
  <c r="M27" i="4" s="1"/>
  <c r="K13" i="20"/>
  <c r="K35" i="20" s="1"/>
  <c r="J31" i="20"/>
  <c r="Q16" i="19"/>
  <c r="K20" i="7"/>
  <c r="L27" i="10" s="1"/>
  <c r="O32" i="23"/>
  <c r="P26" i="23"/>
  <c r="S47" i="23"/>
  <c r="O40" i="23"/>
  <c r="P16" i="23"/>
  <c r="O44" i="23"/>
  <c r="R50" i="23"/>
  <c r="R37" i="23"/>
  <c r="P23" i="23"/>
  <c r="P21" i="23"/>
  <c r="P16" i="4"/>
  <c r="O12" i="4"/>
  <c r="O11" i="4" s="1"/>
  <c r="O40" i="4"/>
  <c r="O36" i="4" s="1"/>
  <c r="H41" i="20" l="1"/>
  <c r="H47" i="20" s="1"/>
  <c r="H49" i="20" s="1"/>
  <c r="H30" i="9"/>
  <c r="I22" i="9"/>
  <c r="H21" i="9"/>
  <c r="H26" i="6"/>
  <c r="H15" i="9"/>
  <c r="H29" i="7"/>
  <c r="G41" i="20"/>
  <c r="G47" i="20" s="1"/>
  <c r="G49" i="20" s="1"/>
  <c r="G29" i="7"/>
  <c r="G30" i="9"/>
  <c r="H22" i="9"/>
  <c r="G21" i="9"/>
  <c r="G15" i="9"/>
  <c r="G26" i="6"/>
  <c r="E22" i="9"/>
  <c r="E15" i="9"/>
  <c r="E30" i="9"/>
  <c r="F22" i="9"/>
  <c r="E26" i="6"/>
  <c r="E29" i="7"/>
  <c r="I41" i="20"/>
  <c r="I47" i="20" s="1"/>
  <c r="I49" i="20" s="1"/>
  <c r="I15" i="9"/>
  <c r="I26" i="6"/>
  <c r="I29" i="7"/>
  <c r="I30" i="9"/>
  <c r="J22" i="9"/>
  <c r="I21" i="9"/>
  <c r="E37" i="12"/>
  <c r="E11" i="10" s="1"/>
  <c r="F41" i="20"/>
  <c r="F47" i="20" s="1"/>
  <c r="F49" i="20" s="1"/>
  <c r="F51" i="20" s="1"/>
  <c r="F29" i="7"/>
  <c r="F30" i="9"/>
  <c r="G22" i="9"/>
  <c r="F21" i="9"/>
  <c r="F26" i="6"/>
  <c r="F15" i="9"/>
  <c r="Q12" i="23"/>
  <c r="P13" i="8"/>
  <c r="J17" i="7"/>
  <c r="J19" i="7" s="1"/>
  <c r="J11" i="9" s="1"/>
  <c r="O9" i="24"/>
  <c r="O11" i="24" s="1"/>
  <c r="O12" i="24" s="1"/>
  <c r="N20" i="8"/>
  <c r="J17" i="20"/>
  <c r="J24" i="19"/>
  <c r="J22" i="7" s="1"/>
  <c r="K14" i="20" s="1"/>
  <c r="K46" i="20" s="1"/>
  <c r="J18" i="20"/>
  <c r="J37" i="20"/>
  <c r="K29" i="9"/>
  <c r="P28" i="10"/>
  <c r="O35" i="4"/>
  <c r="O25" i="20"/>
  <c r="M46" i="4"/>
  <c r="L23" i="7"/>
  <c r="M21" i="20" s="1"/>
  <c r="M43" i="4"/>
  <c r="K18" i="19"/>
  <c r="K15" i="7" s="1"/>
  <c r="K12" i="19"/>
  <c r="K12" i="7" s="1"/>
  <c r="K15" i="19"/>
  <c r="K13" i="7" s="1"/>
  <c r="O24" i="4"/>
  <c r="N20" i="4"/>
  <c r="N19" i="4" s="1"/>
  <c r="L44" i="4"/>
  <c r="L10" i="7"/>
  <c r="L10" i="19"/>
  <c r="O32" i="4"/>
  <c r="N28" i="4"/>
  <c r="N27" i="4" s="1"/>
  <c r="K15" i="23"/>
  <c r="K15" i="8" s="1"/>
  <c r="K27" i="20" s="1"/>
  <c r="K13" i="23"/>
  <c r="K14" i="8" s="1"/>
  <c r="K26" i="20" s="1"/>
  <c r="K25" i="23"/>
  <c r="K21" i="8" s="1"/>
  <c r="K36" i="20" s="1"/>
  <c r="K46" i="23"/>
  <c r="K35" i="8" s="1"/>
  <c r="K43" i="20" s="1"/>
  <c r="K22" i="23"/>
  <c r="K18" i="8" s="1"/>
  <c r="K33" i="20" s="1"/>
  <c r="K20" i="23"/>
  <c r="K19" i="8" s="1"/>
  <c r="K34" i="20" s="1"/>
  <c r="K36" i="23"/>
  <c r="K30" i="8" s="1"/>
  <c r="K49" i="23"/>
  <c r="K36" i="8" s="1"/>
  <c r="K44" i="20" s="1"/>
  <c r="K43" i="23"/>
  <c r="K34" i="8" s="1"/>
  <c r="K42" i="20" s="1"/>
  <c r="K39" i="23"/>
  <c r="K31" i="8" s="1"/>
  <c r="L13" i="20"/>
  <c r="K31" i="20"/>
  <c r="Q31" i="19"/>
  <c r="R16" i="19"/>
  <c r="M21" i="19"/>
  <c r="P32" i="23"/>
  <c r="Q26" i="23"/>
  <c r="S37" i="23"/>
  <c r="P44" i="23"/>
  <c r="S50" i="23"/>
  <c r="Q16" i="23"/>
  <c r="P40" i="23"/>
  <c r="Q23" i="23"/>
  <c r="Q21" i="23"/>
  <c r="Q16" i="4"/>
  <c r="P12" i="4"/>
  <c r="P11" i="4" s="1"/>
  <c r="P40" i="4"/>
  <c r="P36" i="4" s="1"/>
  <c r="J21" i="7" l="1"/>
  <c r="J25" i="10"/>
  <c r="J26" i="10" s="1"/>
  <c r="I25" i="10"/>
  <c r="I26" i="10" s="1"/>
  <c r="I30" i="10" s="1"/>
  <c r="G25" i="10"/>
  <c r="G26" i="10" s="1"/>
  <c r="G30" i="10" s="1"/>
  <c r="F25" i="10"/>
  <c r="F26" i="10" s="1"/>
  <c r="F30" i="10" s="1"/>
  <c r="H25" i="10"/>
  <c r="H26" i="10" s="1"/>
  <c r="H30" i="10" s="1"/>
  <c r="F53" i="20"/>
  <c r="G50" i="20"/>
  <c r="G51" i="20" s="1"/>
  <c r="R12" i="23"/>
  <c r="Q13" i="8"/>
  <c r="J29" i="7"/>
  <c r="K29" i="7" s="1"/>
  <c r="L29" i="7" s="1"/>
  <c r="M29" i="7" s="1"/>
  <c r="N29" i="7" s="1"/>
  <c r="O29" i="7" s="1"/>
  <c r="P29" i="7" s="1"/>
  <c r="Q29" i="7" s="1"/>
  <c r="R29" i="7" s="1"/>
  <c r="S29" i="7" s="1"/>
  <c r="J28" i="20"/>
  <c r="P9" i="24"/>
  <c r="P11" i="24" s="1"/>
  <c r="P12" i="24" s="1"/>
  <c r="O20" i="8"/>
  <c r="K29" i="10"/>
  <c r="J30" i="10"/>
  <c r="J24" i="7"/>
  <c r="J30" i="19" s="1"/>
  <c r="J25" i="7" s="1"/>
  <c r="K22" i="20" s="1"/>
  <c r="J32" i="9"/>
  <c r="P35" i="4"/>
  <c r="L29" i="9"/>
  <c r="K24" i="10"/>
  <c r="K25" i="10" s="1"/>
  <c r="K26" i="10" s="1"/>
  <c r="J12" i="9"/>
  <c r="Q28" i="10"/>
  <c r="P25" i="20"/>
  <c r="N46" i="4"/>
  <c r="M23" i="7"/>
  <c r="N21" i="20" s="1"/>
  <c r="K37" i="20"/>
  <c r="N43" i="4"/>
  <c r="L13" i="23"/>
  <c r="L14" i="8" s="1"/>
  <c r="L26" i="20" s="1"/>
  <c r="L22" i="23"/>
  <c r="L18" i="8" s="1"/>
  <c r="L33" i="20" s="1"/>
  <c r="L25" i="23"/>
  <c r="L21" i="8" s="1"/>
  <c r="L36" i="20" s="1"/>
  <c r="L15" i="23"/>
  <c r="L15" i="8" s="1"/>
  <c r="L27" i="20" s="1"/>
  <c r="L46" i="23"/>
  <c r="L35" i="8" s="1"/>
  <c r="L43" i="20" s="1"/>
  <c r="L49" i="23"/>
  <c r="L36" i="8" s="1"/>
  <c r="L44" i="20" s="1"/>
  <c r="L20" i="23"/>
  <c r="L19" i="8" s="1"/>
  <c r="L34" i="20" s="1"/>
  <c r="L36" i="23"/>
  <c r="L30" i="8" s="1"/>
  <c r="L39" i="23"/>
  <c r="L31" i="8" s="1"/>
  <c r="L43" i="23"/>
  <c r="L34" i="8" s="1"/>
  <c r="L42" i="20" s="1"/>
  <c r="P24" i="4"/>
  <c r="O20" i="4"/>
  <c r="O19" i="4" s="1"/>
  <c r="M44" i="4"/>
  <c r="M10" i="7"/>
  <c r="M10" i="19"/>
  <c r="K24" i="19"/>
  <c r="K22" i="7" s="1"/>
  <c r="L14" i="20" s="1"/>
  <c r="L46" i="20" s="1"/>
  <c r="K18" i="20"/>
  <c r="L18" i="19"/>
  <c r="L15" i="7" s="1"/>
  <c r="L12" i="19"/>
  <c r="L12" i="7" s="1"/>
  <c r="L15" i="19"/>
  <c r="L13" i="7" s="1"/>
  <c r="K17" i="20"/>
  <c r="K27" i="19"/>
  <c r="K14" i="7" s="1"/>
  <c r="K17" i="7" s="1"/>
  <c r="K19" i="7" s="1"/>
  <c r="P32" i="4"/>
  <c r="O28" i="4"/>
  <c r="O27" i="4" s="1"/>
  <c r="L35" i="20"/>
  <c r="R31" i="19"/>
  <c r="S16" i="19"/>
  <c r="L20" i="7"/>
  <c r="M27" i="10" s="1"/>
  <c r="Q32" i="23"/>
  <c r="R26" i="23"/>
  <c r="Q44" i="23"/>
  <c r="Q40" i="23"/>
  <c r="R16" i="23"/>
  <c r="R23" i="23"/>
  <c r="R21" i="23"/>
  <c r="R16" i="4"/>
  <c r="Q12" i="4"/>
  <c r="Q11" i="4" s="1"/>
  <c r="Q40" i="4"/>
  <c r="Q36" i="4" s="1"/>
  <c r="S12" i="23" l="1"/>
  <c r="S13" i="8" s="1"/>
  <c r="R13" i="8"/>
  <c r="G53" i="20"/>
  <c r="H50" i="20"/>
  <c r="H51" i="20" s="1"/>
  <c r="Q9" i="24"/>
  <c r="P20" i="8"/>
  <c r="J26" i="7"/>
  <c r="J28" i="7" s="1"/>
  <c r="J13" i="9"/>
  <c r="Q35" i="4"/>
  <c r="K11" i="20"/>
  <c r="K28" i="20" s="1"/>
  <c r="J14" i="9"/>
  <c r="J20" i="9"/>
  <c r="K21" i="7"/>
  <c r="K32" i="9" s="1"/>
  <c r="K11" i="9"/>
  <c r="J30" i="9"/>
  <c r="R28" i="10"/>
  <c r="L29" i="10"/>
  <c r="K30" i="10" s="1"/>
  <c r="Q25" i="20"/>
  <c r="O46" i="4"/>
  <c r="N23" i="7"/>
  <c r="O21" i="20" s="1"/>
  <c r="O43" i="4"/>
  <c r="M18" i="19"/>
  <c r="M15" i="7" s="1"/>
  <c r="M12" i="19"/>
  <c r="M12" i="7" s="1"/>
  <c r="M15" i="19"/>
  <c r="M13" i="7" s="1"/>
  <c r="M13" i="23"/>
  <c r="M14" i="8" s="1"/>
  <c r="M26" i="20" s="1"/>
  <c r="M46" i="23"/>
  <c r="M35" i="8" s="1"/>
  <c r="M43" i="20" s="1"/>
  <c r="M49" i="23"/>
  <c r="M36" i="8" s="1"/>
  <c r="M44" i="20" s="1"/>
  <c r="M36" i="23"/>
  <c r="M30" i="8" s="1"/>
  <c r="M22" i="23"/>
  <c r="M18" i="8" s="1"/>
  <c r="M33" i="20" s="1"/>
  <c r="M15" i="23"/>
  <c r="M15" i="8" s="1"/>
  <c r="M27" i="20" s="1"/>
  <c r="M25" i="23"/>
  <c r="M21" i="8" s="1"/>
  <c r="M36" i="20" s="1"/>
  <c r="M20" i="23"/>
  <c r="M19" i="8" s="1"/>
  <c r="M34" i="20" s="1"/>
  <c r="M43" i="23"/>
  <c r="M34" i="8" s="1"/>
  <c r="M42" i="20" s="1"/>
  <c r="M39" i="23"/>
  <c r="M31" i="8" s="1"/>
  <c r="Q24" i="4"/>
  <c r="P20" i="4"/>
  <c r="P19" i="4" s="1"/>
  <c r="L27" i="19"/>
  <c r="L14" i="7" s="1"/>
  <c r="L17" i="7" s="1"/>
  <c r="L19" i="7" s="1"/>
  <c r="L17" i="20"/>
  <c r="Q32" i="4"/>
  <c r="P28" i="4"/>
  <c r="P27" i="4" s="1"/>
  <c r="N44" i="4"/>
  <c r="N10" i="7"/>
  <c r="N10" i="19"/>
  <c r="L18" i="20"/>
  <c r="L24" i="19"/>
  <c r="L22" i="7" s="1"/>
  <c r="M14" i="20" s="1"/>
  <c r="M46" i="20" s="1"/>
  <c r="M13" i="20"/>
  <c r="L31" i="20"/>
  <c r="L37" i="20" s="1"/>
  <c r="S31" i="19"/>
  <c r="N21" i="19"/>
  <c r="M29" i="9"/>
  <c r="R32" i="23"/>
  <c r="S26" i="23"/>
  <c r="R40" i="23"/>
  <c r="S16" i="23"/>
  <c r="R44" i="23"/>
  <c r="S23" i="23"/>
  <c r="S21" i="23"/>
  <c r="S16" i="4"/>
  <c r="S12" i="4" s="1"/>
  <c r="R12" i="4"/>
  <c r="R11" i="4" s="1"/>
  <c r="R40" i="4"/>
  <c r="R36" i="4" s="1"/>
  <c r="R35" i="4" s="1"/>
  <c r="J15" i="9" l="1"/>
  <c r="H53" i="20"/>
  <c r="I50" i="20"/>
  <c r="I51" i="20" s="1"/>
  <c r="Q11" i="24"/>
  <c r="Q12" i="24" s="1"/>
  <c r="K24" i="7"/>
  <c r="K30" i="19" s="1"/>
  <c r="K25" i="7" s="1"/>
  <c r="J34" i="23"/>
  <c r="J27" i="8" s="1"/>
  <c r="K22" i="9"/>
  <c r="L21" i="7"/>
  <c r="L32" i="9" s="1"/>
  <c r="L11" i="9"/>
  <c r="L24" i="10"/>
  <c r="L25" i="10" s="1"/>
  <c r="L26" i="10" s="1"/>
  <c r="K12" i="9"/>
  <c r="T28" i="10"/>
  <c r="S28" i="10"/>
  <c r="M29" i="10"/>
  <c r="S25" i="20"/>
  <c r="R25" i="20"/>
  <c r="P46" i="4"/>
  <c r="O23" i="7"/>
  <c r="P21" i="20" s="1"/>
  <c r="S11" i="4"/>
  <c r="P43" i="4"/>
  <c r="L11" i="20"/>
  <c r="N12" i="19"/>
  <c r="N12" i="7" s="1"/>
  <c r="N18" i="19"/>
  <c r="N15" i="7" s="1"/>
  <c r="N15" i="19"/>
  <c r="N13" i="7" s="1"/>
  <c r="R32" i="4"/>
  <c r="Q28" i="4"/>
  <c r="Q27" i="4" s="1"/>
  <c r="M27" i="19"/>
  <c r="M14" i="7" s="1"/>
  <c r="M17" i="7" s="1"/>
  <c r="M19" i="7" s="1"/>
  <c r="M11" i="9" s="1"/>
  <c r="M17" i="20"/>
  <c r="O44" i="4"/>
  <c r="O10" i="7"/>
  <c r="O10" i="19"/>
  <c r="N13" i="23"/>
  <c r="N14" i="8" s="1"/>
  <c r="N26" i="20" s="1"/>
  <c r="N46" i="23"/>
  <c r="N35" i="8" s="1"/>
  <c r="N43" i="20" s="1"/>
  <c r="N49" i="23"/>
  <c r="N36" i="8" s="1"/>
  <c r="N44" i="20" s="1"/>
  <c r="N36" i="23"/>
  <c r="N30" i="8" s="1"/>
  <c r="N15" i="23"/>
  <c r="N15" i="8" s="1"/>
  <c r="N27" i="20" s="1"/>
  <c r="N25" i="23"/>
  <c r="N21" i="8" s="1"/>
  <c r="N36" i="20" s="1"/>
  <c r="N20" i="23"/>
  <c r="N19" i="8" s="1"/>
  <c r="N34" i="20" s="1"/>
  <c r="N22" i="23"/>
  <c r="N18" i="8" s="1"/>
  <c r="N33" i="20" s="1"/>
  <c r="N39" i="23"/>
  <c r="N31" i="8" s="1"/>
  <c r="N43" i="23"/>
  <c r="N34" i="8" s="1"/>
  <c r="N42" i="20" s="1"/>
  <c r="R24" i="4"/>
  <c r="Q20" i="4"/>
  <c r="Q19" i="4" s="1"/>
  <c r="M24" i="19"/>
  <c r="M22" i="7" s="1"/>
  <c r="N14" i="20" s="1"/>
  <c r="N46" i="20" s="1"/>
  <c r="M18" i="20"/>
  <c r="M35" i="20"/>
  <c r="M20" i="7"/>
  <c r="N27" i="10" s="1"/>
  <c r="S32" i="23"/>
  <c r="S44" i="23"/>
  <c r="S40" i="23"/>
  <c r="S40" i="4"/>
  <c r="S36" i="4" s="1"/>
  <c r="S35" i="4" s="1"/>
  <c r="J50" i="20" l="1"/>
  <c r="I53" i="20"/>
  <c r="K13" i="9"/>
  <c r="R9" i="24"/>
  <c r="Q20" i="8"/>
  <c r="J52" i="23"/>
  <c r="L24" i="7"/>
  <c r="L13" i="9" s="1"/>
  <c r="K14" i="9"/>
  <c r="K20" i="9"/>
  <c r="L30" i="10"/>
  <c r="M11" i="20"/>
  <c r="M24" i="10"/>
  <c r="M25" i="10" s="1"/>
  <c r="M26" i="10" s="1"/>
  <c r="L12" i="9"/>
  <c r="L22" i="20"/>
  <c r="L28" i="20" s="1"/>
  <c r="J26" i="9"/>
  <c r="J19" i="9"/>
  <c r="J21" i="9"/>
  <c r="N29" i="10"/>
  <c r="L30" i="19"/>
  <c r="L25" i="7" s="1"/>
  <c r="K26" i="7"/>
  <c r="K28" i="7" s="1"/>
  <c r="Q46" i="4"/>
  <c r="P23" i="7"/>
  <c r="Q21" i="20" s="1"/>
  <c r="Q43" i="4"/>
  <c r="O18" i="19"/>
  <c r="O15" i="7" s="1"/>
  <c r="O12" i="19"/>
  <c r="O12" i="7" s="1"/>
  <c r="O15" i="19"/>
  <c r="O13" i="7" s="1"/>
  <c r="S24" i="4"/>
  <c r="S20" i="4" s="1"/>
  <c r="R20" i="4"/>
  <c r="R19" i="4" s="1"/>
  <c r="O13" i="23"/>
  <c r="O14" i="8" s="1"/>
  <c r="O26" i="20" s="1"/>
  <c r="O46" i="23"/>
  <c r="O35" i="8" s="1"/>
  <c r="O43" i="20" s="1"/>
  <c r="O49" i="23"/>
  <c r="O36" i="8" s="1"/>
  <c r="O44" i="20" s="1"/>
  <c r="O36" i="23"/>
  <c r="O30" i="8" s="1"/>
  <c r="O15" i="23"/>
  <c r="O15" i="8" s="1"/>
  <c r="O27" i="20" s="1"/>
  <c r="O22" i="23"/>
  <c r="O18" i="8" s="1"/>
  <c r="O33" i="20" s="1"/>
  <c r="O25" i="23"/>
  <c r="O21" i="8" s="1"/>
  <c r="O36" i="20" s="1"/>
  <c r="O20" i="23"/>
  <c r="O19" i="8" s="1"/>
  <c r="O34" i="20" s="1"/>
  <c r="O43" i="23"/>
  <c r="O34" i="8" s="1"/>
  <c r="O42" i="20" s="1"/>
  <c r="O39" i="23"/>
  <c r="O31" i="8" s="1"/>
  <c r="P44" i="4"/>
  <c r="P10" i="7"/>
  <c r="P10" i="19"/>
  <c r="S32" i="4"/>
  <c r="S28" i="4" s="1"/>
  <c r="R28" i="4"/>
  <c r="R27" i="4" s="1"/>
  <c r="N27" i="19"/>
  <c r="N14" i="7" s="1"/>
  <c r="N17" i="7" s="1"/>
  <c r="N19" i="7" s="1"/>
  <c r="N11" i="9" s="1"/>
  <c r="N17" i="20"/>
  <c r="N24" i="19"/>
  <c r="N22" i="7" s="1"/>
  <c r="O14" i="20" s="1"/>
  <c r="O46" i="20" s="1"/>
  <c r="N18" i="20"/>
  <c r="J41" i="20"/>
  <c r="J47" i="20" s="1"/>
  <c r="J49" i="20" s="1"/>
  <c r="J51" i="20" s="1"/>
  <c r="J37" i="8"/>
  <c r="M21" i="7"/>
  <c r="M32" i="9" s="1"/>
  <c r="N13" i="20"/>
  <c r="O21" i="19"/>
  <c r="N29" i="9"/>
  <c r="J11" i="23" l="1"/>
  <c r="J12" i="8" s="1"/>
  <c r="R11" i="24"/>
  <c r="R12" i="24" s="1"/>
  <c r="L26" i="7"/>
  <c r="L30" i="9" s="1"/>
  <c r="L20" i="9"/>
  <c r="L14" i="9"/>
  <c r="M30" i="10"/>
  <c r="K30" i="9"/>
  <c r="K15" i="9"/>
  <c r="M12" i="9"/>
  <c r="M22" i="20"/>
  <c r="M28" i="20" s="1"/>
  <c r="M24" i="7"/>
  <c r="N24" i="10"/>
  <c r="O29" i="10"/>
  <c r="S27" i="4"/>
  <c r="R46" i="4"/>
  <c r="Q23" i="7"/>
  <c r="R21" i="20" s="1"/>
  <c r="S19" i="4"/>
  <c r="R43" i="4"/>
  <c r="P18" i="19"/>
  <c r="P15" i="7" s="1"/>
  <c r="P12" i="19"/>
  <c r="P12" i="7" s="1"/>
  <c r="P15" i="19"/>
  <c r="P13" i="7" s="1"/>
  <c r="O18" i="20"/>
  <c r="O24" i="19"/>
  <c r="O22" i="7" s="1"/>
  <c r="P14" i="20" s="1"/>
  <c r="P46" i="20" s="1"/>
  <c r="Q44" i="4"/>
  <c r="Q10" i="7"/>
  <c r="Q10" i="19"/>
  <c r="P13" i="23"/>
  <c r="P14" i="8" s="1"/>
  <c r="P26" i="20" s="1"/>
  <c r="P46" i="23"/>
  <c r="P35" i="8" s="1"/>
  <c r="P43" i="20" s="1"/>
  <c r="P49" i="23"/>
  <c r="P36" i="8" s="1"/>
  <c r="P44" i="20" s="1"/>
  <c r="P36" i="23"/>
  <c r="P30" i="8" s="1"/>
  <c r="P25" i="23"/>
  <c r="P21" i="8" s="1"/>
  <c r="P36" i="20" s="1"/>
  <c r="P15" i="23"/>
  <c r="P15" i="8" s="1"/>
  <c r="P27" i="20" s="1"/>
  <c r="P22" i="23"/>
  <c r="P18" i="8" s="1"/>
  <c r="P33" i="20" s="1"/>
  <c r="P20" i="23"/>
  <c r="P19" i="8" s="1"/>
  <c r="P34" i="20" s="1"/>
  <c r="P43" i="23"/>
  <c r="P34" i="8" s="1"/>
  <c r="P42" i="20" s="1"/>
  <c r="P39" i="23"/>
  <c r="P31" i="8" s="1"/>
  <c r="O27" i="19"/>
  <c r="O14" i="7" s="1"/>
  <c r="O17" i="7" s="1"/>
  <c r="O19" i="7" s="1"/>
  <c r="O11" i="9" s="1"/>
  <c r="O17" i="20"/>
  <c r="P29" i="10" s="1"/>
  <c r="N35" i="20"/>
  <c r="K50" i="20"/>
  <c r="M31" i="20"/>
  <c r="M37" i="20" s="1"/>
  <c r="N20" i="7"/>
  <c r="O27" i="10" s="1"/>
  <c r="J28" i="23" l="1"/>
  <c r="S9" i="24"/>
  <c r="S11" i="24" s="1"/>
  <c r="S12" i="24" s="1"/>
  <c r="S20" i="8" s="1"/>
  <c r="R20" i="8"/>
  <c r="L15" i="9"/>
  <c r="L28" i="7"/>
  <c r="M22" i="9" s="1"/>
  <c r="K34" i="23"/>
  <c r="K27" i="8" s="1"/>
  <c r="K37" i="8" s="1"/>
  <c r="S43" i="4"/>
  <c r="S44" i="4" s="1"/>
  <c r="L22" i="9"/>
  <c r="N11" i="20"/>
  <c r="M13" i="9"/>
  <c r="M30" i="19"/>
  <c r="M25" i="7" s="1"/>
  <c r="N25" i="10"/>
  <c r="N26" i="10" s="1"/>
  <c r="N30" i="10" s="1"/>
  <c r="S46" i="4"/>
  <c r="S23" i="7" s="1"/>
  <c r="R23" i="7"/>
  <c r="S21" i="20" s="1"/>
  <c r="P24" i="19"/>
  <c r="P22" i="7" s="1"/>
  <c r="Q14" i="20" s="1"/>
  <c r="Q46" i="20" s="1"/>
  <c r="P18" i="20"/>
  <c r="P17" i="20"/>
  <c r="P27" i="19"/>
  <c r="P14" i="7" s="1"/>
  <c r="Q18" i="19"/>
  <c r="Q15" i="7" s="1"/>
  <c r="Q12" i="19"/>
  <c r="Q12" i="7" s="1"/>
  <c r="Q15" i="19"/>
  <c r="Q13" i="7" s="1"/>
  <c r="R44" i="4"/>
  <c r="R10" i="7"/>
  <c r="R10" i="19"/>
  <c r="Q13" i="23"/>
  <c r="Q14" i="8" s="1"/>
  <c r="Q26" i="20" s="1"/>
  <c r="Q46" i="23"/>
  <c r="Q35" i="8" s="1"/>
  <c r="Q43" i="20" s="1"/>
  <c r="Q49" i="23"/>
  <c r="Q36" i="8" s="1"/>
  <c r="Q44" i="20" s="1"/>
  <c r="Q36" i="23"/>
  <c r="Q30" i="8" s="1"/>
  <c r="Q25" i="23"/>
  <c r="Q21" i="8" s="1"/>
  <c r="Q36" i="20" s="1"/>
  <c r="Q22" i="23"/>
  <c r="Q18" i="8" s="1"/>
  <c r="Q33" i="20" s="1"/>
  <c r="Q15" i="23"/>
  <c r="Q15" i="8" s="1"/>
  <c r="Q27" i="20" s="1"/>
  <c r="Q20" i="23"/>
  <c r="Q19" i="8" s="1"/>
  <c r="Q34" i="20" s="1"/>
  <c r="Q43" i="23"/>
  <c r="Q34" i="8" s="1"/>
  <c r="Q42" i="20" s="1"/>
  <c r="Q39" i="23"/>
  <c r="Q31" i="8" s="1"/>
  <c r="N21" i="7"/>
  <c r="N32" i="9" s="1"/>
  <c r="O13" i="20"/>
  <c r="N31" i="20"/>
  <c r="N37" i="20" s="1"/>
  <c r="P21" i="19"/>
  <c r="S10" i="19" l="1"/>
  <c r="J23" i="8"/>
  <c r="J53" i="20"/>
  <c r="O29" i="9"/>
  <c r="K52" i="23"/>
  <c r="K11" i="23" s="1"/>
  <c r="K28" i="23" s="1"/>
  <c r="K21" i="9"/>
  <c r="K19" i="9"/>
  <c r="S10" i="7"/>
  <c r="S49" i="23" s="1"/>
  <c r="S36" i="8" s="1"/>
  <c r="L34" i="23"/>
  <c r="L27" i="8" s="1"/>
  <c r="L21" i="9" s="1"/>
  <c r="K26" i="9"/>
  <c r="K41" i="20"/>
  <c r="K47" i="20" s="1"/>
  <c r="K49" i="20" s="1"/>
  <c r="K51" i="20" s="1"/>
  <c r="L50" i="20" s="1"/>
  <c r="M14" i="9"/>
  <c r="M20" i="9"/>
  <c r="O24" i="10"/>
  <c r="O25" i="10" s="1"/>
  <c r="O26" i="10" s="1"/>
  <c r="O30" i="10" s="1"/>
  <c r="N12" i="9"/>
  <c r="M26" i="7"/>
  <c r="M28" i="7" s="1"/>
  <c r="P17" i="7"/>
  <c r="P19" i="7" s="1"/>
  <c r="P11" i="9" s="1"/>
  <c r="N22" i="20"/>
  <c r="N28" i="20" s="1"/>
  <c r="N24" i="7"/>
  <c r="N30" i="19" s="1"/>
  <c r="N25" i="7" s="1"/>
  <c r="Q29" i="10"/>
  <c r="R13" i="23"/>
  <c r="R14" i="8" s="1"/>
  <c r="R26" i="20" s="1"/>
  <c r="R46" i="23"/>
  <c r="R35" i="8" s="1"/>
  <c r="R43" i="20" s="1"/>
  <c r="R36" i="23"/>
  <c r="R30" i="8" s="1"/>
  <c r="R49" i="23"/>
  <c r="R36" i="8" s="1"/>
  <c r="R44" i="20" s="1"/>
  <c r="R25" i="23"/>
  <c r="R21" i="8" s="1"/>
  <c r="R36" i="20" s="1"/>
  <c r="R15" i="23"/>
  <c r="R15" i="8" s="1"/>
  <c r="R27" i="20" s="1"/>
  <c r="R22" i="23"/>
  <c r="R18" i="8" s="1"/>
  <c r="R33" i="20" s="1"/>
  <c r="R20" i="23"/>
  <c r="R19" i="8" s="1"/>
  <c r="R34" i="20" s="1"/>
  <c r="R39" i="23"/>
  <c r="R31" i="8" s="1"/>
  <c r="R43" i="23"/>
  <c r="R34" i="8" s="1"/>
  <c r="R42" i="20" s="1"/>
  <c r="Q18" i="20"/>
  <c r="Q24" i="19"/>
  <c r="Q22" i="7" s="1"/>
  <c r="R14" i="20" s="1"/>
  <c r="R46" i="20" s="1"/>
  <c r="S18" i="19"/>
  <c r="S15" i="7" s="1"/>
  <c r="S12" i="19"/>
  <c r="S12" i="7" s="1"/>
  <c r="S15" i="19"/>
  <c r="S13" i="7" s="1"/>
  <c r="S13" i="23"/>
  <c r="S14" i="8" s="1"/>
  <c r="Q17" i="20"/>
  <c r="Q27" i="19"/>
  <c r="Q14" i="7" s="1"/>
  <c r="R12" i="19"/>
  <c r="R12" i="7" s="1"/>
  <c r="R18" i="19"/>
  <c r="R15" i="7" s="1"/>
  <c r="R15" i="19"/>
  <c r="R13" i="7" s="1"/>
  <c r="O35" i="20"/>
  <c r="O20" i="7"/>
  <c r="P27" i="10" s="1"/>
  <c r="S46" i="23" l="1"/>
  <c r="S35" i="8" s="1"/>
  <c r="S43" i="20" s="1"/>
  <c r="S39" i="23"/>
  <c r="S31" i="8" s="1"/>
  <c r="S43" i="23"/>
  <c r="S34" i="8" s="1"/>
  <c r="S20" i="23"/>
  <c r="S19" i="8" s="1"/>
  <c r="S34" i="20" s="1"/>
  <c r="S22" i="23"/>
  <c r="S18" i="8" s="1"/>
  <c r="S33" i="20" s="1"/>
  <c r="S25" i="23"/>
  <c r="S21" i="8" s="1"/>
  <c r="S36" i="23"/>
  <c r="S30" i="8" s="1"/>
  <c r="S17" i="20" s="1"/>
  <c r="S15" i="23"/>
  <c r="S15" i="8" s="1"/>
  <c r="S27" i="20" s="1"/>
  <c r="K12" i="8"/>
  <c r="K23" i="8" s="1"/>
  <c r="K18" i="9" s="1"/>
  <c r="J18" i="9"/>
  <c r="J39" i="8"/>
  <c r="J25" i="9"/>
  <c r="L19" i="9"/>
  <c r="L37" i="8"/>
  <c r="L26" i="9"/>
  <c r="L52" i="23"/>
  <c r="L11" i="23" s="1"/>
  <c r="L41" i="20"/>
  <c r="L47" i="20" s="1"/>
  <c r="L49" i="20" s="1"/>
  <c r="L51" i="20" s="1"/>
  <c r="N14" i="9"/>
  <c r="N20" i="9"/>
  <c r="N22" i="9"/>
  <c r="M30" i="9"/>
  <c r="M15" i="9"/>
  <c r="Q17" i="7"/>
  <c r="Q19" i="7" s="1"/>
  <c r="Q11" i="9" s="1"/>
  <c r="O11" i="20"/>
  <c r="N13" i="9"/>
  <c r="S42" i="20"/>
  <c r="R29" i="10"/>
  <c r="S26" i="20"/>
  <c r="S36" i="20"/>
  <c r="S44" i="20"/>
  <c r="R17" i="20"/>
  <c r="R27" i="19"/>
  <c r="R14" i="7" s="1"/>
  <c r="R17" i="7" s="1"/>
  <c r="R19" i="7" s="1"/>
  <c r="R11" i="9" s="1"/>
  <c r="S18" i="20"/>
  <c r="R24" i="19"/>
  <c r="R22" i="7" s="1"/>
  <c r="S14" i="20" s="1"/>
  <c r="S46" i="20" s="1"/>
  <c r="R18" i="20"/>
  <c r="O21" i="7"/>
  <c r="O32" i="9" s="1"/>
  <c r="P13" i="20"/>
  <c r="N26" i="7"/>
  <c r="N28" i="7" s="1"/>
  <c r="O22" i="20"/>
  <c r="Q21" i="19"/>
  <c r="S24" i="19" l="1"/>
  <c r="S22" i="7" s="1"/>
  <c r="S27" i="19"/>
  <c r="S14" i="7" s="1"/>
  <c r="S17" i="7" s="1"/>
  <c r="S19" i="7" s="1"/>
  <c r="S11" i="9" s="1"/>
  <c r="K53" i="20"/>
  <c r="K39" i="8"/>
  <c r="K25" i="9"/>
  <c r="P29" i="9"/>
  <c r="O28" i="20"/>
  <c r="M50" i="20"/>
  <c r="L28" i="23"/>
  <c r="L12" i="8"/>
  <c r="L23" i="8" s="1"/>
  <c r="M34" i="23"/>
  <c r="N30" i="9"/>
  <c r="N15" i="9"/>
  <c r="O12" i="9"/>
  <c r="S29" i="10"/>
  <c r="T29" i="10"/>
  <c r="O24" i="7"/>
  <c r="P24" i="10"/>
  <c r="P35" i="20"/>
  <c r="O31" i="20"/>
  <c r="O37" i="20" s="1"/>
  <c r="P20" i="7"/>
  <c r="Q27" i="10" s="1"/>
  <c r="L39" i="8" l="1"/>
  <c r="L25" i="9"/>
  <c r="L18" i="9"/>
  <c r="L53" i="20"/>
  <c r="P11" i="20"/>
  <c r="O13" i="9"/>
  <c r="O22" i="9"/>
  <c r="M52" i="23"/>
  <c r="M11" i="23" s="1"/>
  <c r="M27" i="8"/>
  <c r="N34" i="23"/>
  <c r="O30" i="19"/>
  <c r="O25" i="7" s="1"/>
  <c r="P25" i="10"/>
  <c r="P26" i="10" s="1"/>
  <c r="P30" i="10" s="1"/>
  <c r="P21" i="7"/>
  <c r="P32" i="9" s="1"/>
  <c r="Q13" i="20"/>
  <c r="P31" i="20"/>
  <c r="P37" i="20" s="1"/>
  <c r="R21" i="19"/>
  <c r="Q29" i="9" l="1"/>
  <c r="O14" i="9"/>
  <c r="O20" i="9"/>
  <c r="N27" i="8"/>
  <c r="N21" i="9" s="1"/>
  <c r="N52" i="23"/>
  <c r="N11" i="23" s="1"/>
  <c r="M26" i="9"/>
  <c r="M19" i="9"/>
  <c r="M21" i="9"/>
  <c r="M37" i="8"/>
  <c r="M41" i="20"/>
  <c r="M47" i="20" s="1"/>
  <c r="M49" i="20" s="1"/>
  <c r="M51" i="20" s="1"/>
  <c r="O26" i="7"/>
  <c r="O28" i="7" s="1"/>
  <c r="Q24" i="10"/>
  <c r="Q25" i="10" s="1"/>
  <c r="Q26" i="10" s="1"/>
  <c r="Q30" i="10" s="1"/>
  <c r="P12" i="9"/>
  <c r="M28" i="23"/>
  <c r="M12" i="8"/>
  <c r="M23" i="8" s="1"/>
  <c r="P22" i="20"/>
  <c r="P28" i="20" s="1"/>
  <c r="P24" i="7"/>
  <c r="Q35" i="20"/>
  <c r="Q20" i="7"/>
  <c r="R27" i="10" s="1"/>
  <c r="N19" i="9" l="1"/>
  <c r="M39" i="8"/>
  <c r="Q11" i="20"/>
  <c r="P13" i="9"/>
  <c r="M25" i="9"/>
  <c r="M18" i="9"/>
  <c r="P22" i="9"/>
  <c r="O30" i="9"/>
  <c r="O15" i="9"/>
  <c r="N28" i="23"/>
  <c r="N12" i="8"/>
  <c r="N23" i="8" s="1"/>
  <c r="N50" i="20"/>
  <c r="M53" i="20"/>
  <c r="N26" i="9"/>
  <c r="N41" i="20"/>
  <c r="N47" i="20" s="1"/>
  <c r="N49" i="20" s="1"/>
  <c r="N37" i="8"/>
  <c r="P30" i="19"/>
  <c r="P25" i="7" s="1"/>
  <c r="Q21" i="7"/>
  <c r="Q32" i="9" s="1"/>
  <c r="R13" i="20"/>
  <c r="Q31" i="20"/>
  <c r="Q37" i="20" s="1"/>
  <c r="S21" i="19"/>
  <c r="R29" i="9" l="1"/>
  <c r="P20" i="9"/>
  <c r="P14" i="9"/>
  <c r="N51" i="20"/>
  <c r="N53" i="20" s="1"/>
  <c r="N25" i="9"/>
  <c r="P26" i="7"/>
  <c r="P28" i="7" s="1"/>
  <c r="N18" i="9"/>
  <c r="Q12" i="9"/>
  <c r="N39" i="8"/>
  <c r="O34" i="23"/>
  <c r="Q22" i="20"/>
  <c r="Q28" i="20" s="1"/>
  <c r="Q24" i="7"/>
  <c r="R24" i="10"/>
  <c r="R35" i="20"/>
  <c r="R20" i="7"/>
  <c r="S27" i="10" s="1"/>
  <c r="S29" i="9"/>
  <c r="O50" i="20" l="1"/>
  <c r="O52" i="23"/>
  <c r="O11" i="23" s="1"/>
  <c r="O27" i="8"/>
  <c r="R11" i="20"/>
  <c r="Q13" i="9"/>
  <c r="Q22" i="9"/>
  <c r="P30" i="9"/>
  <c r="P15" i="9"/>
  <c r="Q30" i="19"/>
  <c r="Q25" i="7" s="1"/>
  <c r="R25" i="10"/>
  <c r="R26" i="10" s="1"/>
  <c r="R30" i="10" s="1"/>
  <c r="R21" i="7"/>
  <c r="R32" i="9" s="1"/>
  <c r="S13" i="20"/>
  <c r="S35" i="20" s="1"/>
  <c r="S20" i="7"/>
  <c r="Q26" i="7" l="1"/>
  <c r="Q14" i="9"/>
  <c r="Q20" i="9"/>
  <c r="R12" i="9"/>
  <c r="P34" i="23"/>
  <c r="O26" i="9"/>
  <c r="O19" i="9"/>
  <c r="O21" i="9"/>
  <c r="O41" i="20"/>
  <c r="O47" i="20" s="1"/>
  <c r="O49" i="20" s="1"/>
  <c r="O51" i="20" s="1"/>
  <c r="O37" i="8"/>
  <c r="R22" i="20"/>
  <c r="R28" i="20" s="1"/>
  <c r="O28" i="23"/>
  <c r="O12" i="8"/>
  <c r="O23" i="8" s="1"/>
  <c r="S21" i="7"/>
  <c r="S32" i="9" s="1"/>
  <c r="T27" i="10"/>
  <c r="R24" i="7"/>
  <c r="S24" i="10"/>
  <c r="R31" i="20"/>
  <c r="R37" i="20" s="1"/>
  <c r="S31" i="20"/>
  <c r="S37" i="20" s="1"/>
  <c r="Q15" i="9" l="1"/>
  <c r="Q28" i="7"/>
  <c r="R22" i="9" s="1"/>
  <c r="Q30" i="9"/>
  <c r="O39" i="8"/>
  <c r="S11" i="20"/>
  <c r="R13" i="9"/>
  <c r="T24" i="10"/>
  <c r="S12" i="9"/>
  <c r="P27" i="8"/>
  <c r="P52" i="23"/>
  <c r="P11" i="23" s="1"/>
  <c r="O53" i="20"/>
  <c r="P50" i="20"/>
  <c r="O25" i="9"/>
  <c r="O18" i="9"/>
  <c r="R30" i="19"/>
  <c r="R25" i="7" s="1"/>
  <c r="S24" i="7"/>
  <c r="S30" i="19" s="1"/>
  <c r="S25" i="7" s="1"/>
  <c r="S25" i="10"/>
  <c r="S26" i="10" s="1"/>
  <c r="S30" i="10" s="1"/>
  <c r="Q34" i="23" l="1"/>
  <c r="Q52" i="23" s="1"/>
  <c r="Q11" i="23" s="1"/>
  <c r="Q28" i="23" s="1"/>
  <c r="T25" i="10"/>
  <c r="T26" i="10" s="1"/>
  <c r="T30" i="10" s="1"/>
  <c r="S14" i="9"/>
  <c r="S20" i="9"/>
  <c r="R26" i="7"/>
  <c r="R28" i="7" s="1"/>
  <c r="R14" i="9"/>
  <c r="R20" i="9"/>
  <c r="S22" i="20"/>
  <c r="S28" i="20" s="1"/>
  <c r="S13" i="9"/>
  <c r="S26" i="7"/>
  <c r="S28" i="7" s="1"/>
  <c r="P26" i="9"/>
  <c r="P21" i="9"/>
  <c r="P41" i="20"/>
  <c r="P47" i="20" s="1"/>
  <c r="P49" i="20" s="1"/>
  <c r="P51" i="20" s="1"/>
  <c r="P37" i="8"/>
  <c r="P19" i="9"/>
  <c r="P28" i="23"/>
  <c r="P12" i="8"/>
  <c r="P23" i="8" s="1"/>
  <c r="F34" i="2"/>
  <c r="E21" i="2"/>
  <c r="F21" i="2"/>
  <c r="G21" i="2"/>
  <c r="I21" i="2"/>
  <c r="I34" i="2"/>
  <c r="E34" i="2"/>
  <c r="E12" i="1"/>
  <c r="F12" i="1"/>
  <c r="G12" i="1"/>
  <c r="H12" i="1"/>
  <c r="H24" i="1" s="1"/>
  <c r="I12" i="1"/>
  <c r="I24" i="1" s="1"/>
  <c r="E9" i="18"/>
  <c r="E10" i="18" s="1"/>
  <c r="E11" i="18" s="1"/>
  <c r="E12" i="18" s="1"/>
  <c r="E13" i="18" s="1"/>
  <c r="E14" i="18" s="1"/>
  <c r="E15" i="18" s="1"/>
  <c r="E16" i="18" s="1"/>
  <c r="E17" i="18" s="1"/>
  <c r="E18" i="18" s="1"/>
  <c r="E19" i="18" s="1"/>
  <c r="E20" i="18" s="1"/>
  <c r="E21" i="18" s="1"/>
  <c r="E22" i="18" s="1"/>
  <c r="E23" i="18" s="1"/>
  <c r="E24" i="18" s="1"/>
  <c r="E25" i="18" s="1"/>
  <c r="E26" i="18" s="1"/>
  <c r="Q12" i="8" l="1"/>
  <c r="Q23" i="8" s="1"/>
  <c r="Q18" i="9" s="1"/>
  <c r="Q27" i="8"/>
  <c r="Q41" i="20" s="1"/>
  <c r="Q47" i="20" s="1"/>
  <c r="Q49" i="20" s="1"/>
  <c r="S22" i="9"/>
  <c r="R34" i="23"/>
  <c r="R52" i="23" s="1"/>
  <c r="R11" i="23" s="1"/>
  <c r="R15" i="9"/>
  <c r="R30" i="9"/>
  <c r="P39" i="8"/>
  <c r="S30" i="9"/>
  <c r="S15" i="9"/>
  <c r="P25" i="9"/>
  <c r="P18" i="9"/>
  <c r="Q50" i="20"/>
  <c r="P53" i="20"/>
  <c r="H34" i="2"/>
  <c r="G34" i="2"/>
  <c r="H21" i="2"/>
  <c r="G24" i="1"/>
  <c r="F24" i="1"/>
  <c r="E24" i="1"/>
  <c r="J20" i="12"/>
  <c r="J19" i="12"/>
  <c r="G22" i="12"/>
  <c r="J26" i="13" a="1"/>
  <c r="H12" i="13"/>
  <c r="F12" i="12" s="1"/>
  <c r="L22" i="10"/>
  <c r="M22" i="10"/>
  <c r="N22" i="10"/>
  <c r="O22" i="10"/>
  <c r="P22" i="10"/>
  <c r="Q22" i="10"/>
  <c r="R22" i="10"/>
  <c r="S22" i="10"/>
  <c r="T22" i="10"/>
  <c r="K22" i="10"/>
  <c r="J22" i="10"/>
  <c r="U20" i="10"/>
  <c r="L21" i="10"/>
  <c r="M21" i="10" s="1"/>
  <c r="N21" i="10" s="1"/>
  <c r="O21" i="10" s="1"/>
  <c r="P21" i="10" s="1"/>
  <c r="Q21" i="10" s="1"/>
  <c r="R21" i="10" s="1"/>
  <c r="S21" i="10" s="1"/>
  <c r="T21" i="10" s="1"/>
  <c r="G21" i="10"/>
  <c r="H21" i="10" s="1"/>
  <c r="I21" i="10" s="1"/>
  <c r="J21" i="10" s="1"/>
  <c r="G20" i="10"/>
  <c r="G18" i="10"/>
  <c r="H18" i="10" s="1"/>
  <c r="I18" i="10" s="1"/>
  <c r="J18" i="10" s="1"/>
  <c r="K18" i="10" s="1"/>
  <c r="L18" i="10" s="1"/>
  <c r="M18" i="10" s="1"/>
  <c r="N18" i="10" s="1"/>
  <c r="O18" i="10" s="1"/>
  <c r="P18" i="10" s="1"/>
  <c r="Q18" i="10" s="1"/>
  <c r="R18" i="10" s="1"/>
  <c r="S18" i="10" s="1"/>
  <c r="T18" i="10" s="1"/>
  <c r="E43" i="12"/>
  <c r="F7" i="6"/>
  <c r="G7" i="6" s="1"/>
  <c r="H7" i="6" s="1"/>
  <c r="I7" i="6" s="1"/>
  <c r="H20" i="10" l="1"/>
  <c r="I20" i="10" s="1"/>
  <c r="I22" i="10" s="1"/>
  <c r="F22" i="10"/>
  <c r="Q25" i="9"/>
  <c r="Q37" i="8"/>
  <c r="Q39" i="8" s="1"/>
  <c r="Q21" i="9"/>
  <c r="Q26" i="9"/>
  <c r="Q19" i="9"/>
  <c r="Q51" i="20"/>
  <c r="R50" i="20" s="1"/>
  <c r="S34" i="23"/>
  <c r="S27" i="8" s="1"/>
  <c r="S26" i="9" s="1"/>
  <c r="R27" i="8"/>
  <c r="R26" i="9" s="1"/>
  <c r="R28" i="23"/>
  <c r="R12" i="8"/>
  <c r="R23" i="8" s="1"/>
  <c r="G22" i="10"/>
  <c r="H22" i="10"/>
  <c r="E32" i="12"/>
  <c r="H22" i="13"/>
  <c r="S19" i="13"/>
  <c r="S20" i="13"/>
  <c r="F28" i="13" s="1"/>
  <c r="H28" i="13" s="1"/>
  <c r="R20" i="13"/>
  <c r="R19" i="13"/>
  <c r="H12" i="12"/>
  <c r="K12" i="13"/>
  <c r="N12" i="13" s="1"/>
  <c r="H26" i="13"/>
  <c r="H27" i="13" s="1"/>
  <c r="J26" i="13"/>
  <c r="J28" i="13"/>
  <c r="J27" i="13"/>
  <c r="Q53" i="20" l="1"/>
  <c r="F27" i="13"/>
  <c r="S52" i="23"/>
  <c r="S11" i="23" s="1"/>
  <c r="S28" i="23" s="1"/>
  <c r="R37" i="8"/>
  <c r="R39" i="8" s="1"/>
  <c r="R21" i="9"/>
  <c r="R41" i="20"/>
  <c r="R47" i="20" s="1"/>
  <c r="R49" i="20" s="1"/>
  <c r="R51" i="20" s="1"/>
  <c r="S50" i="20" s="1"/>
  <c r="R19" i="9"/>
  <c r="S19" i="9"/>
  <c r="R25" i="9"/>
  <c r="R18" i="9"/>
  <c r="S21" i="9"/>
  <c r="S41" i="20"/>
  <c r="S47" i="20" s="1"/>
  <c r="S49" i="20" s="1"/>
  <c r="S37" i="8"/>
  <c r="F22" i="12"/>
  <c r="I12" i="12"/>
  <c r="I19" i="12" s="1"/>
  <c r="E27" i="12" s="1"/>
  <c r="L12" i="12"/>
  <c r="K22" i="13"/>
  <c r="I28" i="13"/>
  <c r="G28" i="13" s="1"/>
  <c r="Q12" i="13"/>
  <c r="L19" i="12" l="1"/>
  <c r="L20" i="12"/>
  <c r="S12" i="8"/>
  <c r="S23" i="8" s="1"/>
  <c r="S25" i="9" s="1"/>
  <c r="R53" i="20"/>
  <c r="S51" i="20"/>
  <c r="N22" i="13"/>
  <c r="G27" i="13" s="1"/>
  <c r="I27" i="13" s="1"/>
  <c r="K27" i="13" s="1"/>
  <c r="I20" i="12"/>
  <c r="I22" i="12"/>
  <c r="H22" i="12"/>
  <c r="L22" i="12" s="1"/>
  <c r="E31" i="12"/>
  <c r="E33" i="12" s="1"/>
  <c r="Q22" i="13"/>
  <c r="Q20" i="13"/>
  <c r="F26" i="13" s="1"/>
  <c r="G26" i="13" s="1"/>
  <c r="I26" i="13" s="1"/>
  <c r="K26" i="13" s="1"/>
  <c r="J12" i="16" s="1"/>
  <c r="J13" i="16" s="1"/>
  <c r="Q19" i="13"/>
  <c r="K28" i="13"/>
  <c r="J14" i="16" s="1"/>
  <c r="J15" i="16" s="1"/>
  <c r="E28" i="12"/>
  <c r="S53" i="20" l="1"/>
  <c r="S18" i="9"/>
  <c r="S39" i="8"/>
  <c r="F7" i="9"/>
  <c r="G7" i="9" s="1"/>
  <c r="H7" i="9" s="1"/>
  <c r="I7" i="9" s="1"/>
  <c r="J7" i="9" s="1"/>
  <c r="K7" i="9" s="1"/>
  <c r="L7" i="9" s="1"/>
  <c r="M7" i="9" s="1"/>
  <c r="N7" i="9" s="1"/>
  <c r="O7" i="9" s="1"/>
  <c r="P7" i="9" s="1"/>
  <c r="Q7" i="9" s="1"/>
  <c r="R7" i="9" s="1"/>
  <c r="S7" i="9" s="1"/>
  <c r="F7" i="20"/>
  <c r="G7" i="20" s="1"/>
  <c r="H7" i="20" s="1"/>
  <c r="I7" i="20" s="1"/>
  <c r="J7" i="20" s="1"/>
  <c r="K7" i="20" s="1"/>
  <c r="L7" i="20" s="1"/>
  <c r="M7" i="20" s="1"/>
  <c r="N7" i="20" s="1"/>
  <c r="O7" i="20" s="1"/>
  <c r="P7" i="20" s="1"/>
  <c r="Q7" i="20" s="1"/>
  <c r="R7" i="20" s="1"/>
  <c r="S7" i="20" s="1"/>
  <c r="F7" i="8"/>
  <c r="G7" i="8" s="1"/>
  <c r="H7" i="8" s="1"/>
  <c r="I7" i="8" s="1"/>
  <c r="J7" i="8" s="1"/>
  <c r="K7" i="8" s="1"/>
  <c r="L7" i="8" s="1"/>
  <c r="M7" i="8" s="1"/>
  <c r="N7" i="8" s="1"/>
  <c r="O7" i="8" s="1"/>
  <c r="P7" i="8" s="1"/>
  <c r="Q7" i="8" s="1"/>
  <c r="R7" i="8" s="1"/>
  <c r="S7" i="8" s="1"/>
  <c r="F7" i="7" l="1"/>
  <c r="G7" i="7" s="1"/>
  <c r="H7" i="7" s="1"/>
  <c r="I7" i="7" s="1"/>
  <c r="J7" i="7" s="1"/>
  <c r="K7" i="7" s="1"/>
  <c r="L7" i="7" s="1"/>
  <c r="M7" i="7" s="1"/>
  <c r="N7" i="7" s="1"/>
  <c r="O7" i="7" s="1"/>
  <c r="P7" i="7" s="1"/>
  <c r="Q7" i="7" s="1"/>
  <c r="R7" i="7" s="1"/>
  <c r="S7" i="7" s="1"/>
  <c r="F7" i="19"/>
  <c r="G7" i="19" s="1"/>
  <c r="H7" i="19" s="1"/>
  <c r="I7" i="19" s="1"/>
  <c r="J7" i="19" s="1"/>
  <c r="K7" i="19" s="1"/>
  <c r="L7" i="19" s="1"/>
  <c r="M7" i="19" s="1"/>
  <c r="N7" i="19" s="1"/>
  <c r="O7" i="19" s="1"/>
  <c r="P7" i="19" s="1"/>
  <c r="Q7" i="19" s="1"/>
  <c r="R7" i="19" s="1"/>
  <c r="S7" i="19" s="1"/>
  <c r="F7" i="4"/>
  <c r="G7" i="4" s="1"/>
  <c r="H7" i="4" s="1"/>
  <c r="I7" i="4" s="1"/>
  <c r="J7" i="4" s="1"/>
  <c r="K7" i="4" s="1"/>
  <c r="L7" i="4" s="1"/>
  <c r="M7" i="4" s="1"/>
  <c r="N7" i="4" s="1"/>
  <c r="O7" i="4" s="1"/>
  <c r="P7" i="4" s="1"/>
  <c r="Q7" i="4" s="1"/>
  <c r="R7" i="4" s="1"/>
  <c r="S7" i="4" s="1"/>
  <c r="F7" i="2" l="1"/>
  <c r="G7" i="2" s="1"/>
  <c r="H7" i="2" s="1"/>
  <c r="I7" i="2" s="1"/>
  <c r="F7" i="1"/>
  <c r="G7" i="1" s="1"/>
  <c r="H7" i="1" s="1"/>
  <c r="I7" i="1" s="1"/>
  <c r="E38" i="12" l="1"/>
  <c r="E44" i="12" s="1"/>
  <c r="R32" i="10" l="1"/>
  <c r="H32" i="10"/>
  <c r="I32" i="10"/>
  <c r="F32" i="10"/>
  <c r="J32" i="10"/>
  <c r="G32" i="10"/>
  <c r="K32" i="10"/>
  <c r="L32" i="10"/>
  <c r="M32" i="10"/>
  <c r="N32" i="10"/>
  <c r="O32" i="10"/>
  <c r="P32" i="10"/>
  <c r="Q32" i="10"/>
  <c r="E45" i="12"/>
  <c r="E47" i="12" l="1"/>
  <c r="E14" i="10" s="1"/>
  <c r="S32" i="10"/>
  <c r="T32" i="10" l="1"/>
  <c r="U38" i="10" l="1"/>
  <c r="U30" i="10" s="1"/>
  <c r="E36" i="10" s="1"/>
  <c r="E39" i="10" s="1"/>
  <c r="E41" i="10" s="1"/>
  <c r="G51" i="10" s="1"/>
  <c r="P37" i="10" l="1"/>
  <c r="P38" i="10" s="1"/>
  <c r="U32" i="10"/>
</calcChain>
</file>

<file path=xl/sharedStrings.xml><?xml version="1.0" encoding="utf-8"?>
<sst xmlns="http://schemas.openxmlformats.org/spreadsheetml/2006/main" count="871" uniqueCount="451">
  <si>
    <t>Particulars</t>
  </si>
  <si>
    <t>Assets</t>
  </si>
  <si>
    <t>Non-Current Assets</t>
  </si>
  <si>
    <t>Current Assets</t>
  </si>
  <si>
    <t>EQUITY AND LIABILITIES</t>
  </si>
  <si>
    <t>Equity</t>
  </si>
  <si>
    <t>Total</t>
  </si>
  <si>
    <t>Revenue Buildup</t>
  </si>
  <si>
    <t>Audited</t>
  </si>
  <si>
    <t>Projected</t>
  </si>
  <si>
    <t>Other Income</t>
  </si>
  <si>
    <t>Scenario:</t>
  </si>
  <si>
    <t>Scenario</t>
  </si>
  <si>
    <t>Case</t>
  </si>
  <si>
    <t>Company data</t>
  </si>
  <si>
    <t>Amount</t>
  </si>
  <si>
    <t>No of Outstanding shares</t>
  </si>
  <si>
    <t>Nos</t>
  </si>
  <si>
    <t>Face Value per share</t>
  </si>
  <si>
    <t>Rs.</t>
  </si>
  <si>
    <t>Current Market Price</t>
  </si>
  <si>
    <t>Market Capitalisation</t>
  </si>
  <si>
    <t>INR in crs</t>
  </si>
  <si>
    <t>Assumptions</t>
  </si>
  <si>
    <t>%</t>
  </si>
  <si>
    <t>Perpetual Growth rate</t>
  </si>
  <si>
    <t>India 10-year Rupee Bond YTM</t>
  </si>
  <si>
    <t>Interest rate on borrowings</t>
  </si>
  <si>
    <t>Annual growth tapering</t>
  </si>
  <si>
    <t>Company Name</t>
  </si>
  <si>
    <t>ISIN Code</t>
  </si>
  <si>
    <t>Sector Name</t>
  </si>
  <si>
    <t>Industry</t>
  </si>
  <si>
    <t>Exchange Name</t>
  </si>
  <si>
    <t>Website</t>
  </si>
  <si>
    <t>Company Description</t>
  </si>
  <si>
    <t>Cost Buildup</t>
  </si>
  <si>
    <t>Income Statement</t>
  </si>
  <si>
    <t>EBITDA</t>
  </si>
  <si>
    <t>Depreciation</t>
  </si>
  <si>
    <t>EBIT</t>
  </si>
  <si>
    <t>Tax</t>
  </si>
  <si>
    <t>Net Profit</t>
  </si>
  <si>
    <t>Balance Sheet</t>
  </si>
  <si>
    <t>Cash</t>
  </si>
  <si>
    <t>Total Assets</t>
  </si>
  <si>
    <t>Liabilities</t>
  </si>
  <si>
    <t>Current Liabilities</t>
  </si>
  <si>
    <t>Non-Current Liabilities</t>
  </si>
  <si>
    <t>Debt</t>
  </si>
  <si>
    <t>Cash Flow Statement</t>
  </si>
  <si>
    <t>Ratio Analysis</t>
  </si>
  <si>
    <t>Cash From Financing</t>
  </si>
  <si>
    <t>Opening Cash Balance</t>
  </si>
  <si>
    <t>Closing Cash Balance</t>
  </si>
  <si>
    <t>Common Sizing Statement</t>
  </si>
  <si>
    <t>Market Returns</t>
  </si>
  <si>
    <t>Date</t>
  </si>
  <si>
    <t>Closing</t>
  </si>
  <si>
    <t>Index Price</t>
  </si>
  <si>
    <t>Index</t>
  </si>
  <si>
    <t>NIFTY 50 TRI</t>
  </si>
  <si>
    <t>Yearfrac</t>
  </si>
  <si>
    <t>Comps Data</t>
  </si>
  <si>
    <t>(INR in Crs)</t>
  </si>
  <si>
    <t>Profitability Ratios</t>
  </si>
  <si>
    <t>EBITDA Margin</t>
  </si>
  <si>
    <t>Operating Margin</t>
  </si>
  <si>
    <t>Pretax Margin</t>
  </si>
  <si>
    <t>Effective Tax rate</t>
  </si>
  <si>
    <t>Net Margin</t>
  </si>
  <si>
    <t>DuPont/Earning Power</t>
  </si>
  <si>
    <t>Pre tax ROA</t>
  </si>
  <si>
    <t>Pre Tax ROE</t>
  </si>
  <si>
    <t>Tax Complement</t>
  </si>
  <si>
    <t>ROE</t>
  </si>
  <si>
    <t>Equity Retention</t>
  </si>
  <si>
    <t>Asset/Equity</t>
  </si>
  <si>
    <t>Debt/Equity</t>
  </si>
  <si>
    <t>Leverage Ratio</t>
  </si>
  <si>
    <t>Operating Ratio</t>
  </si>
  <si>
    <t>Trends</t>
  </si>
  <si>
    <t>DCF Valuation</t>
  </si>
  <si>
    <t>Transaction Date</t>
  </si>
  <si>
    <t>Fiscal Year End</t>
  </si>
  <si>
    <t>Tax Rate</t>
  </si>
  <si>
    <t>EV/EBITDA Multiple</t>
  </si>
  <si>
    <t>Perpetual Growth Rate</t>
  </si>
  <si>
    <t>Discount Rate</t>
  </si>
  <si>
    <t>Shares Outstanding</t>
  </si>
  <si>
    <t>Current Price</t>
  </si>
  <si>
    <t>Discounted Cash Flow</t>
  </si>
  <si>
    <t>Time Periods</t>
  </si>
  <si>
    <t>Year Frac.</t>
  </si>
  <si>
    <t>Less. Cash Taxes</t>
  </si>
  <si>
    <t>Plus: Depreciation &amp; Amortization</t>
  </si>
  <si>
    <t>Less. Capex</t>
  </si>
  <si>
    <t>Less. Changes in Working Capital</t>
  </si>
  <si>
    <t>Unlevered FCFF</t>
  </si>
  <si>
    <t>Transaction FCFF</t>
  </si>
  <si>
    <t>Net Operating Profit After Tax</t>
  </si>
  <si>
    <t>Exit</t>
  </si>
  <si>
    <t>Intrinsic Value</t>
  </si>
  <si>
    <t>Market Value</t>
  </si>
  <si>
    <t>Rate of Return</t>
  </si>
  <si>
    <t>Enterprise Value</t>
  </si>
  <si>
    <t>Market Cap</t>
  </si>
  <si>
    <t>Plus: Cash &amp; Equivalents</t>
  </si>
  <si>
    <t>Plus: Debt</t>
  </si>
  <si>
    <t>Target Price</t>
  </si>
  <si>
    <t>Less: Debt</t>
  </si>
  <si>
    <t>TP Upside</t>
  </si>
  <si>
    <t>Less: Cash &amp; Equivalents</t>
  </si>
  <si>
    <t>Equity Value</t>
  </si>
  <si>
    <t>Equity Value/Share</t>
  </si>
  <si>
    <t>Sensitivity Analysis</t>
  </si>
  <si>
    <t>Sensitivities - Intrinsic Value (Rs./Shares)</t>
  </si>
  <si>
    <t>Beta</t>
  </si>
  <si>
    <t>Equity Beta</t>
  </si>
  <si>
    <t>Weighted Average Cost of Capital (WACC)</t>
  </si>
  <si>
    <t>Companies Comparable</t>
  </si>
  <si>
    <t>Debt/</t>
  </si>
  <si>
    <t>Levered</t>
  </si>
  <si>
    <t>Unlevered</t>
  </si>
  <si>
    <t>Value</t>
  </si>
  <si>
    <t>Capital</t>
  </si>
  <si>
    <t>Rate %</t>
  </si>
  <si>
    <t>Price</t>
  </si>
  <si>
    <t>Name</t>
  </si>
  <si>
    <t>P/E</t>
  </si>
  <si>
    <t>CMP Rs.</t>
  </si>
  <si>
    <t>Debt Rs.Cr.</t>
  </si>
  <si>
    <t>Mar Cap Rs.Cr.</t>
  </si>
  <si>
    <t>No. Eq. Shares Cr.</t>
  </si>
  <si>
    <t>Cash End Rs.Cr.</t>
  </si>
  <si>
    <t>Sales Rs.Cr.</t>
  </si>
  <si>
    <t>NP Rs.Cr.</t>
  </si>
  <si>
    <t>Market Data</t>
  </si>
  <si>
    <t>Financial   Data</t>
  </si>
  <si>
    <t>Valuation</t>
  </si>
  <si>
    <t>Shares</t>
  </si>
  <si>
    <t>EV</t>
  </si>
  <si>
    <t>Sales</t>
  </si>
  <si>
    <t>Earnings</t>
  </si>
  <si>
    <t>EV/Sales</t>
  </si>
  <si>
    <t>EV/EBITDA</t>
  </si>
  <si>
    <t>Ticker</t>
  </si>
  <si>
    <t>&amp; Equivalents</t>
  </si>
  <si>
    <t>x</t>
  </si>
  <si>
    <t>₹/Shares</t>
  </si>
  <si>
    <t>₹Cr</t>
  </si>
  <si>
    <t>Cr</t>
  </si>
  <si>
    <t>Average</t>
  </si>
  <si>
    <t>Median</t>
  </si>
  <si>
    <t>Metrics</t>
  </si>
  <si>
    <t>Comps</t>
  </si>
  <si>
    <t>Net Debt</t>
  </si>
  <si>
    <t>Shares Price</t>
  </si>
  <si>
    <t>EV/Revenue</t>
  </si>
  <si>
    <t>WACC Calculation</t>
  </si>
  <si>
    <t>Target Capital Structure</t>
  </si>
  <si>
    <t>Proportion of Debt</t>
  </si>
  <si>
    <t>Propertion of Equity</t>
  </si>
  <si>
    <t>Current Capital Structure</t>
  </si>
  <si>
    <t>Total Debt</t>
  </si>
  <si>
    <t>Debt / Equity</t>
  </si>
  <si>
    <t>Cost of Debt</t>
  </si>
  <si>
    <t>Pre-Tax Cost of Debt</t>
  </si>
  <si>
    <t>After-Tax Cost of Debt</t>
  </si>
  <si>
    <t>Cost of Equity</t>
  </si>
  <si>
    <t>Risk Free Rate</t>
  </si>
  <si>
    <t>Equity Market Return</t>
  </si>
  <si>
    <t>Equity Risk Premium</t>
  </si>
  <si>
    <t>Levered Equity Beta</t>
  </si>
  <si>
    <t>WACC</t>
  </si>
  <si>
    <t>(India 10-Year Bond Yield Historical Data)</t>
  </si>
  <si>
    <t>Balance Sheet Inputs</t>
  </si>
  <si>
    <t>Profit &amp; loss Statement Inputs</t>
  </si>
  <si>
    <t>Terminal Value</t>
  </si>
  <si>
    <t>Perp. Growth</t>
  </si>
  <si>
    <t>P&amp;L Inputs</t>
  </si>
  <si>
    <t>BS Inputs</t>
  </si>
  <si>
    <t>Market Return</t>
  </si>
  <si>
    <t>Summary</t>
  </si>
  <si>
    <t>Sheets</t>
  </si>
  <si>
    <t>References</t>
  </si>
  <si>
    <t>(As Per RBI Data)</t>
  </si>
  <si>
    <t>Interpretations</t>
  </si>
  <si>
    <t>Nifty 50</t>
  </si>
  <si>
    <t>Income</t>
  </si>
  <si>
    <t>Interest Earned</t>
  </si>
  <si>
    <t>Expenditure</t>
  </si>
  <si>
    <t>Interest Expended</t>
  </si>
  <si>
    <t>Operating Expenses</t>
  </si>
  <si>
    <t>Provision &amp; Contingencies</t>
  </si>
  <si>
    <t>Capital &amp; Liabilities</t>
  </si>
  <si>
    <t xml:space="preserve">Capital </t>
  </si>
  <si>
    <t>Reserve and Surplus</t>
  </si>
  <si>
    <t>Deposits</t>
  </si>
  <si>
    <t>Borrowings</t>
  </si>
  <si>
    <t>Other Liabilities &amp; Provision</t>
  </si>
  <si>
    <t>Cash &amp; Balance</t>
  </si>
  <si>
    <t>Balance with Bank</t>
  </si>
  <si>
    <t>Investments</t>
  </si>
  <si>
    <t>Fix Assets</t>
  </si>
  <si>
    <t>Other assets</t>
  </si>
  <si>
    <t>Term Deposit</t>
  </si>
  <si>
    <t>Current</t>
  </si>
  <si>
    <t>Additional Tier 1 Bonds</t>
  </si>
  <si>
    <t>Current Advances</t>
  </si>
  <si>
    <t>Non-Current Advances</t>
  </si>
  <si>
    <t>Non-Current</t>
  </si>
  <si>
    <t>I. Interest/ Advances/ Bills</t>
  </si>
  <si>
    <t>% Growth</t>
  </si>
  <si>
    <t>N/A</t>
  </si>
  <si>
    <t>Best Case</t>
  </si>
  <si>
    <t>Base Case</t>
  </si>
  <si>
    <t>Worst Case</t>
  </si>
  <si>
    <t>II. Income on Investments</t>
  </si>
  <si>
    <t>III. Interest on balances with RBI</t>
  </si>
  <si>
    <t>IV. Other</t>
  </si>
  <si>
    <t>Total Income</t>
  </si>
  <si>
    <t>% Income</t>
  </si>
  <si>
    <t>CASA Deposit</t>
  </si>
  <si>
    <t>Expense:</t>
  </si>
  <si>
    <t>Interest expended</t>
  </si>
  <si>
    <t>Provisions and Contingencies</t>
  </si>
  <si>
    <t>Expenses</t>
  </si>
  <si>
    <t>Total Expenses</t>
  </si>
  <si>
    <t>Loan &amp; Advances</t>
  </si>
  <si>
    <t>Non-Current Aseets</t>
  </si>
  <si>
    <t>Fixed Assets</t>
  </si>
  <si>
    <t>Other Assets</t>
  </si>
  <si>
    <t>Cash &amp; Balance with RBI</t>
  </si>
  <si>
    <t>Money at Call</t>
  </si>
  <si>
    <t>Reserve &amp; Surplus</t>
  </si>
  <si>
    <t>Non-Current Liablities</t>
  </si>
  <si>
    <t xml:space="preserve">Deposit </t>
  </si>
  <si>
    <t>Borrowing</t>
  </si>
  <si>
    <t>Other Iiabilities &amp; Provision</t>
  </si>
  <si>
    <t>Deposit</t>
  </si>
  <si>
    <t>Other Liabilities &amp; Provisions</t>
  </si>
  <si>
    <t>Opening</t>
  </si>
  <si>
    <t>Capex</t>
  </si>
  <si>
    <t>Total Fixed Assets</t>
  </si>
  <si>
    <t>Changes in Operating Liabilities</t>
  </si>
  <si>
    <t>Short Term Operating Liabilities</t>
  </si>
  <si>
    <t>Less:</t>
  </si>
  <si>
    <t>Add:</t>
  </si>
  <si>
    <t>Changes in Operating Assets</t>
  </si>
  <si>
    <t>Short Term Operating Assets</t>
  </si>
  <si>
    <t>Balance With Banks</t>
  </si>
  <si>
    <t>Cash From Operation</t>
  </si>
  <si>
    <t>II. Cash From Investing Activity</t>
  </si>
  <si>
    <t>I. Cash From Operating Activity</t>
  </si>
  <si>
    <t>Cash From Investing</t>
  </si>
  <si>
    <t>III. Cash From Financing Activity</t>
  </si>
  <si>
    <t>Net Change In Cash</t>
  </si>
  <si>
    <t>Return</t>
  </si>
  <si>
    <t>Punjab &amp;</t>
  </si>
  <si>
    <t>Sind Bank</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</si>
  <si>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</si>
  <si>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</si>
  <si>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</si>
  <si>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</si>
  <si>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</si>
  <si>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</si>
  <si>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</si>
  <si>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</si>
  <si>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</si>
  <si>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</si>
  <si>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</si>
  <si>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</si>
  <si>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</si>
  <si>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</si>
  <si>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</si>
  <si>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</si>
  <si>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</si>
  <si>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</si>
  <si>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</si>
  <si>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</si>
  <si>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</si>
  <si>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</si>
  <si>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</si>
  <si>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</si>
  <si>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Interest on Deposit</t>
  </si>
  <si>
    <t>Interest on Borrowings</t>
  </si>
  <si>
    <t>Interest On deposit</t>
  </si>
  <si>
    <t>Taxes</t>
  </si>
  <si>
    <t>% of Deposit</t>
  </si>
  <si>
    <t>% of Borrowings</t>
  </si>
  <si>
    <t>% of EBT</t>
  </si>
  <si>
    <t>% Fixed Assets</t>
  </si>
  <si>
    <t>Provision and Contigencies</t>
  </si>
  <si>
    <t>EBT</t>
  </si>
  <si>
    <t>Earning After Tax</t>
  </si>
  <si>
    <t>Pre Tax Income</t>
  </si>
  <si>
    <t>Finance Expenses</t>
  </si>
  <si>
    <t>Tax Expenses</t>
  </si>
  <si>
    <t>Check</t>
  </si>
  <si>
    <t>Dividend Paid</t>
  </si>
  <si>
    <t>Total Capital &amp; Liabilities</t>
  </si>
  <si>
    <t>Income %</t>
  </si>
  <si>
    <t>Indian Bank</t>
  </si>
  <si>
    <t>I O B</t>
  </si>
  <si>
    <t>Pun. &amp; Sind Bank</t>
  </si>
  <si>
    <t>Interest Paid</t>
  </si>
  <si>
    <t>Punjab &amp; Sind Bank</t>
  </si>
  <si>
    <t>Football Field Data</t>
  </si>
  <si>
    <t>Market</t>
  </si>
  <si>
    <t>DCF</t>
  </si>
  <si>
    <t>52 week hi/lo</t>
  </si>
  <si>
    <t>Consensus</t>
  </si>
  <si>
    <t xml:space="preserve">High </t>
  </si>
  <si>
    <t>Low</t>
  </si>
  <si>
    <t>Valuation Summary</t>
  </si>
  <si>
    <t>Comps Valuation - Punjab &amp; Sind Bank</t>
  </si>
  <si>
    <t>INE608A01012</t>
  </si>
  <si>
    <t>Public Sector Bank</t>
  </si>
  <si>
    <t>Banking</t>
  </si>
  <si>
    <t>NSE : BSE - Punjab Sind Bank</t>
  </si>
  <si>
    <t>Punjab &amp; Sind Bank, a government-owned public sector bank established in 1908 and headquartered in New Delhi, operates over 1500 branches across India with a strong presence in Punjab, offering a wide range of financial services including retail, corporate, MSME, and agricultural banking, supported by digital platforms like mobile and internet banking, with the core objective of promoting inclusive growth.</t>
  </si>
  <si>
    <t>Financial Statement Analysis</t>
  </si>
  <si>
    <t>Historicals</t>
  </si>
  <si>
    <t xml:space="preserve">Current Deposits </t>
  </si>
  <si>
    <t>This Includes Deposits from bank and other deposits both from Indian and international branch.</t>
  </si>
  <si>
    <t>Term Deposits</t>
  </si>
  <si>
    <t>Due to lack of clear bifurcation we assumed 25% of total borrowings to be current.</t>
  </si>
  <si>
    <t>Perpetual Debt</t>
  </si>
  <si>
    <t>It includes Innovative Perpetual Debt insturnment (IPDI). Amt. are taken from annual report</t>
  </si>
  <si>
    <t>Term Borrowings</t>
  </si>
  <si>
    <t>It includes Subordinate Bonds and long-term infrastructure bonds. it is the total amt. remaining after reducing current and IPDI amts.</t>
  </si>
  <si>
    <t>Current Investments</t>
  </si>
  <si>
    <t>It include Govt. Securities, other approved shares, and others.</t>
  </si>
  <si>
    <t>Non-Current Investments</t>
  </si>
  <si>
    <t>It includes Debenture and bonds, Investment in Associates, and other Investments.</t>
  </si>
  <si>
    <t>Loans &amp; Advances</t>
  </si>
  <si>
    <t>Current  Advances</t>
  </si>
  <si>
    <t xml:space="preserve">Cash Balance </t>
  </si>
  <si>
    <t>It includes both cash at bank and cash at RBI as reserve.</t>
  </si>
  <si>
    <t>As Per annual Data</t>
  </si>
  <si>
    <t>BS Items</t>
  </si>
  <si>
    <t>Cash Flow</t>
  </si>
  <si>
    <t>J25:S25</t>
  </si>
  <si>
    <t>J31:S31</t>
  </si>
  <si>
    <t>D12:E47</t>
  </si>
  <si>
    <t>D12:K28</t>
  </si>
  <si>
    <t>Fixed Asset Turnover</t>
  </si>
  <si>
    <t>ROIC</t>
  </si>
  <si>
    <t>Net Interest Margin</t>
  </si>
  <si>
    <t>Interest Coverage Ratio</t>
  </si>
  <si>
    <t>Link</t>
  </si>
  <si>
    <t>% of Net Profit</t>
  </si>
  <si>
    <t xml:space="preserve">Due to lack of clear information assumed 30% of total loans and advances as current rest as non- current. Non-current includes Term Loans, loans secured by tangible assets, covered by banks and government, unsecured loans. </t>
  </si>
  <si>
    <t>.</t>
  </si>
  <si>
    <t>Bank of India</t>
  </si>
  <si>
    <t>Bank of Maha</t>
  </si>
  <si>
    <t>UCO Bank</t>
  </si>
  <si>
    <t>Central Bank</t>
  </si>
  <si>
    <t>J19:S19</t>
  </si>
  <si>
    <t>Dividend payout ratio taken as the last 2 years average and keep constant</t>
  </si>
  <si>
    <t>EBITDA margin remained highly negative in 2020 (-15.5%) and 2021 (-40.2%), reflecting major operational inefficiencies and uncontrolled costs. The turnaround in 2022 (13.3%) and 2023 (15.7%) signals improved cost discipline and better operating leverage. Although it dipped to 5.1% in 2024, the projected stability at 7.7% from 2025–2034 suggests the bank has structurally strengthened its core operations. This consistent trend reflects enhanced cost control, improved scalability, and long-term operational sustainability.</t>
  </si>
  <si>
    <t>The effective tax rate was sharply negative in 2020 (–57.3%) and 2021 (–21.4%) due to pre-tax losses creating deferred tax benefits. It turned positive in 2022 (32.2%) and spiked to 54.8% in 2024, reflecting full tax liability on rising profits. From 2025 onwards, it stabilizes at 30%, indicating normalization in tax outflows. This consistent tax rate enhances earnings predictability and signals long-term financial stability and compliance.</t>
  </si>
  <si>
    <t xml:space="preserve">The Tax Complement was negative in 2020 (–0.57) and 2021 (–0.21), indicating tax shields from pre-tax losses, which is common in distressed PSU banks. It turned positive in 2022 (0.32) and remained stable through 2024, with a spike to 0.55 in 2024 due to increased tax outflows on higher earnings. From 2025 onwards, it stabilizes at 0.30, reflecting normalized tax liability on consistent pre-tax income. This trend suggests improved earnings quality and tax structure alignment — key for maintaining financial predictability and compliance in public sector banks.
</t>
  </si>
  <si>
    <t xml:space="preserve">ROIC declined from -0.41 in 2020 to -1.38 in 2021, indicating severe value erosion from capital employed, but turned positive at 0.57 in 2022 and fell again to 0.08 in 2024, reflecting unstable and weak capital efficiency; however, it is projected to gradually improve from 0.24 in 2025 to 0.27 by 2034, implying slow but steady recovery in the bank’s ability to generate value from its invested capital.
</t>
  </si>
  <si>
    <t>Pre-Tax ROA was negative at -2.8% in 2021, reflecting weak returns from asset utilization; it turned positive at 0.7% in 2022 and slightly increased to 0.9% in 2023, showing modest improvement, but decreased again to 0.2% in 2024, indicating declining efficiency; from 2025 to 2034, it is projected to increase slightly and remain stable around 0.5%, suggesting limited yet consistent returns on assets over the long term.</t>
  </si>
  <si>
    <t>The ratio remained constant at 1.00 from 2020 to 2023, reflecting full profit retention with no dividends paid; it rose to 1.16 in 2024 and peaked at 1.55 in 2025, indicating higher earnings retention possibly to strengthen reserves or recover past losses; from 2026 to 2034, it slightly decreased to 1.35 but remained constant, suggesting the bank is consistently retaining profits to support future growth and capital adequacy.</t>
  </si>
  <si>
    <t>Working Sheet</t>
  </si>
  <si>
    <t>Interest on deposit</t>
  </si>
  <si>
    <t>J16:S16</t>
  </si>
  <si>
    <t>J10:S10</t>
  </si>
  <si>
    <t>Common size analysis assumes that expressing all financial line items as a percentage of a base figure—such as total revenue or assets—enables easier comparison across companies and time periods, provided consistent accounting practices are maintained for accuracy and relevance</t>
  </si>
  <si>
    <t>Ratio analysis—including profitability, leverage, DuPont, operating, and solvency ratios—is based on historical trends and projected financials, assuming stable operations, consistent cost structures, and no significant changes in capital structure or financing policies throughout the forecast period.</t>
  </si>
  <si>
    <t>Peer companies are identified by aligning key factors such as industry, scale, geographic presence, and operational model to ensure meaningful and comparable financial analysis.</t>
  </si>
  <si>
    <t>Equity value is estimated using regression analysis based on the relationship between the stock exchange index and the company’s stock price over the past five years</t>
  </si>
  <si>
    <t>The Football Field Chart presents DLF’s valuation range using analyst consensus, 52-week high/low, trading comparables, and DCF analysis, offering a visual comparison of intrinsic and market-based valuation methods across various scenarios</t>
  </si>
  <si>
    <t>Market return has been calculated based on the ten-year historical performance of the Nifty 50 Index.</t>
  </si>
  <si>
    <t>J34:S34</t>
  </si>
  <si>
    <t>Punjab &amp; SInd Bank</t>
  </si>
  <si>
    <t xml:space="preserve">Operating margin was deeply negative in 2020–2021, ranging from -16.2% to -41.7%, indicating high operating losses and inefficient cost management. It turned positive in 2022 and improved to 11.4% to 13.8% in 2023, reflecting an operational turnaround and better control over expenses. Although it declined to 3.6% in 2024, it gradually increased to around 6.3% to 6.8% by 2034. This trend implies that the bank has achieved cost efficiency and is likely to maintain a healthy operating structure over the long term.
</t>
  </si>
  <si>
    <t>The pre-tax margin was negative at -7.9% in 2020 and deteriorated to -32.3% in 2021, indicating weak core profitability and heavy operational strain. A strong recovery was observed in 2022 (21.6%) and 2023 (23.7%), as operational efficiency improved and revenues increased. Although it moderated to 13.6% in 2024, Afterwards it gradually increase 16.6% to  18.7% by 2034. This sustained upward trend suggests enhanced pre-tax profitability, improved financial discipline, and a stronger base for tax-paying capacity and value creation.</t>
  </si>
  <si>
    <t xml:space="preserve">Net margin was negative at –12.5% in 2020 and deteriorated to –39.2% in 2021, indicating severe bottom-line stress due to high provisioning and weak operating leverage. A sharp recovery followed in 2022–2023, driven by improved core banking performance and controlled credit costs. Although there was a dip to 6.1% in 2024, the margin gradually rises 11.7% to 13.1% by 2034. This reflects long-term strengthening of profitability, better cost discipline, and stable income generation — key indicators of a sustainable turnaround in PSU banks.
</t>
  </si>
  <si>
    <t xml:space="preserve">Pre-Tax ROE was highly negative at -16.1% in 2021, reflecting severe erosion of shareholder value, but turned positive at 6.8% in 2022 and slightly decreased to 6.5% in 2023 and 4.3% in 2024, indicating slow recovery; from 2025 to 2034, it continuously increased from 6.3% to 60.7%, implying strong and consistent improvement in equity returns and robust profitability enhancement over the long term.
</t>
  </si>
  <si>
    <t>ROE was deeply negative at –19.6% in 2021, indicating major losses and erosion of shareholder value due to stressed asset quality and high provisioning, a common issue among PSU banks. It turned positive in 2022 and remained subdued till 2024, reflecting cautious recovery. From 2025 onwards, ROE improves steadily, reaching 4.4% to 42.5% by 2034. This rising trend signifies strengthening core profitability, better capital allocation, and improving return generation.</t>
  </si>
  <si>
    <t>The Asset/Equity ratio declined sharply from 17.96 in 2020 to 8.64 in 2022, reflecting reduced leverage and improved capital strength,  possibly driven by equity infusion and regulatory reforms aimed at stabilizing PSU banks. However, post-2022, the ratio steadily climbs, reaching a significantly high 11.85 to 115.73 by 2034. This sharp rise signals aggressive asset expansion backed by rising liabilities, highlighting a shift toward higher financial leverage.</t>
  </si>
  <si>
    <t xml:space="preserve">The Debt/Equity ratio declined sharply from 0.57 in 2020 to 0.17 in 2022, indicating a conservative capital structure with minimal reliance on debt; however, the trend reversed post-2022, rising to 0.63 in 2024 and projected to surge 0.50 to 5.31 by 2034, highlighting a shift towards aggressive leveraging, which can amplify returns but significantly increases financial risk if not backed by strong capital buffers and stable earnings.
</t>
  </si>
  <si>
    <t>The Fixed Asset Turnover declined from 4.94 in 2021 to 4.49 in 2022, reflecting a temporary dip in asset efficiency, but the trend reversed from 2023 onwards with a steady rise to 5.92 in 2024 and a projected increase 6.33 to 12.51 by 2034, indicating consistent improvement in fixed asset utilization, suggesting stronger operational efficiency and better revenue generation capacity from long-term assets.</t>
  </si>
  <si>
    <t xml:space="preserve">Interest Coverage Ratio was highly negative at -5.33 in 2020 and worsened to -11.75 in 2021, showing inability to service interest costs; it then increased to 3.44 in 2022 and further to 7.26 in 2023, indicating sharp improvement in operating profits, but declined to 1.39 in 2024 due to increased cost pressure; going forward, it is projected to gradually increase from 3.79 in 2025 to 4.09 by 2034, reflecting steady improvement in the bank’s ability to meet its interest obligations.
</t>
  </si>
  <si>
    <t>Income Buildup</t>
  </si>
  <si>
    <t>Segment Revenue</t>
  </si>
  <si>
    <t>Considering the Best, Base, and Worst scenarios, with the Base case reflecting the 5-year average and adjustments of ±5%. Growth is assumed to stabilize at a perpetual rate.</t>
  </si>
  <si>
    <t>Interest Advance/Bills</t>
  </si>
  <si>
    <t>Income On Inv.</t>
  </si>
  <si>
    <t>Interst on Balance</t>
  </si>
  <si>
    <t>Others</t>
  </si>
  <si>
    <t xml:space="preserve">Interest </t>
  </si>
  <si>
    <t>Investment</t>
  </si>
  <si>
    <t>Advances</t>
  </si>
  <si>
    <t>Other Liabilities</t>
  </si>
  <si>
    <t>Cash Balance</t>
  </si>
  <si>
    <t>CA-CL Classification</t>
  </si>
  <si>
    <t>Working Schedule</t>
  </si>
  <si>
    <t xml:space="preserve">Market Return </t>
  </si>
  <si>
    <t>Interest on advances has been projected by taking the 5-year historical average for FY2025 and is assumed to remain constant throughout the forecast period</t>
  </si>
  <si>
    <t>Interest on investments is calculated based on the latest audited year and assumed to remain constant over the forecasted period</t>
  </si>
  <si>
    <t>Interest on Balance is calculated based on the latest audited year and assumed to remain constant over the forecasted period</t>
  </si>
  <si>
    <t>Other Revenue is calculated based on the latest audited year and assumed to remain constant over the forecasted period</t>
  </si>
  <si>
    <t>Other income is treated as a fixed percentage of income based on its historical average, and is assumed to stay constant over time.</t>
  </si>
  <si>
    <t>Provision &amp; Contingen.</t>
  </si>
  <si>
    <t>Operating expenses &amp; Interest expended are estimated as a percentage of income, using the five-year average for 2025, and kept constant for the forecasted years.</t>
  </si>
  <si>
    <t>Provisions and contingencies for the first forecasted year (FY2025) are estimated using the median of the lastest five years and kept constant for the remaining forecast period</t>
  </si>
  <si>
    <t>Interest is forecasted based on borrowings, using the latest year, and remain constant for the forecasted year</t>
  </si>
  <si>
    <t>Money at call  is projected using the latest audited year’s value and assumed to remain constant over the forecast period.</t>
  </si>
  <si>
    <t>Assets and liabilities are classified into current and non-current based on their expected maturity and liquidity. CASA deposits are treated as current liabilities, while other deposits are considered non-current. Borrowings are assumed to be 25% current and 75% non-current. Similarly, advances are classified as 30% current and 70% non-current. These classification percentages are derived from the five-year historical average and are applied consistently to both audited and projected years to ensure uniformity and accuracy in financial reporting.</t>
  </si>
  <si>
    <t>Cash forecasting is based on projected cash flows and closing balances from the cash flow statement.</t>
  </si>
  <si>
    <t>Advances are calculated as a percentage of income based on the average of the last five years and kept constant for the forecasted years.</t>
  </si>
  <si>
    <t>Deposits are projected as a percentage of income, using the five-year average for 2025, and this percentage remains unchanged for the forecasted years.</t>
  </si>
  <si>
    <t>Borrowings are forecasted as a percentage of income, with the 2025 value based on the average of the last five years and kept constant for the forecasted years.</t>
  </si>
  <si>
    <t>Other liabilities are forecasted as a percentage of income, with the 2025 value based on the average of the last five years and kept constant for the forecasted years.</t>
  </si>
  <si>
    <t>Capital are kept constant at the last audited year's level.</t>
  </si>
  <si>
    <t>Reserves and surplus are forecasted by adding the net profit of 2025 to the last audited year's amount and subtracting the dividend.</t>
  </si>
  <si>
    <t>Investments are calculated as a percentage of income based on the average of the last five years and kept constant for the forecasted years.</t>
  </si>
  <si>
    <t>(As Per Cmpany Data)</t>
  </si>
  <si>
    <t>The tax rate is forecasted based on EBT, using historical trends for consistency</t>
  </si>
  <si>
    <t>C38:C41</t>
  </si>
  <si>
    <t>J15:S17</t>
  </si>
  <si>
    <t>J23:S25</t>
  </si>
  <si>
    <t>J31:S33</t>
  </si>
  <si>
    <t>J39:S41</t>
  </si>
  <si>
    <t>J46:S46</t>
  </si>
  <si>
    <t>J12:S15</t>
  </si>
  <si>
    <t>J12:S12</t>
  </si>
  <si>
    <t>J14:S14</t>
  </si>
  <si>
    <t>J26:S26</t>
  </si>
  <si>
    <t>J37:S37</t>
  </si>
  <si>
    <t>J40:S40</t>
  </si>
  <si>
    <t>Other assets are calculated as a percentage of income based on the latest year and kept constant for the forecasted years.</t>
  </si>
  <si>
    <t>J50:S50</t>
  </si>
  <si>
    <t>J32:S32</t>
  </si>
  <si>
    <t>C11:D36</t>
  </si>
  <si>
    <t>E51:S51</t>
  </si>
  <si>
    <t>Capex for the first projected year is estimated using the average of the last four years and is assumed to increase by 0.5% annually over the forecast period</t>
  </si>
  <si>
    <t>Dividend</t>
  </si>
  <si>
    <t>J29:S29</t>
  </si>
  <si>
    <t>E10:I58</t>
  </si>
  <si>
    <t>E11:S32</t>
  </si>
  <si>
    <t>D10:F274</t>
  </si>
  <si>
    <t>WACC is assumed to be 19.30% based on the company’s capital structure and industry standards.</t>
  </si>
  <si>
    <t>D11:F532</t>
  </si>
  <si>
    <t>I12:M15</t>
  </si>
  <si>
    <t>Net Interest Margin remained stable at 0.02 in FY2021 and FY2022 but declined to 0.01 in FY2023 and FY2024, indicating pressure on interest spreads. From FY2025 onwards, it is projected to recover and remain stable at 0.02 throughout the forecast period, reflecting expectations of a consistent interest rate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</si>
</sst>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 #,##0.00_ ;_ * \-#,##0.00_ ;_ * &quot;-&quot;??_ ;_ @_ "/>
    <numFmt numFmtId="164" formatCode="#,##0.0"/>
    <numFmt numFmtId="165" formatCode="0.0%"/>
    <numFmt numFmtId="166" formatCode="_ * #,##0.0_ ;_ * \-#,##0.0_ ;_ * &quot;-&quot;??_ ;_ @_ "/>
    <numFmt numFmtId="167" formatCode="0.00_ "/>
    <numFmt numFmtId="168" formatCode="0.0"/>
    <numFmt numFmtId="169" formatCode="0.0_ "/>
    <numFmt numFmtId="170" formatCode="0.0&quot;x&quot;"/>
    <numFmt numFmtId="171" formatCode="0.000%"/>
    <numFmt numFmtId="172" formatCode="0.0000%"/>
    <numFmt numFmtId="173" formatCode="0.00&quot;x&quot;"/>
    <numFmt numFmtId="174" formatCode="#,##0.0;\ \ \(#,##0.0\);\ &quot;-&quot;"/>
    <numFmt numFmtId="175" formatCode="#,##0;\ \ \(#,##0\);\ &quot;-&quot;"/>
    <numFmt numFmtId="176" formatCode="&quot;---&quot;"/>
    <numFmt numFmtId="177" formatCode="&quot;₹&quot;#,##0.0;&quot;₹&quot;\-#,##0.0"/>
  </numFmts>
  <fonts count="67" x14ac:knownFonts="1">
    <font>
      <sz val="11"/>
      <color theme="1"/>
      <name val="Calibri"/>
      <family val="2"/>
      <charset val="1"/>
    </font>
    <font>
      <sz val="11"/>
      <color theme="1"/>
      <name val="Cambria"/>
      <family val="1"/>
    </font>
    <font>
      <sz val="12"/>
      <color theme="1"/>
      <name val="Cambria"/>
      <family val="1"/>
    </font>
    <font>
      <b/>
      <sz val="12"/>
      <color theme="1"/>
      <name val="Cambria"/>
      <family val="1"/>
    </font>
    <font>
      <b/>
      <sz val="13"/>
      <color theme="0"/>
      <name val="Cambria"/>
      <family val="1"/>
    </font>
    <font>
      <i/>
      <sz val="11"/>
      <color theme="1"/>
      <name val="Cambria"/>
      <family val="1"/>
    </font>
    <font>
      <b/>
      <sz val="11"/>
      <color theme="1"/>
      <name val="Cambria"/>
      <family val="1"/>
    </font>
    <font>
      <sz val="11"/>
      <color rgb="FF0070C0"/>
      <name val="Cambria"/>
      <family val="1"/>
    </font>
    <font>
      <sz val="11"/>
      <color rgb="FF00B050"/>
      <name val="Cambria"/>
      <family val="1"/>
    </font>
    <font>
      <sz val="11"/>
      <color indexed="8"/>
      <name val="Cambria"/>
      <family val="1"/>
    </font>
    <font>
      <b/>
      <sz val="13"/>
      <color indexed="9"/>
      <name val="Cambria"/>
      <family val="1"/>
    </font>
    <font>
      <sz val="11"/>
      <name val="Cambria"/>
      <family val="1"/>
    </font>
    <font>
      <i/>
      <sz val="11"/>
      <name val="Cambria"/>
      <family val="1"/>
    </font>
    <font>
      <b/>
      <sz val="11"/>
      <name val="Cambria"/>
      <family val="1"/>
    </font>
    <font>
      <b/>
      <sz val="11"/>
      <color indexed="9"/>
      <name val="Cambria"/>
      <family val="1"/>
    </font>
    <font>
      <b/>
      <sz val="11"/>
      <color indexed="8"/>
      <name val="Cambria"/>
      <family val="1"/>
    </font>
    <font>
      <i/>
      <sz val="11"/>
      <color theme="0" tint="-0.14999847407452621"/>
      <name val="Cambria"/>
      <family val="1"/>
    </font>
    <font>
      <sz val="11"/>
      <color rgb="FF22222F"/>
      <name val="Cambria"/>
      <family val="1"/>
    </font>
    <font>
      <sz val="11"/>
      <color rgb="FF00B0F0"/>
      <name val="Cambria"/>
      <family val="1"/>
    </font>
    <font>
      <b/>
      <sz val="11"/>
      <color theme="1"/>
      <name val="Cambria"/>
      <family val="1"/>
      <charset val="1"/>
    </font>
    <font>
      <b/>
      <i/>
      <sz val="11"/>
      <color theme="1"/>
      <name val="Cambria"/>
      <family val="1"/>
    </font>
    <font>
      <b/>
      <sz val="11"/>
      <color theme="0"/>
      <name val="Cambria"/>
      <family val="1"/>
    </font>
    <font>
      <sz val="9"/>
      <color theme="1"/>
      <name val="Cambria"/>
      <family val="1"/>
    </font>
    <font>
      <i/>
      <sz val="11"/>
      <color rgb="FF0070C0"/>
      <name val="Cambria"/>
      <family val="1"/>
    </font>
    <font>
      <b/>
      <sz val="12"/>
      <color theme="0"/>
      <name val="Cambria"/>
      <family val="1"/>
    </font>
    <font>
      <sz val="11"/>
      <color theme="0"/>
      <name val="Cambria"/>
      <family val="1"/>
    </font>
    <font>
      <b/>
      <sz val="11"/>
      <color rgb="FFFFFFFF"/>
      <name val="Cambria"/>
      <family val="1"/>
    </font>
    <font>
      <b/>
      <u/>
      <sz val="11"/>
      <color rgb="FFFFFFFF"/>
      <name val="Cambria"/>
      <family val="1"/>
    </font>
    <font>
      <sz val="11"/>
      <color rgb="FF000000"/>
      <name val="Cambria"/>
      <family val="1"/>
    </font>
    <font>
      <b/>
      <i/>
      <sz val="11"/>
      <color rgb="FFFFFFFF"/>
      <name val="Cambria"/>
      <family val="1"/>
    </font>
    <font>
      <i/>
      <sz val="11"/>
      <color rgb="FFFFFFFF"/>
      <name val="Cambria"/>
      <family val="1"/>
    </font>
    <font>
      <sz val="11"/>
      <color theme="0"/>
      <name val="Calibri"/>
      <family val="2"/>
      <charset val="1"/>
    </font>
    <font>
      <b/>
      <sz val="11"/>
      <color rgb="FF0070C0"/>
      <name val="Cambria"/>
      <family val="1"/>
    </font>
    <font>
      <b/>
      <sz val="11"/>
      <color rgb="FF00B050"/>
      <name val="Cambria"/>
      <family val="1"/>
    </font>
    <font>
      <b/>
      <sz val="12"/>
      <color rgb="FFFFFFFF"/>
      <name val="Cambria"/>
      <family val="1"/>
    </font>
    <font>
      <i/>
      <sz val="11"/>
      <color rgb="FF232526"/>
      <name val="Cambria"/>
      <family val="1"/>
    </font>
    <font>
      <u/>
      <sz val="11"/>
      <color theme="10"/>
      <name val="Calibri"/>
      <family val="2"/>
      <charset val="1"/>
    </font>
    <font>
      <sz val="10"/>
      <color indexed="63"/>
      <name val="Cambria"/>
      <family val="1"/>
    </font>
    <font>
      <sz val="13"/>
      <color theme="0"/>
      <name val="Cambria"/>
      <family val="1"/>
    </font>
    <font>
      <sz val="9"/>
      <name val="Cambria"/>
      <family val="1"/>
    </font>
    <font>
      <b/>
      <sz val="11"/>
      <color theme="5" tint="-0.249977111117893"/>
      <name val="Cambria"/>
      <family val="1"/>
    </font>
    <font>
      <sz val="11"/>
      <color indexed="8"/>
      <name val="Calibri"/>
      <family val="2"/>
    </font>
    <font>
      <sz val="11"/>
      <color theme="1"/>
      <name val="Calibri"/>
      <family val="2"/>
      <charset val="1"/>
    </font>
    <font>
      <i/>
      <sz val="11"/>
      <color theme="2" tint="-0.499984740745262"/>
      <name val="Aptos Display"/>
      <family val="2"/>
    </font>
    <font>
      <sz val="11"/>
      <color theme="1"/>
      <name val="Mangal"/>
      <family val="2"/>
      <scheme val="major"/>
    </font>
    <font>
      <sz val="11"/>
      <color rgb="FF0000FF"/>
      <name val="Cambria"/>
      <family val="1"/>
    </font>
    <font>
      <i/>
      <sz val="11"/>
      <color theme="0" tint="-4.9989318521683403E-2"/>
      <name val="Cambria"/>
      <family val="1"/>
    </font>
    <font>
      <i/>
      <sz val="11"/>
      <color theme="1"/>
      <name val="Calibri"/>
      <family val="2"/>
      <charset val="1"/>
    </font>
    <font>
      <sz val="11"/>
      <color rgb="FF0070C0"/>
      <name val="Cambria"/>
      <family val="1"/>
      <charset val="1"/>
    </font>
    <font>
      <sz val="11"/>
      <color theme="1"/>
      <name val="Cambria"/>
      <family val="1"/>
      <charset val="1"/>
    </font>
    <font>
      <b/>
      <sz val="11"/>
      <name val="Cambria"/>
      <family val="1"/>
      <charset val="1"/>
    </font>
    <font>
      <i/>
      <u/>
      <sz val="11"/>
      <color theme="1"/>
      <name val="Cambria"/>
      <family val="1"/>
    </font>
    <font>
      <b/>
      <i/>
      <u/>
      <sz val="11"/>
      <color theme="1"/>
      <name val="Cambria"/>
      <family val="1"/>
    </font>
    <font>
      <b/>
      <sz val="11"/>
      <color rgb="FFEE0000"/>
      <name val="Cambria"/>
      <family val="1"/>
    </font>
    <font>
      <b/>
      <sz val="11"/>
      <color rgb="FF000000"/>
      <name val="Cambria"/>
      <family val="1"/>
    </font>
    <font>
      <b/>
      <sz val="12"/>
      <color rgb="FF000000"/>
      <name val="Cambria"/>
      <family val="1"/>
    </font>
    <font>
      <b/>
      <sz val="13"/>
      <name val="Cambria"/>
      <family val="1"/>
    </font>
    <font>
      <i/>
      <sz val="11"/>
      <color theme="2" tint="-0.499984740745262"/>
      <name val="Cambria"/>
      <family val="1"/>
    </font>
    <font>
      <sz val="11"/>
      <color theme="2" tint="-0.499984740745262"/>
      <name val="Cambria"/>
      <family val="1"/>
    </font>
    <font>
      <i/>
      <sz val="10"/>
      <color theme="0" tint="-0.499984740745262"/>
      <name val="Cambria"/>
      <family val="1"/>
    </font>
    <font>
      <i/>
      <sz val="11"/>
      <color theme="0"/>
      <name val="Cambria"/>
      <family val="1"/>
    </font>
    <font>
      <sz val="12"/>
      <color rgb="FFFFFFFF"/>
      <name val="Cambria"/>
      <family val="1"/>
    </font>
    <font>
      <sz val="14"/>
      <color rgb="FFFFFFFF"/>
      <name val="Cambria"/>
      <family val="1"/>
    </font>
    <font>
      <u/>
      <sz val="11"/>
      <color theme="10"/>
      <name val="Cambria"/>
      <family val="1"/>
    </font>
    <font>
      <i/>
      <sz val="11"/>
      <color theme="0" tint="-0.249977111117893"/>
      <name val="Cambria"/>
      <family val="1"/>
    </font>
    <font>
      <b/>
      <sz val="11"/>
      <color rgb="FFC00000"/>
      <name val="Cambria"/>
      <family val="1"/>
    </font>
    <font>
      <b/>
      <sz val="11"/>
      <color theme="1"/>
      <name val="Calibri"/>
      <family val="2"/>
    </font>
  </fonts>
  <fills count="13">
    <fill>
      <patternFill patternType="none"/>
    </fill>
    <fill>
      <patternFill patternType="gray125"/>
    </fill>
    <fill>
      <patternFill patternType="solid">
        <fgColor theme="4" tint="-0.499984740745262"/>
        <bgColor indexed="64"/>
      </patternFill>
    </fill>
    <fill>
      <patternFill patternType="solid">
        <fgColor theme="0" tint="-4.9989318521683403E-2"/>
        <bgColor indexed="64"/>
      </patternFill>
    </fill>
    <fill>
      <patternFill patternType="solid">
        <fgColor theme="0" tint="-0.14996795556505021"/>
        <bgColor indexed="64"/>
      </patternFill>
    </fill>
    <fill>
      <patternFill patternType="solid">
        <fgColor theme="0" tint="-0.1499374370555742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rgb="FFB3265D"/>
        <bgColor indexed="64"/>
      </patternFill>
    </fill>
    <fill>
      <patternFill patternType="lightGray">
        <bgColor theme="0" tint="-4.9989318521683403E-2"/>
      </patternFill>
    </fill>
    <fill>
      <patternFill patternType="solid">
        <fgColor theme="0" tint="-0.34998626667073579"/>
        <bgColor indexed="64"/>
      </patternFill>
    </fill>
    <fill>
      <patternFill patternType="solid">
        <fgColor rgb="FF203764"/>
        <bgColor rgb="FF000000"/>
      </patternFill>
    </fill>
  </fills>
  <borders count="98">
    <border>
      <left/>
      <right/>
      <top/>
      <bottom/>
      <diagonal/>
    </border>
    <border>
      <left/>
      <right/>
      <top/>
      <bottom style="thin">
        <color theme="4" tint="-0.499984740745262"/>
      </bottom>
      <diagonal/>
    </border>
    <border>
      <left/>
      <right/>
      <top style="thin">
        <color theme="4" tint="-0.499984740745262"/>
      </top>
      <bottom/>
      <diagonal/>
    </border>
    <border>
      <left/>
      <right/>
      <top style="thin">
        <color theme="4" tint="-0.499984740745262"/>
      </top>
      <bottom style="thin">
        <color theme="4" tint="-0.499984740745262"/>
      </bottom>
      <diagonal/>
    </border>
    <border>
      <left/>
      <right/>
      <top style="double">
        <color theme="4" tint="-0.499984740745262"/>
      </top>
      <bottom style="double">
        <color theme="4" tint="-0.499984740745262"/>
      </bottom>
      <diagonal/>
    </border>
    <border>
      <left style="thin">
        <color theme="4" tint="-0.499984740745262"/>
      </left>
      <right/>
      <top/>
      <bottom/>
      <diagonal/>
    </border>
    <border>
      <left style="thin">
        <color theme="4" tint="-0.499984740745262"/>
      </left>
      <right/>
      <top/>
      <bottom style="thin">
        <color theme="4" tint="-0.499984740745262"/>
      </bottom>
      <diagonal/>
    </border>
    <border>
      <left style="thin">
        <color theme="4" tint="-0.499984740745262"/>
      </left>
      <right/>
      <top style="thin">
        <color theme="4" tint="-0.499984740745262"/>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hair">
        <color theme="4" tint="-0.499984740745262"/>
      </left>
      <right style="hair">
        <color theme="4" tint="-0.499984740745262"/>
      </right>
      <top style="hair">
        <color theme="4" tint="-0.499984740745262"/>
      </top>
      <bottom style="hair">
        <color theme="4" tint="-0.499984740745262"/>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hair">
        <color auto="1"/>
      </left>
      <right style="hair">
        <color auto="1"/>
      </right>
      <top style="hair">
        <color auto="1"/>
      </top>
      <bottom style="hair">
        <color auto="1"/>
      </bottom>
      <diagonal/>
    </border>
    <border>
      <left style="thin">
        <color theme="4" tint="-0.499984740745262"/>
      </left>
      <right/>
      <top style="thin">
        <color theme="4" tint="-0.499984740745262"/>
      </top>
      <bottom style="thin">
        <color theme="4" tint="-0.499984740745262"/>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style="thin">
        <color theme="4" tint="-0.499984740745262"/>
      </top>
      <bottom/>
      <diagonal/>
    </border>
    <border>
      <left/>
      <right/>
      <top/>
      <bottom style="medium">
        <color theme="4" tint="-0.249977111117893"/>
      </bottom>
      <diagonal/>
    </border>
    <border>
      <left style="thin">
        <color theme="4" tint="-0.499984740745262"/>
      </left>
      <right/>
      <top style="thin">
        <color auto="1"/>
      </top>
      <bottom/>
      <diagonal/>
    </border>
    <border>
      <left/>
      <right/>
      <top/>
      <bottom style="thin">
        <color rgb="FF376092"/>
      </bottom>
      <diagonal/>
    </border>
    <border>
      <left/>
      <right/>
      <top style="hair">
        <color theme="4" tint="-0.499984740745262"/>
      </top>
      <bottom style="hair">
        <color theme="4" tint="-0.499984740745262"/>
      </bottom>
      <diagonal/>
    </border>
    <border>
      <left style="thin">
        <color theme="4" tint="-0.499984740745262"/>
      </left>
      <right style="hair">
        <color theme="4" tint="-0.499984740745262"/>
      </right>
      <top style="thin">
        <color theme="4" tint="-0.499984740745262"/>
      </top>
      <bottom style="hair">
        <color theme="4" tint="-0.499984740745262"/>
      </bottom>
      <diagonal/>
    </border>
    <border>
      <left style="hair">
        <color theme="4" tint="-0.499984740745262"/>
      </left>
      <right style="hair">
        <color theme="4" tint="-0.499984740745262"/>
      </right>
      <top style="thin">
        <color theme="4" tint="-0.499984740745262"/>
      </top>
      <bottom style="hair">
        <color theme="4" tint="-0.499984740745262"/>
      </bottom>
      <diagonal/>
    </border>
    <border>
      <left style="hair">
        <color theme="4" tint="-0.499984740745262"/>
      </left>
      <right style="thin">
        <color theme="4" tint="-0.499984740745262"/>
      </right>
      <top style="thin">
        <color theme="4" tint="-0.499984740745262"/>
      </top>
      <bottom style="hair">
        <color theme="4" tint="-0.499984740745262"/>
      </bottom>
      <diagonal/>
    </border>
    <border>
      <left style="thin">
        <color theme="4" tint="-0.499984740745262"/>
      </left>
      <right style="hair">
        <color theme="4" tint="-0.499984740745262"/>
      </right>
      <top style="hair">
        <color theme="4" tint="-0.499984740745262"/>
      </top>
      <bottom style="hair">
        <color theme="4" tint="-0.499984740745262"/>
      </bottom>
      <diagonal/>
    </border>
    <border>
      <left style="hair">
        <color theme="4" tint="-0.499984740745262"/>
      </left>
      <right style="thin">
        <color theme="4" tint="-0.499984740745262"/>
      </right>
      <top style="hair">
        <color theme="4" tint="-0.499984740745262"/>
      </top>
      <bottom style="hair">
        <color theme="4" tint="-0.499984740745262"/>
      </bottom>
      <diagonal/>
    </border>
    <border>
      <left style="thin">
        <color theme="4" tint="-0.499984740745262"/>
      </left>
      <right style="hair">
        <color theme="4" tint="-0.499984740745262"/>
      </right>
      <top style="hair">
        <color theme="4" tint="-0.499984740745262"/>
      </top>
      <bottom style="thin">
        <color theme="4" tint="-0.499984740745262"/>
      </bottom>
      <diagonal/>
    </border>
    <border>
      <left style="hair">
        <color theme="4" tint="-0.499984740745262"/>
      </left>
      <right style="hair">
        <color theme="4" tint="-0.499984740745262"/>
      </right>
      <top style="hair">
        <color theme="4" tint="-0.499984740745262"/>
      </top>
      <bottom style="thin">
        <color theme="4" tint="-0.499984740745262"/>
      </bottom>
      <diagonal/>
    </border>
    <border>
      <left style="hair">
        <color theme="4" tint="-0.499984740745262"/>
      </left>
      <right style="thin">
        <color theme="4" tint="-0.499984740745262"/>
      </right>
      <top style="hair">
        <color theme="4" tint="-0.499984740745262"/>
      </top>
      <bottom style="thin">
        <color theme="4" tint="-0.499984740745262"/>
      </bottom>
      <diagonal/>
    </border>
    <border>
      <left/>
      <right/>
      <top/>
      <bottom style="thin">
        <color rgb="FFFFFFFF"/>
      </bottom>
      <diagonal/>
    </border>
    <border>
      <left/>
      <right/>
      <top style="thin">
        <color rgb="FFFFFFFF"/>
      </top>
      <bottom/>
      <diagonal/>
    </border>
    <border>
      <left style="hair">
        <color theme="4" tint="-0.499984740745262"/>
      </left>
      <right/>
      <top style="hair">
        <color theme="4" tint="-0.499984740745262"/>
      </top>
      <bottom style="hair">
        <color theme="4" tint="-0.499984740745262"/>
      </bottom>
      <diagonal/>
    </border>
    <border>
      <left/>
      <right/>
      <top/>
      <bottom style="hair">
        <color theme="4" tint="-0.499984740745262"/>
      </bottom>
      <diagonal/>
    </border>
    <border>
      <left/>
      <right/>
      <top style="hair">
        <color theme="4" tint="-0.499984740745262"/>
      </top>
      <bottom/>
      <diagonal/>
    </border>
    <border>
      <left style="hair">
        <color theme="4" tint="-0.499984740745262"/>
      </left>
      <right/>
      <top/>
      <bottom style="hair">
        <color theme="4" tint="-0.499984740745262"/>
      </bottom>
      <diagonal/>
    </border>
    <border>
      <left style="hair">
        <color theme="4" tint="-0.499984740745262"/>
      </left>
      <right/>
      <top style="hair">
        <color theme="4" tint="-0.499984740745262"/>
      </top>
      <bottom/>
      <diagonal/>
    </border>
    <border>
      <left/>
      <right style="thin">
        <color theme="4" tint="-0.499984740745262"/>
      </right>
      <top/>
      <bottom/>
      <diagonal/>
    </border>
    <border>
      <left/>
      <right style="thin">
        <color theme="4" tint="-0.499984740745262"/>
      </right>
      <top/>
      <bottom style="thin">
        <color theme="4" tint="-0.499984740745262"/>
      </bottom>
      <diagonal/>
    </border>
    <border>
      <left/>
      <right style="thin">
        <color theme="4" tint="-0.499984740745262"/>
      </right>
      <top style="thin">
        <color theme="4" tint="-0.499984740745262"/>
      </top>
      <bottom style="thin">
        <color theme="4" tint="-0.499984740745262"/>
      </bottom>
      <diagonal/>
    </border>
    <border>
      <left style="hair">
        <color auto="1"/>
      </left>
      <right/>
      <top/>
      <bottom/>
      <diagonal/>
    </border>
    <border>
      <left/>
      <right style="hair">
        <color auto="1"/>
      </right>
      <top/>
      <bottom/>
      <diagonal/>
    </border>
    <border>
      <left style="hair">
        <color auto="1"/>
      </left>
      <right/>
      <top style="thin">
        <color auto="1"/>
      </top>
      <bottom style="double">
        <color auto="1"/>
      </bottom>
      <diagonal/>
    </border>
    <border>
      <left/>
      <right/>
      <top style="thin">
        <color auto="1"/>
      </top>
      <bottom style="double">
        <color auto="1"/>
      </bottom>
      <diagonal/>
    </border>
    <border>
      <left/>
      <right style="hair">
        <color auto="1"/>
      </right>
      <top style="thin">
        <color auto="1"/>
      </top>
      <bottom style="double">
        <color auto="1"/>
      </bottom>
      <diagonal/>
    </border>
    <border>
      <left style="thin">
        <color theme="4" tint="-0.499984740745262"/>
      </left>
      <right/>
      <top style="thin">
        <color auto="1"/>
      </top>
      <bottom style="double">
        <color auto="1"/>
      </bottom>
      <diagonal/>
    </border>
    <border>
      <left style="hair">
        <color auto="1"/>
      </left>
      <right style="hair">
        <color auto="1"/>
      </right>
      <top style="hair">
        <color auto="1"/>
      </top>
      <bottom/>
      <diagonal/>
    </border>
    <border>
      <left style="hair">
        <color rgb="FFC00000"/>
      </left>
      <right/>
      <top style="hair">
        <color rgb="FFC00000"/>
      </top>
      <bottom/>
      <diagonal/>
    </border>
    <border>
      <left/>
      <right/>
      <top style="hair">
        <color rgb="FFC00000"/>
      </top>
      <bottom/>
      <diagonal/>
    </border>
    <border>
      <left style="hair">
        <color rgb="FFC00000"/>
      </left>
      <right/>
      <top/>
      <bottom/>
      <diagonal/>
    </border>
    <border>
      <left/>
      <right style="hair">
        <color rgb="FFC00000"/>
      </right>
      <top/>
      <bottom/>
      <diagonal/>
    </border>
    <border>
      <left style="hair">
        <color rgb="FFC00000"/>
      </left>
      <right/>
      <top style="thin">
        <color theme="4" tint="-0.499984740745262"/>
      </top>
      <bottom style="thin">
        <color theme="4" tint="-0.499984740745262"/>
      </bottom>
      <diagonal/>
    </border>
    <border>
      <left/>
      <right style="hair">
        <color rgb="FFC00000"/>
      </right>
      <top style="thin">
        <color theme="4" tint="-0.499984740745262"/>
      </top>
      <bottom style="thin">
        <color theme="4" tint="-0.499984740745262"/>
      </bottom>
      <diagonal/>
    </border>
    <border>
      <left/>
      <right/>
      <top style="thin">
        <color auto="1"/>
      </top>
      <bottom style="hair">
        <color auto="1"/>
      </bottom>
      <diagonal/>
    </border>
    <border>
      <left/>
      <right/>
      <top style="hair">
        <color auto="1"/>
      </top>
      <bottom/>
      <diagonal/>
    </border>
    <border>
      <left/>
      <right/>
      <top/>
      <bottom style="medium">
        <color indexed="64"/>
      </bottom>
      <diagonal/>
    </border>
    <border>
      <left/>
      <right/>
      <top style="medium">
        <color indexed="64"/>
      </top>
      <bottom style="thin">
        <color auto="1"/>
      </bottom>
      <diagonal/>
    </border>
    <border>
      <left/>
      <right/>
      <top style="double">
        <color auto="1"/>
      </top>
      <bottom style="double">
        <color auto="1"/>
      </bottom>
      <diagonal/>
    </border>
    <border>
      <left style="thin">
        <color auto="1"/>
      </left>
      <right/>
      <top style="double">
        <color auto="1"/>
      </top>
      <bottom style="double">
        <color auto="1"/>
      </bottom>
      <diagonal/>
    </border>
    <border>
      <left style="thin">
        <color theme="4" tint="-0.499984740745262"/>
      </left>
      <right/>
      <top style="thin">
        <color auto="1"/>
      </top>
      <bottom style="thin">
        <color auto="1"/>
      </bottom>
      <diagonal/>
    </border>
    <border>
      <left style="thin">
        <color theme="4" tint="-0.499984740745262"/>
      </left>
      <right/>
      <top style="thin">
        <color auto="1"/>
      </top>
      <bottom style="hair">
        <color auto="1"/>
      </bottom>
      <diagonal/>
    </border>
    <border>
      <left style="thin">
        <color theme="4" tint="-0.499984740745262"/>
      </left>
      <right/>
      <top style="hair">
        <color rgb="FFC00000"/>
      </top>
      <bottom/>
      <diagonal/>
    </border>
    <border>
      <left/>
      <right/>
      <top style="hair">
        <color auto="1"/>
      </top>
      <bottom style="hair">
        <color auto="1"/>
      </bottom>
      <diagonal/>
    </border>
    <border>
      <left style="hair">
        <color auto="1"/>
      </left>
      <right/>
      <top style="hair">
        <color auto="1"/>
      </top>
      <bottom/>
      <diagonal/>
    </border>
    <border>
      <left style="hair">
        <color auto="1"/>
      </left>
      <right/>
      <top/>
      <bottom style="hair">
        <color auto="1"/>
      </bottom>
      <diagonal/>
    </border>
    <border>
      <left/>
      <right/>
      <top/>
      <bottom style="hair">
        <color auto="1"/>
      </bottom>
      <diagonal/>
    </border>
    <border>
      <left style="hair">
        <color auto="1"/>
      </left>
      <right/>
      <top style="hair">
        <color auto="1"/>
      </top>
      <bottom style="hair">
        <color auto="1"/>
      </bottom>
      <diagonal/>
    </border>
    <border>
      <left style="hair">
        <color auto="1"/>
      </left>
      <right style="hair">
        <color auto="1"/>
      </right>
      <top/>
      <bottom style="hair">
        <color auto="1"/>
      </bottom>
      <diagonal/>
    </border>
    <border>
      <left/>
      <right style="thin">
        <color theme="4" tint="-0.499984740745262"/>
      </right>
      <top style="thin">
        <color theme="4" tint="-0.499984740745262"/>
      </top>
      <bottom/>
      <diagonal/>
    </border>
    <border>
      <left/>
      <right style="thin">
        <color theme="4" tint="-0.499984740745262"/>
      </right>
      <top style="thin">
        <color auto="1"/>
      </top>
      <bottom/>
      <diagonal/>
    </border>
    <border>
      <left/>
      <right style="thin">
        <color theme="4" tint="-0.499984740745262"/>
      </right>
      <top style="thin">
        <color auto="1"/>
      </top>
      <bottom style="thin">
        <color auto="1"/>
      </bottom>
      <diagonal/>
    </border>
    <border>
      <left/>
      <right style="hair">
        <color auto="1"/>
      </right>
      <top style="hair">
        <color auto="1"/>
      </top>
      <bottom/>
      <diagonal/>
    </border>
    <border>
      <left/>
      <right style="hair">
        <color auto="1"/>
      </right>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right style="thin">
        <color auto="1"/>
      </right>
      <top style="hair">
        <color auto="1"/>
      </top>
      <bottom style="hair">
        <color auto="1"/>
      </bottom>
      <diagonal/>
    </border>
    <border>
      <left style="thin">
        <color auto="1"/>
      </left>
      <right style="thin">
        <color auto="1"/>
      </right>
      <top style="thin">
        <color auto="1"/>
      </top>
      <bottom/>
      <diagonal/>
    </border>
    <border>
      <left style="hair">
        <color auto="1"/>
      </left>
      <right style="thin">
        <color auto="1"/>
      </right>
      <top style="hair">
        <color auto="1"/>
      </top>
      <bottom/>
      <diagonal/>
    </border>
    <border>
      <left style="thin">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4">
    <xf numFmtId="0" fontId="0" fillId="0" borderId="0"/>
    <xf numFmtId="0" fontId="36" fillId="0" borderId="0" applyNumberFormat="0" applyFill="0" applyBorder="0" applyAlignment="0" applyProtection="0"/>
    <xf numFmtId="9" fontId="42" fillId="0" borderId="0" applyFont="0" applyFill="0" applyBorder="0" applyAlignment="0" applyProtection="0"/>
    <xf numFmtId="0" fontId="44" fillId="0" borderId="0"/>
  </cellStyleXfs>
  <cellXfs count="559">
    <xf numFmtId="0" fontId="0" fillId="0" borderId="0" xfId="0"/>
    <xf numFmtId="0" fontId="1" fillId="0" borderId="0" xfId="0" applyFont="1"/>
    <xf numFmtId="0" fontId="2" fillId="0" borderId="0" xfId="0" applyFont="1"/>
    <xf numFmtId="0" fontId="6" fillId="0" borderId="0" xfId="0" applyFont="1"/>
    <xf numFmtId="0" fontId="6" fillId="0" borderId="3" xfId="0" applyFont="1" applyBorder="1"/>
    <xf numFmtId="0" fontId="6" fillId="0" borderId="1" xfId="0" applyFont="1" applyBorder="1"/>
    <xf numFmtId="0" fontId="1" fillId="0" borderId="1" xfId="0" applyFont="1" applyBorder="1"/>
    <xf numFmtId="0" fontId="5" fillId="0" borderId="1" xfId="0" applyFont="1" applyBorder="1" applyAlignment="1">
      <alignment horizontal="right"/>
    </xf>
    <xf numFmtId="0" fontId="6" fillId="0" borderId="2" xfId="0" applyFont="1" applyBorder="1"/>
    <xf numFmtId="0" fontId="1" fillId="0" borderId="0" xfId="0" applyFont="1" applyAlignment="1">
      <alignment wrapText="1"/>
    </xf>
    <xf numFmtId="3" fontId="6" fillId="0" borderId="2" xfId="0" applyNumberFormat="1" applyFont="1" applyBorder="1"/>
    <xf numFmtId="3" fontId="1" fillId="0" borderId="0" xfId="0" applyNumberFormat="1" applyFont="1"/>
    <xf numFmtId="3" fontId="6" fillId="0" borderId="0" xfId="0" applyNumberFormat="1" applyFont="1"/>
    <xf numFmtId="3" fontId="2" fillId="0" borderId="0" xfId="0" applyNumberFormat="1" applyFont="1"/>
    <xf numFmtId="0" fontId="5" fillId="0" borderId="0" xfId="0" applyFont="1"/>
    <xf numFmtId="1" fontId="1" fillId="0" borderId="0" xfId="0" applyNumberFormat="1" applyFont="1"/>
    <xf numFmtId="1" fontId="6" fillId="0" borderId="0" xfId="0" applyNumberFormat="1" applyFont="1"/>
    <xf numFmtId="0" fontId="6" fillId="0" borderId="5" xfId="0" applyFont="1" applyBorder="1"/>
    <xf numFmtId="0" fontId="5" fillId="0" borderId="6" xfId="0" applyFont="1" applyBorder="1" applyAlignment="1">
      <alignment horizontal="right"/>
    </xf>
    <xf numFmtId="0" fontId="1" fillId="0" borderId="5" xfId="0" applyFont="1" applyBorder="1"/>
    <xf numFmtId="3" fontId="7" fillId="0" borderId="0" xfId="0" applyNumberFormat="1" applyFont="1"/>
    <xf numFmtId="1" fontId="7" fillId="0" borderId="0" xfId="0" applyNumberFormat="1" applyFont="1"/>
    <xf numFmtId="0" fontId="9" fillId="0" borderId="0" xfId="0" applyFont="1"/>
    <xf numFmtId="43" fontId="9" fillId="0" borderId="0" xfId="0" applyNumberFormat="1" applyFont="1"/>
    <xf numFmtId="0" fontId="13" fillId="0" borderId="0" xfId="0" applyFont="1"/>
    <xf numFmtId="0" fontId="5" fillId="0" borderId="0" xfId="0" applyFont="1" applyAlignment="1">
      <alignment horizontal="right"/>
    </xf>
    <xf numFmtId="0" fontId="1" fillId="3" borderId="0" xfId="0" applyFont="1" applyFill="1"/>
    <xf numFmtId="9" fontId="1" fillId="0" borderId="0" xfId="0" applyNumberFormat="1" applyFont="1"/>
    <xf numFmtId="165" fontId="1" fillId="0" borderId="0" xfId="0" applyNumberFormat="1" applyFont="1"/>
    <xf numFmtId="0" fontId="9" fillId="0" borderId="0" xfId="0" applyFont="1" applyAlignment="1">
      <alignment horizontal="center"/>
    </xf>
    <xf numFmtId="0" fontId="15" fillId="0" borderId="10" xfId="0" applyFont="1" applyBorder="1" applyAlignment="1">
      <alignment horizontal="center"/>
    </xf>
    <xf numFmtId="0" fontId="15" fillId="0" borderId="12" xfId="0" applyFont="1" applyBorder="1" applyAlignment="1">
      <alignment horizontal="center"/>
    </xf>
    <xf numFmtId="0" fontId="15" fillId="0" borderId="11" xfId="0" applyFont="1" applyBorder="1" applyAlignment="1">
      <alignment horizontal="center"/>
    </xf>
    <xf numFmtId="0" fontId="9" fillId="0" borderId="9" xfId="0" applyFont="1" applyBorder="1"/>
    <xf numFmtId="0" fontId="9" fillId="0" borderId="15" xfId="0" applyFont="1" applyBorder="1"/>
    <xf numFmtId="0" fontId="9" fillId="0" borderId="16" xfId="0" applyFont="1" applyBorder="1" applyAlignment="1">
      <alignment horizontal="center"/>
    </xf>
    <xf numFmtId="166" fontId="9" fillId="0" borderId="17" xfId="0" applyNumberFormat="1" applyFont="1" applyBorder="1"/>
    <xf numFmtId="1" fontId="1" fillId="3" borderId="0" xfId="0" applyNumberFormat="1" applyFont="1" applyFill="1"/>
    <xf numFmtId="3" fontId="1" fillId="3" borderId="0" xfId="0" applyNumberFormat="1" applyFont="1" applyFill="1"/>
    <xf numFmtId="0" fontId="12" fillId="0" borderId="1" xfId="0" applyFont="1" applyBorder="1" applyAlignment="1">
      <alignment horizontal="right"/>
    </xf>
    <xf numFmtId="0" fontId="12" fillId="3" borderId="1" xfId="0" applyFont="1" applyFill="1" applyBorder="1" applyAlignment="1">
      <alignment horizontal="right"/>
    </xf>
    <xf numFmtId="0" fontId="13" fillId="0" borderId="5" xfId="0" applyFont="1" applyBorder="1"/>
    <xf numFmtId="0" fontId="12" fillId="0" borderId="6" xfId="0" applyFont="1" applyBorder="1" applyAlignment="1">
      <alignment horizontal="right"/>
    </xf>
    <xf numFmtId="3" fontId="7" fillId="0" borderId="5" xfId="0" applyNumberFormat="1" applyFont="1" applyBorder="1"/>
    <xf numFmtId="9" fontId="1" fillId="0" borderId="5" xfId="0" applyNumberFormat="1" applyFont="1" applyBorder="1"/>
    <xf numFmtId="0" fontId="0" fillId="0" borderId="0" xfId="0" applyAlignment="1">
      <alignment vertical="center"/>
    </xf>
    <xf numFmtId="0" fontId="13" fillId="0" borderId="5" xfId="0" applyFont="1" applyBorder="1" applyAlignment="1">
      <alignment vertical="center"/>
    </xf>
    <xf numFmtId="0" fontId="13" fillId="0" borderId="0" xfId="0" applyFont="1" applyAlignment="1">
      <alignment vertical="center"/>
    </xf>
    <xf numFmtId="0" fontId="6" fillId="0" borderId="1" xfId="0" applyFont="1" applyBorder="1" applyAlignment="1">
      <alignment vertical="center"/>
    </xf>
    <xf numFmtId="0" fontId="12" fillId="0" borderId="6" xfId="0" applyFont="1" applyBorder="1" applyAlignment="1">
      <alignment horizontal="right" vertical="center"/>
    </xf>
    <xf numFmtId="0" fontId="12" fillId="0" borderId="1" xfId="0" applyFont="1" applyBorder="1" applyAlignment="1">
      <alignment horizontal="right" vertical="center"/>
    </xf>
    <xf numFmtId="0" fontId="12" fillId="3" borderId="1" xfId="0" applyFont="1" applyFill="1" applyBorder="1" applyAlignment="1">
      <alignment horizontal="right" vertical="center"/>
    </xf>
    <xf numFmtId="0" fontId="14" fillId="2" borderId="0" xfId="0" applyFont="1" applyFill="1"/>
    <xf numFmtId="0" fontId="14" fillId="2" borderId="0" xfId="0" applyFont="1" applyFill="1" applyAlignment="1">
      <alignment horizontal="center"/>
    </xf>
    <xf numFmtId="0" fontId="5" fillId="3" borderId="1" xfId="0" applyFont="1" applyFill="1" applyBorder="1" applyAlignment="1">
      <alignment horizontal="right"/>
    </xf>
    <xf numFmtId="0" fontId="1" fillId="0" borderId="0" xfId="0" applyFont="1" applyAlignment="1">
      <alignment vertical="center"/>
    </xf>
    <xf numFmtId="0" fontId="6" fillId="0" borderId="0" xfId="0" applyFont="1" applyAlignment="1">
      <alignment vertical="center"/>
    </xf>
    <xf numFmtId="0" fontId="14" fillId="2" borderId="8" xfId="0" applyFont="1" applyFill="1" applyBorder="1"/>
    <xf numFmtId="0" fontId="14" fillId="2" borderId="8" xfId="0" applyFont="1" applyFill="1" applyBorder="1" applyAlignment="1">
      <alignment vertical="center" wrapText="1"/>
    </xf>
    <xf numFmtId="0" fontId="6" fillId="0" borderId="7" xfId="0" applyFont="1" applyBorder="1"/>
    <xf numFmtId="0" fontId="1" fillId="0" borderId="2" xfId="0" applyFont="1" applyBorder="1"/>
    <xf numFmtId="0" fontId="21" fillId="0" borderId="0" xfId="0" applyFont="1" applyAlignment="1">
      <alignment horizontal="center" vertical="center"/>
    </xf>
    <xf numFmtId="0" fontId="6" fillId="0" borderId="0" xfId="0" applyFont="1" applyAlignment="1">
      <alignment horizontal="center"/>
    </xf>
    <xf numFmtId="164" fontId="7" fillId="0" borderId="0" xfId="0" applyNumberFormat="1" applyFont="1"/>
    <xf numFmtId="14" fontId="9" fillId="0" borderId="0" xfId="0" applyNumberFormat="1" applyFont="1" applyAlignment="1">
      <alignment vertical="center"/>
    </xf>
    <xf numFmtId="164" fontId="7" fillId="0" borderId="0" xfId="0" applyNumberFormat="1" applyFont="1" applyAlignment="1">
      <alignment vertical="center"/>
    </xf>
    <xf numFmtId="0" fontId="22" fillId="0" borderId="0" xfId="0" applyFont="1"/>
    <xf numFmtId="0" fontId="5" fillId="3" borderId="0" xfId="0" applyFont="1" applyFill="1" applyAlignment="1">
      <alignment horizontal="right"/>
    </xf>
    <xf numFmtId="0" fontId="5" fillId="0" borderId="0" xfId="0" applyFont="1" applyAlignment="1">
      <alignment vertical="center"/>
    </xf>
    <xf numFmtId="14" fontId="1" fillId="0" borderId="2" xfId="0" applyNumberFormat="1" applyFont="1" applyBorder="1"/>
    <xf numFmtId="14" fontId="1" fillId="0" borderId="0" xfId="0" applyNumberFormat="1" applyFont="1"/>
    <xf numFmtId="14" fontId="5" fillId="0" borderId="2" xfId="0" applyNumberFormat="1" applyFont="1" applyBorder="1"/>
    <xf numFmtId="168" fontId="1" fillId="0" borderId="0" xfId="0" applyNumberFormat="1" applyFont="1"/>
    <xf numFmtId="2" fontId="5" fillId="0" borderId="0" xfId="0" applyNumberFormat="1" applyFont="1"/>
    <xf numFmtId="165" fontId="8" fillId="0" borderId="0" xfId="0" applyNumberFormat="1" applyFont="1"/>
    <xf numFmtId="168" fontId="8" fillId="0" borderId="0" xfId="0" applyNumberFormat="1" applyFont="1"/>
    <xf numFmtId="168" fontId="7" fillId="0" borderId="0" xfId="0" applyNumberFormat="1" applyFont="1"/>
    <xf numFmtId="0" fontId="1" fillId="0" borderId="7" xfId="0" applyFont="1" applyBorder="1"/>
    <xf numFmtId="3" fontId="1" fillId="0" borderId="0" xfId="0" applyNumberFormat="1" applyFont="1" applyAlignment="1">
      <alignment vertical="center"/>
    </xf>
    <xf numFmtId="37" fontId="1" fillId="0" borderId="0" xfId="0" applyNumberFormat="1" applyFont="1" applyAlignment="1">
      <alignment vertical="center"/>
    </xf>
    <xf numFmtId="0" fontId="4" fillId="0" borderId="0" xfId="0" applyFont="1" applyAlignment="1">
      <alignment vertical="center"/>
    </xf>
    <xf numFmtId="0" fontId="21" fillId="0" borderId="0" xfId="0" applyFont="1" applyAlignment="1">
      <alignment vertical="center"/>
    </xf>
    <xf numFmtId="0" fontId="6" fillId="0" borderId="1" xfId="0" applyFont="1" applyBorder="1" applyAlignment="1">
      <alignment horizontal="center"/>
    </xf>
    <xf numFmtId="0" fontId="4" fillId="0" borderId="0" xfId="0" applyFont="1" applyAlignment="1">
      <alignment horizontal="center" vertical="center"/>
    </xf>
    <xf numFmtId="0" fontId="21" fillId="2" borderId="0" xfId="0" applyFont="1" applyFill="1"/>
    <xf numFmtId="0" fontId="21" fillId="2" borderId="0" xfId="0" applyFont="1" applyFill="1" applyAlignment="1">
      <alignment horizontal="left" vertical="center" indent="2"/>
    </xf>
    <xf numFmtId="0" fontId="21" fillId="2" borderId="0" xfId="0" applyFont="1" applyFill="1" applyAlignment="1">
      <alignment horizontal="right" vertical="center" wrapText="1"/>
    </xf>
    <xf numFmtId="0" fontId="21" fillId="2" borderId="0" xfId="0" applyFont="1" applyFill="1" applyAlignment="1">
      <alignment horizontal="right" vertical="center"/>
    </xf>
    <xf numFmtId="0" fontId="21" fillId="0" borderId="0" xfId="0" applyFont="1" applyAlignment="1">
      <alignment horizontal="left" vertical="center" indent="2"/>
    </xf>
    <xf numFmtId="0" fontId="21" fillId="0" borderId="0" xfId="0" applyFont="1" applyAlignment="1">
      <alignment horizontal="right" vertical="center" wrapText="1"/>
    </xf>
    <xf numFmtId="0" fontId="21" fillId="0" borderId="0" xfId="0" applyFont="1" applyAlignment="1">
      <alignment horizontal="right" vertical="center"/>
    </xf>
    <xf numFmtId="0" fontId="26" fillId="2" borderId="0" xfId="0" applyFont="1" applyFill="1" applyAlignment="1">
      <alignment horizontal="left" vertical="top"/>
    </xf>
    <xf numFmtId="0" fontId="27" fillId="2" borderId="43" xfId="0" applyFont="1" applyFill="1" applyBorder="1" applyAlignment="1">
      <alignment horizontal="left" vertical="top"/>
    </xf>
    <xf numFmtId="0" fontId="28" fillId="0" borderId="0" xfId="0" applyFont="1" applyAlignment="1">
      <alignment horizontal="left" vertical="top"/>
    </xf>
    <xf numFmtId="0" fontId="26" fillId="2" borderId="0" xfId="0" applyFont="1" applyFill="1" applyAlignment="1">
      <alignment horizontal="center" vertical="center"/>
    </xf>
    <xf numFmtId="0" fontId="26" fillId="2" borderId="0" xfId="0" applyFont="1" applyFill="1" applyAlignment="1">
      <alignment horizontal="center" vertical="top"/>
    </xf>
    <xf numFmtId="0" fontId="26" fillId="2" borderId="44" xfId="0" applyFont="1" applyFill="1" applyBorder="1" applyAlignment="1">
      <alignment horizontal="center" vertical="center"/>
    </xf>
    <xf numFmtId="0" fontId="29" fillId="2" borderId="0" xfId="0" applyFont="1" applyFill="1" applyAlignment="1">
      <alignment horizontal="center" vertical="top"/>
    </xf>
    <xf numFmtId="0" fontId="30" fillId="2" borderId="0" xfId="0" applyFont="1" applyFill="1" applyAlignment="1">
      <alignment horizontal="center" vertical="center"/>
    </xf>
    <xf numFmtId="0" fontId="26" fillId="2" borderId="0" xfId="0" applyFont="1" applyFill="1" applyAlignment="1">
      <alignment horizontal="right" vertical="center"/>
    </xf>
    <xf numFmtId="0" fontId="26" fillId="2" borderId="0" xfId="0" applyFont="1" applyFill="1" applyAlignment="1">
      <alignment horizontal="right" vertical="top"/>
    </xf>
    <xf numFmtId="2" fontId="1" fillId="0" borderId="0" xfId="0" applyNumberFormat="1" applyFont="1"/>
    <xf numFmtId="164" fontId="1" fillId="0" borderId="0" xfId="0" applyNumberFormat="1" applyFont="1"/>
    <xf numFmtId="0" fontId="31" fillId="2" borderId="0" xfId="0" applyFont="1" applyFill="1"/>
    <xf numFmtId="170" fontId="21" fillId="2" borderId="0" xfId="0" applyNumberFormat="1" applyFont="1" applyFill="1"/>
    <xf numFmtId="0" fontId="6" fillId="6" borderId="0" xfId="0" applyFont="1" applyFill="1"/>
    <xf numFmtId="0" fontId="32" fillId="6" borderId="0" xfId="0" applyFont="1" applyFill="1"/>
    <xf numFmtId="168" fontId="33" fillId="6" borderId="0" xfId="0" applyNumberFormat="1" applyFont="1" applyFill="1"/>
    <xf numFmtId="170" fontId="33" fillId="6" borderId="0" xfId="0" applyNumberFormat="1" applyFont="1" applyFill="1"/>
    <xf numFmtId="164" fontId="6" fillId="6" borderId="0" xfId="0" applyNumberFormat="1" applyFont="1" applyFill="1"/>
    <xf numFmtId="170" fontId="6" fillId="6" borderId="0" xfId="0" applyNumberFormat="1" applyFont="1" applyFill="1"/>
    <xf numFmtId="164" fontId="33" fillId="6" borderId="0" xfId="0" applyNumberFormat="1" applyFont="1" applyFill="1"/>
    <xf numFmtId="0" fontId="34" fillId="2" borderId="0" xfId="0" applyFont="1" applyFill="1" applyAlignment="1">
      <alignment horizontal="left" vertical="top"/>
    </xf>
    <xf numFmtId="0" fontId="34" fillId="2" borderId="0" xfId="0" applyFont="1" applyFill="1" applyAlignment="1">
      <alignment horizontal="center" vertical="top"/>
    </xf>
    <xf numFmtId="164" fontId="8" fillId="0" borderId="0" xfId="0" applyNumberFormat="1" applyFont="1"/>
    <xf numFmtId="10" fontId="21" fillId="2" borderId="0" xfId="0" applyNumberFormat="1" applyFont="1" applyFill="1"/>
    <xf numFmtId="0" fontId="6" fillId="7" borderId="0" xfId="0" applyFont="1" applyFill="1"/>
    <xf numFmtId="10" fontId="6" fillId="0" borderId="3" xfId="0" applyNumberFormat="1" applyFont="1" applyBorder="1"/>
    <xf numFmtId="171" fontId="6" fillId="0" borderId="3" xfId="0" applyNumberFormat="1" applyFont="1" applyBorder="1"/>
    <xf numFmtId="10" fontId="18" fillId="0" borderId="0" xfId="0" applyNumberFormat="1" applyFont="1"/>
    <xf numFmtId="0" fontId="35" fillId="0" borderId="0" xfId="0" applyFont="1"/>
    <xf numFmtId="10" fontId="8" fillId="0" borderId="0" xfId="0" applyNumberFormat="1" applyFont="1"/>
    <xf numFmtId="2" fontId="21" fillId="2" borderId="0" xfId="0" applyNumberFormat="1" applyFont="1" applyFill="1"/>
    <xf numFmtId="0" fontId="0" fillId="0" borderId="4" xfId="0" applyBorder="1"/>
    <xf numFmtId="173" fontId="1" fillId="0" borderId="0" xfId="0" applyNumberFormat="1" applyFont="1"/>
    <xf numFmtId="0" fontId="1" fillId="6" borderId="0" xfId="0" applyFont="1" applyFill="1"/>
    <xf numFmtId="0" fontId="6" fillId="3" borderId="0" xfId="0" applyFont="1" applyFill="1"/>
    <xf numFmtId="0" fontId="1" fillId="3" borderId="0" xfId="0" applyFont="1" applyFill="1" applyAlignment="1">
      <alignment horizontal="right"/>
    </xf>
    <xf numFmtId="14" fontId="5" fillId="3" borderId="2" xfId="0" applyNumberFormat="1" applyFont="1" applyFill="1" applyBorder="1"/>
    <xf numFmtId="168" fontId="1" fillId="3" borderId="0" xfId="0" applyNumberFormat="1" applyFont="1" applyFill="1"/>
    <xf numFmtId="2" fontId="5" fillId="3" borderId="0" xfId="0" applyNumberFormat="1" applyFont="1" applyFill="1"/>
    <xf numFmtId="2" fontId="23" fillId="3" borderId="0" xfId="0" applyNumberFormat="1" applyFont="1" applyFill="1"/>
    <xf numFmtId="3" fontId="6" fillId="3" borderId="2" xfId="0" applyNumberFormat="1" applyFont="1" applyFill="1" applyBorder="1"/>
    <xf numFmtId="3" fontId="6" fillId="3" borderId="0" xfId="0" applyNumberFormat="1" applyFont="1" applyFill="1"/>
    <xf numFmtId="0" fontId="1" fillId="0" borderId="3" xfId="0" applyFont="1" applyBorder="1" applyAlignment="1">
      <alignment vertical="center"/>
    </xf>
    <xf numFmtId="165" fontId="6" fillId="4" borderId="3" xfId="0" applyNumberFormat="1" applyFont="1" applyFill="1" applyBorder="1" applyAlignment="1">
      <alignment vertical="center"/>
    </xf>
    <xf numFmtId="0" fontId="6" fillId="0" borderId="3" xfId="0" applyFont="1" applyBorder="1" applyAlignment="1">
      <alignment vertical="center"/>
    </xf>
    <xf numFmtId="37" fontId="6" fillId="0" borderId="3" xfId="0" applyNumberFormat="1" applyFont="1" applyBorder="1" applyAlignment="1">
      <alignment vertical="center"/>
    </xf>
    <xf numFmtId="3" fontId="6" fillId="0" borderId="3" xfId="0" applyNumberFormat="1" applyFont="1" applyBorder="1" applyAlignment="1">
      <alignment vertical="center"/>
    </xf>
    <xf numFmtId="0" fontId="20" fillId="0" borderId="2" xfId="0" applyFont="1" applyBorder="1" applyAlignment="1">
      <alignment vertical="center"/>
    </xf>
    <xf numFmtId="10" fontId="7" fillId="0" borderId="14" xfId="0" applyNumberFormat="1" applyFont="1" applyBorder="1"/>
    <xf numFmtId="165" fontId="7" fillId="0" borderId="14" xfId="0" applyNumberFormat="1" applyFont="1" applyBorder="1"/>
    <xf numFmtId="165" fontId="7" fillId="0" borderId="27" xfId="0" applyNumberFormat="1" applyFont="1" applyBorder="1"/>
    <xf numFmtId="165" fontId="8" fillId="0" borderId="14" xfId="0" applyNumberFormat="1" applyFont="1" applyBorder="1"/>
    <xf numFmtId="166" fontId="7" fillId="0" borderId="14" xfId="0" applyNumberFormat="1" applyFont="1" applyBorder="1"/>
    <xf numFmtId="0" fontId="14" fillId="2" borderId="0" xfId="0" applyFont="1" applyFill="1" applyAlignment="1">
      <alignment horizontal="right"/>
    </xf>
    <xf numFmtId="0" fontId="4" fillId="2" borderId="0" xfId="0" applyFont="1" applyFill="1" applyAlignment="1">
      <alignment vertical="center"/>
    </xf>
    <xf numFmtId="10" fontId="1" fillId="0" borderId="0" xfId="0" applyNumberFormat="1" applyFont="1"/>
    <xf numFmtId="0" fontId="8" fillId="0" borderId="0" xfId="0" applyFont="1"/>
    <xf numFmtId="3" fontId="13" fillId="0" borderId="3" xfId="0" applyNumberFormat="1" applyFont="1" applyBorder="1"/>
    <xf numFmtId="4" fontId="37" fillId="0" borderId="0" xfId="0" applyNumberFormat="1" applyFont="1" applyAlignment="1">
      <alignment horizontal="right" vertical="top" shrinkToFit="1"/>
    </xf>
    <xf numFmtId="2" fontId="37" fillId="0" borderId="0" xfId="0" applyNumberFormat="1" applyFont="1" applyAlignment="1">
      <alignment horizontal="right" vertical="top" shrinkToFit="1"/>
    </xf>
    <xf numFmtId="4" fontId="1" fillId="0" borderId="0" xfId="0" applyNumberFormat="1" applyFont="1"/>
    <xf numFmtId="3" fontId="11" fillId="0" borderId="0" xfId="0" applyNumberFormat="1" applyFont="1"/>
    <xf numFmtId="0" fontId="39" fillId="0" borderId="0" xfId="0" applyFont="1" applyAlignment="1">
      <alignment vertical="center"/>
    </xf>
    <xf numFmtId="0" fontId="5" fillId="0" borderId="5" xfId="0" applyFont="1" applyBorder="1" applyAlignment="1">
      <alignment horizontal="right"/>
    </xf>
    <xf numFmtId="0" fontId="6" fillId="0" borderId="0" xfId="0" applyFont="1" applyAlignment="1">
      <alignment wrapText="1"/>
    </xf>
    <xf numFmtId="3" fontId="13" fillId="0" borderId="0" xfId="0" applyNumberFormat="1" applyFont="1"/>
    <xf numFmtId="0" fontId="11" fillId="0" borderId="0" xfId="0" applyFont="1"/>
    <xf numFmtId="0" fontId="40" fillId="0" borderId="0" xfId="0" applyFont="1"/>
    <xf numFmtId="4" fontId="11" fillId="0" borderId="0" xfId="0" applyNumberFormat="1" applyFont="1"/>
    <xf numFmtId="0" fontId="12" fillId="0" borderId="0" xfId="0" applyFont="1"/>
    <xf numFmtId="2" fontId="12" fillId="0" borderId="0" xfId="0" applyNumberFormat="1" applyFont="1"/>
    <xf numFmtId="0" fontId="1" fillId="0" borderId="50" xfId="0" applyFont="1" applyBorder="1"/>
    <xf numFmtId="0" fontId="11" fillId="0" borderId="50" xfId="0" applyFont="1" applyBorder="1"/>
    <xf numFmtId="0" fontId="13" fillId="0" borderId="52" xfId="0" applyFont="1" applyBorder="1"/>
    <xf numFmtId="0" fontId="41" fillId="0" borderId="0" xfId="0" applyFont="1" applyAlignment="1">
      <alignment vertical="center"/>
    </xf>
    <xf numFmtId="1" fontId="8" fillId="0" borderId="0" xfId="0" applyNumberFormat="1" applyFont="1"/>
    <xf numFmtId="165" fontId="5" fillId="0" borderId="0" xfId="0" applyNumberFormat="1" applyFont="1"/>
    <xf numFmtId="9" fontId="5" fillId="0" borderId="0" xfId="0" applyNumberFormat="1" applyFont="1"/>
    <xf numFmtId="0" fontId="43" fillId="0" borderId="0" xfId="0" applyFont="1"/>
    <xf numFmtId="3" fontId="8" fillId="0" borderId="0" xfId="0" applyNumberFormat="1" applyFont="1"/>
    <xf numFmtId="0" fontId="16" fillId="0" borderId="0" xfId="0" applyFont="1"/>
    <xf numFmtId="0" fontId="13" fillId="6" borderId="0" xfId="0" applyFont="1" applyFill="1"/>
    <xf numFmtId="0" fontId="13" fillId="6" borderId="0" xfId="0" applyFont="1" applyFill="1" applyAlignment="1">
      <alignment horizontal="center"/>
    </xf>
    <xf numFmtId="175" fontId="1" fillId="3" borderId="0" xfId="0" applyNumberFormat="1" applyFont="1" applyFill="1"/>
    <xf numFmtId="175" fontId="1" fillId="3" borderId="54" xfId="0" applyNumberFormat="1" applyFont="1" applyFill="1" applyBorder="1"/>
    <xf numFmtId="175" fontId="45" fillId="8" borderId="0" xfId="0" applyNumberFormat="1" applyFont="1" applyFill="1"/>
    <xf numFmtId="175" fontId="45" fillId="8" borderId="5" xfId="0" applyNumberFormat="1" applyFont="1" applyFill="1" applyBorder="1"/>
    <xf numFmtId="175" fontId="6" fillId="8" borderId="58" xfId="0" applyNumberFormat="1" applyFont="1" applyFill="1" applyBorder="1"/>
    <xf numFmtId="175" fontId="6" fillId="8" borderId="56" xfId="0" applyNumberFormat="1" applyFont="1" applyFill="1" applyBorder="1"/>
    <xf numFmtId="175" fontId="6" fillId="3" borderId="56" xfId="0" applyNumberFormat="1" applyFont="1" applyFill="1" applyBorder="1"/>
    <xf numFmtId="175" fontId="6" fillId="3" borderId="57" xfId="0" applyNumberFormat="1" applyFont="1" applyFill="1" applyBorder="1"/>
    <xf numFmtId="175" fontId="7" fillId="0" borderId="5" xfId="0" applyNumberFormat="1" applyFont="1" applyBorder="1"/>
    <xf numFmtId="175" fontId="7" fillId="0" borderId="0" xfId="0" applyNumberFormat="1" applyFont="1"/>
    <xf numFmtId="3" fontId="7" fillId="0" borderId="5" xfId="0" applyNumberFormat="1" applyFont="1" applyBorder="1" applyAlignment="1">
      <alignment vertical="center"/>
    </xf>
    <xf numFmtId="3" fontId="7" fillId="0" borderId="0" xfId="0" applyNumberFormat="1" applyFont="1" applyAlignment="1">
      <alignment vertical="center"/>
    </xf>
    <xf numFmtId="3" fontId="7" fillId="0" borderId="6" xfId="0" applyNumberFormat="1" applyFont="1" applyBorder="1" applyAlignment="1">
      <alignment vertical="center"/>
    </xf>
    <xf numFmtId="3" fontId="6" fillId="0" borderId="5" xfId="0" applyNumberFormat="1" applyFont="1" applyBorder="1"/>
    <xf numFmtId="3" fontId="8" fillId="0" borderId="5" xfId="0" applyNumberFormat="1" applyFont="1" applyBorder="1"/>
    <xf numFmtId="1" fontId="2" fillId="0" borderId="0" xfId="0" applyNumberFormat="1" applyFont="1"/>
    <xf numFmtId="3" fontId="11" fillId="3" borderId="0" xfId="0" applyNumberFormat="1" applyFont="1" applyFill="1"/>
    <xf numFmtId="1" fontId="8" fillId="0" borderId="5" xfId="0" applyNumberFormat="1" applyFont="1" applyBorder="1"/>
    <xf numFmtId="175" fontId="6" fillId="3" borderId="0" xfId="0" applyNumberFormat="1" applyFont="1" applyFill="1"/>
    <xf numFmtId="175" fontId="6" fillId="3" borderId="54" xfId="0" applyNumberFormat="1" applyFont="1" applyFill="1" applyBorder="1"/>
    <xf numFmtId="3" fontId="6" fillId="0" borderId="25" xfId="0" applyNumberFormat="1" applyFont="1" applyBorder="1"/>
    <xf numFmtId="3" fontId="6" fillId="3" borderId="25" xfId="0" applyNumberFormat="1" applyFont="1" applyFill="1" applyBorder="1"/>
    <xf numFmtId="0" fontId="6" fillId="0" borderId="25" xfId="0" applyFont="1" applyBorder="1"/>
    <xf numFmtId="164" fontId="5" fillId="0" borderId="0" xfId="0" applyNumberFormat="1" applyFont="1"/>
    <xf numFmtId="0" fontId="6" fillId="0" borderId="25" xfId="0" applyFont="1" applyBorder="1" applyAlignment="1">
      <alignment vertical="center"/>
    </xf>
    <xf numFmtId="165" fontId="46" fillId="9" borderId="21" xfId="2" applyNumberFormat="1" applyFont="1" applyFill="1" applyBorder="1"/>
    <xf numFmtId="165" fontId="46" fillId="9" borderId="59" xfId="2" applyNumberFormat="1" applyFont="1" applyFill="1" applyBorder="1"/>
    <xf numFmtId="0" fontId="1" fillId="0" borderId="60" xfId="0" applyFont="1" applyBorder="1"/>
    <xf numFmtId="0" fontId="1" fillId="0" borderId="62" xfId="0" applyFont="1" applyBorder="1"/>
    <xf numFmtId="1" fontId="1" fillId="0" borderId="5" xfId="0" applyNumberFormat="1" applyFont="1" applyBorder="1"/>
    <xf numFmtId="0" fontId="6" fillId="0" borderId="64" xfId="0" applyFont="1" applyBorder="1"/>
    <xf numFmtId="0" fontId="1" fillId="0" borderId="67" xfId="0" applyFont="1" applyBorder="1"/>
    <xf numFmtId="0" fontId="21" fillId="0" borderId="0" xfId="0" applyFont="1" applyAlignment="1">
      <alignment horizontal="center"/>
    </xf>
    <xf numFmtId="0" fontId="25" fillId="0" borderId="0" xfId="0" applyFont="1"/>
    <xf numFmtId="14" fontId="9" fillId="0" borderId="0" xfId="0" applyNumberFormat="1" applyFont="1" applyAlignment="1">
      <alignment horizontal="left" vertical="top"/>
    </xf>
    <xf numFmtId="14" fontId="9" fillId="0" borderId="0" xfId="0" applyNumberFormat="1" applyFont="1"/>
    <xf numFmtId="14" fontId="28" fillId="0" borderId="0" xfId="0" applyNumberFormat="1" applyFont="1" applyAlignment="1">
      <alignment vertical="center"/>
    </xf>
    <xf numFmtId="2" fontId="7" fillId="0" borderId="0" xfId="0" applyNumberFormat="1" applyFont="1" applyAlignment="1">
      <alignment horizontal="right" vertical="center"/>
    </xf>
    <xf numFmtId="2" fontId="7" fillId="0" borderId="0" xfId="0" applyNumberFormat="1" applyFont="1" applyAlignment="1">
      <alignment horizontal="right"/>
    </xf>
    <xf numFmtId="2" fontId="7" fillId="0" borderId="0" xfId="0" applyNumberFormat="1" applyFont="1" applyAlignment="1">
      <alignment vertical="center"/>
    </xf>
    <xf numFmtId="165" fontId="11" fillId="0" borderId="0" xfId="0" applyNumberFormat="1" applyFont="1" applyAlignment="1">
      <alignment horizontal="right"/>
    </xf>
    <xf numFmtId="0" fontId="13" fillId="8" borderId="0" xfId="0" applyFont="1" applyFill="1" applyAlignment="1">
      <alignment horizontal="right" vertical="center"/>
    </xf>
    <xf numFmtId="0" fontId="13" fillId="8" borderId="0" xfId="0" applyFont="1" applyFill="1" applyAlignment="1">
      <alignment horizontal="center" vertical="center"/>
    </xf>
    <xf numFmtId="0" fontId="6" fillId="0" borderId="0" xfId="0" applyFont="1" applyAlignment="1">
      <alignment horizontal="center" vertical="center"/>
    </xf>
    <xf numFmtId="0" fontId="1" fillId="0" borderId="45" xfId="0" applyFont="1" applyBorder="1" applyAlignment="1">
      <alignment horizontal="left"/>
    </xf>
    <xf numFmtId="0" fontId="1" fillId="0" borderId="34" xfId="0" applyFont="1" applyBorder="1" applyAlignment="1">
      <alignment horizontal="left"/>
    </xf>
    <xf numFmtId="1" fontId="11" fillId="3" borderId="0" xfId="0" applyNumberFormat="1" applyFont="1" applyFill="1"/>
    <xf numFmtId="3" fontId="13" fillId="3" borderId="0" xfId="0" applyNumberFormat="1" applyFont="1" applyFill="1"/>
    <xf numFmtId="0" fontId="11" fillId="3" borderId="0" xfId="0" applyFont="1" applyFill="1"/>
    <xf numFmtId="3" fontId="48" fillId="0" borderId="5" xfId="0" applyNumberFormat="1" applyFont="1" applyBorder="1"/>
    <xf numFmtId="3" fontId="48" fillId="0" borderId="0" xfId="0" applyNumberFormat="1" applyFont="1"/>
    <xf numFmtId="3" fontId="19" fillId="0" borderId="22" xfId="0" applyNumberFormat="1" applyFont="1" applyBorder="1"/>
    <xf numFmtId="1" fontId="49" fillId="0" borderId="7" xfId="0" applyNumberFormat="1" applyFont="1" applyBorder="1"/>
    <xf numFmtId="1" fontId="49" fillId="0" borderId="0" xfId="0" applyNumberFormat="1" applyFont="1"/>
    <xf numFmtId="0" fontId="49" fillId="0" borderId="5" xfId="0" applyFont="1" applyBorder="1"/>
    <xf numFmtId="1" fontId="48" fillId="0" borderId="5" xfId="0" applyNumberFormat="1" applyFont="1" applyBorder="1"/>
    <xf numFmtId="1" fontId="48" fillId="0" borderId="0" xfId="0" applyNumberFormat="1" applyFont="1"/>
    <xf numFmtId="3" fontId="50" fillId="0" borderId="22" xfId="0" applyNumberFormat="1" applyFont="1" applyBorder="1"/>
    <xf numFmtId="3" fontId="50" fillId="0" borderId="3" xfId="0" applyNumberFormat="1" applyFont="1" applyBorder="1"/>
    <xf numFmtId="2" fontId="2" fillId="0" borderId="0" xfId="0" applyNumberFormat="1" applyFont="1"/>
    <xf numFmtId="2" fontId="48" fillId="0" borderId="0" xfId="0" applyNumberFormat="1" applyFont="1"/>
    <xf numFmtId="174" fontId="1" fillId="3" borderId="0" xfId="0" applyNumberFormat="1" applyFont="1" applyFill="1"/>
    <xf numFmtId="174" fontId="1" fillId="3" borderId="54" xfId="0" applyNumberFormat="1" applyFont="1" applyFill="1" applyBorder="1"/>
    <xf numFmtId="165" fontId="5" fillId="0" borderId="5" xfId="0" applyNumberFormat="1" applyFont="1" applyBorder="1"/>
    <xf numFmtId="3" fontId="8" fillId="3" borderId="0" xfId="0" applyNumberFormat="1" applyFont="1" applyFill="1"/>
    <xf numFmtId="0" fontId="6" fillId="0" borderId="20" xfId="0" applyFont="1" applyBorder="1"/>
    <xf numFmtId="3" fontId="11" fillId="3" borderId="20" xfId="0" applyNumberFormat="1" applyFont="1" applyFill="1" applyBorder="1"/>
    <xf numFmtId="0" fontId="6" fillId="0" borderId="70" xfId="0" applyFont="1" applyBorder="1"/>
    <xf numFmtId="3" fontId="13" fillId="3" borderId="20" xfId="0" applyNumberFormat="1" applyFont="1" applyFill="1" applyBorder="1"/>
    <xf numFmtId="3" fontId="13" fillId="0" borderId="20" xfId="0" applyNumberFormat="1" applyFont="1" applyBorder="1"/>
    <xf numFmtId="3" fontId="6" fillId="0" borderId="20" xfId="0" applyNumberFormat="1" applyFont="1" applyBorder="1"/>
    <xf numFmtId="3" fontId="6" fillId="0" borderId="70" xfId="0" applyNumberFormat="1" applyFont="1" applyBorder="1"/>
    <xf numFmtId="3" fontId="8" fillId="0" borderId="23" xfId="0" applyNumberFormat="1" applyFont="1" applyBorder="1"/>
    <xf numFmtId="0" fontId="1" fillId="0" borderId="23" xfId="0" applyFont="1" applyBorder="1"/>
    <xf numFmtId="3" fontId="13" fillId="0" borderId="18" xfId="0" applyNumberFormat="1" applyFont="1" applyBorder="1"/>
    <xf numFmtId="1" fontId="8" fillId="0" borderId="23" xfId="0" applyNumberFormat="1" applyFont="1" applyBorder="1"/>
    <xf numFmtId="3" fontId="6" fillId="0" borderId="18" xfId="0" applyNumberFormat="1" applyFont="1" applyBorder="1"/>
    <xf numFmtId="3" fontId="6" fillId="0" borderId="71" xfId="0" applyNumberFormat="1" applyFont="1" applyBorder="1"/>
    <xf numFmtId="165" fontId="5" fillId="0" borderId="23" xfId="0" applyNumberFormat="1" applyFont="1" applyBorder="1"/>
    <xf numFmtId="3" fontId="1" fillId="0" borderId="23" xfId="0" applyNumberFormat="1" applyFont="1" applyBorder="1"/>
    <xf numFmtId="9" fontId="5" fillId="0" borderId="23" xfId="0" applyNumberFormat="1" applyFont="1" applyBorder="1"/>
    <xf numFmtId="0" fontId="6" fillId="0" borderId="66" xfId="0" applyFont="1" applyBorder="1"/>
    <xf numFmtId="3" fontId="13" fillId="0" borderId="66" xfId="0" applyNumberFormat="1" applyFont="1" applyBorder="1"/>
    <xf numFmtId="3" fontId="13" fillId="3" borderId="66" xfId="0" applyNumberFormat="1" applyFont="1" applyFill="1" applyBorder="1"/>
    <xf numFmtId="3" fontId="13" fillId="0" borderId="25" xfId="0" applyNumberFormat="1" applyFont="1" applyBorder="1"/>
    <xf numFmtId="3" fontId="13" fillId="3" borderId="25" xfId="0" applyNumberFormat="1" applyFont="1" applyFill="1" applyBorder="1"/>
    <xf numFmtId="1" fontId="6" fillId="0" borderId="5" xfId="0" applyNumberFormat="1" applyFont="1" applyBorder="1"/>
    <xf numFmtId="0" fontId="6" fillId="0" borderId="73" xfId="0" applyFont="1" applyBorder="1"/>
    <xf numFmtId="3" fontId="6" fillId="0" borderId="72" xfId="0" applyNumberFormat="1" applyFont="1" applyBorder="1"/>
    <xf numFmtId="1" fontId="33" fillId="0" borderId="72" xfId="0" applyNumberFormat="1" applyFont="1" applyBorder="1"/>
    <xf numFmtId="176" fontId="1" fillId="0" borderId="0" xfId="0" applyNumberFormat="1" applyFont="1"/>
    <xf numFmtId="0" fontId="51" fillId="0" borderId="0" xfId="0" applyFont="1"/>
    <xf numFmtId="0" fontId="52" fillId="0" borderId="0" xfId="0" applyFont="1" applyAlignment="1">
      <alignment vertical="center"/>
    </xf>
    <xf numFmtId="176" fontId="5" fillId="0" borderId="0" xfId="0" applyNumberFormat="1" applyFont="1"/>
    <xf numFmtId="0" fontId="6" fillId="6" borderId="1" xfId="0" applyFont="1" applyFill="1" applyBorder="1" applyAlignment="1">
      <alignment vertical="center"/>
    </xf>
    <xf numFmtId="3" fontId="13" fillId="3" borderId="70" xfId="0" applyNumberFormat="1" applyFont="1" applyFill="1" applyBorder="1"/>
    <xf numFmtId="0" fontId="53" fillId="0" borderId="0" xfId="0" applyFont="1"/>
    <xf numFmtId="0" fontId="3" fillId="0" borderId="0" xfId="0" applyFont="1"/>
    <xf numFmtId="0" fontId="9" fillId="0" borderId="0" xfId="0" applyFont="1" applyAlignment="1">
      <alignment vertical="center"/>
    </xf>
    <xf numFmtId="0" fontId="8" fillId="0" borderId="5" xfId="0" applyFont="1" applyBorder="1"/>
    <xf numFmtId="176" fontId="5" fillId="0" borderId="5" xfId="0" applyNumberFormat="1" applyFont="1" applyBorder="1"/>
    <xf numFmtId="3" fontId="13" fillId="0" borderId="72" xfId="0" applyNumberFormat="1" applyFont="1" applyBorder="1"/>
    <xf numFmtId="3" fontId="1" fillId="0" borderId="5" xfId="0" applyNumberFormat="1" applyFont="1" applyBorder="1"/>
    <xf numFmtId="0" fontId="6" fillId="0" borderId="72" xfId="0" applyFont="1" applyBorder="1"/>
    <xf numFmtId="0" fontId="1" fillId="0" borderId="35" xfId="0" applyFont="1" applyBorder="1"/>
    <xf numFmtId="164" fontId="7" fillId="0" borderId="36" xfId="0" applyNumberFormat="1" applyFont="1" applyBorder="1"/>
    <xf numFmtId="164" fontId="7" fillId="0" borderId="37" xfId="0" applyNumberFormat="1" applyFont="1" applyBorder="1"/>
    <xf numFmtId="0" fontId="1" fillId="0" borderId="38" xfId="0" applyFont="1" applyBorder="1"/>
    <xf numFmtId="164" fontId="7" fillId="0" borderId="13" xfId="0" applyNumberFormat="1" applyFont="1" applyBorder="1"/>
    <xf numFmtId="164" fontId="7" fillId="0" borderId="39" xfId="0" applyNumberFormat="1" applyFont="1" applyBorder="1"/>
    <xf numFmtId="0" fontId="1" fillId="0" borderId="40" xfId="0" applyFont="1" applyBorder="1"/>
    <xf numFmtId="164" fontId="7" fillId="0" borderId="41" xfId="0" applyNumberFormat="1" applyFont="1" applyBorder="1"/>
    <xf numFmtId="164" fontId="7" fillId="0" borderId="42" xfId="0" applyNumberFormat="1" applyFont="1" applyBorder="1"/>
    <xf numFmtId="0" fontId="54" fillId="0" borderId="0" xfId="0" applyFont="1" applyAlignment="1">
      <alignment horizontal="right" vertical="top"/>
    </xf>
    <xf numFmtId="0" fontId="54" fillId="0" borderId="33" xfId="0" applyFont="1" applyBorder="1" applyAlignment="1">
      <alignment horizontal="left" vertical="top"/>
    </xf>
    <xf numFmtId="0" fontId="54" fillId="0" borderId="33" xfId="0" applyFont="1" applyBorder="1" applyAlignment="1">
      <alignment horizontal="right" vertical="top"/>
    </xf>
    <xf numFmtId="0" fontId="6" fillId="7" borderId="0" xfId="0" applyFont="1" applyFill="1" applyAlignment="1">
      <alignment horizontal="left" vertical="top"/>
    </xf>
    <xf numFmtId="0" fontId="54" fillId="0" borderId="3" xfId="0" applyFont="1" applyBorder="1" applyAlignment="1">
      <alignment horizontal="left" vertical="top"/>
    </xf>
    <xf numFmtId="0" fontId="54" fillId="0" borderId="4" xfId="0" applyFont="1" applyBorder="1" applyAlignment="1">
      <alignment horizontal="left" vertical="top"/>
    </xf>
    <xf numFmtId="2" fontId="6" fillId="6" borderId="0" xfId="0" applyNumberFormat="1" applyFont="1" applyFill="1"/>
    <xf numFmtId="10" fontId="6" fillId="6" borderId="0" xfId="0" applyNumberFormat="1" applyFont="1" applyFill="1"/>
    <xf numFmtId="0" fontId="1" fillId="0" borderId="21" xfId="0" applyFont="1" applyBorder="1"/>
    <xf numFmtId="164" fontId="8" fillId="0" borderId="21" xfId="0" applyNumberFormat="1" applyFont="1" applyBorder="1"/>
    <xf numFmtId="2" fontId="1" fillId="0" borderId="21" xfId="0" applyNumberFormat="1" applyFont="1" applyBorder="1"/>
    <xf numFmtId="172" fontId="1" fillId="0" borderId="21" xfId="0" applyNumberFormat="1" applyFont="1" applyBorder="1"/>
    <xf numFmtId="10" fontId="7" fillId="0" borderId="21" xfId="0" applyNumberFormat="1" applyFont="1" applyBorder="1"/>
    <xf numFmtId="0" fontId="55" fillId="0" borderId="28" xfId="0" applyFont="1" applyBorder="1" applyAlignment="1">
      <alignment horizontal="left" vertical="top"/>
    </xf>
    <xf numFmtId="0" fontId="24" fillId="2" borderId="28" xfId="0" applyFont="1" applyFill="1" applyBorder="1" applyAlignment="1">
      <alignment horizontal="right" vertical="top"/>
    </xf>
    <xf numFmtId="0" fontId="55" fillId="0" borderId="0" xfId="0" applyFont="1" applyAlignment="1">
      <alignment horizontal="left" vertical="top"/>
    </xf>
    <xf numFmtId="167" fontId="24" fillId="2" borderId="28" xfId="0" applyNumberFormat="1" applyFont="1" applyFill="1" applyBorder="1" applyAlignment="1">
      <alignment horizontal="right" vertical="top"/>
    </xf>
    <xf numFmtId="0" fontId="55" fillId="0" borderId="0" xfId="0" applyFont="1" applyAlignment="1">
      <alignment horizontal="right" vertical="top"/>
    </xf>
    <xf numFmtId="10" fontId="24" fillId="2" borderId="28" xfId="0" applyNumberFormat="1" applyFont="1" applyFill="1" applyBorder="1" applyAlignment="1">
      <alignment horizontal="right" vertical="top"/>
    </xf>
    <xf numFmtId="0" fontId="7" fillId="0" borderId="21" xfId="0" applyFont="1" applyBorder="1"/>
    <xf numFmtId="0" fontId="1" fillId="0" borderId="53" xfId="0" applyFont="1" applyBorder="1"/>
    <xf numFmtId="0" fontId="6" fillId="0" borderId="53" xfId="0" applyFont="1" applyBorder="1"/>
    <xf numFmtId="0" fontId="57" fillId="0" borderId="0" xfId="0" applyFont="1"/>
    <xf numFmtId="174" fontId="58" fillId="8" borderId="5" xfId="0" applyNumberFormat="1" applyFont="1" applyFill="1" applyBorder="1" applyAlignment="1">
      <alignment horizontal="right"/>
    </xf>
    <xf numFmtId="165" fontId="57" fillId="8" borderId="0" xfId="2" applyNumberFormat="1" applyFont="1" applyFill="1" applyBorder="1"/>
    <xf numFmtId="165" fontId="57" fillId="3" borderId="0" xfId="2" applyNumberFormat="1" applyFont="1" applyFill="1" applyBorder="1"/>
    <xf numFmtId="174" fontId="1" fillId="8" borderId="5" xfId="0" applyNumberFormat="1" applyFont="1" applyFill="1" applyBorder="1"/>
    <xf numFmtId="174" fontId="1" fillId="8" borderId="0" xfId="0" applyNumberFormat="1" applyFont="1" applyFill="1"/>
    <xf numFmtId="0" fontId="52" fillId="0" borderId="0" xfId="0" applyFont="1"/>
    <xf numFmtId="165" fontId="59" fillId="10" borderId="5" xfId="3" applyNumberFormat="1" applyFont="1" applyFill="1" applyBorder="1" applyAlignment="1">
      <alignment horizontal="center" vertical="center" wrapText="1"/>
    </xf>
    <xf numFmtId="165" fontId="59" fillId="10" borderId="0" xfId="3" applyNumberFormat="1" applyFont="1" applyFill="1" applyAlignment="1">
      <alignment horizontal="center" vertical="center" wrapText="1"/>
    </xf>
    <xf numFmtId="165" fontId="60" fillId="9" borderId="21" xfId="2" applyNumberFormat="1" applyFont="1" applyFill="1" applyBorder="1"/>
    <xf numFmtId="165" fontId="57" fillId="3" borderId="54" xfId="2" applyNumberFormat="1" applyFont="1" applyFill="1" applyBorder="1"/>
    <xf numFmtId="0" fontId="6" fillId="0" borderId="55" xfId="0" applyFont="1" applyBorder="1"/>
    <xf numFmtId="0" fontId="1" fillId="0" borderId="56" xfId="0" applyFont="1" applyBorder="1"/>
    <xf numFmtId="0" fontId="57" fillId="0" borderId="53" xfId="0" applyFont="1" applyBorder="1"/>
    <xf numFmtId="165" fontId="58" fillId="3" borderId="0" xfId="2" applyNumberFormat="1" applyFont="1" applyFill="1" applyBorder="1" applyAlignment="1">
      <alignment horizontal="right"/>
    </xf>
    <xf numFmtId="165" fontId="58" fillId="3" borderId="54" xfId="2" applyNumberFormat="1" applyFont="1" applyFill="1" applyBorder="1" applyAlignment="1">
      <alignment horizontal="right"/>
    </xf>
    <xf numFmtId="165" fontId="58" fillId="8" borderId="5" xfId="2" applyNumberFormat="1" applyFont="1" applyFill="1" applyBorder="1" applyAlignment="1">
      <alignment horizontal="right"/>
    </xf>
    <xf numFmtId="10" fontId="6" fillId="0" borderId="4" xfId="0" applyNumberFormat="1" applyFont="1" applyBorder="1"/>
    <xf numFmtId="164" fontId="6" fillId="5" borderId="0" xfId="0" applyNumberFormat="1" applyFont="1" applyFill="1" applyAlignment="1">
      <alignment vertical="center"/>
    </xf>
    <xf numFmtId="14" fontId="1" fillId="3" borderId="2" xfId="0" applyNumberFormat="1" applyFont="1" applyFill="1" applyBorder="1"/>
    <xf numFmtId="0" fontId="6" fillId="3" borderId="2" xfId="0" applyFont="1" applyFill="1" applyBorder="1"/>
    <xf numFmtId="0" fontId="6" fillId="0" borderId="2" xfId="0" applyFont="1" applyBorder="1" applyAlignment="1">
      <alignment vertical="center"/>
    </xf>
    <xf numFmtId="170" fontId="9" fillId="0" borderId="32" xfId="0" applyNumberFormat="1" applyFont="1" applyBorder="1" applyAlignment="1">
      <alignment vertical="center"/>
    </xf>
    <xf numFmtId="170" fontId="9" fillId="0" borderId="20" xfId="0" applyNumberFormat="1" applyFont="1" applyBorder="1" applyAlignment="1">
      <alignment vertical="center"/>
    </xf>
    <xf numFmtId="4" fontId="25" fillId="0" borderId="0" xfId="0" applyNumberFormat="1" applyFont="1"/>
    <xf numFmtId="168" fontId="1" fillId="0" borderId="5" xfId="0" applyNumberFormat="1" applyFont="1" applyBorder="1"/>
    <xf numFmtId="164" fontId="9" fillId="0" borderId="5" xfId="0" applyNumberFormat="1" applyFont="1" applyBorder="1" applyAlignment="1">
      <alignment vertical="center"/>
    </xf>
    <xf numFmtId="164" fontId="9" fillId="0" borderId="0" xfId="0" applyNumberFormat="1" applyFont="1" applyAlignment="1">
      <alignment vertical="center"/>
    </xf>
    <xf numFmtId="164" fontId="11" fillId="0" borderId="0" xfId="0" applyNumberFormat="1" applyFont="1" applyAlignment="1">
      <alignment vertical="center"/>
    </xf>
    <xf numFmtId="164" fontId="1" fillId="0" borderId="5" xfId="0" applyNumberFormat="1" applyFont="1" applyBorder="1"/>
    <xf numFmtId="165" fontId="1" fillId="0" borderId="7" xfId="0" applyNumberFormat="1" applyFont="1" applyBorder="1"/>
    <xf numFmtId="165" fontId="1" fillId="0" borderId="2" xfId="0" applyNumberFormat="1" applyFont="1" applyBorder="1"/>
    <xf numFmtId="164" fontId="1" fillId="11" borderId="0" xfId="0" applyNumberFormat="1" applyFont="1" applyFill="1"/>
    <xf numFmtId="168" fontId="1" fillId="11" borderId="0" xfId="0" applyNumberFormat="1" applyFont="1" applyFill="1"/>
    <xf numFmtId="0" fontId="34" fillId="12" borderId="0" xfId="0" applyFont="1" applyFill="1" applyAlignment="1">
      <alignment vertical="center"/>
    </xf>
    <xf numFmtId="0" fontId="61" fillId="12" borderId="0" xfId="0" applyFont="1" applyFill="1" applyAlignment="1">
      <alignment vertical="center"/>
    </xf>
    <xf numFmtId="0" fontId="61" fillId="12" borderId="0" xfId="0" applyFont="1" applyFill="1"/>
    <xf numFmtId="0" fontId="62" fillId="12" borderId="0" xfId="0" applyFont="1" applyFill="1"/>
    <xf numFmtId="0" fontId="28" fillId="0" borderId="0" xfId="0" applyFont="1"/>
    <xf numFmtId="0" fontId="28" fillId="0" borderId="0" xfId="0" applyFont="1" applyAlignment="1">
      <alignment horizontal="center"/>
    </xf>
    <xf numFmtId="0" fontId="54" fillId="0" borderId="0" xfId="0" applyFont="1" applyAlignment="1">
      <alignment horizontal="center"/>
    </xf>
    <xf numFmtId="37" fontId="28" fillId="0" borderId="0" xfId="0" applyNumberFormat="1" applyFont="1"/>
    <xf numFmtId="1" fontId="28" fillId="0" borderId="0" xfId="0" applyNumberFormat="1" applyFont="1"/>
    <xf numFmtId="0" fontId="38" fillId="0" borderId="0" xfId="0" applyFont="1"/>
    <xf numFmtId="3" fontId="33" fillId="6" borderId="0" xfId="0" applyNumberFormat="1" applyFont="1" applyFill="1"/>
    <xf numFmtId="0" fontId="1" fillId="0" borderId="75" xfId="0" applyFont="1" applyBorder="1"/>
    <xf numFmtId="0" fontId="7" fillId="0" borderId="75" xfId="0" applyFont="1" applyBorder="1"/>
    <xf numFmtId="164" fontId="8" fillId="0" borderId="75" xfId="0" applyNumberFormat="1" applyFont="1" applyBorder="1"/>
    <xf numFmtId="164" fontId="1" fillId="0" borderId="75" xfId="0" applyNumberFormat="1" applyFont="1" applyBorder="1"/>
    <xf numFmtId="170" fontId="1" fillId="0" borderId="75" xfId="0" applyNumberFormat="1" applyFont="1" applyBorder="1"/>
    <xf numFmtId="170" fontId="8" fillId="0" borderId="75" xfId="0" applyNumberFormat="1" applyFont="1" applyBorder="1"/>
    <xf numFmtId="0" fontId="28" fillId="0" borderId="75" xfId="0" applyFont="1" applyBorder="1" applyAlignment="1">
      <alignment horizontal="left" vertical="top"/>
    </xf>
    <xf numFmtId="168" fontId="1" fillId="0" borderId="75" xfId="0" applyNumberFormat="1" applyFont="1" applyBorder="1"/>
    <xf numFmtId="177" fontId="1" fillId="0" borderId="75" xfId="0" applyNumberFormat="1" applyFont="1" applyBorder="1"/>
    <xf numFmtId="2" fontId="7" fillId="0" borderId="21" xfId="0" applyNumberFormat="1" applyFont="1" applyBorder="1"/>
    <xf numFmtId="169" fontId="1" fillId="0" borderId="0" xfId="0" applyNumberFormat="1" applyFont="1" applyAlignment="1">
      <alignment horizontal="right" vertical="center"/>
    </xf>
    <xf numFmtId="164" fontId="1" fillId="0" borderId="0" xfId="0" applyNumberFormat="1" applyFont="1" applyAlignment="1">
      <alignment horizontal="right" vertical="center"/>
    </xf>
    <xf numFmtId="3" fontId="11" fillId="3" borderId="61" xfId="2" applyNumberFormat="1" applyFont="1" applyFill="1" applyBorder="1"/>
    <xf numFmtId="3" fontId="11" fillId="3" borderId="0" xfId="2" applyNumberFormat="1" applyFont="1" applyFill="1" applyBorder="1"/>
    <xf numFmtId="3" fontId="11" fillId="3" borderId="63" xfId="2" applyNumberFormat="1" applyFont="1" applyFill="1" applyBorder="1"/>
    <xf numFmtId="3" fontId="6" fillId="0" borderId="22" xfId="0" applyNumberFormat="1" applyFont="1" applyBorder="1"/>
    <xf numFmtId="3" fontId="6" fillId="0" borderId="3" xfId="0" applyNumberFormat="1" applyFont="1" applyBorder="1"/>
    <xf numFmtId="3" fontId="13" fillId="3" borderId="3" xfId="2" applyNumberFormat="1" applyFont="1" applyFill="1" applyBorder="1"/>
    <xf numFmtId="3" fontId="13" fillId="3" borderId="65" xfId="2" applyNumberFormat="1" applyFont="1" applyFill="1" applyBorder="1"/>
    <xf numFmtId="9" fontId="5" fillId="0" borderId="5" xfId="0" applyNumberFormat="1" applyFont="1" applyBorder="1"/>
    <xf numFmtId="0" fontId="13" fillId="6" borderId="0" xfId="0" applyFont="1" applyFill="1" applyAlignment="1">
      <alignment horizontal="right"/>
    </xf>
    <xf numFmtId="9" fontId="7" fillId="0" borderId="5" xfId="0" applyNumberFormat="1" applyFont="1" applyBorder="1"/>
    <xf numFmtId="9" fontId="7" fillId="0" borderId="0" xfId="0" applyNumberFormat="1" applyFont="1"/>
    <xf numFmtId="9" fontId="7" fillId="0" borderId="20" xfId="0" applyNumberFormat="1" applyFont="1" applyBorder="1"/>
    <xf numFmtId="0" fontId="6" fillId="0" borderId="50" xfId="0" applyFont="1" applyBorder="1"/>
    <xf numFmtId="0" fontId="1" fillId="0" borderId="50" xfId="0" applyFont="1" applyBorder="1" applyAlignment="1">
      <alignment wrapText="1"/>
    </xf>
    <xf numFmtId="0" fontId="6" fillId="0" borderId="82" xfId="0" applyFont="1" applyBorder="1"/>
    <xf numFmtId="0" fontId="1" fillId="0" borderId="82" xfId="0" applyFont="1" applyBorder="1"/>
    <xf numFmtId="0" fontId="0" fillId="0" borderId="50" xfId="0" applyBorder="1" applyAlignment="1">
      <alignment vertical="center"/>
    </xf>
    <xf numFmtId="9" fontId="13" fillId="0" borderId="22" xfId="0" applyNumberFormat="1" applyFont="1" applyBorder="1"/>
    <xf numFmtId="9" fontId="13" fillId="0" borderId="3" xfId="0" applyNumberFormat="1" applyFont="1" applyBorder="1"/>
    <xf numFmtId="0" fontId="6" fillId="0" borderId="83" xfId="0" applyFont="1" applyBorder="1"/>
    <xf numFmtId="9" fontId="13" fillId="0" borderId="25" xfId="0" applyNumberFormat="1" applyFont="1" applyBorder="1"/>
    <xf numFmtId="0" fontId="1" fillId="0" borderId="45" xfId="0" applyFont="1" applyBorder="1"/>
    <xf numFmtId="0" fontId="1" fillId="0" borderId="34" xfId="0" applyFont="1" applyBorder="1"/>
    <xf numFmtId="0" fontId="1" fillId="0" borderId="49" xfId="0" applyFont="1" applyBorder="1"/>
    <xf numFmtId="0" fontId="1" fillId="0" borderId="47" xfId="0" applyFont="1" applyBorder="1"/>
    <xf numFmtId="0" fontId="63" fillId="0" borderId="0" xfId="1" applyFont="1"/>
    <xf numFmtId="0" fontId="1" fillId="0" borderId="30" xfId="0" applyFont="1" applyBorder="1"/>
    <xf numFmtId="0" fontId="1" fillId="0" borderId="29" xfId="0" applyFont="1" applyBorder="1"/>
    <xf numFmtId="0" fontId="1" fillId="0" borderId="7" xfId="0" applyFont="1" applyBorder="1" applyAlignment="1">
      <alignment horizontal="left"/>
    </xf>
    <xf numFmtId="0" fontId="1" fillId="0" borderId="2" xfId="0" applyFont="1" applyBorder="1" applyAlignment="1">
      <alignment horizontal="left"/>
    </xf>
    <xf numFmtId="0" fontId="1" fillId="0" borderId="81" xfId="0" applyFont="1" applyBorder="1" applyAlignment="1">
      <alignment horizontal="left"/>
    </xf>
    <xf numFmtId="0" fontId="1" fillId="0" borderId="6" xfId="0" applyFont="1" applyBorder="1" applyAlignment="1">
      <alignment horizontal="left"/>
    </xf>
    <xf numFmtId="0" fontId="1" fillId="0" borderId="1" xfId="0" applyFont="1" applyBorder="1" applyAlignment="1">
      <alignment horizontal="left"/>
    </xf>
    <xf numFmtId="0" fontId="1" fillId="0" borderId="51" xfId="0" applyFont="1" applyBorder="1" applyAlignment="1">
      <alignment horizontal="left"/>
    </xf>
    <xf numFmtId="9" fontId="7" fillId="0" borderId="0" xfId="0" applyNumberFormat="1" applyFont="1" applyAlignment="1">
      <alignment vertical="center"/>
    </xf>
    <xf numFmtId="0" fontId="64" fillId="0" borderId="0" xfId="0" applyFont="1"/>
    <xf numFmtId="165" fontId="1" fillId="0" borderId="0" xfId="0" applyNumberFormat="1" applyFont="1" applyAlignment="1">
      <alignment vertical="center"/>
    </xf>
    <xf numFmtId="165" fontId="1" fillId="3" borderId="0" xfId="0" applyNumberFormat="1" applyFont="1" applyFill="1" applyAlignment="1">
      <alignment vertical="center"/>
    </xf>
    <xf numFmtId="0" fontId="1" fillId="3" borderId="0" xfId="0" applyFont="1" applyFill="1" applyAlignment="1">
      <alignment vertical="center"/>
    </xf>
    <xf numFmtId="2" fontId="1" fillId="0" borderId="0" xfId="0" applyNumberFormat="1" applyFont="1" applyAlignment="1">
      <alignment vertical="center"/>
    </xf>
    <xf numFmtId="2" fontId="1" fillId="3" borderId="0" xfId="0" applyNumberFormat="1" applyFont="1" applyFill="1" applyAlignment="1">
      <alignment vertical="center"/>
    </xf>
    <xf numFmtId="164" fontId="11" fillId="0" borderId="36" xfId="0" applyNumberFormat="1" applyFont="1" applyBorder="1"/>
    <xf numFmtId="164" fontId="11" fillId="0" borderId="13" xfId="0" applyNumberFormat="1" applyFont="1" applyBorder="1"/>
    <xf numFmtId="164" fontId="11" fillId="0" borderId="41" xfId="0" applyNumberFormat="1" applyFont="1" applyBorder="1"/>
    <xf numFmtId="10" fontId="11" fillId="0" borderId="0" xfId="0" applyNumberFormat="1" applyFont="1"/>
    <xf numFmtId="4" fontId="7" fillId="0" borderId="0" xfId="0" applyNumberFormat="1" applyFont="1"/>
    <xf numFmtId="0" fontId="65" fillId="0" borderId="79" xfId="0" applyFont="1" applyBorder="1" applyAlignment="1">
      <alignment vertical="center"/>
    </xf>
    <xf numFmtId="0" fontId="65" fillId="0" borderId="0" xfId="0" applyFont="1"/>
    <xf numFmtId="0" fontId="65" fillId="0" borderId="50" xfId="0" applyFont="1" applyBorder="1"/>
    <xf numFmtId="0" fontId="65" fillId="0" borderId="75" xfId="0" applyFont="1" applyBorder="1" applyAlignment="1">
      <alignment horizontal="right" vertical="center"/>
    </xf>
    <xf numFmtId="2" fontId="13" fillId="0" borderId="75" xfId="0" applyNumberFormat="1" applyFont="1" applyBorder="1" applyAlignment="1">
      <alignment horizontal="center" vertical="center"/>
    </xf>
    <xf numFmtId="0" fontId="66" fillId="0" borderId="0" xfId="0" applyFont="1"/>
    <xf numFmtId="165" fontId="46" fillId="3" borderId="0" xfId="2" applyNumberFormat="1" applyFont="1" applyFill="1" applyBorder="1"/>
    <xf numFmtId="0" fontId="65" fillId="0" borderId="0" xfId="0" applyFont="1" applyAlignment="1">
      <alignment horizontal="right" vertical="center"/>
    </xf>
    <xf numFmtId="2" fontId="13" fillId="0" borderId="0" xfId="0" applyNumberFormat="1" applyFont="1" applyAlignment="1">
      <alignment horizontal="center" vertical="center"/>
    </xf>
    <xf numFmtId="3" fontId="8" fillId="0" borderId="74" xfId="0" applyNumberFormat="1" applyFont="1" applyBorder="1"/>
    <xf numFmtId="3" fontId="8" fillId="0" borderId="61" xfId="0" applyNumberFormat="1" applyFont="1" applyBorder="1"/>
    <xf numFmtId="165" fontId="5" fillId="3" borderId="21" xfId="0" applyNumberFormat="1" applyFont="1" applyFill="1" applyBorder="1"/>
    <xf numFmtId="0" fontId="4" fillId="2" borderId="0" xfId="0" applyFont="1" applyFill="1" applyAlignment="1">
      <alignment horizontal="center" vertical="center"/>
    </xf>
    <xf numFmtId="0" fontId="1" fillId="0" borderId="45" xfId="0" applyFont="1" applyBorder="1" applyAlignment="1">
      <alignment horizontal="left"/>
    </xf>
    <xf numFmtId="0" fontId="1" fillId="0" borderId="34" xfId="0" applyFont="1" applyBorder="1" applyAlignment="1">
      <alignment horizontal="left"/>
    </xf>
    <xf numFmtId="0" fontId="1" fillId="0" borderId="0" xfId="0" applyFont="1" applyAlignment="1">
      <alignment horizontal="center"/>
    </xf>
    <xf numFmtId="0" fontId="1" fillId="0" borderId="48" xfId="0" applyFont="1" applyBorder="1" applyAlignment="1">
      <alignment horizontal="left"/>
    </xf>
    <xf numFmtId="0" fontId="1" fillId="0" borderId="46" xfId="0" applyFont="1" applyBorder="1" applyAlignment="1">
      <alignment horizontal="left"/>
    </xf>
    <xf numFmtId="0" fontId="14" fillId="2" borderId="18" xfId="0" applyFont="1" applyFill="1" applyBorder="1" applyAlignment="1">
      <alignment horizontal="center"/>
    </xf>
    <xf numFmtId="0" fontId="14" fillId="2" borderId="20" xfId="0" applyFont="1" applyFill="1" applyBorder="1" applyAlignment="1">
      <alignment horizontal="center"/>
    </xf>
    <xf numFmtId="0" fontId="14" fillId="2" borderId="19" xfId="0" applyFont="1" applyFill="1" applyBorder="1" applyAlignment="1">
      <alignment horizontal="center"/>
    </xf>
    <xf numFmtId="0" fontId="14" fillId="2" borderId="10" xfId="0" applyFont="1" applyFill="1" applyBorder="1" applyAlignment="1">
      <alignment horizontal="center"/>
    </xf>
    <xf numFmtId="0" fontId="14" fillId="2" borderId="12" xfId="0" applyFont="1" applyFill="1" applyBorder="1" applyAlignment="1">
      <alignment horizontal="center"/>
    </xf>
    <xf numFmtId="0" fontId="14" fillId="2" borderId="11" xfId="0" applyFont="1" applyFill="1" applyBorder="1" applyAlignment="1">
      <alignment horizontal="center"/>
    </xf>
    <xf numFmtId="0" fontId="17" fillId="0" borderId="24" xfId="0" applyFont="1" applyBorder="1" applyAlignment="1">
      <alignment horizontal="left" vertical="center" wrapText="1"/>
    </xf>
    <xf numFmtId="0" fontId="17" fillId="0" borderId="25" xfId="0" applyFont="1" applyBorder="1" applyAlignment="1">
      <alignment horizontal="left" vertical="center" wrapText="1"/>
    </xf>
    <xf numFmtId="0" fontId="17" fillId="0" borderId="26" xfId="0" applyFont="1" applyBorder="1" applyAlignment="1">
      <alignment horizontal="left" vertical="center" wrapText="1"/>
    </xf>
    <xf numFmtId="0" fontId="1" fillId="0" borderId="22" xfId="0" applyFont="1" applyBorder="1" applyAlignment="1">
      <alignment horizontal="left" vertical="center" wrapText="1"/>
    </xf>
    <xf numFmtId="0" fontId="1" fillId="0" borderId="3" xfId="0" applyFont="1" applyBorder="1" applyAlignment="1">
      <alignment horizontal="left" vertical="center" wrapText="1"/>
    </xf>
    <xf numFmtId="0" fontId="1" fillId="0" borderId="52" xfId="0" applyFont="1" applyBorder="1" applyAlignment="1">
      <alignment horizontal="left" vertical="center" wrapText="1"/>
    </xf>
    <xf numFmtId="0" fontId="17" fillId="0" borderId="24" xfId="0" applyFont="1" applyBorder="1" applyAlignment="1">
      <alignment horizontal="left" vertical="center"/>
    </xf>
    <xf numFmtId="0" fontId="17" fillId="0" borderId="25" xfId="0" applyFont="1" applyBorder="1" applyAlignment="1">
      <alignment horizontal="left" vertical="center"/>
    </xf>
    <xf numFmtId="0" fontId="17" fillId="0" borderId="26" xfId="0" applyFont="1" applyBorder="1" applyAlignment="1">
      <alignment horizontal="left" vertical="center"/>
    </xf>
    <xf numFmtId="0" fontId="13" fillId="0" borderId="21" xfId="0" applyFont="1" applyBorder="1" applyAlignment="1">
      <alignment horizontal="center" vertical="center" textRotation="90"/>
    </xf>
    <xf numFmtId="0" fontId="13" fillId="0" borderId="78" xfId="0" applyFont="1" applyBorder="1" applyAlignment="1">
      <alignment horizontal="center" wrapText="1"/>
    </xf>
    <xf numFmtId="0" fontId="10" fillId="2" borderId="9" xfId="0" applyFont="1" applyFill="1" applyBorder="1" applyAlignment="1">
      <alignment horizontal="center"/>
    </xf>
    <xf numFmtId="0" fontId="10" fillId="2" borderId="0" xfId="0" applyFont="1" applyFill="1" applyAlignment="1">
      <alignment horizontal="center"/>
    </xf>
    <xf numFmtId="0" fontId="4" fillId="2" borderId="0" xfId="0" applyFont="1" applyFill="1" applyAlignment="1">
      <alignment horizontal="center"/>
    </xf>
    <xf numFmtId="0" fontId="1" fillId="0" borderId="22" xfId="0" applyFont="1" applyBorder="1" applyAlignment="1">
      <alignment horizontal="left" vertical="top" wrapText="1"/>
    </xf>
    <xf numFmtId="0" fontId="1" fillId="0" borderId="3" xfId="0" applyFont="1" applyBorder="1" applyAlignment="1">
      <alignment horizontal="left" vertical="top" wrapText="1"/>
    </xf>
    <xf numFmtId="0" fontId="1" fillId="0" borderId="52" xfId="0" applyFont="1" applyBorder="1" applyAlignment="1">
      <alignment horizontal="left" vertical="top" wrapText="1"/>
    </xf>
    <xf numFmtId="0" fontId="1" fillId="0" borderId="22" xfId="0" applyFont="1" applyBorder="1" applyAlignment="1">
      <alignment horizontal="left" wrapText="1"/>
    </xf>
    <xf numFmtId="0" fontId="1" fillId="0" borderId="3" xfId="0" applyFont="1" applyBorder="1" applyAlignment="1">
      <alignment horizontal="left" wrapText="1"/>
    </xf>
    <xf numFmtId="0" fontId="1" fillId="0" borderId="52" xfId="0" applyFont="1" applyBorder="1" applyAlignment="1">
      <alignment horizontal="left" wrapText="1"/>
    </xf>
    <xf numFmtId="0" fontId="10" fillId="2" borderId="0" xfId="0" applyFont="1" applyFill="1" applyAlignment="1">
      <alignment horizontal="center" vertical="center"/>
    </xf>
    <xf numFmtId="0" fontId="24" fillId="2" borderId="31" xfId="0" applyFont="1" applyFill="1" applyBorder="1" applyAlignment="1">
      <alignment horizontal="center" vertical="center"/>
    </xf>
    <xf numFmtId="0" fontId="24" fillId="2" borderId="0" xfId="0" applyFont="1" applyFill="1" applyAlignment="1">
      <alignment horizontal="center" vertical="center"/>
    </xf>
    <xf numFmtId="0" fontId="21" fillId="2" borderId="0" xfId="0" applyFont="1" applyFill="1" applyAlignment="1">
      <alignment horizontal="left" vertical="center"/>
    </xf>
    <xf numFmtId="0" fontId="56" fillId="0" borderId="0" xfId="0" applyFont="1" applyAlignment="1">
      <alignment horizontal="center" vertical="center"/>
    </xf>
    <xf numFmtId="0" fontId="26" fillId="2" borderId="43" xfId="0" applyFont="1" applyFill="1" applyBorder="1" applyAlignment="1">
      <alignment horizontal="center" vertical="top"/>
    </xf>
    <xf numFmtId="0" fontId="26" fillId="2" borderId="43" xfId="0" applyFont="1" applyFill="1" applyBorder="1" applyAlignment="1">
      <alignment horizontal="center" vertical="center"/>
    </xf>
    <xf numFmtId="0" fontId="26" fillId="2" borderId="0" xfId="0" applyFont="1" applyFill="1" applyAlignment="1">
      <alignment horizontal="center" vertical="center"/>
    </xf>
    <xf numFmtId="0" fontId="1" fillId="0" borderId="0" xfId="0" applyFont="1" applyBorder="1" applyAlignment="1">
      <alignment horizontal="center" vertical="center"/>
    </xf>
    <xf numFmtId="0" fontId="65" fillId="0" borderId="0" xfId="0" applyFont="1" applyBorder="1" applyAlignment="1">
      <alignment vertical="center"/>
    </xf>
    <xf numFmtId="0" fontId="11" fillId="0" borderId="0" xfId="0" applyFont="1" applyBorder="1" applyAlignment="1">
      <alignment vertical="center" wrapText="1"/>
    </xf>
    <xf numFmtId="0" fontId="11" fillId="0" borderId="21" xfId="0" applyFont="1" applyBorder="1" applyAlignment="1">
      <alignment horizontal="left" vertical="center" wrapText="1"/>
    </xf>
    <xf numFmtId="0" fontId="1" fillId="0" borderId="21" xfId="0" applyFont="1" applyBorder="1" applyAlignment="1">
      <alignment vertical="center"/>
    </xf>
    <xf numFmtId="0" fontId="11" fillId="0" borderId="21" xfId="0" applyFont="1" applyBorder="1" applyAlignment="1">
      <alignment horizontal="left" vertical="center"/>
    </xf>
    <xf numFmtId="0" fontId="1" fillId="0" borderId="21" xfId="0" applyFont="1" applyBorder="1" applyAlignment="1">
      <alignment horizontal="left" vertical="center"/>
    </xf>
    <xf numFmtId="0" fontId="1" fillId="0" borderId="21" xfId="0" applyFont="1" applyBorder="1" applyAlignment="1">
      <alignment horizontal="left"/>
    </xf>
    <xf numFmtId="0" fontId="1" fillId="0" borderId="21" xfId="0" applyFont="1" applyBorder="1" applyAlignment="1">
      <alignment horizontal="left" vertical="center" wrapText="1"/>
    </xf>
    <xf numFmtId="0" fontId="63" fillId="0" borderId="24" xfId="1" applyFont="1" applyBorder="1" applyAlignment="1">
      <alignment horizontal="left" vertical="center" wrapText="1"/>
    </xf>
    <xf numFmtId="0" fontId="63" fillId="0" borderId="25" xfId="1" applyFont="1" applyBorder="1" applyAlignment="1">
      <alignment horizontal="left" vertical="center" wrapText="1"/>
    </xf>
    <xf numFmtId="0" fontId="63" fillId="0" borderId="26" xfId="1" applyFont="1" applyBorder="1" applyAlignment="1">
      <alignment horizontal="left" vertical="center" wrapText="1"/>
    </xf>
    <xf numFmtId="0" fontId="1" fillId="0" borderId="25" xfId="0" applyFont="1" applyBorder="1"/>
    <xf numFmtId="0" fontId="1" fillId="0" borderId="26" xfId="0" applyFont="1" applyBorder="1"/>
    <xf numFmtId="0" fontId="11" fillId="0" borderId="0" xfId="0" applyFont="1" applyAlignment="1">
      <alignment horizontal="left" wrapText="1"/>
    </xf>
    <xf numFmtId="0" fontId="11" fillId="0" borderId="75" xfId="0" applyFont="1" applyBorder="1"/>
    <xf numFmtId="0" fontId="11" fillId="0" borderId="75" xfId="0" applyFont="1" applyBorder="1" applyAlignment="1">
      <alignment vertical="center"/>
    </xf>
    <xf numFmtId="0" fontId="11" fillId="0" borderId="53" xfId="0" applyFont="1" applyBorder="1"/>
    <xf numFmtId="0" fontId="11" fillId="0" borderId="59" xfId="0" applyFont="1" applyBorder="1" applyAlignment="1">
      <alignment horizontal="left" vertical="center"/>
    </xf>
    <xf numFmtId="0" fontId="11" fillId="0" borderId="76" xfId="0" applyFont="1" applyBorder="1" applyAlignment="1">
      <alignment horizontal="left" vertical="center"/>
    </xf>
    <xf numFmtId="0" fontId="11" fillId="0" borderId="67" xfId="0" applyFont="1" applyBorder="1" applyAlignment="1">
      <alignment horizontal="left" vertical="center"/>
    </xf>
    <xf numFmtId="0" fontId="11" fillId="0" borderId="53" xfId="0" applyFont="1" applyBorder="1" applyAlignment="1">
      <alignment vertical="center"/>
    </xf>
    <xf numFmtId="0" fontId="11" fillId="0" borderId="0" xfId="0" applyFont="1" applyAlignment="1">
      <alignment vertical="center"/>
    </xf>
    <xf numFmtId="0" fontId="11" fillId="0" borderId="77" xfId="0" applyFont="1" applyBorder="1"/>
    <xf numFmtId="0" fontId="11" fillId="0" borderId="77" xfId="0" applyFont="1" applyBorder="1" applyAlignment="1">
      <alignment horizontal="left" vertical="center"/>
    </xf>
    <xf numFmtId="0" fontId="11" fillId="0" borderId="78" xfId="0" applyFont="1" applyBorder="1" applyAlignment="1">
      <alignment horizontal="left" vertical="center"/>
    </xf>
    <xf numFmtId="0" fontId="11" fillId="0" borderId="75" xfId="0" applyFont="1" applyBorder="1" applyAlignment="1">
      <alignment horizontal="left" vertical="center"/>
    </xf>
    <xf numFmtId="0" fontId="11" fillId="0" borderId="75" xfId="0" applyFont="1" applyBorder="1" applyAlignment="1">
      <alignment horizontal="left"/>
    </xf>
    <xf numFmtId="0" fontId="11" fillId="0" borderId="53" xfId="0" applyFont="1" applyBorder="1" applyAlignment="1">
      <alignment horizontal="left"/>
    </xf>
    <xf numFmtId="0" fontId="11" fillId="0" borderId="0" xfId="0" applyFont="1" applyAlignment="1">
      <alignment horizontal="left"/>
    </xf>
    <xf numFmtId="0" fontId="11" fillId="0" borderId="79" xfId="0" applyFont="1" applyBorder="1" applyAlignment="1">
      <alignment vertical="center"/>
    </xf>
    <xf numFmtId="0" fontId="11" fillId="0" borderId="79" xfId="0" applyFont="1" applyBorder="1" applyAlignment="1">
      <alignment horizontal="left" vertical="center"/>
    </xf>
    <xf numFmtId="0" fontId="11" fillId="0" borderId="75" xfId="0" applyFont="1" applyBorder="1" applyAlignment="1">
      <alignment horizontal="left" vertical="center"/>
    </xf>
    <xf numFmtId="0" fontId="11" fillId="0" borderId="79" xfId="0" applyFont="1" applyBorder="1"/>
    <xf numFmtId="0" fontId="11" fillId="0" borderId="79" xfId="0" applyFont="1" applyBorder="1" applyAlignment="1">
      <alignment horizontal="left"/>
    </xf>
    <xf numFmtId="0" fontId="11" fillId="0" borderId="75" xfId="0" applyFont="1" applyBorder="1" applyAlignment="1">
      <alignment horizontal="left"/>
    </xf>
    <xf numFmtId="0" fontId="11" fillId="0" borderId="76" xfId="0" applyFont="1" applyBorder="1" applyAlignment="1">
      <alignment vertical="center"/>
    </xf>
    <xf numFmtId="0" fontId="11" fillId="0" borderId="76" xfId="0" applyFont="1" applyBorder="1" applyAlignment="1">
      <alignment horizontal="left" vertical="center" wrapText="1"/>
    </xf>
    <xf numFmtId="0" fontId="11" fillId="0" borderId="67" xfId="0" applyFont="1" applyBorder="1" applyAlignment="1">
      <alignment horizontal="left" vertical="center" wrapText="1"/>
    </xf>
    <xf numFmtId="0" fontId="11" fillId="0" borderId="84" xfId="0" applyFont="1" applyBorder="1" applyAlignment="1">
      <alignment horizontal="left" vertical="center" wrapText="1"/>
    </xf>
    <xf numFmtId="0" fontId="11" fillId="0" borderId="53" xfId="0" applyFont="1" applyBorder="1" applyAlignment="1">
      <alignment vertical="center" wrapText="1"/>
    </xf>
    <xf numFmtId="0" fontId="11" fillId="0" borderId="0" xfId="0" applyFont="1" applyAlignment="1">
      <alignment vertical="center" wrapText="1"/>
    </xf>
    <xf numFmtId="0" fontId="11" fillId="0" borderId="80" xfId="0" applyFont="1" applyBorder="1" applyAlignment="1">
      <alignment vertical="center"/>
    </xf>
    <xf numFmtId="0" fontId="11" fillId="0" borderId="77" xfId="0" applyFont="1" applyBorder="1" applyAlignment="1">
      <alignment horizontal="left" vertical="center" wrapText="1"/>
    </xf>
    <xf numFmtId="0" fontId="11" fillId="0" borderId="78" xfId="0" applyFont="1" applyBorder="1" applyAlignment="1">
      <alignment horizontal="left" vertical="center" wrapText="1"/>
    </xf>
    <xf numFmtId="0" fontId="11" fillId="0" borderId="85" xfId="0" applyFont="1" applyBorder="1" applyAlignment="1">
      <alignment horizontal="left" vertical="center" wrapText="1"/>
    </xf>
    <xf numFmtId="0" fontId="1" fillId="0" borderId="21" xfId="0" applyFont="1" applyBorder="1" applyAlignment="1">
      <alignment horizontal="left" wrapText="1"/>
    </xf>
    <xf numFmtId="0" fontId="11" fillId="0" borderId="0" xfId="0" applyFont="1" applyAlignment="1"/>
    <xf numFmtId="0" fontId="5" fillId="0" borderId="21" xfId="0" applyFont="1" applyBorder="1" applyAlignment="1">
      <alignment vertical="center"/>
    </xf>
    <xf numFmtId="0" fontId="12" fillId="0" borderId="21" xfId="0" applyFont="1" applyBorder="1" applyAlignment="1">
      <alignment vertical="center"/>
    </xf>
    <xf numFmtId="168" fontId="7" fillId="0" borderId="24" xfId="0" applyNumberFormat="1" applyFont="1" applyBorder="1"/>
    <xf numFmtId="0" fontId="11" fillId="0" borderId="86" xfId="0" applyFont="1" applyBorder="1" applyAlignment="1">
      <alignment horizontal="left" vertical="center" wrapText="1"/>
    </xf>
    <xf numFmtId="0" fontId="11" fillId="0" borderId="87" xfId="0" applyFont="1" applyBorder="1" applyAlignment="1">
      <alignment horizontal="left" vertical="center" wrapText="1"/>
    </xf>
    <xf numFmtId="0" fontId="1" fillId="0" borderId="88" xfId="0" applyFont="1" applyBorder="1" applyAlignment="1">
      <alignment horizontal="left" wrapText="1"/>
    </xf>
    <xf numFmtId="0" fontId="1" fillId="0" borderId="88" xfId="0" applyFont="1" applyBorder="1" applyAlignment="1">
      <alignment horizontal="left"/>
    </xf>
    <xf numFmtId="0" fontId="11" fillId="0" borderId="88" xfId="0" applyFont="1" applyBorder="1" applyAlignment="1">
      <alignment horizontal="left" vertical="center"/>
    </xf>
    <xf numFmtId="0" fontId="1" fillId="0" borderId="88" xfId="0" applyFont="1" applyBorder="1" applyAlignment="1">
      <alignment horizontal="left" vertical="center" wrapText="1"/>
    </xf>
    <xf numFmtId="0" fontId="1" fillId="0" borderId="88" xfId="0" applyFont="1" applyBorder="1" applyAlignment="1">
      <alignment horizontal="left" vertical="center"/>
    </xf>
    <xf numFmtId="0" fontId="11" fillId="0" borderId="88" xfId="0" applyFont="1" applyBorder="1" applyAlignment="1">
      <alignment horizontal="left" vertical="center" wrapText="1"/>
    </xf>
    <xf numFmtId="0" fontId="65" fillId="0" borderId="8" xfId="0" applyFont="1" applyBorder="1" applyAlignment="1">
      <alignment horizontal="left" vertical="center"/>
    </xf>
    <xf numFmtId="0" fontId="65" fillId="0" borderId="8" xfId="0" applyFont="1" applyBorder="1" applyAlignment="1">
      <alignment horizontal="left" vertical="center"/>
    </xf>
    <xf numFmtId="0" fontId="20" fillId="0" borderId="89" xfId="0" applyFont="1" applyBorder="1" applyAlignment="1">
      <alignment horizontal="left" vertical="center"/>
    </xf>
    <xf numFmtId="0" fontId="5" fillId="0" borderId="90" xfId="0" applyFont="1" applyBorder="1" applyAlignment="1">
      <alignment horizontal="left" vertical="center"/>
    </xf>
    <xf numFmtId="0" fontId="5" fillId="0" borderId="90" xfId="0" applyFont="1" applyBorder="1" applyAlignment="1">
      <alignment horizontal="left" vertical="center" wrapText="1"/>
    </xf>
    <xf numFmtId="0" fontId="5" fillId="0" borderId="90" xfId="0" applyFont="1" applyBorder="1" applyAlignment="1">
      <alignment vertical="center" wrapText="1"/>
    </xf>
    <xf numFmtId="0" fontId="5" fillId="0" borderId="90" xfId="0" applyFont="1" applyBorder="1" applyAlignment="1">
      <alignment vertical="center"/>
    </xf>
    <xf numFmtId="0" fontId="12" fillId="0" borderId="90" xfId="0" applyFont="1" applyBorder="1" applyAlignment="1">
      <alignment vertical="center"/>
    </xf>
    <xf numFmtId="0" fontId="5" fillId="8" borderId="90" xfId="0" applyFont="1" applyFill="1" applyBorder="1" applyAlignment="1">
      <alignment vertical="center"/>
    </xf>
    <xf numFmtId="0" fontId="1" fillId="0" borderId="79" xfId="0" applyFont="1" applyBorder="1" applyAlignment="1">
      <alignment horizontal="left" vertical="center" wrapText="1"/>
    </xf>
    <xf numFmtId="0" fontId="1" fillId="0" borderId="75" xfId="0" applyFont="1" applyBorder="1" applyAlignment="1">
      <alignment horizontal="left" vertical="center" wrapText="1"/>
    </xf>
    <xf numFmtId="0" fontId="1" fillId="0" borderId="91" xfId="0" applyFont="1" applyBorder="1" applyAlignment="1">
      <alignment horizontal="left" vertical="center" wrapText="1"/>
    </xf>
    <xf numFmtId="0" fontId="0" fillId="0" borderId="0" xfId="0" applyBorder="1"/>
    <xf numFmtId="0" fontId="1" fillId="0" borderId="0" xfId="0" applyFont="1" applyBorder="1"/>
    <xf numFmtId="165" fontId="1" fillId="0" borderId="0" xfId="0" applyNumberFormat="1" applyFont="1" applyBorder="1"/>
    <xf numFmtId="164" fontId="7" fillId="0" borderId="0" xfId="0" applyNumberFormat="1" applyFont="1" applyBorder="1" applyAlignment="1">
      <alignment vertical="center"/>
    </xf>
    <xf numFmtId="0" fontId="0" fillId="0" borderId="0" xfId="0" applyFill="1" applyBorder="1" applyAlignment="1"/>
    <xf numFmtId="0" fontId="0" fillId="0" borderId="68" xfId="0" applyFill="1" applyBorder="1" applyAlignment="1"/>
    <xf numFmtId="0" fontId="47" fillId="0" borderId="69" xfId="0" applyFont="1" applyFill="1" applyBorder="1" applyAlignment="1">
      <alignment horizontal="center"/>
    </xf>
    <xf numFmtId="0" fontId="47" fillId="0" borderId="69" xfId="0" applyFont="1" applyFill="1" applyBorder="1" applyAlignment="1">
      <alignment horizontal="centerContinuous"/>
    </xf>
    <xf numFmtId="0" fontId="12" fillId="0" borderId="86" xfId="0" applyFont="1" applyBorder="1" applyAlignment="1">
      <alignment vertical="center"/>
    </xf>
    <xf numFmtId="0" fontId="65" fillId="0" borderId="92" xfId="0" applyFont="1" applyBorder="1"/>
    <xf numFmtId="0" fontId="5" fillId="0" borderId="84" xfId="0" applyFont="1" applyBorder="1" applyAlignment="1">
      <alignment vertical="center"/>
    </xf>
    <xf numFmtId="0" fontId="5" fillId="0" borderId="59" xfId="0" applyFont="1" applyBorder="1" applyAlignment="1">
      <alignment vertical="center"/>
    </xf>
    <xf numFmtId="0" fontId="1" fillId="0" borderId="59" xfId="0" applyFont="1" applyBorder="1" applyAlignment="1">
      <alignment horizontal="left" vertical="center"/>
    </xf>
    <xf numFmtId="0" fontId="1" fillId="0" borderId="93" xfId="0" applyFont="1" applyBorder="1" applyAlignment="1">
      <alignment horizontal="left" vertical="center"/>
    </xf>
    <xf numFmtId="0" fontId="65" fillId="0" borderId="94" xfId="0" applyFont="1" applyBorder="1" applyAlignment="1">
      <alignment horizontal="left" vertical="center"/>
    </xf>
    <xf numFmtId="0" fontId="11" fillId="0" borderId="21" xfId="0" applyFont="1" applyBorder="1" applyAlignment="1">
      <alignment horizontal="left" vertical="top" wrapText="1"/>
    </xf>
    <xf numFmtId="0" fontId="11" fillId="0" borderId="88" xfId="0" applyFont="1" applyBorder="1" applyAlignment="1">
      <alignment horizontal="left" vertical="top" wrapText="1"/>
    </xf>
    <xf numFmtId="0" fontId="65" fillId="0" borderId="94" xfId="0" applyFont="1" applyBorder="1" applyAlignment="1">
      <alignment vertical="center"/>
    </xf>
    <xf numFmtId="0" fontId="65" fillId="0" borderId="95" xfId="0" applyFont="1" applyBorder="1" applyAlignment="1">
      <alignment vertical="center"/>
    </xf>
    <xf numFmtId="0" fontId="1" fillId="0" borderId="96" xfId="0" applyFont="1" applyBorder="1" applyAlignment="1">
      <alignment vertical="center"/>
    </xf>
    <xf numFmtId="0" fontId="12" fillId="0" borderId="96" xfId="0" applyFont="1" applyBorder="1" applyAlignment="1">
      <alignment vertical="center"/>
    </xf>
    <xf numFmtId="0" fontId="11" fillId="0" borderId="96" xfId="0" applyFont="1" applyBorder="1" applyAlignment="1">
      <alignment horizontal="left" vertical="center" wrapText="1"/>
    </xf>
    <xf numFmtId="0" fontId="11" fillId="0" borderId="97" xfId="0" applyFont="1" applyBorder="1" applyAlignment="1">
      <alignment horizontal="left" vertical="center" wrapText="1"/>
    </xf>
  </cellXfs>
  <cellStyles count="4">
    <cellStyle name="Hyperlink" xfId="1" builtinId="8"/>
    <cellStyle name="Normal" xfId="0" builtinId="0"/>
    <cellStyle name="Normal 7 2" xfId="3" xr:uid="{2D56226E-E460-4E8B-910F-8E570D439F4E}"/>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Valuation Summary</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hi-IN"/>
        </a:p>
      </c:txPr>
    </c:title>
    <c:autoTitleDeleted val="0"/>
    <c:plotArea>
      <c:layout/>
      <c:stockChart>
        <c:ser>
          <c:idx val="0"/>
          <c:order val="0"/>
          <c:tx>
            <c:strRef>
              <c:f>Summary!$I$12</c:f>
              <c:strCache>
                <c:ptCount val="1"/>
                <c:pt idx="0">
                  <c:v>High </c:v>
                </c:pt>
              </c:strCache>
            </c:strRef>
          </c:tx>
          <c:spPr>
            <a:ln w="19050" cap="rnd">
              <a:noFill/>
              <a:round/>
            </a:ln>
            <a:effectLst/>
          </c:spPr>
          <c:marker>
            <c:symbol val="none"/>
          </c:marker>
          <c:dLbls>
            <c:delete val="1"/>
          </c:dLbls>
          <c:cat>
            <c:strRef>
              <c:f>Summary!$J$11:$M$11</c:f>
              <c:strCache>
                <c:ptCount val="4"/>
                <c:pt idx="0">
                  <c:v>Comps</c:v>
                </c:pt>
                <c:pt idx="1">
                  <c:v>DCF</c:v>
                </c:pt>
                <c:pt idx="2">
                  <c:v>52 week hi/lo</c:v>
                </c:pt>
                <c:pt idx="3">
                  <c:v>Consensus</c:v>
                </c:pt>
              </c:strCache>
            </c:strRef>
          </c:cat>
          <c:val>
            <c:numRef>
              <c:f>Summary!$J$12:$M$12</c:f>
              <c:numCache>
                <c:formatCode>0</c:formatCode>
                <c:ptCount val="4"/>
                <c:pt idx="0" formatCode="#,##0_);\(#,##0\)">
                  <c:v>26.306265134532808</c:v>
                </c:pt>
                <c:pt idx="1">
                  <c:v>83.9</c:v>
                </c:pt>
                <c:pt idx="2">
                  <c:v>73.64</c:v>
                </c:pt>
                <c:pt idx="3" formatCode="#,##0_);\(#,##0\)">
                  <c:v>56</c:v>
                </c:pt>
              </c:numCache>
            </c:numRef>
          </c:val>
          <c:smooth val="0"/>
          <c:extLst>
            <c:ext xmlns:c16="http://schemas.microsoft.com/office/drawing/2014/chart" uri="{C3380CC4-5D6E-409C-BE32-E72D297353CC}">
              <c16:uniqueId val="{00000000-0EAA-41F2-93F2-96411E820081}"/>
            </c:ext>
          </c:extLst>
        </c:ser>
        <c:ser>
          <c:idx val="1"/>
          <c:order val="1"/>
          <c:tx>
            <c:strRef>
              <c:f>Summary!$I$13</c:f>
              <c:strCache>
                <c:ptCount val="1"/>
                <c:pt idx="0">
                  <c:v>High </c:v>
                </c:pt>
              </c:strCache>
            </c:strRef>
          </c:tx>
          <c:spPr>
            <a:ln w="19050" cap="rnd">
              <a:noFill/>
              <a:round/>
            </a:ln>
            <a:effectLst/>
          </c:spPr>
          <c:marker>
            <c:symbol val="none"/>
          </c:marker>
          <c:dLbls>
            <c:dLbl>
              <c:idx val="0"/>
              <c:layout>
                <c:manualLayout>
                  <c:x val="-3.0555555555555582E-2"/>
                  <c:y val="-3.24074074074074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EAA-41F2-93F2-96411E820081}"/>
                </c:ext>
              </c:extLst>
            </c:dLbl>
            <c:dLbl>
              <c:idx val="1"/>
              <c:layout>
                <c:manualLayout>
                  <c:x val="-3.888888888888889E-2"/>
                  <c:y val="-3.24074074074073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EAA-41F2-93F2-96411E820081}"/>
                </c:ext>
              </c:extLst>
            </c:dLbl>
            <c:dLbl>
              <c:idx val="2"/>
              <c:layout>
                <c:manualLayout>
                  <c:x val="-3.6111111111111108E-2"/>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EAA-41F2-93F2-96411E820081}"/>
                </c:ext>
              </c:extLst>
            </c:dLbl>
            <c:dLbl>
              <c:idx val="3"/>
              <c:layout>
                <c:manualLayout>
                  <c:x val="-3.888888888888889E-2"/>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EAA-41F2-93F2-96411E82008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hi-I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Summary!$J$11:$M$11</c:f>
              <c:strCache>
                <c:ptCount val="4"/>
                <c:pt idx="0">
                  <c:v>Comps</c:v>
                </c:pt>
                <c:pt idx="1">
                  <c:v>DCF</c:v>
                </c:pt>
                <c:pt idx="2">
                  <c:v>52 week hi/lo</c:v>
                </c:pt>
                <c:pt idx="3">
                  <c:v>Consensus</c:v>
                </c:pt>
              </c:strCache>
            </c:strRef>
          </c:cat>
          <c:val>
            <c:numRef>
              <c:f>Summary!$J$13:$M$13</c:f>
              <c:numCache>
                <c:formatCode>0</c:formatCode>
                <c:ptCount val="4"/>
                <c:pt idx="0" formatCode="#,##0_);\(#,##0\)">
                  <c:v>26.306265134532808</c:v>
                </c:pt>
                <c:pt idx="1">
                  <c:v>83.9</c:v>
                </c:pt>
                <c:pt idx="2">
                  <c:v>73.64</c:v>
                </c:pt>
                <c:pt idx="3" formatCode="#,##0_);\(#,##0\)">
                  <c:v>56</c:v>
                </c:pt>
              </c:numCache>
            </c:numRef>
          </c:val>
          <c:smooth val="0"/>
          <c:extLst>
            <c:ext xmlns:c16="http://schemas.microsoft.com/office/drawing/2014/chart" uri="{C3380CC4-5D6E-409C-BE32-E72D297353CC}">
              <c16:uniqueId val="{00000001-0EAA-41F2-93F2-96411E820081}"/>
            </c:ext>
          </c:extLst>
        </c:ser>
        <c:ser>
          <c:idx val="2"/>
          <c:order val="2"/>
          <c:tx>
            <c:strRef>
              <c:f>Summary!$I$14</c:f>
              <c:strCache>
                <c:ptCount val="1"/>
                <c:pt idx="0">
                  <c:v>Low</c:v>
                </c:pt>
              </c:strCache>
            </c:strRef>
          </c:tx>
          <c:spPr>
            <a:ln w="19050" cap="rnd">
              <a:noFill/>
              <a:round/>
            </a:ln>
            <a:effectLst/>
          </c:spPr>
          <c:marker>
            <c:symbol val="none"/>
          </c:marker>
          <c:dLbls>
            <c:delete val="1"/>
          </c:dLbls>
          <c:cat>
            <c:strRef>
              <c:f>Summary!$J$11:$M$11</c:f>
              <c:strCache>
                <c:ptCount val="4"/>
                <c:pt idx="0">
                  <c:v>Comps</c:v>
                </c:pt>
                <c:pt idx="1">
                  <c:v>DCF</c:v>
                </c:pt>
                <c:pt idx="2">
                  <c:v>52 week hi/lo</c:v>
                </c:pt>
                <c:pt idx="3">
                  <c:v>Consensus</c:v>
                </c:pt>
              </c:strCache>
            </c:strRef>
          </c:cat>
          <c:val>
            <c:numRef>
              <c:f>Summary!$J$14:$M$14</c:f>
              <c:numCache>
                <c:formatCode>0</c:formatCode>
                <c:ptCount val="4"/>
                <c:pt idx="0" formatCode="#,##0_);\(#,##0\)">
                  <c:v>11.782345256215123</c:v>
                </c:pt>
                <c:pt idx="1">
                  <c:v>47.1</c:v>
                </c:pt>
                <c:pt idx="2">
                  <c:v>25.22</c:v>
                </c:pt>
                <c:pt idx="3" formatCode="#,##0_);\(#,##0\)">
                  <c:v>20</c:v>
                </c:pt>
              </c:numCache>
            </c:numRef>
          </c:val>
          <c:smooth val="0"/>
          <c:extLst>
            <c:ext xmlns:c16="http://schemas.microsoft.com/office/drawing/2014/chart" uri="{C3380CC4-5D6E-409C-BE32-E72D297353CC}">
              <c16:uniqueId val="{00000002-0EAA-41F2-93F2-96411E820081}"/>
            </c:ext>
          </c:extLst>
        </c:ser>
        <c:ser>
          <c:idx val="3"/>
          <c:order val="3"/>
          <c:tx>
            <c:strRef>
              <c:f>Summary!$I$15</c:f>
              <c:strCache>
                <c:ptCount val="1"/>
                <c:pt idx="0">
                  <c:v>Low</c:v>
                </c:pt>
              </c:strCache>
            </c:strRef>
          </c:tx>
          <c:spPr>
            <a:ln w="19050" cap="rnd">
              <a:noFill/>
              <a:round/>
            </a:ln>
            <a:effectLst/>
          </c:spPr>
          <c:marker>
            <c:symbol val="none"/>
          </c:marker>
          <c:dLbls>
            <c:dLbl>
              <c:idx val="0"/>
              <c:layout>
                <c:manualLayout>
                  <c:x val="-3.3333333333333361E-2"/>
                  <c:y val="3.24074074074073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EAA-41F2-93F2-96411E820081}"/>
                </c:ext>
              </c:extLst>
            </c:dLbl>
            <c:dLbl>
              <c:idx val="1"/>
              <c:layout>
                <c:manualLayout>
                  <c:x val="-3.3333333333333381E-2"/>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EAA-41F2-93F2-96411E820081}"/>
                </c:ext>
              </c:extLst>
            </c:dLbl>
            <c:dLbl>
              <c:idx val="2"/>
              <c:layout>
                <c:manualLayout>
                  <c:x val="-2.5000000000000001E-2"/>
                  <c:y val="3.70370370370370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0EAA-41F2-93F2-96411E820081}"/>
                </c:ext>
              </c:extLst>
            </c:dLbl>
            <c:dLbl>
              <c:idx val="3"/>
              <c:layout>
                <c:manualLayout>
                  <c:x val="-8.3333333333333332E-3"/>
                  <c:y val="3.240740740740732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0EAA-41F2-93F2-96411E82008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hi-I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Summary!$J$11:$M$11</c:f>
              <c:strCache>
                <c:ptCount val="4"/>
                <c:pt idx="0">
                  <c:v>Comps</c:v>
                </c:pt>
                <c:pt idx="1">
                  <c:v>DCF</c:v>
                </c:pt>
                <c:pt idx="2">
                  <c:v>52 week hi/lo</c:v>
                </c:pt>
                <c:pt idx="3">
                  <c:v>Consensus</c:v>
                </c:pt>
              </c:strCache>
            </c:strRef>
          </c:cat>
          <c:val>
            <c:numRef>
              <c:f>Summary!$J$15:$M$15</c:f>
              <c:numCache>
                <c:formatCode>0</c:formatCode>
                <c:ptCount val="4"/>
                <c:pt idx="0" formatCode="#,##0_);\(#,##0\)">
                  <c:v>11.782345256215123</c:v>
                </c:pt>
                <c:pt idx="1">
                  <c:v>47.1</c:v>
                </c:pt>
                <c:pt idx="2">
                  <c:v>25.22</c:v>
                </c:pt>
                <c:pt idx="3" formatCode="#,##0_);\(#,##0\)">
                  <c:v>20</c:v>
                </c:pt>
              </c:numCache>
            </c:numRef>
          </c:val>
          <c:smooth val="0"/>
          <c:extLst>
            <c:ext xmlns:c16="http://schemas.microsoft.com/office/drawing/2014/chart" uri="{C3380CC4-5D6E-409C-BE32-E72D297353CC}">
              <c16:uniqueId val="{00000003-0EAA-41F2-93F2-96411E820081}"/>
            </c:ext>
          </c:extLst>
        </c:ser>
        <c:dLbls>
          <c:showLegendKey val="0"/>
          <c:showVal val="1"/>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accent2"/>
              </a:solidFill>
              <a:ln w="9525" cap="flat" cmpd="sng" algn="ctr">
                <a:solidFill>
                  <a:schemeClr val="accent1">
                    <a:lumMod val="50000"/>
                    <a:alpha val="93000"/>
                  </a:schemeClr>
                </a:solidFill>
                <a:round/>
              </a:ln>
              <a:effectLst/>
            </c:spPr>
          </c:downBars>
        </c:upDownBars>
        <c:axId val="663235208"/>
        <c:axId val="663237008"/>
      </c:stockChart>
      <c:catAx>
        <c:axId val="663235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hi-IN"/>
          </a:p>
        </c:txPr>
        <c:crossAx val="663237008"/>
        <c:crosses val="autoZero"/>
        <c:auto val="1"/>
        <c:lblAlgn val="ctr"/>
        <c:lblOffset val="100"/>
        <c:noMultiLvlLbl val="0"/>
      </c:catAx>
      <c:valAx>
        <c:axId val="663237008"/>
        <c:scaling>
          <c:orientation val="minMax"/>
        </c:scaling>
        <c:delete val="0"/>
        <c:axPos val="l"/>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hi-IN"/>
          </a:p>
        </c:txPr>
        <c:crossAx val="663235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hi-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hi-I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19878</xdr:colOff>
      <xdr:row>0</xdr:row>
      <xdr:rowOff>33131</xdr:rowOff>
    </xdr:from>
    <xdr:to>
      <xdr:col>4</xdr:col>
      <xdr:colOff>193812</xdr:colOff>
      <xdr:row>4</xdr:row>
      <xdr:rowOff>167309</xdr:rowOff>
    </xdr:to>
    <xdr:pic>
      <xdr:nvPicPr>
        <xdr:cNvPr id="2" name="Picture 1" descr="Punjab &amp; Sind Bank thumbnail transparent PNG - StickPNG">
          <a:extLst>
            <a:ext uri="{FF2B5EF4-FFF2-40B4-BE49-F238E27FC236}">
              <a16:creationId xmlns:a16="http://schemas.microsoft.com/office/drawing/2014/main" id="{A83F9F85-6E38-44E2-A683-B653D914CD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408" y="33131"/>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571500</xdr:colOff>
      <xdr:row>0</xdr:row>
      <xdr:rowOff>0</xdr:rowOff>
    </xdr:from>
    <xdr:to>
      <xdr:col>1</xdr:col>
      <xdr:colOff>838200</xdr:colOff>
      <xdr:row>4</xdr:row>
      <xdr:rowOff>144780</xdr:rowOff>
    </xdr:to>
    <xdr:pic>
      <xdr:nvPicPr>
        <xdr:cNvPr id="2" name="Picture 1" descr="Punjab &amp; Sind Bank thumbnail transparent PNG - StickPNG">
          <a:extLst>
            <a:ext uri="{FF2B5EF4-FFF2-40B4-BE49-F238E27FC236}">
              <a16:creationId xmlns:a16="http://schemas.microsoft.com/office/drawing/2014/main" id="{21CB7452-9BB3-4D95-A6DF-073BC7B4A6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0"/>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30480</xdr:colOff>
      <xdr:row>4</xdr:row>
      <xdr:rowOff>121920</xdr:rowOff>
    </xdr:from>
    <xdr:to>
      <xdr:col>15</xdr:col>
      <xdr:colOff>198120</xdr:colOff>
      <xdr:row>13</xdr:row>
      <xdr:rowOff>94175</xdr:rowOff>
    </xdr:to>
    <xdr:pic>
      <xdr:nvPicPr>
        <xdr:cNvPr id="4" name="Picture 3">
          <a:extLst>
            <a:ext uri="{FF2B5EF4-FFF2-40B4-BE49-F238E27FC236}">
              <a16:creationId xmlns:a16="http://schemas.microsoft.com/office/drawing/2014/main" id="{2CFDFF54-4213-EAE9-D404-FD30706BDC78}"/>
            </a:ext>
          </a:extLst>
        </xdr:cNvPr>
        <xdr:cNvPicPr>
          <a:picLocks noChangeAspect="1"/>
        </xdr:cNvPicPr>
      </xdr:nvPicPr>
      <xdr:blipFill>
        <a:blip xmlns:r="http://schemas.openxmlformats.org/officeDocument/2006/relationships" r:embed="rId2"/>
        <a:stretch>
          <a:fillRect/>
        </a:stretch>
      </xdr:blipFill>
      <xdr:spPr>
        <a:xfrm>
          <a:off x="9174480" y="853440"/>
          <a:ext cx="12298680" cy="28373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876300</xdr:colOff>
      <xdr:row>4</xdr:row>
      <xdr:rowOff>155864</xdr:rowOff>
    </xdr:to>
    <xdr:pic>
      <xdr:nvPicPr>
        <xdr:cNvPr id="2" name="Picture 1" descr="Punjab &amp; Sind Bank thumbnail transparent PNG - StickPNG">
          <a:extLst>
            <a:ext uri="{FF2B5EF4-FFF2-40B4-BE49-F238E27FC236}">
              <a16:creationId xmlns:a16="http://schemas.microsoft.com/office/drawing/2014/main" id="{D9C4A19E-93C0-4A48-BA00-BC637A57A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0164" y="0"/>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68580</xdr:colOff>
      <xdr:row>0</xdr:row>
      <xdr:rowOff>30480</xdr:rowOff>
    </xdr:from>
    <xdr:to>
      <xdr:col>3</xdr:col>
      <xdr:colOff>853440</xdr:colOff>
      <xdr:row>4</xdr:row>
      <xdr:rowOff>175260</xdr:rowOff>
    </xdr:to>
    <xdr:pic>
      <xdr:nvPicPr>
        <xdr:cNvPr id="2" name="Picture 1" descr="Punjab &amp; Sind Bank thumbnail transparent PNG - StickPNG">
          <a:extLst>
            <a:ext uri="{FF2B5EF4-FFF2-40B4-BE49-F238E27FC236}">
              <a16:creationId xmlns:a16="http://schemas.microsoft.com/office/drawing/2014/main" id="{D57E9B83-A255-483A-8490-4A1BC9E279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1460" y="30480"/>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65128</xdr:colOff>
      <xdr:row>0</xdr:row>
      <xdr:rowOff>0</xdr:rowOff>
    </xdr:from>
    <xdr:to>
      <xdr:col>3</xdr:col>
      <xdr:colOff>850249</xdr:colOff>
      <xdr:row>4</xdr:row>
      <xdr:rowOff>146864</xdr:rowOff>
    </xdr:to>
    <xdr:pic>
      <xdr:nvPicPr>
        <xdr:cNvPr id="3" name="Picture 2" descr="Punjab &amp; Sind Bank thumbnail transparent PNG - StickPNG">
          <a:extLst>
            <a:ext uri="{FF2B5EF4-FFF2-40B4-BE49-F238E27FC236}">
              <a16:creationId xmlns:a16="http://schemas.microsoft.com/office/drawing/2014/main" id="{0A3C7FF2-B344-4C85-8F1F-F5406FB442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487" y="0"/>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15240</xdr:colOff>
      <xdr:row>0</xdr:row>
      <xdr:rowOff>0</xdr:rowOff>
    </xdr:from>
    <xdr:to>
      <xdr:col>3</xdr:col>
      <xdr:colOff>891540</xdr:colOff>
      <xdr:row>5</xdr:row>
      <xdr:rowOff>0</xdr:rowOff>
    </xdr:to>
    <xdr:pic>
      <xdr:nvPicPr>
        <xdr:cNvPr id="2" name="Picture 1" descr="Punjab &amp; Sind Bank thumbnail transparent PNG - StickPNG">
          <a:extLst>
            <a:ext uri="{FF2B5EF4-FFF2-40B4-BE49-F238E27FC236}">
              <a16:creationId xmlns:a16="http://schemas.microsoft.com/office/drawing/2014/main" id="{FF296AD3-BD6F-46AC-AF0C-7D96BBCCE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 y="0"/>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68580</xdr:colOff>
      <xdr:row>0</xdr:row>
      <xdr:rowOff>15240</xdr:rowOff>
    </xdr:from>
    <xdr:to>
      <xdr:col>3</xdr:col>
      <xdr:colOff>853440</xdr:colOff>
      <xdr:row>4</xdr:row>
      <xdr:rowOff>160020</xdr:rowOff>
    </xdr:to>
    <xdr:pic>
      <xdr:nvPicPr>
        <xdr:cNvPr id="2" name="Picture 1" descr="Punjab &amp; Sind Bank thumbnail transparent PNG - StickPNG">
          <a:extLst>
            <a:ext uri="{FF2B5EF4-FFF2-40B4-BE49-F238E27FC236}">
              <a16:creationId xmlns:a16="http://schemas.microsoft.com/office/drawing/2014/main" id="{8F49A1E8-1C67-4740-8168-3C49F83AC1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1460" y="15240"/>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53340</xdr:colOff>
      <xdr:row>0</xdr:row>
      <xdr:rowOff>0</xdr:rowOff>
    </xdr:from>
    <xdr:to>
      <xdr:col>3</xdr:col>
      <xdr:colOff>838200</xdr:colOff>
      <xdr:row>4</xdr:row>
      <xdr:rowOff>175260</xdr:rowOff>
    </xdr:to>
    <xdr:pic>
      <xdr:nvPicPr>
        <xdr:cNvPr id="3" name="Picture 2" descr="Punjab &amp; Sind Bank thumbnail transparent PNG - StickPNG">
          <a:extLst>
            <a:ext uri="{FF2B5EF4-FFF2-40B4-BE49-F238E27FC236}">
              <a16:creationId xmlns:a16="http://schemas.microsoft.com/office/drawing/2014/main" id="{267B7FF7-A462-7703-9244-DA31B70C44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0"/>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30480</xdr:colOff>
      <xdr:row>0</xdr:row>
      <xdr:rowOff>30480</xdr:rowOff>
    </xdr:from>
    <xdr:to>
      <xdr:col>3</xdr:col>
      <xdr:colOff>906780</xdr:colOff>
      <xdr:row>4</xdr:row>
      <xdr:rowOff>175260</xdr:rowOff>
    </xdr:to>
    <xdr:pic>
      <xdr:nvPicPr>
        <xdr:cNvPr id="2" name="Picture 1" descr="Punjab &amp; Sind Bank thumbnail transparent PNG - StickPNG">
          <a:extLst>
            <a:ext uri="{FF2B5EF4-FFF2-40B4-BE49-F238E27FC236}">
              <a16:creationId xmlns:a16="http://schemas.microsoft.com/office/drawing/2014/main" id="{2453E03E-BC2C-4433-95A7-CD56981C57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30480"/>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87442</xdr:colOff>
      <xdr:row>0</xdr:row>
      <xdr:rowOff>18738</xdr:rowOff>
    </xdr:from>
    <xdr:to>
      <xdr:col>3</xdr:col>
      <xdr:colOff>776365</xdr:colOff>
      <xdr:row>4</xdr:row>
      <xdr:rowOff>170513</xdr:rowOff>
    </xdr:to>
    <xdr:pic>
      <xdr:nvPicPr>
        <xdr:cNvPr id="3" name="Picture 2" descr="Punjab &amp; Sind Bank thumbnail transparent PNG - StickPNG">
          <a:extLst>
            <a:ext uri="{FF2B5EF4-FFF2-40B4-BE49-F238E27FC236}">
              <a16:creationId xmlns:a16="http://schemas.microsoft.com/office/drawing/2014/main" id="{B85D3302-F1A4-4A56-96FD-3270D056EF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131" y="18738"/>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61576</xdr:colOff>
      <xdr:row>0</xdr:row>
      <xdr:rowOff>30788</xdr:rowOff>
    </xdr:from>
    <xdr:to>
      <xdr:col>3</xdr:col>
      <xdr:colOff>845512</xdr:colOff>
      <xdr:row>4</xdr:row>
      <xdr:rowOff>168179</xdr:rowOff>
    </xdr:to>
    <xdr:pic>
      <xdr:nvPicPr>
        <xdr:cNvPr id="3" name="Picture 2" descr="Punjab &amp; Sind Bank thumbnail transparent PNG - StickPNG">
          <a:extLst>
            <a:ext uri="{FF2B5EF4-FFF2-40B4-BE49-F238E27FC236}">
              <a16:creationId xmlns:a16="http://schemas.microsoft.com/office/drawing/2014/main" id="{40AF3926-A865-4467-89F9-C03C05FD76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6303" y="30788"/>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76200</xdr:colOff>
      <xdr:row>0</xdr:row>
      <xdr:rowOff>0</xdr:rowOff>
    </xdr:from>
    <xdr:to>
      <xdr:col>3</xdr:col>
      <xdr:colOff>861060</xdr:colOff>
      <xdr:row>5</xdr:row>
      <xdr:rowOff>0</xdr:rowOff>
    </xdr:to>
    <xdr:pic>
      <xdr:nvPicPr>
        <xdr:cNvPr id="3" name="Picture 2" descr="Punjab &amp; Sind Bank thumbnail transparent PNG - StickPNG">
          <a:extLst>
            <a:ext uri="{FF2B5EF4-FFF2-40B4-BE49-F238E27FC236}">
              <a16:creationId xmlns:a16="http://schemas.microsoft.com/office/drawing/2014/main" id="{85AF859A-284D-42CF-8CCB-6DD374658F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9080" y="0"/>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83820</xdr:colOff>
      <xdr:row>0</xdr:row>
      <xdr:rowOff>22860</xdr:rowOff>
    </xdr:from>
    <xdr:to>
      <xdr:col>3</xdr:col>
      <xdr:colOff>868680</xdr:colOff>
      <xdr:row>4</xdr:row>
      <xdr:rowOff>167640</xdr:rowOff>
    </xdr:to>
    <xdr:pic>
      <xdr:nvPicPr>
        <xdr:cNvPr id="5" name="Picture 4" descr="Punjab &amp; Sind Bank thumbnail transparent PNG - StickPNG">
          <a:extLst>
            <a:ext uri="{FF2B5EF4-FFF2-40B4-BE49-F238E27FC236}">
              <a16:creationId xmlns:a16="http://schemas.microsoft.com/office/drawing/2014/main" id="{F2ADA0F2-DECA-4B1F-B43C-05F83DF022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700" y="22860"/>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3</xdr:col>
      <xdr:colOff>7620</xdr:colOff>
      <xdr:row>0</xdr:row>
      <xdr:rowOff>15240</xdr:rowOff>
    </xdr:from>
    <xdr:to>
      <xdr:col>3</xdr:col>
      <xdr:colOff>883920</xdr:colOff>
      <xdr:row>4</xdr:row>
      <xdr:rowOff>160020</xdr:rowOff>
    </xdr:to>
    <xdr:pic>
      <xdr:nvPicPr>
        <xdr:cNvPr id="4" name="Picture 3" descr="Punjab &amp; Sind Bank thumbnail transparent PNG - StickPNG">
          <a:extLst>
            <a:ext uri="{FF2B5EF4-FFF2-40B4-BE49-F238E27FC236}">
              <a16:creationId xmlns:a16="http://schemas.microsoft.com/office/drawing/2014/main" id="{FF8D9A8B-823D-4F1B-AF8F-7F800B0FD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 y="15240"/>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3</xdr:col>
      <xdr:colOff>7620</xdr:colOff>
      <xdr:row>0</xdr:row>
      <xdr:rowOff>7620</xdr:rowOff>
    </xdr:from>
    <xdr:to>
      <xdr:col>3</xdr:col>
      <xdr:colOff>883920</xdr:colOff>
      <xdr:row>4</xdr:row>
      <xdr:rowOff>182880</xdr:rowOff>
    </xdr:to>
    <xdr:pic>
      <xdr:nvPicPr>
        <xdr:cNvPr id="3" name="Picture 2" descr="Punjab &amp; Sind Bank thumbnail transparent PNG - StickPNG">
          <a:extLst>
            <a:ext uri="{FF2B5EF4-FFF2-40B4-BE49-F238E27FC236}">
              <a16:creationId xmlns:a16="http://schemas.microsoft.com/office/drawing/2014/main" id="{55D7099C-2F2A-4C3A-8506-91C267E903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 y="7620"/>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2</xdr:col>
      <xdr:colOff>76200</xdr:colOff>
      <xdr:row>0</xdr:row>
      <xdr:rowOff>0</xdr:rowOff>
    </xdr:from>
    <xdr:to>
      <xdr:col>3</xdr:col>
      <xdr:colOff>861060</xdr:colOff>
      <xdr:row>5</xdr:row>
      <xdr:rowOff>0</xdr:rowOff>
    </xdr:to>
    <xdr:pic>
      <xdr:nvPicPr>
        <xdr:cNvPr id="2" name="Picture 1" descr="Punjab &amp; Sind Bank thumbnail transparent PNG - StickPNG">
          <a:extLst>
            <a:ext uri="{FF2B5EF4-FFF2-40B4-BE49-F238E27FC236}">
              <a16:creationId xmlns:a16="http://schemas.microsoft.com/office/drawing/2014/main" id="{B90E0DA4-4669-418B-812B-5E38E2190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9080" y="0"/>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3</xdr:col>
      <xdr:colOff>22860</xdr:colOff>
      <xdr:row>0</xdr:row>
      <xdr:rowOff>0</xdr:rowOff>
    </xdr:from>
    <xdr:to>
      <xdr:col>3</xdr:col>
      <xdr:colOff>899160</xdr:colOff>
      <xdr:row>4</xdr:row>
      <xdr:rowOff>144780</xdr:rowOff>
    </xdr:to>
    <xdr:pic>
      <xdr:nvPicPr>
        <xdr:cNvPr id="4" name="Picture 3" descr="Punjab &amp; Sind Bank thumbnail transparent PNG - StickPNG">
          <a:extLst>
            <a:ext uri="{FF2B5EF4-FFF2-40B4-BE49-F238E27FC236}">
              <a16:creationId xmlns:a16="http://schemas.microsoft.com/office/drawing/2014/main" id="{A8E3CC8B-C2DC-4DC7-A662-4C69C0534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7180" y="0"/>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2</xdr:col>
      <xdr:colOff>22860</xdr:colOff>
      <xdr:row>0</xdr:row>
      <xdr:rowOff>0</xdr:rowOff>
    </xdr:from>
    <xdr:to>
      <xdr:col>3</xdr:col>
      <xdr:colOff>807720</xdr:colOff>
      <xdr:row>5</xdr:row>
      <xdr:rowOff>0</xdr:rowOff>
    </xdr:to>
    <xdr:pic>
      <xdr:nvPicPr>
        <xdr:cNvPr id="4" name="Picture 3" descr="Punjab &amp; Sind Bank thumbnail transparent PNG - StickPNG">
          <a:extLst>
            <a:ext uri="{FF2B5EF4-FFF2-40B4-BE49-F238E27FC236}">
              <a16:creationId xmlns:a16="http://schemas.microsoft.com/office/drawing/2014/main" id="{E1AD020B-1884-458F-AAEB-2B2B4335C3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740" y="0"/>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2</xdr:col>
      <xdr:colOff>76200</xdr:colOff>
      <xdr:row>0</xdr:row>
      <xdr:rowOff>0</xdr:rowOff>
    </xdr:from>
    <xdr:to>
      <xdr:col>4</xdr:col>
      <xdr:colOff>83820</xdr:colOff>
      <xdr:row>5</xdr:row>
      <xdr:rowOff>0</xdr:rowOff>
    </xdr:to>
    <xdr:pic>
      <xdr:nvPicPr>
        <xdr:cNvPr id="4" name="Picture 3" descr="Punjab &amp; Sind Bank thumbnail transparent PNG - StickPNG">
          <a:extLst>
            <a:ext uri="{FF2B5EF4-FFF2-40B4-BE49-F238E27FC236}">
              <a16:creationId xmlns:a16="http://schemas.microsoft.com/office/drawing/2014/main" id="{A77B81FD-B0BB-4384-83B5-E859621A1D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9080" y="0"/>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2</xdr:col>
      <xdr:colOff>83820</xdr:colOff>
      <xdr:row>0</xdr:row>
      <xdr:rowOff>0</xdr:rowOff>
    </xdr:from>
    <xdr:to>
      <xdr:col>4</xdr:col>
      <xdr:colOff>259080</xdr:colOff>
      <xdr:row>5</xdr:row>
      <xdr:rowOff>0</xdr:rowOff>
    </xdr:to>
    <xdr:pic>
      <xdr:nvPicPr>
        <xdr:cNvPr id="4" name="Picture 3" descr="Punjab &amp; Sind Bank thumbnail transparent PNG - StickPNG">
          <a:extLst>
            <a:ext uri="{FF2B5EF4-FFF2-40B4-BE49-F238E27FC236}">
              <a16:creationId xmlns:a16="http://schemas.microsoft.com/office/drawing/2014/main" id="{517E0D48-BFC4-4B4C-AC4D-8767D99CA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700" y="0"/>
          <a:ext cx="8763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327660</xdr:colOff>
      <xdr:row>19</xdr:row>
      <xdr:rowOff>41910</xdr:rowOff>
    </xdr:from>
    <xdr:to>
      <xdr:col>15</xdr:col>
      <xdr:colOff>22860</xdr:colOff>
      <xdr:row>34</xdr:row>
      <xdr:rowOff>156210</xdr:rowOff>
    </xdr:to>
    <xdr:graphicFrame macro="">
      <xdr:nvGraphicFramePr>
        <xdr:cNvPr id="8" name="Chart 7">
          <a:extLst>
            <a:ext uri="{FF2B5EF4-FFF2-40B4-BE49-F238E27FC236}">
              <a16:creationId xmlns:a16="http://schemas.microsoft.com/office/drawing/2014/main" id="{64EEDFB4-75D0-1561-D2D9-4141BA2D58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289560</xdr:colOff>
      <xdr:row>27</xdr:row>
      <xdr:rowOff>106680</xdr:rowOff>
    </xdr:from>
    <xdr:to>
      <xdr:col>15</xdr:col>
      <xdr:colOff>76200</xdr:colOff>
      <xdr:row>27</xdr:row>
      <xdr:rowOff>106680</xdr:rowOff>
    </xdr:to>
    <xdr:cxnSp macro="">
      <xdr:nvCxnSpPr>
        <xdr:cNvPr id="10" name="Straight Connector 9">
          <a:extLst>
            <a:ext uri="{FF2B5EF4-FFF2-40B4-BE49-F238E27FC236}">
              <a16:creationId xmlns:a16="http://schemas.microsoft.com/office/drawing/2014/main" id="{8FEF7064-A30F-989F-B2F2-BB4D386836E5}"/>
            </a:ext>
          </a:extLst>
        </xdr:cNvPr>
        <xdr:cNvCxnSpPr/>
      </xdr:nvCxnSpPr>
      <xdr:spPr>
        <a:xfrm>
          <a:off x="3002280" y="4937760"/>
          <a:ext cx="466344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punjabandsindbank.co.i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E9CCF-2A8C-44F4-A06F-656A00A0B50E}">
  <dimension ref="D6:I30"/>
  <sheetViews>
    <sheetView showGridLines="0" tabSelected="1" zoomScale="115" zoomScaleNormal="115" workbookViewId="0">
      <selection activeCell="K6" sqref="K6"/>
    </sheetView>
  </sheetViews>
  <sheetFormatPr defaultRowHeight="14.4" customHeight="1" x14ac:dyDescent="0.3"/>
  <cols>
    <col min="1" max="3" width="1.33203125" customWidth="1"/>
  </cols>
  <sheetData>
    <row r="6" spans="4:9" ht="16.8" customHeight="1" x14ac:dyDescent="0.3">
      <c r="D6" s="425" t="s">
        <v>60</v>
      </c>
      <c r="E6" s="425"/>
      <c r="F6" s="425"/>
      <c r="G6" s="425"/>
      <c r="H6" s="425"/>
      <c r="I6" s="425"/>
    </row>
    <row r="7" spans="4:9" ht="14.4" customHeight="1" x14ac:dyDescent="0.3">
      <c r="D7" s="1"/>
      <c r="E7" s="1"/>
      <c r="F7" s="1"/>
      <c r="G7" s="1"/>
      <c r="H7" s="1"/>
    </row>
    <row r="8" spans="4:9" ht="14.4" customHeight="1" x14ac:dyDescent="0.3">
      <c r="D8" s="1"/>
      <c r="E8" s="1">
        <v>1</v>
      </c>
      <c r="F8" s="429" t="s">
        <v>23</v>
      </c>
      <c r="G8" s="430"/>
      <c r="H8" s="430"/>
      <c r="I8" s="392" t="s">
        <v>351</v>
      </c>
    </row>
    <row r="9" spans="4:9" ht="14.4" customHeight="1" x14ac:dyDescent="0.3">
      <c r="D9" s="1"/>
      <c r="E9" s="1">
        <f t="shared" ref="E9:E26" si="0">E8+1</f>
        <v>2</v>
      </c>
      <c r="F9" s="426" t="s">
        <v>180</v>
      </c>
      <c r="G9" s="427"/>
      <c r="H9" s="427"/>
      <c r="I9" s="392" t="s">
        <v>351</v>
      </c>
    </row>
    <row r="10" spans="4:9" ht="14.4" customHeight="1" x14ac:dyDescent="0.3">
      <c r="D10" s="1"/>
      <c r="E10" s="1">
        <f t="shared" si="0"/>
        <v>3</v>
      </c>
      <c r="F10" s="426" t="s">
        <v>181</v>
      </c>
      <c r="G10" s="427"/>
      <c r="H10" s="427"/>
      <c r="I10" s="392" t="s">
        <v>351</v>
      </c>
    </row>
    <row r="11" spans="4:9" ht="14.4" customHeight="1" x14ac:dyDescent="0.3">
      <c r="D11" s="1"/>
      <c r="E11" s="1">
        <f t="shared" si="0"/>
        <v>4</v>
      </c>
      <c r="F11" s="426" t="s">
        <v>388</v>
      </c>
      <c r="G11" s="427"/>
      <c r="H11" s="427"/>
      <c r="I11" s="392" t="s">
        <v>351</v>
      </c>
    </row>
    <row r="12" spans="4:9" ht="14.4" customHeight="1" x14ac:dyDescent="0.3">
      <c r="D12" s="1"/>
      <c r="E12" s="1">
        <f t="shared" si="0"/>
        <v>5</v>
      </c>
      <c r="F12" s="426" t="s">
        <v>36</v>
      </c>
      <c r="G12" s="427"/>
      <c r="H12" s="427"/>
      <c r="I12" s="392" t="s">
        <v>351</v>
      </c>
    </row>
    <row r="13" spans="4:9" ht="14.4" customHeight="1" x14ac:dyDescent="0.3">
      <c r="D13" s="1"/>
      <c r="E13" s="1">
        <f t="shared" si="0"/>
        <v>6</v>
      </c>
      <c r="F13" s="426" t="s">
        <v>55</v>
      </c>
      <c r="G13" s="427"/>
      <c r="H13" s="427"/>
      <c r="I13" s="392" t="s">
        <v>351</v>
      </c>
    </row>
    <row r="14" spans="4:9" ht="14.4" customHeight="1" x14ac:dyDescent="0.3">
      <c r="D14" s="1"/>
      <c r="E14" s="1">
        <f t="shared" si="0"/>
        <v>7</v>
      </c>
      <c r="F14" s="219" t="s">
        <v>341</v>
      </c>
      <c r="G14" s="220"/>
      <c r="H14" s="220"/>
      <c r="I14" s="392" t="s">
        <v>351</v>
      </c>
    </row>
    <row r="15" spans="4:9" ht="14.4" customHeight="1" x14ac:dyDescent="0.3">
      <c r="D15" s="1"/>
      <c r="E15" s="1">
        <f t="shared" si="0"/>
        <v>8</v>
      </c>
      <c r="F15" s="219" t="s">
        <v>367</v>
      </c>
      <c r="G15" s="220"/>
      <c r="H15" s="220"/>
      <c r="I15" s="392" t="s">
        <v>351</v>
      </c>
    </row>
    <row r="16" spans="4:9" ht="14.4" customHeight="1" x14ac:dyDescent="0.3">
      <c r="D16" s="1"/>
      <c r="E16" s="1">
        <f t="shared" si="0"/>
        <v>9</v>
      </c>
      <c r="F16" s="388" t="s">
        <v>37</v>
      </c>
      <c r="G16" s="389"/>
      <c r="H16" s="389"/>
      <c r="I16" s="392" t="s">
        <v>351</v>
      </c>
    </row>
    <row r="17" spans="4:9" ht="14.4" customHeight="1" x14ac:dyDescent="0.3">
      <c r="D17" s="1"/>
      <c r="E17" s="1">
        <f t="shared" si="0"/>
        <v>10</v>
      </c>
      <c r="F17" s="388" t="s">
        <v>43</v>
      </c>
      <c r="G17" s="389"/>
      <c r="H17" s="389"/>
      <c r="I17" s="392" t="s">
        <v>351</v>
      </c>
    </row>
    <row r="18" spans="4:9" ht="14.4" customHeight="1" x14ac:dyDescent="0.3">
      <c r="D18" s="1"/>
      <c r="E18" s="1">
        <f t="shared" si="0"/>
        <v>11</v>
      </c>
      <c r="F18" s="388" t="s">
        <v>50</v>
      </c>
      <c r="G18" s="389"/>
      <c r="H18" s="389"/>
      <c r="I18" s="392" t="s">
        <v>351</v>
      </c>
    </row>
    <row r="19" spans="4:9" ht="14.4" customHeight="1" x14ac:dyDescent="0.3">
      <c r="D19" s="1"/>
      <c r="E19" s="1">
        <f t="shared" si="0"/>
        <v>12</v>
      </c>
      <c r="F19" s="388" t="s">
        <v>51</v>
      </c>
      <c r="G19" s="389"/>
      <c r="H19" s="389"/>
      <c r="I19" s="392" t="s">
        <v>351</v>
      </c>
    </row>
    <row r="20" spans="4:9" ht="14.4" customHeight="1" x14ac:dyDescent="0.3">
      <c r="D20" s="1"/>
      <c r="E20" s="1">
        <f t="shared" si="0"/>
        <v>13</v>
      </c>
      <c r="F20" s="388" t="s">
        <v>82</v>
      </c>
      <c r="G20" s="389"/>
      <c r="H20" s="389"/>
      <c r="I20" s="392" t="s">
        <v>351</v>
      </c>
    </row>
    <row r="21" spans="4:9" ht="14.4" customHeight="1" x14ac:dyDescent="0.3">
      <c r="D21" s="1"/>
      <c r="E21" s="1">
        <f t="shared" si="0"/>
        <v>14</v>
      </c>
      <c r="F21" s="388" t="s">
        <v>118</v>
      </c>
      <c r="G21" s="389"/>
      <c r="H21" s="389"/>
      <c r="I21" s="392" t="s">
        <v>351</v>
      </c>
    </row>
    <row r="22" spans="4:9" ht="14.4" customHeight="1" x14ac:dyDescent="0.3">
      <c r="D22" s="1"/>
      <c r="E22" s="1">
        <f t="shared" si="0"/>
        <v>15</v>
      </c>
      <c r="F22" s="388" t="s">
        <v>174</v>
      </c>
      <c r="G22" s="389"/>
      <c r="H22" s="389"/>
      <c r="I22" s="392" t="s">
        <v>351</v>
      </c>
    </row>
    <row r="23" spans="4:9" ht="14.4" customHeight="1" x14ac:dyDescent="0.3">
      <c r="D23" s="1"/>
      <c r="E23" s="1">
        <f t="shared" si="0"/>
        <v>16</v>
      </c>
      <c r="F23" s="388" t="s">
        <v>155</v>
      </c>
      <c r="G23" s="389"/>
      <c r="H23" s="389"/>
      <c r="I23" s="392" t="s">
        <v>351</v>
      </c>
    </row>
    <row r="24" spans="4:9" ht="14.4" customHeight="1" x14ac:dyDescent="0.3">
      <c r="D24" s="1"/>
      <c r="E24" s="1">
        <f t="shared" si="0"/>
        <v>17</v>
      </c>
      <c r="F24" s="388" t="s">
        <v>63</v>
      </c>
      <c r="G24" s="389"/>
      <c r="H24" s="389"/>
      <c r="I24" s="392" t="s">
        <v>351</v>
      </c>
    </row>
    <row r="25" spans="4:9" ht="14.4" customHeight="1" x14ac:dyDescent="0.3">
      <c r="D25" s="1"/>
      <c r="E25" s="1">
        <f t="shared" si="0"/>
        <v>18</v>
      </c>
      <c r="F25" s="388" t="s">
        <v>182</v>
      </c>
      <c r="G25" s="389"/>
      <c r="H25" s="389"/>
      <c r="I25" s="392" t="s">
        <v>351</v>
      </c>
    </row>
    <row r="26" spans="4:9" ht="14.4" customHeight="1" x14ac:dyDescent="0.3">
      <c r="D26" s="1"/>
      <c r="E26" s="1">
        <f t="shared" si="0"/>
        <v>19</v>
      </c>
      <c r="F26" s="390" t="s">
        <v>183</v>
      </c>
      <c r="G26" s="391"/>
      <c r="H26" s="391"/>
      <c r="I26" s="392" t="s">
        <v>351</v>
      </c>
    </row>
    <row r="27" spans="4:9" ht="14.4" customHeight="1" x14ac:dyDescent="0.3">
      <c r="D27" s="1"/>
      <c r="E27" s="1"/>
      <c r="F27" s="428"/>
      <c r="G27" s="428"/>
      <c r="H27" s="428"/>
    </row>
    <row r="28" spans="4:9" ht="14.4" customHeight="1" x14ac:dyDescent="0.3">
      <c r="D28" s="1"/>
      <c r="E28" s="1"/>
      <c r="F28" s="1"/>
      <c r="G28" s="1"/>
      <c r="H28" s="1"/>
    </row>
    <row r="29" spans="4:9" ht="14.4" customHeight="1" x14ac:dyDescent="0.3">
      <c r="D29" s="1"/>
      <c r="E29" s="1"/>
      <c r="F29" s="1"/>
      <c r="G29" s="1"/>
      <c r="H29" s="1"/>
    </row>
    <row r="30" spans="4:9" ht="14.4" customHeight="1" x14ac:dyDescent="0.3">
      <c r="D30" s="1"/>
      <c r="E30" s="1"/>
      <c r="F30" s="1"/>
      <c r="G30" s="1"/>
      <c r="H30" s="1"/>
    </row>
  </sheetData>
  <mergeCells count="8">
    <mergeCell ref="D6:I6"/>
    <mergeCell ref="F12:H12"/>
    <mergeCell ref="F13:H13"/>
    <mergeCell ref="F27:H27"/>
    <mergeCell ref="F8:H8"/>
    <mergeCell ref="F9:H9"/>
    <mergeCell ref="F10:H10"/>
    <mergeCell ref="F11:H11"/>
  </mergeCells>
  <hyperlinks>
    <hyperlink ref="I8" location="Assumptions!A1" display="Link" xr:uid="{A663F9E7-E82D-4378-8627-1D9106D4596A}"/>
    <hyperlink ref="I9" location="'P&amp;L Inputs'!A1" display="Link" xr:uid="{7CBDD10F-7CB3-4961-9BB1-307D8FA2280D}"/>
    <hyperlink ref="I10" location="Index!A1" display="Link" xr:uid="{7F6C8244-C0AB-4D36-B368-FD728B7FF649}"/>
    <hyperlink ref="I11" location="'Income Buildup'!A1" display="Link" xr:uid="{B7208551-99DD-4C5F-8E46-50937C8A9171}"/>
    <hyperlink ref="I12" location="'Cost Buildup'!A1" display="Link" xr:uid="{428AA698-3CBA-493A-A0E4-0B47D1CD503C}"/>
    <hyperlink ref="I13" location="'Common Sizing Statement'!A1" display="Link" xr:uid="{ACD02EFF-08B5-4D4F-A59C-C71980C8B7CC}"/>
    <hyperlink ref="I14" location="Index!A1" display="Link" xr:uid="{F9656CB3-5C33-48B4-8107-5B4689F65E0C}"/>
    <hyperlink ref="I16" location="'Income Statement'!A1" display="Link" xr:uid="{E8F52F74-7F60-4680-A210-83A4EA496EF0}"/>
    <hyperlink ref="I17" location="'Balance Sheet'!A1" display="Link" xr:uid="{D0E234B9-7E07-4C9D-A20D-5918623EF289}"/>
    <hyperlink ref="I18" location="'Cash Flow Statement'!A1" display="Link" xr:uid="{3F6DA416-A861-4FFB-89C7-97FD258AE3E2}"/>
    <hyperlink ref="I19" location="'Ratio Analysis'!A1" display="Link" xr:uid="{8660A444-DAA7-4CC5-96AE-D4CB582FE02E}"/>
    <hyperlink ref="I20" location="'DCF Valuation'!A1" display="Link" xr:uid="{28718EED-5A76-42A8-BFEE-3D95B83F68D8}"/>
    <hyperlink ref="I21" location="'Equity Beta'!A1" display="Link" xr:uid="{DC82BD6E-6A5E-4976-BD36-801FAB2B42A8}"/>
    <hyperlink ref="I22" location="WACC!A1" display="Link" xr:uid="{5F027A53-5EAB-452C-8969-B3DE1E728697}"/>
    <hyperlink ref="I23" location="Comps!A1" display="Link" xr:uid="{4B562503-505A-4659-A839-187E1AD2F0A6}"/>
    <hyperlink ref="I24" location="'Comps Data'!A1" display="Link" xr:uid="{067BCA8A-29DA-42ED-BB64-67DB419EA3E2}"/>
    <hyperlink ref="I25" location="'Market Return'!A1" display="Link" xr:uid="{53C508FA-558C-4E4E-8756-E66BDD2C3DD9}"/>
    <hyperlink ref="I26" location="Summary!A1" display="Link" xr:uid="{EB6B9390-2C68-44CA-9A29-6F0839B1B361}"/>
    <hyperlink ref="I15" location="'Working Sheet'!A1" display="Link" xr:uid="{1D21CDC0-4E42-47D6-9C35-3501DD50C068}"/>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57CF9-E98F-49A4-ACEF-697559F5C572}">
  <dimension ref="B1:P106"/>
  <sheetViews>
    <sheetView showGridLines="0" zoomScaleNormal="100" workbookViewId="0">
      <selection activeCell="C82" sqref="C82"/>
    </sheetView>
  </sheetViews>
  <sheetFormatPr defaultRowHeight="14.4" customHeight="1" x14ac:dyDescent="0.25"/>
  <cols>
    <col min="1" max="1" width="8.88671875" style="158"/>
    <col min="2" max="2" width="25.109375" style="158" bestFit="1" customWidth="1"/>
    <col min="3" max="3" width="20.5546875" style="158" bestFit="1" customWidth="1"/>
    <col min="4" max="4" width="15" style="158" customWidth="1"/>
    <col min="5" max="5" width="14" style="158" customWidth="1"/>
    <col min="6" max="8" width="10.77734375" style="158" customWidth="1"/>
    <col min="9" max="9" width="12.77734375" style="158" customWidth="1"/>
    <col min="10" max="11" width="10.77734375" style="158" customWidth="1"/>
    <col min="12" max="13" width="8.88671875" style="158"/>
    <col min="14" max="14" width="10.77734375" style="158" customWidth="1"/>
    <col min="15" max="15" width="13.5546875" style="158" customWidth="1"/>
    <col min="16" max="16384" width="8.88671875" style="158"/>
  </cols>
  <sheetData>
    <row r="1" spans="2:7" s="1" customFormat="1" ht="14.4" customHeight="1" x14ac:dyDescent="0.25"/>
    <row r="2" spans="2:7" s="1" customFormat="1" ht="14.4" customHeight="1" x14ac:dyDescent="0.25"/>
    <row r="3" spans="2:7" s="1" customFormat="1" ht="14.4" customHeight="1" x14ac:dyDescent="0.25"/>
    <row r="4" spans="2:7" s="1" customFormat="1" ht="14.4" customHeight="1" x14ac:dyDescent="0.25"/>
    <row r="5" spans="2:7" s="1" customFormat="1" ht="14.4" customHeight="1" x14ac:dyDescent="0.25"/>
    <row r="6" spans="2:7" s="1" customFormat="1" ht="14.4" customHeight="1" x14ac:dyDescent="0.25">
      <c r="B6" s="57" t="s">
        <v>29</v>
      </c>
      <c r="C6" s="443" t="s">
        <v>307</v>
      </c>
      <c r="D6" s="444"/>
      <c r="E6" s="444"/>
      <c r="F6" s="444"/>
      <c r="G6" s="445"/>
    </row>
    <row r="7" spans="2:7" s="1" customFormat="1" ht="14.4" customHeight="1" x14ac:dyDescent="0.25">
      <c r="B7" s="57" t="s">
        <v>30</v>
      </c>
      <c r="C7" s="443" t="s">
        <v>317</v>
      </c>
      <c r="D7" s="444"/>
      <c r="E7" s="444"/>
      <c r="F7" s="444"/>
      <c r="G7" s="445"/>
    </row>
    <row r="8" spans="2:7" s="1" customFormat="1" ht="14.4" customHeight="1" x14ac:dyDescent="0.25">
      <c r="B8" s="57" t="s">
        <v>31</v>
      </c>
      <c r="C8" s="443" t="s">
        <v>318</v>
      </c>
      <c r="D8" s="444"/>
      <c r="E8" s="444"/>
      <c r="F8" s="444"/>
      <c r="G8" s="445"/>
    </row>
    <row r="9" spans="2:7" s="1" customFormat="1" ht="14.4" customHeight="1" x14ac:dyDescent="0.25">
      <c r="B9" s="57" t="s">
        <v>32</v>
      </c>
      <c r="C9" s="443" t="s">
        <v>319</v>
      </c>
      <c r="D9" s="444"/>
      <c r="E9" s="444"/>
      <c r="F9" s="444"/>
      <c r="G9" s="445"/>
    </row>
    <row r="10" spans="2:7" s="1" customFormat="1" ht="14.4" customHeight="1" x14ac:dyDescent="0.25">
      <c r="B10" s="57" t="s">
        <v>33</v>
      </c>
      <c r="C10" s="443" t="s">
        <v>320</v>
      </c>
      <c r="D10" s="444"/>
      <c r="E10" s="444"/>
      <c r="F10" s="444"/>
      <c r="G10" s="445"/>
    </row>
    <row r="11" spans="2:7" s="1" customFormat="1" ht="14.4" customHeight="1" x14ac:dyDescent="0.25">
      <c r="B11" s="57" t="s">
        <v>34</v>
      </c>
      <c r="C11" s="474" t="s">
        <v>378</v>
      </c>
      <c r="D11" s="475"/>
      <c r="E11" s="475"/>
      <c r="F11" s="475"/>
      <c r="G11" s="476"/>
    </row>
    <row r="12" spans="2:7" s="1" customFormat="1" ht="110.4" customHeight="1" x14ac:dyDescent="0.25">
      <c r="B12" s="58" t="s">
        <v>35</v>
      </c>
      <c r="C12" s="437" t="s">
        <v>321</v>
      </c>
      <c r="D12" s="438"/>
      <c r="E12" s="438"/>
      <c r="F12" s="438"/>
      <c r="G12" s="439"/>
    </row>
    <row r="13" spans="2:7" s="1" customFormat="1" ht="14.4" customHeight="1" x14ac:dyDescent="0.25">
      <c r="B13" s="57" t="s">
        <v>20</v>
      </c>
      <c r="C13" s="515">
        <v>31.9</v>
      </c>
      <c r="D13" s="477"/>
      <c r="E13" s="477"/>
      <c r="F13" s="477"/>
      <c r="G13" s="478"/>
    </row>
    <row r="14" spans="2:7" s="1" customFormat="1" ht="14.4" customHeight="1" x14ac:dyDescent="0.25"/>
    <row r="15" spans="2:7" s="1" customFormat="1" ht="14.4" customHeight="1" x14ac:dyDescent="0.25"/>
    <row r="16" spans="2:7" s="1" customFormat="1" ht="14.4" customHeight="1" x14ac:dyDescent="0.25">
      <c r="B16" s="52" t="s">
        <v>12</v>
      </c>
      <c r="C16" s="53" t="s">
        <v>13</v>
      </c>
      <c r="D16" s="145" t="s">
        <v>24</v>
      </c>
    </row>
    <row r="17" spans="2:5" s="1" customFormat="1" ht="14.4" customHeight="1" x14ac:dyDescent="0.25">
      <c r="B17" s="173" t="s">
        <v>216</v>
      </c>
      <c r="C17" s="174">
        <f>IF(B17="Best Case",1,IF(B17="Base Case",2,3))</f>
        <v>2</v>
      </c>
      <c r="D17" s="375" t="str">
        <f>IF(C17=2,"6.7%",IF(C17=1,"11.7%","1.7%"))</f>
        <v>6.7%</v>
      </c>
    </row>
    <row r="18" spans="2:5" s="1" customFormat="1" ht="14.4" customHeight="1" x14ac:dyDescent="0.25">
      <c r="B18" s="22"/>
      <c r="C18" s="29"/>
      <c r="D18" s="22"/>
    </row>
    <row r="19" spans="2:5" s="1" customFormat="1" ht="14.4" customHeight="1" x14ac:dyDescent="0.25">
      <c r="B19" s="22"/>
      <c r="C19" s="29"/>
      <c r="D19" s="22"/>
    </row>
    <row r="20" spans="2:5" s="1" customFormat="1" ht="14.4" customHeight="1" x14ac:dyDescent="0.25">
      <c r="B20" s="434" t="s">
        <v>14</v>
      </c>
      <c r="C20" s="435"/>
      <c r="D20" s="436"/>
    </row>
    <row r="21" spans="2:5" s="1" customFormat="1" ht="14.4" customHeight="1" x14ac:dyDescent="0.25">
      <c r="B21" s="30" t="s">
        <v>0</v>
      </c>
      <c r="C21" s="31"/>
      <c r="D21" s="32" t="s">
        <v>15</v>
      </c>
    </row>
    <row r="22" spans="2:5" s="1" customFormat="1" ht="14.4" customHeight="1" x14ac:dyDescent="0.25">
      <c r="B22" s="33" t="s">
        <v>16</v>
      </c>
      <c r="C22" s="29" t="s">
        <v>17</v>
      </c>
      <c r="D22" s="63">
        <f>'DCF Valuation'!E15</f>
        <v>709.56</v>
      </c>
      <c r="E22" s="248"/>
    </row>
    <row r="23" spans="2:5" s="1" customFormat="1" ht="14.4" customHeight="1" x14ac:dyDescent="0.25">
      <c r="B23" s="33" t="s">
        <v>18</v>
      </c>
      <c r="C23" s="29" t="s">
        <v>19</v>
      </c>
      <c r="D23" s="144">
        <v>10</v>
      </c>
    </row>
    <row r="24" spans="2:5" s="1" customFormat="1" ht="14.4" customHeight="1" x14ac:dyDescent="0.25">
      <c r="B24" s="33" t="s">
        <v>20</v>
      </c>
      <c r="C24" s="29" t="s">
        <v>19</v>
      </c>
      <c r="D24" s="144">
        <f>C13</f>
        <v>31.9</v>
      </c>
    </row>
    <row r="25" spans="2:5" s="1" customFormat="1" ht="14.4" customHeight="1" x14ac:dyDescent="0.25">
      <c r="B25" s="34" t="s">
        <v>21</v>
      </c>
      <c r="C25" s="35" t="s">
        <v>22</v>
      </c>
      <c r="D25" s="36">
        <f>D22*D24</f>
        <v>22634.963999999996</v>
      </c>
    </row>
    <row r="26" spans="2:5" s="1" customFormat="1" ht="14.4" customHeight="1" x14ac:dyDescent="0.25">
      <c r="B26" s="22"/>
      <c r="C26" s="29"/>
      <c r="D26" s="23"/>
    </row>
    <row r="27" spans="2:5" s="1" customFormat="1" ht="14.4" customHeight="1" x14ac:dyDescent="0.25">
      <c r="B27" s="22"/>
      <c r="C27" s="29"/>
      <c r="D27" s="22"/>
    </row>
    <row r="28" spans="2:5" s="1" customFormat="1" ht="14.4" customHeight="1" x14ac:dyDescent="0.25">
      <c r="B28" s="431" t="s">
        <v>23</v>
      </c>
      <c r="C28" s="432"/>
      <c r="D28" s="433"/>
    </row>
    <row r="29" spans="2:5" s="1" customFormat="1" ht="14.4" customHeight="1" x14ac:dyDescent="0.25">
      <c r="B29" s="33" t="s">
        <v>25</v>
      </c>
      <c r="C29" s="29" t="s">
        <v>24</v>
      </c>
      <c r="D29" s="140">
        <v>6.4000000000000001E-2</v>
      </c>
      <c r="E29" s="154" t="s">
        <v>186</v>
      </c>
    </row>
    <row r="30" spans="2:5" s="1" customFormat="1" ht="14.4" customHeight="1" x14ac:dyDescent="0.25">
      <c r="B30" s="33" t="s">
        <v>26</v>
      </c>
      <c r="C30" s="29" t="s">
        <v>24</v>
      </c>
      <c r="D30" s="141">
        <v>6.6699999999999995E-2</v>
      </c>
      <c r="E30" s="154" t="s">
        <v>186</v>
      </c>
    </row>
    <row r="31" spans="2:5" s="1" customFormat="1" ht="14.4" customHeight="1" x14ac:dyDescent="0.25">
      <c r="B31" s="33" t="s">
        <v>27</v>
      </c>
      <c r="C31" s="29" t="s">
        <v>24</v>
      </c>
      <c r="D31" s="143">
        <f>'Cost Buildup'!I25</f>
        <v>2.552296313114262E-2</v>
      </c>
      <c r="E31" s="154" t="s">
        <v>422</v>
      </c>
    </row>
    <row r="32" spans="2:5" s="1" customFormat="1" ht="14.4" customHeight="1" x14ac:dyDescent="0.25">
      <c r="B32" s="34" t="s">
        <v>28</v>
      </c>
      <c r="C32" s="35" t="s">
        <v>24</v>
      </c>
      <c r="D32" s="142">
        <v>0.11</v>
      </c>
      <c r="E32" s="154"/>
    </row>
    <row r="33" spans="2:16" s="1" customFormat="1" ht="14.4" customHeight="1" x14ac:dyDescent="0.25"/>
    <row r="34" spans="2:16" ht="18.600000000000001" customHeight="1" x14ac:dyDescent="0.25">
      <c r="B34" s="425" t="s">
        <v>322</v>
      </c>
      <c r="C34" s="425"/>
      <c r="D34" s="425"/>
      <c r="E34" s="425"/>
      <c r="F34" s="425"/>
      <c r="G34" s="425"/>
      <c r="H34" s="425"/>
      <c r="I34" s="425"/>
      <c r="J34" s="425"/>
      <c r="K34" s="425"/>
      <c r="L34" s="425"/>
      <c r="M34" s="425"/>
      <c r="N34" s="425"/>
      <c r="O34" s="80"/>
      <c r="P34" s="80"/>
    </row>
    <row r="35" spans="2:16" ht="14.4" customHeight="1" x14ac:dyDescent="0.25">
      <c r="B35" s="47"/>
      <c r="D35" s="447" t="s">
        <v>323</v>
      </c>
      <c r="E35" s="447"/>
      <c r="F35" s="447"/>
      <c r="G35" s="447"/>
      <c r="H35" s="447"/>
      <c r="I35" s="447"/>
      <c r="J35" s="447"/>
      <c r="K35" s="447"/>
      <c r="L35" s="479"/>
      <c r="M35" s="479"/>
      <c r="N35" s="479"/>
    </row>
    <row r="36" spans="2:16" ht="14.4" customHeight="1" x14ac:dyDescent="0.25">
      <c r="B36" s="413" t="s">
        <v>198</v>
      </c>
      <c r="C36" s="480"/>
      <c r="D36" s="480"/>
      <c r="E36" s="481"/>
      <c r="F36" s="481"/>
      <c r="G36" s="481"/>
      <c r="H36" s="481"/>
      <c r="I36" s="481"/>
      <c r="J36" s="481"/>
      <c r="K36" s="481"/>
      <c r="L36" s="481"/>
      <c r="M36" s="481"/>
      <c r="N36" s="481"/>
      <c r="O36" s="482"/>
    </row>
    <row r="37" spans="2:16" ht="13.8" customHeight="1" x14ac:dyDescent="0.25">
      <c r="B37" s="483" t="s">
        <v>324</v>
      </c>
      <c r="C37" s="446" t="s">
        <v>340</v>
      </c>
      <c r="D37" s="484" t="s">
        <v>325</v>
      </c>
      <c r="E37" s="485"/>
      <c r="F37" s="485"/>
      <c r="G37" s="485"/>
      <c r="H37" s="485"/>
      <c r="I37" s="485"/>
      <c r="J37" s="485"/>
      <c r="K37" s="485"/>
      <c r="L37" s="485"/>
      <c r="M37" s="485"/>
      <c r="N37" s="485"/>
      <c r="O37" s="486"/>
      <c r="P37" s="487"/>
    </row>
    <row r="38" spans="2:16" ht="14.4" customHeight="1" x14ac:dyDescent="0.25">
      <c r="B38" s="488" t="s">
        <v>326</v>
      </c>
      <c r="C38" s="446"/>
      <c r="D38" s="489"/>
      <c r="E38" s="490"/>
      <c r="F38" s="490"/>
      <c r="G38" s="490"/>
      <c r="H38" s="490"/>
      <c r="I38" s="490"/>
      <c r="J38" s="490"/>
      <c r="K38" s="490"/>
      <c r="L38" s="490"/>
      <c r="M38" s="490"/>
      <c r="N38" s="490"/>
      <c r="O38" s="486"/>
      <c r="P38" s="487"/>
    </row>
    <row r="39" spans="2:16" ht="14.4" customHeight="1" x14ac:dyDescent="0.25">
      <c r="B39" s="413" t="s">
        <v>199</v>
      </c>
      <c r="C39" s="446"/>
      <c r="D39" s="491"/>
      <c r="E39" s="491"/>
      <c r="F39" s="491"/>
      <c r="G39" s="491"/>
      <c r="H39" s="491"/>
      <c r="I39" s="491"/>
      <c r="J39" s="491"/>
      <c r="K39" s="491"/>
      <c r="L39" s="491"/>
      <c r="M39" s="492"/>
      <c r="N39" s="492"/>
      <c r="O39" s="493"/>
      <c r="P39" s="494"/>
    </row>
    <row r="40" spans="2:16" ht="14.4" customHeight="1" x14ac:dyDescent="0.25">
      <c r="B40" s="495" t="s">
        <v>207</v>
      </c>
      <c r="C40" s="446"/>
      <c r="D40" s="496" t="s">
        <v>327</v>
      </c>
      <c r="E40" s="497"/>
      <c r="F40" s="497"/>
      <c r="G40" s="497"/>
      <c r="H40" s="497"/>
      <c r="I40" s="497"/>
      <c r="J40" s="497"/>
      <c r="K40" s="497"/>
      <c r="L40" s="497"/>
      <c r="M40" s="497"/>
      <c r="N40" s="497"/>
      <c r="O40" s="486"/>
      <c r="P40" s="494"/>
    </row>
    <row r="41" spans="2:16" ht="14.4" customHeight="1" x14ac:dyDescent="0.25">
      <c r="B41" s="495" t="s">
        <v>328</v>
      </c>
      <c r="C41" s="446"/>
      <c r="D41" s="496" t="s">
        <v>329</v>
      </c>
      <c r="E41" s="497"/>
      <c r="F41" s="497"/>
      <c r="G41" s="497"/>
      <c r="H41" s="497"/>
      <c r="I41" s="497"/>
      <c r="J41" s="497"/>
      <c r="K41" s="497"/>
      <c r="L41" s="497"/>
      <c r="M41" s="497"/>
      <c r="N41" s="497"/>
      <c r="O41" s="486"/>
      <c r="P41" s="494"/>
    </row>
    <row r="42" spans="2:16" ht="14.4" customHeight="1" x14ac:dyDescent="0.25">
      <c r="B42" s="498" t="s">
        <v>330</v>
      </c>
      <c r="C42" s="446"/>
      <c r="D42" s="499" t="s">
        <v>331</v>
      </c>
      <c r="E42" s="500"/>
      <c r="F42" s="500"/>
      <c r="G42" s="500"/>
      <c r="H42" s="500"/>
      <c r="I42" s="500"/>
      <c r="J42" s="500"/>
      <c r="K42" s="500"/>
      <c r="L42" s="500"/>
      <c r="M42" s="500"/>
      <c r="N42" s="500"/>
      <c r="O42" s="482"/>
      <c r="P42" s="494"/>
    </row>
    <row r="43" spans="2:16" ht="14.4" customHeight="1" x14ac:dyDescent="0.25">
      <c r="B43" s="413" t="s">
        <v>203</v>
      </c>
      <c r="C43" s="446"/>
      <c r="D43" s="491"/>
      <c r="E43" s="491"/>
      <c r="F43" s="491"/>
      <c r="G43" s="491"/>
      <c r="H43" s="491"/>
      <c r="I43" s="491"/>
      <c r="J43" s="491"/>
      <c r="K43" s="492"/>
      <c r="L43" s="492"/>
      <c r="M43" s="492"/>
      <c r="N43" s="492"/>
      <c r="O43" s="493"/>
      <c r="P43" s="494"/>
    </row>
    <row r="44" spans="2:16" ht="14.4" customHeight="1" x14ac:dyDescent="0.25">
      <c r="B44" s="495" t="s">
        <v>332</v>
      </c>
      <c r="C44" s="446"/>
      <c r="D44" s="496" t="s">
        <v>333</v>
      </c>
      <c r="E44" s="497"/>
      <c r="F44" s="497"/>
      <c r="G44" s="497"/>
      <c r="H44" s="497"/>
      <c r="I44" s="497"/>
      <c r="J44" s="497"/>
      <c r="K44" s="497"/>
      <c r="L44" s="497"/>
      <c r="M44" s="497"/>
      <c r="N44" s="497"/>
      <c r="O44" s="486"/>
      <c r="P44" s="494"/>
    </row>
    <row r="45" spans="2:16" ht="14.4" customHeight="1" x14ac:dyDescent="0.25">
      <c r="B45" s="495" t="s">
        <v>334</v>
      </c>
      <c r="C45" s="446"/>
      <c r="D45" s="496" t="s">
        <v>335</v>
      </c>
      <c r="E45" s="497"/>
      <c r="F45" s="497"/>
      <c r="G45" s="497"/>
      <c r="H45" s="497"/>
      <c r="I45" s="497"/>
      <c r="J45" s="497"/>
      <c r="K45" s="497"/>
      <c r="L45" s="497"/>
      <c r="M45" s="497"/>
      <c r="N45" s="497"/>
      <c r="O45" s="486"/>
      <c r="P45" s="494"/>
    </row>
    <row r="46" spans="2:16" ht="14.4" customHeight="1" x14ac:dyDescent="0.25">
      <c r="B46" s="413" t="s">
        <v>336</v>
      </c>
      <c r="C46" s="446"/>
      <c r="D46" s="491"/>
      <c r="E46" s="491"/>
      <c r="F46" s="491"/>
      <c r="G46" s="491"/>
      <c r="H46" s="491"/>
      <c r="I46" s="491"/>
      <c r="J46" s="491"/>
      <c r="K46" s="491"/>
      <c r="L46" s="491"/>
      <c r="M46" s="492"/>
      <c r="N46" s="492"/>
      <c r="O46" s="493"/>
      <c r="P46" s="494"/>
    </row>
    <row r="47" spans="2:16" ht="26.4" customHeight="1" x14ac:dyDescent="0.25">
      <c r="B47" s="501" t="s">
        <v>337</v>
      </c>
      <c r="C47" s="446"/>
      <c r="D47" s="502" t="s">
        <v>353</v>
      </c>
      <c r="E47" s="503"/>
      <c r="F47" s="503"/>
      <c r="G47" s="503"/>
      <c r="H47" s="503"/>
      <c r="I47" s="503"/>
      <c r="J47" s="503"/>
      <c r="K47" s="503"/>
      <c r="L47" s="503"/>
      <c r="M47" s="503"/>
      <c r="N47" s="504"/>
      <c r="O47" s="505"/>
      <c r="P47" s="506"/>
    </row>
    <row r="48" spans="2:16" ht="15" customHeight="1" x14ac:dyDescent="0.25">
      <c r="B48" s="507" t="s">
        <v>210</v>
      </c>
      <c r="C48" s="446"/>
      <c r="D48" s="508"/>
      <c r="E48" s="509"/>
      <c r="F48" s="509"/>
      <c r="G48" s="509"/>
      <c r="H48" s="509"/>
      <c r="I48" s="509"/>
      <c r="J48" s="509"/>
      <c r="K48" s="509"/>
      <c r="L48" s="509"/>
      <c r="M48" s="509"/>
      <c r="N48" s="510"/>
      <c r="O48" s="505"/>
      <c r="P48" s="506"/>
    </row>
    <row r="49" spans="2:16" ht="14.4" customHeight="1" x14ac:dyDescent="0.25">
      <c r="B49" s="495" t="s">
        <v>338</v>
      </c>
      <c r="C49" s="446"/>
      <c r="D49" s="496" t="s">
        <v>339</v>
      </c>
      <c r="E49" s="497"/>
      <c r="F49" s="497"/>
      <c r="G49" s="497"/>
      <c r="H49" s="497"/>
      <c r="I49" s="497"/>
      <c r="J49" s="497"/>
      <c r="K49" s="497"/>
      <c r="L49" s="497"/>
      <c r="M49" s="497"/>
      <c r="N49" s="497"/>
      <c r="O49" s="486"/>
      <c r="P49" s="487"/>
    </row>
    <row r="50" spans="2:16" ht="14.4" customHeight="1" x14ac:dyDescent="0.25">
      <c r="B50" s="498"/>
      <c r="C50" s="480"/>
      <c r="D50" s="480"/>
      <c r="E50" s="480"/>
      <c r="F50" s="480"/>
      <c r="G50" s="480"/>
      <c r="H50" s="480"/>
      <c r="I50" s="480"/>
      <c r="J50" s="480"/>
      <c r="K50" s="480"/>
      <c r="L50" s="480"/>
      <c r="M50" s="480"/>
      <c r="N50" s="480"/>
      <c r="O50" s="482"/>
    </row>
    <row r="53" spans="2:16" ht="14.4" customHeight="1" x14ac:dyDescent="0.25">
      <c r="B53" s="146" t="s">
        <v>184</v>
      </c>
      <c r="C53" s="146"/>
      <c r="D53" s="146" t="s">
        <v>185</v>
      </c>
      <c r="E53" s="425" t="s">
        <v>23</v>
      </c>
      <c r="F53" s="425"/>
      <c r="G53" s="425"/>
      <c r="H53" s="425"/>
      <c r="I53" s="425"/>
      <c r="J53" s="425"/>
      <c r="K53" s="425"/>
      <c r="L53" s="425"/>
      <c r="M53" s="425"/>
      <c r="N53" s="425"/>
      <c r="O53" s="425"/>
    </row>
    <row r="54" spans="2:16" ht="14.4" customHeight="1" x14ac:dyDescent="0.25">
      <c r="B54" s="466"/>
      <c r="C54" s="465"/>
      <c r="D54" s="467"/>
      <c r="E54" s="467"/>
      <c r="F54" s="467"/>
      <c r="G54" s="467"/>
      <c r="H54" s="467"/>
      <c r="I54" s="467"/>
      <c r="J54" s="467"/>
      <c r="K54" s="467"/>
      <c r="L54" s="467"/>
      <c r="M54" s="467"/>
      <c r="N54" s="467"/>
    </row>
    <row r="55" spans="2:16" ht="28.2" customHeight="1" x14ac:dyDescent="0.25">
      <c r="B55" s="524" t="s">
        <v>7</v>
      </c>
      <c r="C55" s="526" t="s">
        <v>389</v>
      </c>
      <c r="D55" s="544" t="s">
        <v>424</v>
      </c>
      <c r="E55" s="516" t="s">
        <v>390</v>
      </c>
      <c r="F55" s="516"/>
      <c r="G55" s="516"/>
      <c r="H55" s="516"/>
      <c r="I55" s="516"/>
      <c r="J55" s="516"/>
      <c r="K55" s="516"/>
      <c r="L55" s="516"/>
      <c r="M55" s="516"/>
      <c r="N55" s="516"/>
      <c r="O55" s="517"/>
    </row>
    <row r="56" spans="2:16" ht="28.2" customHeight="1" x14ac:dyDescent="0.25">
      <c r="B56" s="524"/>
      <c r="C56" s="527" t="s">
        <v>391</v>
      </c>
      <c r="D56" s="513" t="s">
        <v>425</v>
      </c>
      <c r="E56" s="511" t="s">
        <v>403</v>
      </c>
      <c r="F56" s="511"/>
      <c r="G56" s="511"/>
      <c r="H56" s="511"/>
      <c r="I56" s="511"/>
      <c r="J56" s="511"/>
      <c r="K56" s="511"/>
      <c r="L56" s="511"/>
      <c r="M56" s="511"/>
      <c r="N56" s="511"/>
      <c r="O56" s="518"/>
    </row>
    <row r="57" spans="2:16" ht="14.4" customHeight="1" x14ac:dyDescent="0.25">
      <c r="B57" s="524"/>
      <c r="C57" s="527" t="s">
        <v>392</v>
      </c>
      <c r="D57" s="513" t="s">
        <v>426</v>
      </c>
      <c r="E57" s="472" t="s">
        <v>404</v>
      </c>
      <c r="F57" s="472"/>
      <c r="G57" s="472"/>
      <c r="H57" s="472"/>
      <c r="I57" s="472"/>
      <c r="J57" s="472"/>
      <c r="K57" s="472"/>
      <c r="L57" s="472"/>
      <c r="M57" s="472"/>
      <c r="N57" s="472"/>
      <c r="O57" s="519"/>
    </row>
    <row r="58" spans="2:16" ht="14.4" customHeight="1" x14ac:dyDescent="0.25">
      <c r="B58" s="524"/>
      <c r="C58" s="528" t="s">
        <v>393</v>
      </c>
      <c r="D58" s="514" t="s">
        <v>427</v>
      </c>
      <c r="E58" s="472" t="s">
        <v>405</v>
      </c>
      <c r="F58" s="472"/>
      <c r="G58" s="472"/>
      <c r="H58" s="472"/>
      <c r="I58" s="472"/>
      <c r="J58" s="472"/>
      <c r="K58" s="472"/>
      <c r="L58" s="472"/>
      <c r="M58" s="472"/>
      <c r="N58" s="472"/>
      <c r="O58" s="519"/>
    </row>
    <row r="59" spans="2:16" ht="14.4" customHeight="1" x14ac:dyDescent="0.25">
      <c r="B59" s="524"/>
      <c r="C59" s="528" t="s">
        <v>394</v>
      </c>
      <c r="D59" s="514" t="s">
        <v>428</v>
      </c>
      <c r="E59" s="472" t="s">
        <v>406</v>
      </c>
      <c r="F59" s="472"/>
      <c r="G59" s="472"/>
      <c r="H59" s="472"/>
      <c r="I59" s="472"/>
      <c r="J59" s="472"/>
      <c r="K59" s="472"/>
      <c r="L59" s="472"/>
      <c r="M59" s="472"/>
      <c r="N59" s="472"/>
      <c r="O59" s="519"/>
    </row>
    <row r="60" spans="2:16" ht="14.4" customHeight="1" x14ac:dyDescent="0.25">
      <c r="B60" s="524"/>
      <c r="C60" s="529" t="s">
        <v>10</v>
      </c>
      <c r="D60" s="514" t="s">
        <v>429</v>
      </c>
      <c r="E60" s="470" t="s">
        <v>407</v>
      </c>
      <c r="F60" s="470"/>
      <c r="G60" s="470"/>
      <c r="H60" s="470"/>
      <c r="I60" s="470"/>
      <c r="J60" s="470"/>
      <c r="K60" s="470"/>
      <c r="L60" s="470"/>
      <c r="M60" s="470"/>
      <c r="N60" s="470"/>
      <c r="O60" s="520"/>
    </row>
    <row r="61" spans="2:16" ht="28.8" customHeight="1" x14ac:dyDescent="0.25">
      <c r="B61" s="524" t="s">
        <v>36</v>
      </c>
      <c r="C61" s="530" t="s">
        <v>193</v>
      </c>
      <c r="D61" s="513" t="s">
        <v>430</v>
      </c>
      <c r="E61" s="473" t="s">
        <v>409</v>
      </c>
      <c r="F61" s="473"/>
      <c r="G61" s="473"/>
      <c r="H61" s="473"/>
      <c r="I61" s="473"/>
      <c r="J61" s="473"/>
      <c r="K61" s="473"/>
      <c r="L61" s="473"/>
      <c r="M61" s="473"/>
      <c r="N61" s="473"/>
      <c r="O61" s="521"/>
    </row>
    <row r="62" spans="2:16" ht="28.8" customHeight="1" x14ac:dyDescent="0.25">
      <c r="B62" s="524"/>
      <c r="C62" s="530" t="s">
        <v>408</v>
      </c>
      <c r="D62" s="513" t="s">
        <v>359</v>
      </c>
      <c r="E62" s="511" t="s">
        <v>410</v>
      </c>
      <c r="F62" s="511"/>
      <c r="G62" s="511"/>
      <c r="H62" s="511"/>
      <c r="I62" s="511"/>
      <c r="J62" s="511"/>
      <c r="K62" s="511"/>
      <c r="L62" s="511"/>
      <c r="M62" s="511"/>
      <c r="N62" s="511"/>
      <c r="O62" s="518"/>
    </row>
    <row r="63" spans="2:16" ht="14.4" customHeight="1" x14ac:dyDescent="0.25">
      <c r="B63" s="524"/>
      <c r="C63" s="530" t="s">
        <v>395</v>
      </c>
      <c r="D63" s="513" t="s">
        <v>343</v>
      </c>
      <c r="E63" s="471" t="s">
        <v>411</v>
      </c>
      <c r="F63" s="471"/>
      <c r="G63" s="471"/>
      <c r="H63" s="471"/>
      <c r="I63" s="471"/>
      <c r="J63" s="471"/>
      <c r="K63" s="471"/>
      <c r="L63" s="471"/>
      <c r="M63" s="471"/>
      <c r="N63" s="471"/>
      <c r="O63" s="522"/>
    </row>
    <row r="64" spans="2:16" ht="14.4" customHeight="1" x14ac:dyDescent="0.25">
      <c r="B64" s="524"/>
      <c r="C64" s="530" t="s">
        <v>85</v>
      </c>
      <c r="D64" s="513" t="s">
        <v>344</v>
      </c>
      <c r="E64" s="471" t="s">
        <v>423</v>
      </c>
      <c r="F64" s="471"/>
      <c r="G64" s="471"/>
      <c r="H64" s="471"/>
      <c r="I64" s="471"/>
      <c r="J64" s="471"/>
      <c r="K64" s="471"/>
      <c r="L64" s="471"/>
      <c r="M64" s="471"/>
      <c r="N64" s="471"/>
      <c r="O64" s="522"/>
    </row>
    <row r="65" spans="2:16" ht="14.4" customHeight="1" x14ac:dyDescent="0.25">
      <c r="B65" s="524" t="s">
        <v>341</v>
      </c>
      <c r="C65" s="530" t="s">
        <v>234</v>
      </c>
      <c r="D65" s="513" t="s">
        <v>431</v>
      </c>
      <c r="E65" s="472" t="s">
        <v>412</v>
      </c>
      <c r="F65" s="472"/>
      <c r="G65" s="472"/>
      <c r="H65" s="472"/>
      <c r="I65" s="472"/>
      <c r="J65" s="472"/>
      <c r="K65" s="472"/>
      <c r="L65" s="472"/>
      <c r="M65" s="472"/>
      <c r="N65" s="472"/>
      <c r="O65" s="519"/>
    </row>
    <row r="66" spans="2:16" ht="14.4" customHeight="1" x14ac:dyDescent="0.25">
      <c r="B66" s="524"/>
      <c r="C66" s="530" t="s">
        <v>396</v>
      </c>
      <c r="D66" s="513" t="s">
        <v>432</v>
      </c>
      <c r="E66" s="472" t="s">
        <v>421</v>
      </c>
      <c r="F66" s="472"/>
      <c r="G66" s="472"/>
      <c r="H66" s="472"/>
      <c r="I66" s="472"/>
      <c r="J66" s="472"/>
      <c r="K66" s="472"/>
      <c r="L66" s="472"/>
      <c r="M66" s="472"/>
      <c r="N66" s="472"/>
      <c r="O66" s="519"/>
    </row>
    <row r="67" spans="2:16" ht="14.4" customHeight="1" x14ac:dyDescent="0.25">
      <c r="B67" s="524"/>
      <c r="C67" s="530" t="s">
        <v>397</v>
      </c>
      <c r="D67" s="513" t="s">
        <v>369</v>
      </c>
      <c r="E67" s="473" t="s">
        <v>415</v>
      </c>
      <c r="F67" s="473"/>
      <c r="G67" s="473"/>
      <c r="H67" s="473"/>
      <c r="I67" s="473"/>
      <c r="J67" s="473"/>
      <c r="K67" s="473"/>
      <c r="L67" s="473"/>
      <c r="M67" s="473"/>
      <c r="N67" s="473"/>
      <c r="O67" s="521"/>
    </row>
    <row r="68" spans="2:16" ht="14.4" customHeight="1" x14ac:dyDescent="0.25">
      <c r="B68" s="524"/>
      <c r="C68" s="530" t="s">
        <v>232</v>
      </c>
      <c r="D68" s="513" t="s">
        <v>433</v>
      </c>
      <c r="E68" s="473" t="s">
        <v>436</v>
      </c>
      <c r="F68" s="473"/>
      <c r="G68" s="473"/>
      <c r="H68" s="473"/>
      <c r="I68" s="473"/>
      <c r="J68" s="473"/>
      <c r="K68" s="473"/>
      <c r="L68" s="473"/>
      <c r="M68" s="473"/>
      <c r="N68" s="473"/>
      <c r="O68" s="521"/>
      <c r="P68" s="1"/>
    </row>
    <row r="69" spans="2:16" ht="14.4" customHeight="1" x14ac:dyDescent="0.25">
      <c r="B69" s="524"/>
      <c r="C69" s="531" t="s">
        <v>198</v>
      </c>
      <c r="D69" s="513" t="s">
        <v>434</v>
      </c>
      <c r="E69" s="473" t="s">
        <v>416</v>
      </c>
      <c r="F69" s="473"/>
      <c r="G69" s="473"/>
      <c r="H69" s="473"/>
      <c r="I69" s="473"/>
      <c r="J69" s="473"/>
      <c r="K69" s="473"/>
      <c r="L69" s="473"/>
      <c r="M69" s="473"/>
      <c r="N69" s="473"/>
      <c r="O69" s="521"/>
    </row>
    <row r="70" spans="2:16" ht="14.4" customHeight="1" x14ac:dyDescent="0.25">
      <c r="B70" s="524"/>
      <c r="C70" s="530" t="s">
        <v>199</v>
      </c>
      <c r="D70" s="513" t="s">
        <v>435</v>
      </c>
      <c r="E70" s="473" t="s">
        <v>417</v>
      </c>
      <c r="F70" s="473"/>
      <c r="G70" s="473"/>
      <c r="H70" s="473"/>
      <c r="I70" s="473"/>
      <c r="J70" s="473"/>
      <c r="K70" s="473"/>
      <c r="L70" s="473"/>
      <c r="M70" s="473"/>
      <c r="N70" s="473"/>
      <c r="O70" s="521"/>
    </row>
    <row r="71" spans="2:16" ht="30" customHeight="1" x14ac:dyDescent="0.25">
      <c r="B71" s="524"/>
      <c r="C71" s="530" t="s">
        <v>398</v>
      </c>
      <c r="D71" s="513" t="s">
        <v>437</v>
      </c>
      <c r="E71" s="473" t="s">
        <v>418</v>
      </c>
      <c r="F71" s="473"/>
      <c r="G71" s="473"/>
      <c r="H71" s="473"/>
      <c r="I71" s="473"/>
      <c r="J71" s="473"/>
      <c r="K71" s="473"/>
      <c r="L71" s="473"/>
      <c r="M71" s="473"/>
      <c r="N71" s="473"/>
      <c r="O71" s="521"/>
    </row>
    <row r="72" spans="2:16" ht="14.4" customHeight="1" x14ac:dyDescent="0.25">
      <c r="B72" s="524"/>
      <c r="C72" s="532" t="s">
        <v>125</v>
      </c>
      <c r="D72" s="513" t="s">
        <v>438</v>
      </c>
      <c r="E72" s="473" t="s">
        <v>419</v>
      </c>
      <c r="F72" s="473"/>
      <c r="G72" s="473"/>
      <c r="H72" s="473"/>
      <c r="I72" s="473"/>
      <c r="J72" s="473"/>
      <c r="K72" s="473"/>
      <c r="L72" s="473"/>
      <c r="M72" s="473"/>
      <c r="N72" s="473"/>
      <c r="O72" s="521"/>
    </row>
    <row r="73" spans="2:16" ht="14.4" customHeight="1" x14ac:dyDescent="0.25">
      <c r="B73" s="524"/>
      <c r="C73" s="530" t="s">
        <v>197</v>
      </c>
      <c r="D73" s="513" t="s">
        <v>377</v>
      </c>
      <c r="E73" s="473" t="s">
        <v>420</v>
      </c>
      <c r="F73" s="473"/>
      <c r="G73" s="473"/>
      <c r="H73" s="473"/>
      <c r="I73" s="473"/>
      <c r="J73" s="473"/>
      <c r="K73" s="473"/>
      <c r="L73" s="473"/>
      <c r="M73" s="473"/>
      <c r="N73" s="473"/>
      <c r="O73" s="521"/>
    </row>
    <row r="74" spans="2:16" ht="14.4" customHeight="1" x14ac:dyDescent="0.25">
      <c r="B74" s="525" t="s">
        <v>37</v>
      </c>
      <c r="C74" s="530" t="s">
        <v>442</v>
      </c>
      <c r="D74" s="513" t="s">
        <v>443</v>
      </c>
      <c r="E74" s="533" t="s">
        <v>360</v>
      </c>
      <c r="F74" s="534"/>
      <c r="G74" s="534"/>
      <c r="H74" s="534"/>
      <c r="I74" s="534"/>
      <c r="J74" s="534"/>
      <c r="K74" s="534"/>
      <c r="L74" s="534"/>
      <c r="M74" s="534"/>
      <c r="N74" s="534"/>
      <c r="O74" s="535"/>
    </row>
    <row r="75" spans="2:16" ht="55.8" customHeight="1" x14ac:dyDescent="0.25">
      <c r="B75" s="525" t="s">
        <v>43</v>
      </c>
      <c r="C75" s="530" t="s">
        <v>400</v>
      </c>
      <c r="D75" s="513" t="s">
        <v>439</v>
      </c>
      <c r="E75" s="473" t="s">
        <v>413</v>
      </c>
      <c r="F75" s="473"/>
      <c r="G75" s="473"/>
      <c r="H75" s="473"/>
      <c r="I75" s="473"/>
      <c r="J75" s="473"/>
      <c r="K75" s="473"/>
      <c r="L75" s="473"/>
      <c r="M75" s="473"/>
      <c r="N75" s="473"/>
      <c r="O75" s="521"/>
    </row>
    <row r="76" spans="2:16" ht="28.8" customHeight="1" x14ac:dyDescent="0.25">
      <c r="B76" s="525" t="s">
        <v>401</v>
      </c>
      <c r="C76" s="530" t="s">
        <v>243</v>
      </c>
      <c r="D76" s="514" t="s">
        <v>370</v>
      </c>
      <c r="E76" s="468" t="s">
        <v>441</v>
      </c>
      <c r="F76" s="468"/>
      <c r="G76" s="468"/>
      <c r="H76" s="468"/>
      <c r="I76" s="468"/>
      <c r="J76" s="468"/>
      <c r="K76" s="468"/>
      <c r="L76" s="468"/>
      <c r="M76" s="468"/>
      <c r="N76" s="468"/>
      <c r="O76" s="523"/>
    </row>
    <row r="77" spans="2:16" ht="14.4" customHeight="1" x14ac:dyDescent="0.25">
      <c r="B77" s="545" t="s">
        <v>342</v>
      </c>
      <c r="C77" s="546" t="s">
        <v>399</v>
      </c>
      <c r="D77" s="547" t="s">
        <v>440</v>
      </c>
      <c r="E77" s="548" t="s">
        <v>414</v>
      </c>
      <c r="F77" s="548"/>
      <c r="G77" s="548"/>
      <c r="H77" s="548"/>
      <c r="I77" s="548"/>
      <c r="J77" s="548"/>
      <c r="K77" s="548"/>
      <c r="L77" s="548"/>
      <c r="M77" s="548"/>
      <c r="N77" s="548"/>
      <c r="O77" s="549"/>
    </row>
    <row r="78" spans="2:16" ht="43.8" customHeight="1" x14ac:dyDescent="0.25">
      <c r="B78" s="550" t="s">
        <v>55</v>
      </c>
      <c r="C78" s="469"/>
      <c r="D78" s="514" t="s">
        <v>444</v>
      </c>
      <c r="E78" s="551" t="s">
        <v>371</v>
      </c>
      <c r="F78" s="551"/>
      <c r="G78" s="551"/>
      <c r="H78" s="551"/>
      <c r="I78" s="551"/>
      <c r="J78" s="551"/>
      <c r="K78" s="551"/>
      <c r="L78" s="551"/>
      <c r="M78" s="551"/>
      <c r="N78" s="551"/>
      <c r="O78" s="552"/>
    </row>
    <row r="79" spans="2:16" ht="43.2" customHeight="1" x14ac:dyDescent="0.25">
      <c r="B79" s="553" t="s">
        <v>51</v>
      </c>
      <c r="C79" s="469"/>
      <c r="D79" s="514" t="s">
        <v>445</v>
      </c>
      <c r="E79" s="468" t="s">
        <v>372</v>
      </c>
      <c r="F79" s="468"/>
      <c r="G79" s="468"/>
      <c r="H79" s="468"/>
      <c r="I79" s="468"/>
      <c r="J79" s="468"/>
      <c r="K79" s="468"/>
      <c r="L79" s="468"/>
      <c r="M79" s="468"/>
      <c r="N79" s="468"/>
      <c r="O79" s="523"/>
    </row>
    <row r="80" spans="2:16" ht="28.2" customHeight="1" x14ac:dyDescent="0.25">
      <c r="B80" s="553" t="s">
        <v>118</v>
      </c>
      <c r="C80" s="469"/>
      <c r="D80" s="514" t="s">
        <v>446</v>
      </c>
      <c r="E80" s="468" t="s">
        <v>374</v>
      </c>
      <c r="F80" s="468"/>
      <c r="G80" s="468"/>
      <c r="H80" s="468"/>
      <c r="I80" s="468"/>
      <c r="J80" s="468"/>
      <c r="K80" s="468"/>
      <c r="L80" s="468"/>
      <c r="M80" s="468"/>
      <c r="N80" s="468"/>
      <c r="O80" s="523"/>
    </row>
    <row r="81" spans="2:15" ht="14.4" customHeight="1" x14ac:dyDescent="0.25">
      <c r="B81" s="553" t="s">
        <v>174</v>
      </c>
      <c r="C81" s="469"/>
      <c r="D81" s="514" t="s">
        <v>345</v>
      </c>
      <c r="E81" s="470" t="s">
        <v>447</v>
      </c>
      <c r="F81" s="470"/>
      <c r="G81" s="470"/>
      <c r="H81" s="470"/>
      <c r="I81" s="470"/>
      <c r="J81" s="470"/>
      <c r="K81" s="470"/>
      <c r="L81" s="470"/>
      <c r="M81" s="470"/>
      <c r="N81" s="470"/>
      <c r="O81" s="520"/>
    </row>
    <row r="82" spans="2:15" ht="27.6" customHeight="1" x14ac:dyDescent="0.25">
      <c r="B82" s="553" t="s">
        <v>155</v>
      </c>
      <c r="C82" s="469"/>
      <c r="D82" s="514" t="s">
        <v>346</v>
      </c>
      <c r="E82" s="468" t="s">
        <v>373</v>
      </c>
      <c r="F82" s="468"/>
      <c r="G82" s="468"/>
      <c r="H82" s="468"/>
      <c r="I82" s="468"/>
      <c r="J82" s="468"/>
      <c r="K82" s="468"/>
      <c r="L82" s="468"/>
      <c r="M82" s="468"/>
      <c r="N82" s="468"/>
      <c r="O82" s="523"/>
    </row>
    <row r="83" spans="2:15" ht="14.4" customHeight="1" x14ac:dyDescent="0.25">
      <c r="B83" s="553" t="s">
        <v>402</v>
      </c>
      <c r="C83" s="469"/>
      <c r="D83" s="514" t="s">
        <v>448</v>
      </c>
      <c r="E83" s="470" t="s">
        <v>376</v>
      </c>
      <c r="F83" s="470"/>
      <c r="G83" s="470"/>
      <c r="H83" s="470"/>
      <c r="I83" s="470"/>
      <c r="J83" s="470"/>
      <c r="K83" s="470"/>
      <c r="L83" s="470"/>
      <c r="M83" s="470"/>
      <c r="N83" s="470"/>
      <c r="O83" s="520"/>
    </row>
    <row r="84" spans="2:15" ht="31.8" customHeight="1" x14ac:dyDescent="0.25">
      <c r="B84" s="554" t="s">
        <v>183</v>
      </c>
      <c r="C84" s="555"/>
      <c r="D84" s="556" t="s">
        <v>449</v>
      </c>
      <c r="E84" s="557" t="s">
        <v>375</v>
      </c>
      <c r="F84" s="557"/>
      <c r="G84" s="557"/>
      <c r="H84" s="557"/>
      <c r="I84" s="557"/>
      <c r="J84" s="557"/>
      <c r="K84" s="557"/>
      <c r="L84" s="557"/>
      <c r="M84" s="557"/>
      <c r="N84" s="557"/>
      <c r="O84" s="558"/>
    </row>
    <row r="85" spans="2:15" ht="14.4" customHeight="1" x14ac:dyDescent="0.25">
      <c r="B85" s="487"/>
      <c r="C85" s="512"/>
      <c r="E85" s="512"/>
    </row>
    <row r="86" spans="2:15" ht="14.4" customHeight="1" x14ac:dyDescent="0.25">
      <c r="C86" s="512"/>
      <c r="E86" s="512"/>
    </row>
    <row r="87" spans="2:15" ht="14.4" customHeight="1" x14ac:dyDescent="0.25">
      <c r="C87" s="512"/>
      <c r="E87" s="512"/>
    </row>
    <row r="88" spans="2:15" ht="14.4" customHeight="1" x14ac:dyDescent="0.25">
      <c r="C88" s="512"/>
      <c r="E88" s="512"/>
    </row>
    <row r="89" spans="2:15" ht="14.4" customHeight="1" x14ac:dyDescent="0.25">
      <c r="C89" s="512"/>
      <c r="E89" s="512"/>
    </row>
    <row r="90" spans="2:15" ht="14.4" customHeight="1" x14ac:dyDescent="0.25">
      <c r="C90" s="512"/>
      <c r="E90" s="512"/>
    </row>
    <row r="91" spans="2:15" ht="14.4" customHeight="1" x14ac:dyDescent="0.25">
      <c r="C91" s="512"/>
      <c r="E91" s="512"/>
    </row>
    <row r="92" spans="2:15" ht="14.4" customHeight="1" x14ac:dyDescent="0.25">
      <c r="C92" s="512"/>
      <c r="E92" s="512"/>
    </row>
    <row r="93" spans="2:15" ht="14.4" customHeight="1" x14ac:dyDescent="0.25">
      <c r="C93" s="512"/>
      <c r="E93" s="512"/>
    </row>
    <row r="94" spans="2:15" ht="14.4" customHeight="1" x14ac:dyDescent="0.25">
      <c r="C94" s="512"/>
      <c r="E94" s="512"/>
    </row>
    <row r="95" spans="2:15" ht="14.4" customHeight="1" x14ac:dyDescent="0.25">
      <c r="C95" s="512"/>
      <c r="E95" s="512"/>
    </row>
    <row r="96" spans="2:15" ht="14.4" customHeight="1" x14ac:dyDescent="0.25">
      <c r="C96" s="512"/>
      <c r="E96" s="512"/>
    </row>
    <row r="97" spans="3:5" ht="14.4" customHeight="1" x14ac:dyDescent="0.25">
      <c r="C97" s="512"/>
      <c r="E97" s="512"/>
    </row>
    <row r="98" spans="3:5" ht="14.4" customHeight="1" x14ac:dyDescent="0.25">
      <c r="C98" s="512"/>
      <c r="E98" s="512"/>
    </row>
    <row r="99" spans="3:5" ht="14.4" customHeight="1" x14ac:dyDescent="0.25">
      <c r="C99" s="512"/>
    </row>
    <row r="100" spans="3:5" ht="14.4" customHeight="1" x14ac:dyDescent="0.25">
      <c r="C100" s="512"/>
    </row>
    <row r="101" spans="3:5" ht="14.4" customHeight="1" x14ac:dyDescent="0.25">
      <c r="C101" s="512"/>
    </row>
    <row r="102" spans="3:5" ht="14.4" customHeight="1" x14ac:dyDescent="0.25">
      <c r="C102" s="512"/>
    </row>
    <row r="103" spans="3:5" ht="14.4" customHeight="1" x14ac:dyDescent="0.25">
      <c r="C103" s="512"/>
    </row>
    <row r="104" spans="3:5" ht="14.4" customHeight="1" x14ac:dyDescent="0.25">
      <c r="C104" s="512"/>
    </row>
    <row r="105" spans="3:5" ht="14.4" customHeight="1" x14ac:dyDescent="0.25">
      <c r="C105" s="512"/>
    </row>
    <row r="106" spans="3:5" ht="14.4" customHeight="1" x14ac:dyDescent="0.25">
      <c r="C106" s="512"/>
    </row>
  </sheetData>
  <mergeCells count="54">
    <mergeCell ref="E82:O82"/>
    <mergeCell ref="E83:O83"/>
    <mergeCell ref="E84:O84"/>
    <mergeCell ref="E74:O74"/>
    <mergeCell ref="E77:O77"/>
    <mergeCell ref="E78:O78"/>
    <mergeCell ref="E79:O79"/>
    <mergeCell ref="E80:O80"/>
    <mergeCell ref="E81:O81"/>
    <mergeCell ref="E71:O71"/>
    <mergeCell ref="E72:O72"/>
    <mergeCell ref="E73:O73"/>
    <mergeCell ref="E75:O75"/>
    <mergeCell ref="E76:O76"/>
    <mergeCell ref="E66:O66"/>
    <mergeCell ref="E67:O67"/>
    <mergeCell ref="E68:O68"/>
    <mergeCell ref="E69:O69"/>
    <mergeCell ref="E70:O70"/>
    <mergeCell ref="B55:B60"/>
    <mergeCell ref="B61:B64"/>
    <mergeCell ref="B65:B73"/>
    <mergeCell ref="E53:O53"/>
    <mergeCell ref="E55:O55"/>
    <mergeCell ref="E56:O56"/>
    <mergeCell ref="E57:O57"/>
    <mergeCell ref="E58:O58"/>
    <mergeCell ref="E59:O59"/>
    <mergeCell ref="E60:O60"/>
    <mergeCell ref="E61:O61"/>
    <mergeCell ref="E62:O62"/>
    <mergeCell ref="E63:O63"/>
    <mergeCell ref="E64:O64"/>
    <mergeCell ref="E65:O65"/>
    <mergeCell ref="C11:G11"/>
    <mergeCell ref="D40:N40"/>
    <mergeCell ref="D41:N41"/>
    <mergeCell ref="C37:C49"/>
    <mergeCell ref="D42:N42"/>
    <mergeCell ref="D45:N45"/>
    <mergeCell ref="D49:N49"/>
    <mergeCell ref="D47:N48"/>
    <mergeCell ref="D35:K35"/>
    <mergeCell ref="C6:G6"/>
    <mergeCell ref="C7:G7"/>
    <mergeCell ref="C8:G8"/>
    <mergeCell ref="C9:G9"/>
    <mergeCell ref="C10:G10"/>
    <mergeCell ref="B28:D28"/>
    <mergeCell ref="B20:D20"/>
    <mergeCell ref="C12:G12"/>
    <mergeCell ref="D44:N44"/>
    <mergeCell ref="D37:N38"/>
    <mergeCell ref="B34:N34"/>
  </mergeCells>
  <hyperlinks>
    <hyperlink ref="C11:G11" r:id="rId1" display="Punjab &amp; SInd Bank" xr:uid="{5EE06FDE-83B7-48C3-A7D8-8A23D6738B04}"/>
  </hyperlink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98EF6A0B-E9D1-49C1-BB23-15B5202E42B8}">
          <x14:formula1>
            <xm:f>'Income Buildup'!$C$15:$C$17</xm:f>
          </x14:formula1>
          <xm:sqref>B17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3179-0982-4B31-ADE6-2088A93CB867}">
  <dimension ref="C4:X48"/>
  <sheetViews>
    <sheetView showGridLines="0" topLeftCell="A4" zoomScale="110" zoomScaleNormal="110" workbookViewId="0">
      <selection activeCell="J23" sqref="J23"/>
    </sheetView>
  </sheetViews>
  <sheetFormatPr defaultRowHeight="14.4" customHeight="1" x14ac:dyDescent="0.25"/>
  <cols>
    <col min="1" max="3" width="1.33203125" style="2" customWidth="1"/>
    <col min="4" max="4" width="51.44140625" style="2" customWidth="1"/>
    <col min="5" max="5" width="12.109375" style="2" bestFit="1" customWidth="1"/>
    <col min="6" max="9" width="10.77734375" style="2" customWidth="1"/>
    <col min="10" max="10" width="18.5546875" style="2" bestFit="1" customWidth="1"/>
    <col min="11" max="11" width="12.109375" style="2" bestFit="1" customWidth="1"/>
    <col min="12" max="12" width="15.109375" style="2" bestFit="1" customWidth="1"/>
    <col min="13" max="13" width="12.109375" style="2" bestFit="1" customWidth="1"/>
    <col min="14" max="14" width="13.109375" style="2" customWidth="1"/>
    <col min="15" max="15" width="12.33203125" style="2" bestFit="1" customWidth="1"/>
    <col min="16" max="16384" width="8.88671875" style="2"/>
  </cols>
  <sheetData>
    <row r="4" spans="3:17" ht="14.4" customHeight="1" x14ac:dyDescent="0.3">
      <c r="D4"/>
    </row>
    <row r="5" spans="3:17" ht="14.4" customHeight="1" x14ac:dyDescent="0.25">
      <c r="H5" s="66" t="s">
        <v>64</v>
      </c>
    </row>
    <row r="6" spans="3:17" ht="16.8" customHeight="1" x14ac:dyDescent="0.25">
      <c r="D6" s="425" t="s">
        <v>177</v>
      </c>
      <c r="E6" s="425"/>
      <c r="F6" s="425"/>
      <c r="G6" s="425"/>
      <c r="H6" s="425"/>
      <c r="I6" s="425"/>
    </row>
    <row r="7" spans="3:17" ht="14.85" customHeight="1" x14ac:dyDescent="0.25">
      <c r="D7" s="1"/>
      <c r="E7" s="17">
        <v>2020</v>
      </c>
      <c r="F7" s="3">
        <f>E7+1</f>
        <v>2021</v>
      </c>
      <c r="G7" s="3">
        <f>F7+1</f>
        <v>2022</v>
      </c>
      <c r="H7" s="3">
        <f>G7+1</f>
        <v>2023</v>
      </c>
      <c r="I7" s="3">
        <f>H7+1</f>
        <v>2024</v>
      </c>
    </row>
    <row r="8" spans="3:17" ht="14.85" customHeight="1" x14ac:dyDescent="0.25">
      <c r="D8" s="5" t="s">
        <v>0</v>
      </c>
      <c r="E8" s="155" t="s">
        <v>8</v>
      </c>
      <c r="F8" s="25" t="s">
        <v>8</v>
      </c>
      <c r="G8" s="25" t="s">
        <v>8</v>
      </c>
      <c r="H8" s="25" t="s">
        <v>8</v>
      </c>
      <c r="I8" s="25" t="s">
        <v>8</v>
      </c>
    </row>
    <row r="9" spans="3:17" ht="14.85" customHeight="1" x14ac:dyDescent="0.25">
      <c r="C9" s="159" t="s">
        <v>189</v>
      </c>
      <c r="D9" s="1"/>
      <c r="E9" s="77"/>
      <c r="F9" s="60"/>
      <c r="G9" s="60"/>
      <c r="H9" s="60"/>
      <c r="I9" s="60"/>
      <c r="L9" s="13"/>
      <c r="P9" s="13"/>
    </row>
    <row r="10" spans="3:17" ht="14.85" customHeight="1" x14ac:dyDescent="0.25">
      <c r="C10" s="1"/>
      <c r="D10" s="1" t="s">
        <v>190</v>
      </c>
      <c r="E10" s="224">
        <v>7929.5261</v>
      </c>
      <c r="F10" s="225">
        <v>6973.9143000000004</v>
      </c>
      <c r="G10" s="225">
        <v>7095.8101999999999</v>
      </c>
      <c r="H10" s="225">
        <v>7992.7313999999997</v>
      </c>
      <c r="I10" s="225">
        <v>9693.9755999999998</v>
      </c>
      <c r="L10" s="13"/>
      <c r="P10" s="13"/>
    </row>
    <row r="11" spans="3:17" ht="14.85" customHeight="1" x14ac:dyDescent="0.25">
      <c r="C11" s="1"/>
      <c r="D11" s="1" t="s">
        <v>10</v>
      </c>
      <c r="E11" s="224">
        <v>897.39750000000004</v>
      </c>
      <c r="F11" s="225">
        <v>902.80190000000005</v>
      </c>
      <c r="G11" s="225">
        <v>959.37860000000001</v>
      </c>
      <c r="H11" s="225">
        <v>939.96029999999996</v>
      </c>
      <c r="I11" s="225">
        <v>1221.4692</v>
      </c>
      <c r="L11" s="13"/>
      <c r="P11" s="13"/>
    </row>
    <row r="12" spans="3:17" ht="14.85" customHeight="1" x14ac:dyDescent="0.25">
      <c r="C12" s="1"/>
      <c r="D12" s="4" t="s">
        <v>6</v>
      </c>
      <c r="E12" s="226">
        <f>SUM(E10:E11)</f>
        <v>8826.9236000000001</v>
      </c>
      <c r="F12" s="233">
        <f>SUM(F10:F11)</f>
        <v>7876.7162000000008</v>
      </c>
      <c r="G12" s="233">
        <f>SUM(G10:G11)</f>
        <v>8055.1887999999999</v>
      </c>
      <c r="H12" s="233">
        <f>SUM(H10:H11)</f>
        <v>8932.6916999999994</v>
      </c>
      <c r="I12" s="233">
        <f>SUM(I10:I11)</f>
        <v>10915.444799999999</v>
      </c>
      <c r="L12" s="13"/>
      <c r="P12" s="13"/>
      <c r="Q12" s="13"/>
    </row>
    <row r="13" spans="3:17" ht="14.85" customHeight="1" x14ac:dyDescent="0.3">
      <c r="C13" s="1"/>
      <c r="D13" s="1"/>
      <c r="E13" s="227"/>
      <c r="F13" s="228"/>
      <c r="G13" s="228"/>
      <c r="H13" s="228"/>
      <c r="I13" s="228"/>
      <c r="K13"/>
      <c r="L13" s="13"/>
      <c r="P13" s="13"/>
    </row>
    <row r="14" spans="3:17" ht="14.85" customHeight="1" x14ac:dyDescent="0.25">
      <c r="C14" s="159" t="s">
        <v>191</v>
      </c>
      <c r="D14" s="1"/>
      <c r="E14" s="229"/>
      <c r="F14" s="228"/>
      <c r="G14" s="228"/>
      <c r="H14" s="228"/>
      <c r="I14" s="228"/>
      <c r="K14" s="225"/>
      <c r="L14" s="225"/>
      <c r="M14" s="225"/>
      <c r="N14" s="225"/>
      <c r="O14" s="225"/>
      <c r="P14" s="13"/>
      <c r="Q14" s="13"/>
    </row>
    <row r="15" spans="3:17" ht="14.85" customHeight="1" x14ac:dyDescent="0.25">
      <c r="C15" s="1"/>
      <c r="D15" s="1" t="s">
        <v>192</v>
      </c>
      <c r="E15" s="224">
        <v>5610.7308000000003</v>
      </c>
      <c r="F15" s="225">
        <v>4452.6485000000002</v>
      </c>
      <c r="G15" s="225">
        <v>4207.7019</v>
      </c>
      <c r="H15" s="225">
        <v>4717.8380999999999</v>
      </c>
      <c r="I15" s="225">
        <v>6311.8656000000001</v>
      </c>
      <c r="K15" s="225"/>
      <c r="L15" s="225"/>
      <c r="M15" s="225"/>
      <c r="N15" s="225"/>
      <c r="O15" s="225"/>
      <c r="P15" s="13"/>
    </row>
    <row r="16" spans="3:17" ht="14.85" customHeight="1" x14ac:dyDescent="0.25">
      <c r="C16" s="1"/>
      <c r="D16" s="1" t="s">
        <v>285</v>
      </c>
      <c r="E16" s="224">
        <v>20.136399999999998</v>
      </c>
      <c r="F16" s="225">
        <v>11.8849</v>
      </c>
      <c r="G16" s="225">
        <v>2.4948000000000001</v>
      </c>
      <c r="H16" s="225">
        <v>149.48929999999999</v>
      </c>
      <c r="I16" s="225">
        <v>291.68709999999999</v>
      </c>
      <c r="K16" s="225"/>
      <c r="L16" s="225"/>
      <c r="M16" s="225"/>
      <c r="N16" s="225"/>
      <c r="O16" s="225"/>
      <c r="P16" s="13"/>
    </row>
    <row r="17" spans="3:17" ht="14.85" customHeight="1" x14ac:dyDescent="0.25">
      <c r="C17" s="1"/>
      <c r="D17" s="1" t="s">
        <v>286</v>
      </c>
      <c r="E17" s="224">
        <v>241.11410000000001</v>
      </c>
      <c r="F17" s="225">
        <v>247.4659</v>
      </c>
      <c r="G17" s="225">
        <v>234.2987</v>
      </c>
      <c r="H17" s="225">
        <v>152.02359999999999</v>
      </c>
      <c r="I17" s="225">
        <v>249.38120000000001</v>
      </c>
      <c r="K17" s="225"/>
      <c r="L17" s="225"/>
      <c r="M17" s="225"/>
      <c r="N17" s="225"/>
      <c r="O17" s="225"/>
      <c r="P17" s="13"/>
    </row>
    <row r="18" spans="3:17" ht="14.85" customHeight="1" x14ac:dyDescent="0.25">
      <c r="C18" s="1"/>
      <c r="D18" s="1" t="s">
        <v>193</v>
      </c>
      <c r="E18" s="224">
        <v>1443.29448</v>
      </c>
      <c r="F18" s="225">
        <v>1810.1769279999999</v>
      </c>
      <c r="G18" s="225">
        <v>1650.5046249999998</v>
      </c>
      <c r="H18" s="225">
        <v>1736.3015249999999</v>
      </c>
      <c r="I18" s="225">
        <v>2058.3023780000003</v>
      </c>
      <c r="K18" s="225"/>
      <c r="L18" s="225"/>
      <c r="M18" s="225"/>
      <c r="N18" s="225"/>
      <c r="O18" s="225"/>
      <c r="P18" s="13"/>
      <c r="Q18" s="13"/>
    </row>
    <row r="19" spans="3:17" ht="14.85" customHeight="1" x14ac:dyDescent="0.25">
      <c r="C19" s="1"/>
      <c r="D19" s="9" t="s">
        <v>39</v>
      </c>
      <c r="E19" s="230">
        <v>53.909399999999998</v>
      </c>
      <c r="F19" s="231">
        <v>102.13330000000001</v>
      </c>
      <c r="G19" s="231">
        <v>137.09039999999999</v>
      </c>
      <c r="H19" s="231">
        <v>148.33199999999999</v>
      </c>
      <c r="I19" s="231">
        <v>150.08430000000001</v>
      </c>
      <c r="K19" s="235"/>
      <c r="L19" s="235"/>
      <c r="M19" s="235"/>
      <c r="N19" s="234"/>
      <c r="O19" s="234"/>
      <c r="P19" s="13"/>
      <c r="Q19" s="13"/>
    </row>
    <row r="20" spans="3:17" ht="14.85" customHeight="1" x14ac:dyDescent="0.25">
      <c r="C20" s="1"/>
      <c r="D20" s="9" t="s">
        <v>194</v>
      </c>
      <c r="E20" s="224">
        <v>2087.7130999999999</v>
      </c>
      <c r="F20" s="225">
        <v>3504.1208000000001</v>
      </c>
      <c r="G20" s="225">
        <v>291.03590000000003</v>
      </c>
      <c r="H20" s="225">
        <v>136.90979999999999</v>
      </c>
      <c r="I20" s="225">
        <v>535.51700000000005</v>
      </c>
      <c r="K20" s="225"/>
      <c r="L20" s="225"/>
      <c r="M20" s="225"/>
      <c r="N20" s="190"/>
      <c r="O20" s="190"/>
      <c r="P20" s="13"/>
    </row>
    <row r="21" spans="3:17" ht="14.85" customHeight="1" x14ac:dyDescent="0.25">
      <c r="C21" s="1"/>
      <c r="D21" s="2" t="s">
        <v>298</v>
      </c>
      <c r="E21" s="224">
        <v>360.82362000000001</v>
      </c>
      <c r="F21" s="225">
        <v>481.18627199999997</v>
      </c>
      <c r="G21" s="225">
        <v>493.00787500000001</v>
      </c>
      <c r="H21" s="225">
        <v>578.76717499999995</v>
      </c>
      <c r="I21" s="225">
        <v>723.18732199999999</v>
      </c>
      <c r="K21" s="225"/>
      <c r="L21" s="225"/>
      <c r="M21" s="225"/>
      <c r="P21" s="13"/>
    </row>
    <row r="22" spans="3:17" ht="14.85" customHeight="1" x14ac:dyDescent="0.25">
      <c r="C22" s="1"/>
      <c r="D22" s="4" t="s">
        <v>6</v>
      </c>
      <c r="E22" s="232">
        <f>SUM(E15:E21)</f>
        <v>9817.7218999999986</v>
      </c>
      <c r="F22" s="233">
        <f>SUM(F15:F21)</f>
        <v>10609.616600000001</v>
      </c>
      <c r="G22" s="233">
        <f>SUM(G15:G21)</f>
        <v>7016.1342000000004</v>
      </c>
      <c r="H22" s="233">
        <f>SUM(H15:H21)</f>
        <v>7619.6615000000011</v>
      </c>
      <c r="I22" s="233">
        <f>SUM(I15:I21)</f>
        <v>10320.0249</v>
      </c>
      <c r="K22" s="225"/>
      <c r="L22" s="225"/>
      <c r="M22" s="225"/>
      <c r="N22" s="225"/>
      <c r="O22" s="225"/>
      <c r="P22" s="13"/>
    </row>
    <row r="23" spans="3:17" ht="14.85" customHeight="1" x14ac:dyDescent="0.25">
      <c r="C23" s="1"/>
      <c r="D23" s="1"/>
      <c r="E23" s="224"/>
      <c r="F23" s="225"/>
      <c r="G23" s="225"/>
      <c r="H23" s="225"/>
      <c r="I23" s="225"/>
      <c r="K23" s="225"/>
      <c r="L23" s="225"/>
      <c r="M23" s="225"/>
      <c r="N23" s="13"/>
      <c r="O23" s="13"/>
    </row>
    <row r="24" spans="3:17" ht="14.85" customHeight="1" x14ac:dyDescent="0.25">
      <c r="C24" s="1"/>
      <c r="D24" s="4" t="s">
        <v>42</v>
      </c>
      <c r="E24" s="232">
        <f>E12-E22</f>
        <v>-990.79829999999856</v>
      </c>
      <c r="F24" s="233">
        <f>F12-F22</f>
        <v>-2732.9004000000004</v>
      </c>
      <c r="G24" s="233">
        <f>G12-G22</f>
        <v>1039.0545999999995</v>
      </c>
      <c r="H24" s="233">
        <f>H12-H22</f>
        <v>1313.0301999999983</v>
      </c>
      <c r="I24" s="233">
        <f>I12-I22</f>
        <v>595.41989999999896</v>
      </c>
      <c r="K24" s="225"/>
      <c r="L24" s="225"/>
      <c r="M24" s="225"/>
    </row>
    <row r="25" spans="3:17" ht="14.85" customHeight="1" x14ac:dyDescent="0.3">
      <c r="C25" s="1"/>
      <c r="D25" s="1"/>
      <c r="E25" s="20"/>
      <c r="F25" s="20"/>
      <c r="G25" s="20"/>
      <c r="H25"/>
      <c r="I25" s="20"/>
      <c r="K25" s="13"/>
    </row>
    <row r="26" spans="3:17" ht="14.4" customHeight="1" x14ac:dyDescent="0.25">
      <c r="C26" s="1"/>
      <c r="D26" s="3"/>
      <c r="E26" s="3"/>
      <c r="F26" s="3"/>
      <c r="G26" s="3"/>
      <c r="H26" s="3"/>
      <c r="I26" s="3"/>
      <c r="J26" s="3"/>
      <c r="K26" s="3"/>
    </row>
    <row r="27" spans="3:17" ht="14.4" customHeight="1" x14ac:dyDescent="0.25">
      <c r="C27" s="1"/>
      <c r="D27" s="1"/>
      <c r="E27" s="15"/>
      <c r="F27" s="15"/>
      <c r="G27" s="15"/>
      <c r="H27" s="15"/>
      <c r="I27" s="15"/>
      <c r="J27" s="3"/>
      <c r="K27" s="3"/>
    </row>
    <row r="28" spans="3:17" ht="14.4" customHeight="1" x14ac:dyDescent="0.25">
      <c r="C28" s="1"/>
      <c r="D28" s="1"/>
      <c r="E28" s="20"/>
      <c r="F28" s="20"/>
      <c r="G28" s="20"/>
      <c r="H28" s="20"/>
      <c r="I28" s="20"/>
      <c r="M28" s="1"/>
      <c r="P28" s="13"/>
    </row>
    <row r="29" spans="3:17" ht="14.4" customHeight="1" x14ac:dyDescent="0.25">
      <c r="C29" s="1"/>
      <c r="D29" s="3"/>
      <c r="E29" s="12"/>
      <c r="F29" s="12"/>
      <c r="G29" s="12"/>
      <c r="H29" s="12"/>
      <c r="I29" s="12"/>
      <c r="M29" s="1"/>
      <c r="P29" s="13"/>
    </row>
    <row r="30" spans="3:17" ht="14.4" customHeight="1" x14ac:dyDescent="0.25">
      <c r="C30" s="1"/>
      <c r="D30" s="1"/>
      <c r="E30" s="15"/>
      <c r="F30" s="15"/>
      <c r="G30" s="15"/>
      <c r="H30" s="15"/>
      <c r="I30" s="15"/>
      <c r="J30" s="15"/>
      <c r="K30" s="15"/>
      <c r="M30" s="3"/>
      <c r="P30" s="13"/>
    </row>
    <row r="31" spans="3:17" ht="14.4" customHeight="1" x14ac:dyDescent="0.25">
      <c r="C31" s="1"/>
      <c r="D31" s="156"/>
      <c r="E31" s="12"/>
      <c r="F31" s="12"/>
      <c r="G31" s="12"/>
      <c r="H31" s="12"/>
      <c r="I31" s="12"/>
      <c r="M31" s="1"/>
      <c r="P31" s="13"/>
    </row>
    <row r="32" spans="3:17" ht="14.4" customHeight="1" x14ac:dyDescent="0.25">
      <c r="C32" s="1"/>
      <c r="D32" s="1"/>
      <c r="E32" s="20"/>
      <c r="F32" s="20"/>
      <c r="G32" s="20"/>
      <c r="H32" s="20"/>
      <c r="I32" s="20"/>
    </row>
    <row r="33" spans="3:24" ht="14.4" customHeight="1" x14ac:dyDescent="0.25">
      <c r="C33" s="1"/>
      <c r="D33" s="3"/>
      <c r="E33" s="12"/>
      <c r="F33" s="12"/>
      <c r="G33" s="12"/>
      <c r="H33" s="12"/>
      <c r="I33" s="12"/>
    </row>
    <row r="34" spans="3:24" ht="14.4" customHeight="1" x14ac:dyDescent="0.25">
      <c r="C34" s="1"/>
      <c r="D34" s="9"/>
      <c r="E34" s="20"/>
      <c r="F34" s="20"/>
      <c r="G34" s="20"/>
      <c r="H34" s="20"/>
      <c r="I34" s="20"/>
    </row>
    <row r="35" spans="3:24" ht="14.4" customHeight="1" x14ac:dyDescent="0.25">
      <c r="C35" s="1"/>
      <c r="D35" s="3"/>
      <c r="E35" s="12"/>
      <c r="F35" s="12"/>
      <c r="G35" s="12"/>
      <c r="H35" s="12"/>
      <c r="I35" s="12"/>
    </row>
    <row r="36" spans="3:24" ht="14.4" customHeight="1" x14ac:dyDescent="0.25">
      <c r="C36" s="1"/>
      <c r="D36" s="3"/>
      <c r="E36" s="12"/>
      <c r="F36" s="12"/>
      <c r="G36" s="12"/>
      <c r="H36" s="12"/>
      <c r="I36" s="12"/>
    </row>
    <row r="37" spans="3:24" ht="14.4" customHeight="1" x14ac:dyDescent="0.25">
      <c r="C37" s="1"/>
      <c r="D37" s="3"/>
      <c r="E37" s="11"/>
      <c r="F37" s="11"/>
      <c r="G37" s="11"/>
      <c r="H37" s="11"/>
      <c r="I37" s="11"/>
      <c r="J37" s="1"/>
      <c r="T37" s="1"/>
      <c r="U37" s="1"/>
      <c r="V37" s="1"/>
      <c r="W37" s="1"/>
      <c r="X37" s="1"/>
    </row>
    <row r="38" spans="3:24" ht="14.4" customHeight="1" x14ac:dyDescent="0.25">
      <c r="C38" s="3"/>
      <c r="D38" s="1"/>
      <c r="E38" s="20"/>
      <c r="F38" s="20"/>
      <c r="G38" s="20"/>
      <c r="H38" s="20"/>
      <c r="I38" s="20"/>
    </row>
    <row r="39" spans="3:24" ht="14.4" customHeight="1" x14ac:dyDescent="0.25">
      <c r="C39" s="1"/>
      <c r="D39" s="1"/>
      <c r="E39" s="20"/>
      <c r="F39" s="20"/>
      <c r="G39" s="20"/>
      <c r="H39" s="20"/>
      <c r="I39" s="20"/>
    </row>
    <row r="40" spans="3:24" ht="14.4" customHeight="1" x14ac:dyDescent="0.25">
      <c r="C40" s="1"/>
      <c r="D40" s="24"/>
      <c r="E40" s="157"/>
      <c r="F40" s="157"/>
      <c r="G40" s="157"/>
      <c r="H40" s="157"/>
      <c r="I40" s="157"/>
    </row>
    <row r="41" spans="3:24" ht="14.4" customHeight="1" x14ac:dyDescent="0.25">
      <c r="C41" s="1"/>
      <c r="D41" s="158"/>
      <c r="E41" s="153"/>
      <c r="F41" s="153"/>
      <c r="G41" s="153"/>
      <c r="H41" s="153"/>
      <c r="I41" s="153"/>
    </row>
    <row r="42" spans="3:24" ht="14.4" customHeight="1" x14ac:dyDescent="0.25">
      <c r="C42" s="1"/>
      <c r="D42" s="24"/>
      <c r="E42" s="157"/>
      <c r="F42" s="157"/>
      <c r="G42" s="157"/>
      <c r="H42" s="157"/>
      <c r="I42" s="157"/>
    </row>
    <row r="43" spans="3:24" ht="14.4" customHeight="1" x14ac:dyDescent="0.25">
      <c r="C43" s="1"/>
      <c r="D43" s="3"/>
      <c r="E43" s="12"/>
      <c r="F43" s="12"/>
      <c r="G43" s="12"/>
      <c r="H43" s="12"/>
      <c r="I43" s="12"/>
    </row>
    <row r="44" spans="3:24" ht="14.4" customHeight="1" x14ac:dyDescent="0.25">
      <c r="C44" s="1"/>
      <c r="D44" s="1"/>
      <c r="E44" s="11"/>
      <c r="F44" s="11"/>
      <c r="G44" s="11"/>
      <c r="H44" s="11"/>
      <c r="I44" s="11"/>
    </row>
    <row r="45" spans="3:24" ht="14.4" customHeight="1" x14ac:dyDescent="0.25">
      <c r="C45" s="1"/>
      <c r="D45" s="3"/>
      <c r="E45" s="12"/>
      <c r="F45" s="12"/>
      <c r="G45" s="12"/>
      <c r="H45" s="12"/>
      <c r="I45" s="12"/>
    </row>
    <row r="46" spans="3:24" ht="14.4" customHeight="1" x14ac:dyDescent="0.25">
      <c r="C46" s="1"/>
      <c r="D46" s="3"/>
      <c r="E46" s="12"/>
      <c r="F46" s="12"/>
      <c r="G46" s="12"/>
      <c r="H46" s="12"/>
      <c r="I46" s="12"/>
    </row>
    <row r="48" spans="3:24" ht="14.4" customHeight="1" x14ac:dyDescent="0.25">
      <c r="E48" s="13"/>
    </row>
  </sheetData>
  <mergeCells count="1">
    <mergeCell ref="D6:I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87DEA-212A-4547-981C-48109814B574}">
  <dimension ref="B5:O85"/>
  <sheetViews>
    <sheetView showGridLines="0" topLeftCell="A10" zoomScaleNormal="100" workbookViewId="0">
      <selection activeCell="E28" sqref="E28"/>
    </sheetView>
  </sheetViews>
  <sheetFormatPr defaultRowHeight="14.4" customHeight="1" x14ac:dyDescent="0.25"/>
  <cols>
    <col min="1" max="3" width="1.33203125" style="1" customWidth="1"/>
    <col min="4" max="4" width="51.44140625" style="1" customWidth="1"/>
    <col min="5" max="9" width="10.77734375" style="1" customWidth="1"/>
    <col min="10" max="10" width="12.109375" style="1" bestFit="1" customWidth="1"/>
    <col min="11" max="11" width="12.44140625" style="1" bestFit="1" customWidth="1"/>
    <col min="12" max="12" width="13.6640625" style="1" customWidth="1"/>
    <col min="13" max="13" width="15.21875" style="1" bestFit="1" customWidth="1"/>
    <col min="14" max="14" width="12.44140625" style="1" bestFit="1" customWidth="1"/>
    <col min="15" max="15" width="10.33203125" style="1" bestFit="1" customWidth="1"/>
    <col min="16" max="16384" width="8.88671875" style="1"/>
  </cols>
  <sheetData>
    <row r="5" spans="2:12" ht="14.4" customHeight="1" x14ac:dyDescent="0.25">
      <c r="H5" s="66" t="s">
        <v>64</v>
      </c>
    </row>
    <row r="6" spans="2:12" ht="16.8" customHeight="1" x14ac:dyDescent="0.25">
      <c r="D6" s="425" t="s">
        <v>176</v>
      </c>
      <c r="E6" s="425"/>
      <c r="F6" s="425"/>
      <c r="G6" s="425"/>
      <c r="H6" s="425"/>
      <c r="I6" s="425"/>
    </row>
    <row r="7" spans="2:12" ht="14.4" customHeight="1" x14ac:dyDescent="0.25">
      <c r="E7" s="17">
        <v>2020</v>
      </c>
      <c r="F7" s="3">
        <f>E7+1</f>
        <v>2021</v>
      </c>
      <c r="G7" s="3">
        <f>F7+1</f>
        <v>2022</v>
      </c>
      <c r="H7" s="3">
        <f>G7+1</f>
        <v>2023</v>
      </c>
      <c r="I7" s="3">
        <f>H7+1</f>
        <v>2024</v>
      </c>
    </row>
    <row r="8" spans="2:12" ht="14.4" customHeight="1" x14ac:dyDescent="0.25">
      <c r="D8" s="5" t="s">
        <v>0</v>
      </c>
      <c r="E8" s="18" t="s">
        <v>8</v>
      </c>
      <c r="F8" s="7" t="s">
        <v>8</v>
      </c>
      <c r="G8" s="7" t="s">
        <v>8</v>
      </c>
      <c r="H8" s="7" t="s">
        <v>8</v>
      </c>
      <c r="I8" s="7" t="s">
        <v>8</v>
      </c>
    </row>
    <row r="9" spans="2:12" ht="14.4" customHeight="1" x14ac:dyDescent="0.25">
      <c r="B9" s="3"/>
      <c r="C9" s="414" t="s">
        <v>195</v>
      </c>
      <c r="E9" s="19"/>
    </row>
    <row r="10" spans="2:12" ht="14.4" customHeight="1" x14ac:dyDescent="0.25">
      <c r="B10" s="3"/>
      <c r="C10" s="3"/>
      <c r="D10" s="163"/>
    </row>
    <row r="11" spans="2:12" ht="14.4" customHeight="1" x14ac:dyDescent="0.25">
      <c r="C11" s="24"/>
      <c r="D11" s="158" t="s">
        <v>196</v>
      </c>
      <c r="E11" s="185">
        <v>701.05309999999997</v>
      </c>
      <c r="F11" s="186">
        <v>4052.6680000000001</v>
      </c>
      <c r="G11" s="186">
        <v>6777.7864</v>
      </c>
      <c r="H11" s="186">
        <v>6777.7864</v>
      </c>
      <c r="I11" s="186">
        <v>6777.7864</v>
      </c>
      <c r="L11" s="166"/>
    </row>
    <row r="12" spans="2:12" ht="14.4" customHeight="1" x14ac:dyDescent="0.25">
      <c r="C12" s="158"/>
      <c r="D12" s="158" t="s">
        <v>197</v>
      </c>
      <c r="E12" s="185">
        <v>4895.3442999999997</v>
      </c>
      <c r="F12" s="186">
        <v>4310.3460999999998</v>
      </c>
      <c r="G12" s="186">
        <v>7232.8028999999997</v>
      </c>
      <c r="H12" s="186">
        <v>8330.7204999999994</v>
      </c>
      <c r="I12" s="186">
        <v>8755.6406999999999</v>
      </c>
      <c r="L12" s="166"/>
    </row>
    <row r="13" spans="2:12" ht="14.4" customHeight="1" x14ac:dyDescent="0.25">
      <c r="C13" s="415" t="s">
        <v>198</v>
      </c>
      <c r="E13" s="185">
        <v>0</v>
      </c>
      <c r="F13" s="186">
        <v>0</v>
      </c>
      <c r="G13" s="186">
        <v>0</v>
      </c>
      <c r="H13" s="186">
        <v>0</v>
      </c>
      <c r="I13" s="186">
        <v>0</v>
      </c>
      <c r="L13" s="166"/>
    </row>
    <row r="14" spans="2:12" ht="14.4" customHeight="1" x14ac:dyDescent="0.25">
      <c r="C14" s="158"/>
      <c r="D14" s="158" t="s">
        <v>223</v>
      </c>
      <c r="E14" s="185">
        <v>26517.3001</v>
      </c>
      <c r="F14" s="186">
        <v>31530.392</v>
      </c>
      <c r="G14" s="186">
        <v>34528.419600000001</v>
      </c>
      <c r="H14" s="186">
        <v>36833.106599999999</v>
      </c>
      <c r="I14" s="186">
        <v>38708.253400000001</v>
      </c>
      <c r="L14" s="166"/>
    </row>
    <row r="15" spans="2:12" ht="14.4" customHeight="1" x14ac:dyDescent="0.25">
      <c r="C15" s="158"/>
      <c r="D15" s="158" t="s">
        <v>206</v>
      </c>
      <c r="E15" s="185">
        <v>63150.253299999997</v>
      </c>
      <c r="F15" s="186">
        <v>64577.787600000003</v>
      </c>
      <c r="G15" s="186">
        <v>67608.594400000002</v>
      </c>
      <c r="H15" s="186">
        <v>72832.383400000006</v>
      </c>
      <c r="I15" s="186">
        <v>80701.300900000002</v>
      </c>
      <c r="L15" s="166"/>
    </row>
    <row r="16" spans="2:12" ht="14.4" customHeight="1" x14ac:dyDescent="0.3">
      <c r="C16" s="415" t="s">
        <v>199</v>
      </c>
      <c r="E16" s="185">
        <v>0</v>
      </c>
      <c r="F16" s="186">
        <v>0</v>
      </c>
      <c r="G16" s="186">
        <v>0</v>
      </c>
      <c r="H16" s="186">
        <v>0</v>
      </c>
      <c r="I16" s="186">
        <v>0</v>
      </c>
      <c r="L16"/>
    </row>
    <row r="17" spans="3:15" ht="14.4" customHeight="1" x14ac:dyDescent="0.3">
      <c r="C17" s="24"/>
      <c r="D17" s="1" t="s">
        <v>207</v>
      </c>
      <c r="E17" s="185">
        <v>803.26250000000005</v>
      </c>
      <c r="F17" s="186">
        <v>660.88750000000005</v>
      </c>
      <c r="G17" s="186">
        <v>610.90812500000004</v>
      </c>
      <c r="H17" s="186">
        <v>2254.5958000000001</v>
      </c>
      <c r="I17" s="186">
        <v>2442.7140250000002</v>
      </c>
      <c r="L17"/>
    </row>
    <row r="18" spans="3:15" ht="14.4" customHeight="1" x14ac:dyDescent="0.3">
      <c r="C18" s="24"/>
      <c r="D18" s="1" t="s">
        <v>208</v>
      </c>
      <c r="E18" s="185">
        <v>1000</v>
      </c>
      <c r="F18" s="186">
        <v>1000</v>
      </c>
      <c r="G18" s="186">
        <v>1000</v>
      </c>
      <c r="H18" s="186">
        <v>0</v>
      </c>
      <c r="I18" s="186">
        <v>0</v>
      </c>
      <c r="L18"/>
    </row>
    <row r="19" spans="3:15" ht="14.4" customHeight="1" x14ac:dyDescent="0.25">
      <c r="C19" s="24"/>
      <c r="D19" s="1" t="s">
        <v>206</v>
      </c>
      <c r="E19" s="185">
        <v>1409.7874999999999</v>
      </c>
      <c r="F19" s="186">
        <v>982.66250000000002</v>
      </c>
      <c r="G19" s="186">
        <v>832.72437500000001</v>
      </c>
      <c r="H19" s="186">
        <v>6763.7874000000002</v>
      </c>
      <c r="I19" s="186">
        <v>7328.1420749999997</v>
      </c>
      <c r="K19" s="11"/>
      <c r="L19" s="166"/>
    </row>
    <row r="20" spans="3:15" ht="14.4" customHeight="1" x14ac:dyDescent="0.25">
      <c r="C20" s="158"/>
      <c r="D20" s="158" t="s">
        <v>200</v>
      </c>
      <c r="E20" s="187">
        <v>2026.8062</v>
      </c>
      <c r="F20" s="186">
        <v>3367.1415999999999</v>
      </c>
      <c r="G20" s="186">
        <v>2476.3105999999998</v>
      </c>
      <c r="H20" s="186">
        <v>2662.1369</v>
      </c>
      <c r="I20" s="186">
        <v>2942.6884</v>
      </c>
      <c r="L20" s="166"/>
    </row>
    <row r="21" spans="3:15" ht="14.4" customHeight="1" x14ac:dyDescent="0.25">
      <c r="C21" s="158"/>
      <c r="D21" s="165" t="s">
        <v>6</v>
      </c>
      <c r="E21" s="149">
        <f>SUM(E11:E20)</f>
        <v>100503.807</v>
      </c>
      <c r="F21" s="149">
        <f>SUM(F11:F20)</f>
        <v>110481.88530000001</v>
      </c>
      <c r="G21" s="149">
        <f>SUM(G11:G20)</f>
        <v>121067.54640000001</v>
      </c>
      <c r="H21" s="149">
        <f>SUM(H11:H20)</f>
        <v>136454.51699999999</v>
      </c>
      <c r="I21" s="149">
        <f>SUM(I11:I20)</f>
        <v>147656.52590000001</v>
      </c>
      <c r="L21" s="166"/>
    </row>
    <row r="22" spans="3:15" ht="14.4" customHeight="1" x14ac:dyDescent="0.25">
      <c r="C22" s="158"/>
      <c r="D22" s="164"/>
      <c r="E22" s="153"/>
      <c r="F22" s="153"/>
      <c r="G22" s="153"/>
      <c r="H22" s="153"/>
      <c r="I22" s="153"/>
      <c r="L22" s="11"/>
      <c r="M22" s="11"/>
      <c r="N22" s="11"/>
      <c r="O22" s="11"/>
    </row>
    <row r="23" spans="3:15" ht="14.4" customHeight="1" x14ac:dyDescent="0.25">
      <c r="C23" s="414" t="s">
        <v>1</v>
      </c>
      <c r="D23" s="164"/>
      <c r="E23" s="153"/>
      <c r="F23" s="153"/>
      <c r="G23" s="153"/>
      <c r="H23" s="153"/>
      <c r="I23" s="153"/>
      <c r="L23" s="11"/>
      <c r="M23" s="11"/>
      <c r="N23" s="11"/>
      <c r="O23" s="11"/>
    </row>
    <row r="24" spans="3:15" ht="14.4" customHeight="1" x14ac:dyDescent="0.25">
      <c r="C24" s="158"/>
      <c r="D24" s="164" t="s">
        <v>201</v>
      </c>
      <c r="E24" s="20">
        <v>9488.4014999999999</v>
      </c>
      <c r="F24" s="20">
        <v>7208.5155000000004</v>
      </c>
      <c r="G24" s="20">
        <v>6139.2384000000002</v>
      </c>
      <c r="H24" s="20">
        <v>6225.4008000000003</v>
      </c>
      <c r="I24" s="20">
        <v>7312.4645</v>
      </c>
      <c r="K24" s="15"/>
      <c r="L24" s="15"/>
      <c r="M24" s="15"/>
      <c r="N24" s="15"/>
      <c r="O24" s="15"/>
    </row>
    <row r="25" spans="3:15" ht="14.4" customHeight="1" x14ac:dyDescent="0.25">
      <c r="C25" s="158"/>
      <c r="D25" s="164" t="s">
        <v>202</v>
      </c>
      <c r="E25" s="20">
        <v>89.852900000000005</v>
      </c>
      <c r="F25" s="20">
        <v>1130.9329</v>
      </c>
      <c r="G25" s="20">
        <v>148.98580000000001</v>
      </c>
      <c r="H25" s="20">
        <v>71.320800000000006</v>
      </c>
      <c r="I25" s="20">
        <v>70.547399999999996</v>
      </c>
      <c r="K25" s="20"/>
      <c r="L25" s="20"/>
      <c r="M25" s="20"/>
      <c r="N25" s="20"/>
      <c r="O25" s="20"/>
    </row>
    <row r="26" spans="3:15" ht="14.4" customHeight="1" x14ac:dyDescent="0.25">
      <c r="C26" s="415" t="s">
        <v>203</v>
      </c>
      <c r="E26" s="43"/>
      <c r="F26" s="20"/>
      <c r="G26" s="20"/>
      <c r="H26" s="20"/>
      <c r="I26" s="20"/>
    </row>
    <row r="27" spans="3:15" ht="14.4" customHeight="1" x14ac:dyDescent="0.25">
      <c r="C27" s="158"/>
      <c r="D27" s="158" t="s">
        <v>207</v>
      </c>
      <c r="E27" s="43">
        <v>41.715699999999998</v>
      </c>
      <c r="F27" s="20">
        <v>2012.6351</v>
      </c>
      <c r="G27" s="21">
        <v>42429.859700000001</v>
      </c>
      <c r="H27" s="21">
        <v>408.16719999999998</v>
      </c>
      <c r="I27" s="21">
        <v>984.22699999999998</v>
      </c>
      <c r="K27" s="27"/>
    </row>
    <row r="28" spans="3:15" ht="14.4" customHeight="1" x14ac:dyDescent="0.25">
      <c r="C28" s="158"/>
      <c r="D28" s="158" t="s">
        <v>211</v>
      </c>
      <c r="E28" s="43">
        <v>24510.380099999998</v>
      </c>
      <c r="F28" s="20">
        <v>30010.138299999999</v>
      </c>
      <c r="G28" s="21">
        <v>-148.98580000000001</v>
      </c>
      <c r="H28" s="21">
        <v>44430.252099999998</v>
      </c>
      <c r="I28" s="21">
        <v>48614.929900000003</v>
      </c>
    </row>
    <row r="29" spans="3:15" ht="14.4" customHeight="1" x14ac:dyDescent="0.25">
      <c r="C29" s="415" t="s">
        <v>229</v>
      </c>
      <c r="E29" s="43"/>
      <c r="F29" s="20"/>
      <c r="G29" s="20"/>
      <c r="H29" s="20"/>
      <c r="I29" s="20"/>
    </row>
    <row r="30" spans="3:15" ht="14.4" customHeight="1" x14ac:dyDescent="0.25">
      <c r="C30" s="158"/>
      <c r="D30" s="1" t="s">
        <v>209</v>
      </c>
      <c r="E30" s="43">
        <v>17523.572459999999</v>
      </c>
      <c r="F30" s="20">
        <v>18282.51066</v>
      </c>
      <c r="G30" s="20">
        <v>19087.968629999999</v>
      </c>
      <c r="H30" s="20">
        <v>23045.828669999999</v>
      </c>
      <c r="I30" s="20">
        <v>24820.91286</v>
      </c>
      <c r="K30" s="11"/>
      <c r="L30" s="11"/>
      <c r="M30" s="11"/>
      <c r="N30" s="11"/>
      <c r="O30" s="11"/>
    </row>
    <row r="31" spans="3:15" ht="14.4" customHeight="1" x14ac:dyDescent="0.25">
      <c r="C31" s="158"/>
      <c r="D31" s="1" t="s">
        <v>210</v>
      </c>
      <c r="E31" s="43">
        <v>40888.33574000001</v>
      </c>
      <c r="F31" s="20">
        <v>42659.19154</v>
      </c>
      <c r="G31" s="20">
        <v>44538.593469999993</v>
      </c>
      <c r="H31" s="20">
        <v>53773.600229999996</v>
      </c>
      <c r="I31" s="20">
        <v>57915.463340000002</v>
      </c>
      <c r="K31" s="15"/>
      <c r="L31" s="15"/>
      <c r="M31" s="15"/>
      <c r="N31" s="15"/>
      <c r="O31" s="15"/>
    </row>
    <row r="32" spans="3:15" ht="14.4" customHeight="1" x14ac:dyDescent="0.25">
      <c r="C32" s="158"/>
      <c r="D32" s="158" t="s">
        <v>204</v>
      </c>
      <c r="E32" s="43">
        <v>1240.8272999999999</v>
      </c>
      <c r="F32" s="20">
        <v>1584.9119000000001</v>
      </c>
      <c r="G32" s="20">
        <v>1577.4435000000001</v>
      </c>
      <c r="H32" s="20">
        <v>1519.4228000000001</v>
      </c>
      <c r="I32" s="20">
        <v>1755.7825</v>
      </c>
      <c r="K32" s="11"/>
      <c r="L32" s="11"/>
      <c r="M32" s="11"/>
      <c r="N32" s="11"/>
      <c r="O32" s="11"/>
    </row>
    <row r="33" spans="3:12" ht="14.4" customHeight="1" x14ac:dyDescent="0.25">
      <c r="C33" s="158"/>
      <c r="D33" s="164" t="s">
        <v>205</v>
      </c>
      <c r="E33" s="20">
        <v>6720.7213000000002</v>
      </c>
      <c r="F33" s="20">
        <v>7593.0493999999999</v>
      </c>
      <c r="G33" s="20">
        <v>7294.4426999999996</v>
      </c>
      <c r="H33" s="20">
        <v>6980.5244000000002</v>
      </c>
      <c r="I33" s="20">
        <v>6182.1984000000002</v>
      </c>
    </row>
    <row r="34" spans="3:12" ht="14.4" customHeight="1" x14ac:dyDescent="0.25">
      <c r="C34" s="158"/>
      <c r="D34" s="165" t="s">
        <v>6</v>
      </c>
      <c r="E34" s="149">
        <f>SUM(E24:E33)</f>
        <v>100503.80700000002</v>
      </c>
      <c r="F34" s="149">
        <f>SUM(F24:F33)</f>
        <v>110481.88530000001</v>
      </c>
      <c r="G34" s="149">
        <f>SUM(G24:G33)</f>
        <v>121067.54639999998</v>
      </c>
      <c r="H34" s="149">
        <f>SUM(H24:H33)</f>
        <v>136454.51699999999</v>
      </c>
      <c r="I34" s="149">
        <f>SUM(I24:I33)</f>
        <v>147656.52589999998</v>
      </c>
    </row>
    <row r="35" spans="3:12" ht="14.4" customHeight="1" x14ac:dyDescent="0.25">
      <c r="C35" s="158"/>
      <c r="D35" s="158"/>
      <c r="E35" s="157"/>
      <c r="F35" s="157"/>
      <c r="G35" s="157"/>
      <c r="H35" s="157"/>
      <c r="I35" s="157"/>
    </row>
    <row r="36" spans="3:12" ht="14.4" customHeight="1" x14ac:dyDescent="0.25">
      <c r="C36" s="158"/>
      <c r="D36" s="24"/>
      <c r="E36" s="157"/>
      <c r="F36" s="157"/>
      <c r="G36" s="157"/>
      <c r="H36" s="157"/>
      <c r="I36" s="157"/>
    </row>
    <row r="37" spans="3:12" ht="14.4" customHeight="1" x14ac:dyDescent="0.25">
      <c r="C37" s="24"/>
      <c r="D37" s="158"/>
      <c r="E37" s="153"/>
      <c r="F37" s="153"/>
      <c r="G37" s="153"/>
      <c r="H37" s="157"/>
      <c r="I37" s="157"/>
    </row>
    <row r="38" spans="3:12" ht="14.4" customHeight="1" x14ac:dyDescent="0.25">
      <c r="C38" s="158"/>
      <c r="D38" s="158"/>
      <c r="E38" s="153"/>
      <c r="F38" s="153"/>
      <c r="G38" s="153"/>
      <c r="H38" s="157"/>
      <c r="I38" s="157"/>
    </row>
    <row r="39" spans="3:12" ht="14.4" customHeight="1" x14ac:dyDescent="0.25">
      <c r="C39" s="158"/>
      <c r="D39" s="24"/>
      <c r="E39" s="153"/>
      <c r="F39" s="153"/>
      <c r="G39" s="153"/>
      <c r="H39" s="157"/>
      <c r="I39" s="157"/>
    </row>
    <row r="40" spans="3:12" ht="14.4" customHeight="1" x14ac:dyDescent="0.25">
      <c r="C40" s="158"/>
      <c r="D40" s="158"/>
      <c r="E40" s="153"/>
      <c r="F40" s="153"/>
      <c r="G40" s="153"/>
      <c r="H40" s="153"/>
      <c r="I40" s="153"/>
    </row>
    <row r="41" spans="3:12" ht="14.4" customHeight="1" x14ac:dyDescent="0.25">
      <c r="C41" s="158"/>
      <c r="D41" s="158"/>
      <c r="E41" s="153"/>
      <c r="F41" s="153"/>
      <c r="G41" s="153"/>
      <c r="H41" s="153"/>
      <c r="I41" s="153"/>
    </row>
    <row r="42" spans="3:12" ht="14.4" customHeight="1" x14ac:dyDescent="0.25">
      <c r="C42" s="158"/>
      <c r="D42" s="158"/>
      <c r="E42" s="153"/>
      <c r="F42" s="153"/>
      <c r="G42" s="153"/>
      <c r="H42" s="153"/>
      <c r="I42" s="153"/>
    </row>
    <row r="43" spans="3:12" ht="14.4" customHeight="1" x14ac:dyDescent="0.25">
      <c r="C43" s="158"/>
      <c r="D43" s="158"/>
      <c r="E43" s="153"/>
      <c r="F43" s="153"/>
      <c r="G43" s="153"/>
      <c r="H43" s="153"/>
      <c r="I43" s="153"/>
    </row>
    <row r="44" spans="3:12" ht="14.4" customHeight="1" x14ac:dyDescent="0.25">
      <c r="C44" s="158"/>
      <c r="D44" s="158"/>
      <c r="E44" s="153"/>
      <c r="F44" s="153"/>
      <c r="G44" s="153"/>
      <c r="H44" s="153"/>
      <c r="I44" s="153"/>
    </row>
    <row r="45" spans="3:12" ht="14.4" customHeight="1" x14ac:dyDescent="0.25">
      <c r="C45" s="158"/>
      <c r="D45" s="158"/>
      <c r="E45" s="153"/>
      <c r="F45" s="153"/>
      <c r="G45" s="153"/>
      <c r="H45" s="153"/>
      <c r="I45" s="153"/>
      <c r="L45" s="152"/>
    </row>
    <row r="46" spans="3:12" ht="14.4" customHeight="1" x14ac:dyDescent="0.25">
      <c r="C46" s="158"/>
      <c r="D46" s="158"/>
      <c r="E46" s="153"/>
      <c r="F46" s="153"/>
      <c r="G46" s="153"/>
      <c r="H46" s="153"/>
      <c r="I46" s="153"/>
    </row>
    <row r="47" spans="3:12" ht="14.4" customHeight="1" x14ac:dyDescent="0.25">
      <c r="C47" s="158"/>
      <c r="D47" s="158"/>
      <c r="E47" s="153"/>
      <c r="F47" s="153"/>
      <c r="G47" s="153"/>
      <c r="H47" s="153"/>
      <c r="I47" s="153"/>
    </row>
    <row r="48" spans="3:12" ht="14.4" customHeight="1" x14ac:dyDescent="0.25">
      <c r="C48" s="158"/>
      <c r="D48" s="158"/>
      <c r="E48" s="153"/>
      <c r="F48" s="153"/>
      <c r="G48" s="153"/>
      <c r="H48" s="153"/>
      <c r="I48" s="153"/>
    </row>
    <row r="49" spans="2:9" ht="14.4" customHeight="1" x14ac:dyDescent="0.25">
      <c r="C49" s="158"/>
      <c r="D49" s="24"/>
      <c r="E49" s="157"/>
      <c r="F49" s="157"/>
      <c r="G49" s="157"/>
      <c r="H49" s="157"/>
      <c r="I49" s="157"/>
    </row>
    <row r="50" spans="2:9" ht="14.4" customHeight="1" x14ac:dyDescent="0.25">
      <c r="C50" s="158"/>
      <c r="D50" s="24"/>
      <c r="E50" s="157"/>
      <c r="F50" s="157"/>
      <c r="G50" s="157"/>
      <c r="H50" s="157"/>
      <c r="I50" s="157"/>
    </row>
    <row r="51" spans="2:9" ht="14.4" customHeight="1" x14ac:dyDescent="0.25">
      <c r="C51" s="158"/>
      <c r="D51" s="24"/>
      <c r="E51" s="157"/>
      <c r="F51" s="157"/>
      <c r="G51" s="157"/>
      <c r="H51" s="157"/>
      <c r="I51" s="157"/>
    </row>
    <row r="52" spans="2:9" ht="14.4" customHeight="1" x14ac:dyDescent="0.25">
      <c r="C52" s="158"/>
      <c r="D52" s="24"/>
      <c r="E52" s="157"/>
      <c r="F52" s="157"/>
      <c r="G52" s="157"/>
      <c r="H52" s="157"/>
      <c r="I52" s="157"/>
    </row>
    <row r="53" spans="2:9" ht="14.4" customHeight="1" x14ac:dyDescent="0.25">
      <c r="B53" s="3" t="s">
        <v>4</v>
      </c>
      <c r="C53" s="158"/>
      <c r="D53" s="158"/>
      <c r="E53" s="153"/>
      <c r="F53" s="153"/>
      <c r="G53" s="153"/>
      <c r="H53" s="153"/>
      <c r="I53" s="153"/>
    </row>
    <row r="54" spans="2:9" ht="14.4" customHeight="1" x14ac:dyDescent="0.25">
      <c r="C54" s="24"/>
      <c r="D54" s="158"/>
      <c r="E54" s="153"/>
      <c r="F54" s="153"/>
      <c r="G54" s="153"/>
      <c r="H54" s="153"/>
      <c r="I54" s="153"/>
    </row>
    <row r="55" spans="2:9" ht="14.4" customHeight="1" x14ac:dyDescent="0.25">
      <c r="C55" s="158"/>
      <c r="D55" s="158"/>
      <c r="E55" s="153"/>
      <c r="F55" s="153"/>
      <c r="G55" s="153"/>
      <c r="H55" s="153"/>
      <c r="I55" s="153"/>
    </row>
    <row r="56" spans="2:9" ht="14.4" customHeight="1" x14ac:dyDescent="0.25">
      <c r="C56" s="24"/>
      <c r="D56" s="158"/>
      <c r="E56" s="153"/>
      <c r="F56" s="153"/>
      <c r="G56" s="153"/>
      <c r="H56" s="153"/>
      <c r="I56" s="153"/>
    </row>
    <row r="57" spans="2:9" ht="14.4" customHeight="1" x14ac:dyDescent="0.25">
      <c r="C57" s="158"/>
      <c r="D57" s="158"/>
      <c r="E57" s="153"/>
      <c r="F57" s="153"/>
      <c r="G57" s="153"/>
      <c r="H57" s="153"/>
      <c r="I57" s="153"/>
    </row>
    <row r="58" spans="2:9" ht="14.4" customHeight="1" x14ac:dyDescent="0.25">
      <c r="C58" s="158"/>
      <c r="D58" s="158"/>
      <c r="E58" s="153"/>
      <c r="F58" s="153"/>
      <c r="G58" s="153"/>
      <c r="H58" s="153"/>
      <c r="I58" s="153"/>
    </row>
    <row r="59" spans="2:9" ht="14.4" customHeight="1" x14ac:dyDescent="0.25">
      <c r="C59" s="158"/>
      <c r="D59" s="24"/>
      <c r="E59" s="157"/>
      <c r="F59" s="157"/>
      <c r="G59" s="157"/>
      <c r="H59" s="157"/>
      <c r="I59" s="157"/>
    </row>
    <row r="60" spans="2:9" ht="14.4" customHeight="1" x14ac:dyDescent="0.25">
      <c r="C60" s="158"/>
      <c r="D60" s="158"/>
      <c r="E60" s="153"/>
      <c r="F60" s="153"/>
      <c r="G60" s="153"/>
      <c r="H60" s="153"/>
      <c r="I60" s="153"/>
    </row>
    <row r="61" spans="2:9" ht="14.4" customHeight="1" x14ac:dyDescent="0.25">
      <c r="C61" s="24"/>
      <c r="D61" s="158"/>
      <c r="E61" s="153"/>
      <c r="F61" s="153"/>
      <c r="G61" s="153"/>
      <c r="H61" s="153"/>
      <c r="I61" s="153"/>
    </row>
    <row r="62" spans="2:9" ht="14.4" customHeight="1" x14ac:dyDescent="0.25">
      <c r="C62" s="158"/>
      <c r="D62" s="24"/>
      <c r="E62" s="153"/>
      <c r="F62" s="153"/>
      <c r="G62" s="153"/>
      <c r="H62" s="153"/>
      <c r="I62" s="153"/>
    </row>
    <row r="63" spans="2:9" ht="14.4" customHeight="1" x14ac:dyDescent="0.25">
      <c r="C63" s="158"/>
      <c r="D63" s="158"/>
      <c r="E63" s="153"/>
      <c r="F63" s="153"/>
      <c r="G63" s="153"/>
      <c r="H63" s="153"/>
      <c r="I63" s="153"/>
    </row>
    <row r="64" spans="2:9" ht="14.4" customHeight="1" x14ac:dyDescent="0.25">
      <c r="C64" s="158"/>
      <c r="D64" s="158"/>
      <c r="E64" s="153"/>
      <c r="F64" s="153"/>
      <c r="G64" s="153"/>
      <c r="H64" s="153"/>
      <c r="I64" s="153"/>
    </row>
    <row r="65" spans="3:12" ht="14.4" customHeight="1" x14ac:dyDescent="0.25">
      <c r="C65" s="158"/>
      <c r="D65" s="158"/>
      <c r="E65" s="153"/>
      <c r="F65" s="153"/>
      <c r="G65" s="153"/>
      <c r="H65" s="153"/>
      <c r="I65" s="153"/>
    </row>
    <row r="66" spans="3:12" ht="14.4" customHeight="1" x14ac:dyDescent="0.25">
      <c r="C66" s="158"/>
      <c r="D66" s="158"/>
      <c r="E66" s="153"/>
      <c r="F66" s="153"/>
      <c r="G66" s="153"/>
      <c r="H66" s="153"/>
      <c r="I66" s="153"/>
    </row>
    <row r="67" spans="3:12" ht="14.4" customHeight="1" x14ac:dyDescent="0.25">
      <c r="C67" s="158"/>
      <c r="D67" s="158"/>
      <c r="E67" s="153"/>
      <c r="F67" s="153"/>
      <c r="G67" s="153"/>
      <c r="H67" s="153"/>
      <c r="I67" s="153"/>
    </row>
    <row r="68" spans="3:12" ht="14.4" customHeight="1" x14ac:dyDescent="0.25">
      <c r="C68" s="158"/>
      <c r="D68" s="24"/>
      <c r="E68" s="157"/>
      <c r="F68" s="157"/>
      <c r="G68" s="157"/>
      <c r="H68" s="157"/>
      <c r="I68" s="157"/>
    </row>
    <row r="69" spans="3:12" ht="14.4" customHeight="1" x14ac:dyDescent="0.25">
      <c r="C69" s="158"/>
      <c r="D69" s="24"/>
      <c r="E69" s="157"/>
      <c r="F69" s="157"/>
      <c r="G69" s="157"/>
      <c r="H69" s="157"/>
      <c r="I69" s="157"/>
    </row>
    <row r="70" spans="3:12" ht="14.4" customHeight="1" x14ac:dyDescent="0.25">
      <c r="C70" s="24"/>
      <c r="D70" s="158"/>
      <c r="E70" s="153"/>
      <c r="F70" s="153"/>
      <c r="G70" s="153"/>
      <c r="H70" s="153"/>
      <c r="I70" s="153"/>
      <c r="L70" s="151"/>
    </row>
    <row r="71" spans="3:12" ht="14.4" customHeight="1" x14ac:dyDescent="0.25">
      <c r="C71" s="158"/>
      <c r="D71" s="24"/>
      <c r="E71" s="153"/>
      <c r="F71" s="153"/>
      <c r="G71" s="153"/>
      <c r="H71" s="153"/>
      <c r="I71" s="153"/>
      <c r="L71" s="150"/>
    </row>
    <row r="72" spans="3:12" ht="14.4" customHeight="1" x14ac:dyDescent="0.25">
      <c r="C72" s="158"/>
      <c r="D72" s="158"/>
      <c r="E72" s="153"/>
      <c r="F72" s="153"/>
      <c r="G72" s="153"/>
      <c r="H72" s="153"/>
      <c r="I72" s="153"/>
      <c r="L72" s="101"/>
    </row>
    <row r="73" spans="3:12" ht="14.4" customHeight="1" x14ac:dyDescent="0.25">
      <c r="C73" s="158"/>
      <c r="D73" s="158"/>
      <c r="E73" s="153"/>
      <c r="F73" s="153"/>
      <c r="G73" s="153"/>
      <c r="H73" s="153"/>
      <c r="I73" s="153"/>
    </row>
    <row r="74" spans="3:12" ht="14.4" customHeight="1" x14ac:dyDescent="0.25">
      <c r="C74" s="158"/>
      <c r="D74" s="24"/>
      <c r="E74" s="153"/>
      <c r="F74" s="153"/>
      <c r="G74" s="153"/>
      <c r="H74" s="153"/>
      <c r="I74" s="153"/>
    </row>
    <row r="75" spans="3:12" ht="14.4" customHeight="1" x14ac:dyDescent="0.25">
      <c r="C75" s="158"/>
      <c r="D75" s="158"/>
      <c r="E75" s="153"/>
      <c r="F75" s="153"/>
      <c r="G75" s="153"/>
      <c r="H75" s="153"/>
      <c r="I75" s="153"/>
    </row>
    <row r="76" spans="3:12" ht="14.4" customHeight="1" x14ac:dyDescent="0.25">
      <c r="C76" s="158"/>
      <c r="D76" s="158"/>
      <c r="E76" s="153"/>
      <c r="F76" s="153"/>
      <c r="G76" s="153"/>
      <c r="H76" s="153"/>
      <c r="I76" s="153"/>
    </row>
    <row r="77" spans="3:12" ht="14.4" customHeight="1" x14ac:dyDescent="0.25">
      <c r="C77" s="158"/>
      <c r="D77" s="158"/>
      <c r="E77" s="153"/>
      <c r="F77" s="153"/>
      <c r="G77" s="153"/>
      <c r="H77" s="153"/>
      <c r="I77" s="153"/>
    </row>
    <row r="78" spans="3:12" ht="14.4" customHeight="1" x14ac:dyDescent="0.25">
      <c r="C78" s="158"/>
      <c r="D78" s="158"/>
      <c r="E78" s="153"/>
      <c r="F78" s="153"/>
      <c r="G78" s="153"/>
      <c r="H78" s="153"/>
      <c r="I78" s="153"/>
    </row>
    <row r="79" spans="3:12" ht="14.4" customHeight="1" x14ac:dyDescent="0.25">
      <c r="C79" s="158"/>
      <c r="D79" s="158"/>
      <c r="E79" s="153"/>
      <c r="F79" s="153"/>
      <c r="G79" s="153"/>
      <c r="H79" s="153"/>
      <c r="I79" s="153"/>
    </row>
    <row r="80" spans="3:12" ht="14.4" customHeight="1" x14ac:dyDescent="0.25">
      <c r="C80" s="158"/>
      <c r="D80" s="158"/>
      <c r="E80" s="153"/>
      <c r="F80" s="153"/>
      <c r="G80" s="153"/>
      <c r="H80" s="153"/>
      <c r="I80" s="153"/>
    </row>
    <row r="81" spans="3:9" ht="14.4" customHeight="1" x14ac:dyDescent="0.25">
      <c r="C81" s="158"/>
      <c r="D81" s="24"/>
      <c r="E81" s="157"/>
      <c r="F81" s="157"/>
      <c r="G81" s="157"/>
      <c r="H81" s="157"/>
      <c r="I81" s="157"/>
    </row>
    <row r="82" spans="3:9" ht="14.4" customHeight="1" x14ac:dyDescent="0.25">
      <c r="C82" s="158"/>
      <c r="D82" s="158"/>
      <c r="E82" s="153"/>
      <c r="F82" s="153"/>
      <c r="G82" s="153"/>
      <c r="H82" s="153"/>
      <c r="I82" s="153"/>
    </row>
    <row r="83" spans="3:9" ht="14.4" customHeight="1" x14ac:dyDescent="0.25">
      <c r="C83" s="158"/>
      <c r="D83" s="24"/>
      <c r="E83" s="157"/>
      <c r="F83" s="157"/>
      <c r="G83" s="157"/>
      <c r="H83" s="157"/>
      <c r="I83" s="157"/>
    </row>
    <row r="84" spans="3:9" ht="14.4" customHeight="1" x14ac:dyDescent="0.25">
      <c r="C84" s="158"/>
      <c r="D84" s="158"/>
      <c r="E84" s="158"/>
      <c r="F84" s="160"/>
      <c r="G84" s="160"/>
      <c r="H84" s="160"/>
      <c r="I84" s="160"/>
    </row>
    <row r="85" spans="3:9" ht="14.4" customHeight="1" x14ac:dyDescent="0.25">
      <c r="C85" s="158"/>
      <c r="D85" s="161"/>
      <c r="E85" s="162"/>
      <c r="F85" s="162"/>
      <c r="G85" s="162"/>
      <c r="H85" s="162"/>
      <c r="I85" s="162"/>
    </row>
  </sheetData>
  <mergeCells count="1">
    <mergeCell ref="D6:I6"/>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060E-51A4-42FB-B145-74F66EE75B1D}">
  <dimension ref="B5:S48"/>
  <sheetViews>
    <sheetView showGridLines="0" topLeftCell="A22" zoomScale="98" zoomScaleNormal="98" workbookViewId="0">
      <selection activeCell="S46" sqref="S46"/>
    </sheetView>
  </sheetViews>
  <sheetFormatPr defaultRowHeight="14.4" customHeight="1" x14ac:dyDescent="0.25"/>
  <cols>
    <col min="1" max="3" width="1.33203125" style="1" customWidth="1"/>
    <col min="4" max="4" width="35.77734375" style="1" customWidth="1"/>
    <col min="5" max="6" width="13.33203125" style="1" bestFit="1" customWidth="1"/>
    <col min="7" max="19" width="10.77734375" style="1" customWidth="1"/>
    <col min="20" max="16384" width="8.88671875" style="1"/>
  </cols>
  <sheetData>
    <row r="5" spans="2:19" ht="14.4" customHeight="1" x14ac:dyDescent="0.25">
      <c r="R5" s="66" t="s">
        <v>64</v>
      </c>
    </row>
    <row r="6" spans="2:19" ht="16.8" customHeight="1" x14ac:dyDescent="0.3">
      <c r="D6" s="448" t="s">
        <v>7</v>
      </c>
      <c r="E6" s="449"/>
      <c r="F6" s="449"/>
      <c r="G6" s="449"/>
      <c r="H6" s="449"/>
      <c r="I6" s="449"/>
      <c r="J6" s="449"/>
      <c r="K6" s="449"/>
      <c r="L6" s="449"/>
      <c r="M6" s="449"/>
      <c r="N6" s="449"/>
      <c r="O6" s="449"/>
      <c r="P6" s="449"/>
      <c r="Q6" s="449"/>
      <c r="R6" s="449"/>
      <c r="S6" s="449"/>
    </row>
    <row r="7" spans="2:19" ht="14.4" customHeight="1" x14ac:dyDescent="0.25">
      <c r="E7" s="41">
        <v>2020</v>
      </c>
      <c r="F7" s="24">
        <f t="shared" ref="F7:S7" si="0">E7+1</f>
        <v>2021</v>
      </c>
      <c r="G7" s="24">
        <f t="shared" si="0"/>
        <v>2022</v>
      </c>
      <c r="H7" s="24">
        <f t="shared" si="0"/>
        <v>2023</v>
      </c>
      <c r="I7" s="24">
        <f t="shared" si="0"/>
        <v>2024</v>
      </c>
      <c r="J7" s="24">
        <f t="shared" si="0"/>
        <v>2025</v>
      </c>
      <c r="K7" s="24">
        <f t="shared" si="0"/>
        <v>2026</v>
      </c>
      <c r="L7" s="24">
        <f t="shared" si="0"/>
        <v>2027</v>
      </c>
      <c r="M7" s="24">
        <f t="shared" si="0"/>
        <v>2028</v>
      </c>
      <c r="N7" s="24">
        <f t="shared" si="0"/>
        <v>2029</v>
      </c>
      <c r="O7" s="24">
        <f t="shared" si="0"/>
        <v>2030</v>
      </c>
      <c r="P7" s="24">
        <f t="shared" si="0"/>
        <v>2031</v>
      </c>
      <c r="Q7" s="24">
        <f t="shared" si="0"/>
        <v>2032</v>
      </c>
      <c r="R7" s="24">
        <f t="shared" si="0"/>
        <v>2033</v>
      </c>
      <c r="S7" s="24">
        <f t="shared" si="0"/>
        <v>2034</v>
      </c>
    </row>
    <row r="8" spans="2:19" ht="14.4" customHeight="1" x14ac:dyDescent="0.25">
      <c r="D8" s="5" t="s">
        <v>0</v>
      </c>
      <c r="E8" s="42" t="s">
        <v>8</v>
      </c>
      <c r="F8" s="39" t="s">
        <v>8</v>
      </c>
      <c r="G8" s="39" t="s">
        <v>8</v>
      </c>
      <c r="H8" s="39" t="s">
        <v>8</v>
      </c>
      <c r="I8" s="39" t="s">
        <v>8</v>
      </c>
      <c r="J8" s="40" t="s">
        <v>9</v>
      </c>
      <c r="K8" s="40" t="s">
        <v>9</v>
      </c>
      <c r="L8" s="40" t="s">
        <v>9</v>
      </c>
      <c r="M8" s="40" t="s">
        <v>9</v>
      </c>
      <c r="N8" s="40" t="s">
        <v>9</v>
      </c>
      <c r="O8" s="40" t="s">
        <v>9</v>
      </c>
      <c r="P8" s="40" t="s">
        <v>9</v>
      </c>
      <c r="Q8" s="40" t="s">
        <v>9</v>
      </c>
      <c r="R8" s="40" t="s">
        <v>9</v>
      </c>
      <c r="S8" s="40" t="s">
        <v>9</v>
      </c>
    </row>
    <row r="9" spans="2:19" ht="14.4" customHeight="1" x14ac:dyDescent="0.25">
      <c r="E9" s="19"/>
      <c r="J9" s="26"/>
      <c r="K9" s="26"/>
      <c r="L9" s="26"/>
      <c r="M9" s="26"/>
      <c r="N9" s="26"/>
      <c r="O9" s="26"/>
      <c r="P9" s="26"/>
      <c r="Q9" s="26"/>
      <c r="R9" s="26"/>
      <c r="S9" s="26"/>
    </row>
    <row r="10" spans="2:19" ht="14.4" customHeight="1" x14ac:dyDescent="0.25">
      <c r="B10" s="308"/>
      <c r="E10" s="19"/>
      <c r="J10" s="236"/>
      <c r="K10" s="236"/>
      <c r="L10" s="236"/>
      <c r="M10" s="236"/>
      <c r="N10" s="236"/>
      <c r="O10" s="236"/>
      <c r="P10" s="236"/>
      <c r="Q10" s="236"/>
      <c r="R10" s="236"/>
      <c r="S10" s="236"/>
    </row>
    <row r="11" spans="2:19" ht="14.4" customHeight="1" x14ac:dyDescent="0.25">
      <c r="B11" s="309" t="s">
        <v>212</v>
      </c>
      <c r="E11" s="183">
        <v>5773.8307999999997</v>
      </c>
      <c r="F11" s="184">
        <v>4865.4522999999999</v>
      </c>
      <c r="G11" s="184">
        <v>4778.4124000000002</v>
      </c>
      <c r="H11" s="184">
        <v>5502.4390000000003</v>
      </c>
      <c r="I11" s="184">
        <v>6951.2372999999998</v>
      </c>
      <c r="J11" s="175">
        <f t="shared" ref="J11:S11" si="1">I11*(1+J12)</f>
        <v>8392.998418297273</v>
      </c>
      <c r="K11" s="175">
        <f t="shared" si="1"/>
        <v>9942.3084841518885</v>
      </c>
      <c r="L11" s="175">
        <f t="shared" si="1"/>
        <v>11575.730639347936</v>
      </c>
      <c r="M11" s="175">
        <f t="shared" si="1"/>
        <v>13268.312284540163</v>
      </c>
      <c r="N11" s="175">
        <f t="shared" si="1"/>
        <v>14994.972592758348</v>
      </c>
      <c r="O11" s="175">
        <f t="shared" si="1"/>
        <v>16731.680989780605</v>
      </c>
      <c r="P11" s="175">
        <f t="shared" si="1"/>
        <v>18456.370055761414</v>
      </c>
      <c r="Q11" s="175">
        <f t="shared" si="1"/>
        <v>20149.56721213532</v>
      </c>
      <c r="R11" s="175">
        <f t="shared" si="1"/>
        <v>21794.760656153907</v>
      </c>
      <c r="S11" s="176">
        <f t="shared" si="1"/>
        <v>23378.535200861679</v>
      </c>
    </row>
    <row r="12" spans="2:19" ht="14.4" customHeight="1" x14ac:dyDescent="0.25">
      <c r="B12" s="308"/>
      <c r="C12" s="310" t="s">
        <v>213</v>
      </c>
      <c r="D12" s="310"/>
      <c r="E12" s="311" t="s">
        <v>214</v>
      </c>
      <c r="F12" s="312">
        <f>F11/E11-1</f>
        <v>-0.15732683056801733</v>
      </c>
      <c r="G12" s="312">
        <f>G11/F11-1</f>
        <v>-1.7889374848048534E-2</v>
      </c>
      <c r="H12" s="312">
        <f>H11/G11-1</f>
        <v>0.15152032503515178</v>
      </c>
      <c r="I12" s="312">
        <f>I11/H11-1</f>
        <v>0.26330111065293038</v>
      </c>
      <c r="J12" s="313">
        <f>CHOOSE(Assumptions!$C$17,'Income Buildup'!J15:S15,'Income Buildup'!J16:S16,'Income Buildup'!J17:S17)</f>
        <v>0.20741071784404108</v>
      </c>
      <c r="K12" s="313">
        <f>CHOOSE(Assumptions!$C$17,'Income Buildup'!K15:T15,'Income Buildup'!K16:T16,'Income Buildup'!K17:T17)</f>
        <v>0.18459553888119656</v>
      </c>
      <c r="L12" s="313">
        <f>CHOOSE(Assumptions!$C$17,'Income Buildup'!L15:U15,'Income Buildup'!L16:U16,'Income Buildup'!L17:U17)</f>
        <v>0.16429002960426495</v>
      </c>
      <c r="M12" s="313">
        <f>CHOOSE(Assumptions!$C$17,'Income Buildup'!M15:V15,'Income Buildup'!M16:V16,'Income Buildup'!M17:V17)</f>
        <v>0.1462181263477958</v>
      </c>
      <c r="N12" s="313">
        <f>CHOOSE(Assumptions!$C$17,'Income Buildup'!N15:W15,'Income Buildup'!N16:W16,'Income Buildup'!N17:W17)</f>
        <v>0.13013413244953825</v>
      </c>
      <c r="O12" s="313">
        <f>CHOOSE(Assumptions!$C$17,'Income Buildup'!O15:X15,'Income Buildup'!O16:X16,'Income Buildup'!O17:X17)</f>
        <v>0.11581937788008904</v>
      </c>
      <c r="P12" s="313">
        <f>CHOOSE(Assumptions!$C$17,'Income Buildup'!P15:Y15,'Income Buildup'!P16:Y16,'Income Buildup'!P17:Y17)</f>
        <v>0.10307924631327925</v>
      </c>
      <c r="Q12" s="313">
        <f>CHOOSE(Assumptions!$C$17,'Income Buildup'!Q15:Z15,'Income Buildup'!Q16:Z16,'Income Buildup'!Q17:Z17)</f>
        <v>9.1740529218818534E-2</v>
      </c>
      <c r="R12" s="313">
        <f>CHOOSE(Assumptions!$C$17,'Income Buildup'!R15:AA15,'Income Buildup'!R16:AA16,'Income Buildup'!R17:AA17)</f>
        <v>8.1649071004748497E-2</v>
      </c>
      <c r="S12" s="313">
        <f>CHOOSE(Assumptions!$C$17,'Income Buildup'!S15:AB15,'Income Buildup'!S16:AB16,'Income Buildup'!S17:AB17)</f>
        <v>7.2667673194226165E-2</v>
      </c>
    </row>
    <row r="13" spans="2:19" ht="14.4" customHeight="1" x14ac:dyDescent="0.25">
      <c r="B13" s="308"/>
      <c r="E13" s="314"/>
      <c r="F13" s="315"/>
      <c r="G13" s="315"/>
      <c r="H13" s="315"/>
      <c r="I13" s="315"/>
      <c r="J13" s="236"/>
      <c r="K13" s="236"/>
      <c r="L13" s="236"/>
      <c r="M13" s="236"/>
      <c r="N13" s="236"/>
      <c r="O13" s="236"/>
      <c r="P13" s="236"/>
      <c r="Q13" s="236"/>
      <c r="R13" s="236"/>
      <c r="S13" s="237"/>
    </row>
    <row r="14" spans="2:19" ht="14.4" customHeight="1" x14ac:dyDescent="0.25">
      <c r="B14" s="308"/>
      <c r="C14" s="316" t="s">
        <v>11</v>
      </c>
      <c r="E14" s="314"/>
      <c r="F14" s="315"/>
      <c r="G14" s="315"/>
      <c r="H14" s="315"/>
      <c r="I14" s="315"/>
      <c r="J14" s="236"/>
      <c r="K14" s="236"/>
      <c r="L14" s="236"/>
      <c r="M14" s="236"/>
      <c r="N14" s="236"/>
      <c r="O14" s="236"/>
      <c r="P14" s="236"/>
      <c r="Q14" s="236"/>
      <c r="R14" s="236"/>
      <c r="S14" s="237"/>
    </row>
    <row r="15" spans="2:19" ht="14.4" customHeight="1" x14ac:dyDescent="0.25">
      <c r="B15" s="308"/>
      <c r="C15" s="14" t="s">
        <v>215</v>
      </c>
      <c r="E15" s="317"/>
      <c r="F15" s="318"/>
      <c r="G15" s="318"/>
      <c r="H15" s="318"/>
      <c r="I15" s="318"/>
      <c r="J15" s="319">
        <f>J16+5%</f>
        <v>0.25741071784404107</v>
      </c>
      <c r="K15" s="319">
        <f>J15*(1-Assumptions!$D$32)</f>
        <v>0.22909553888119655</v>
      </c>
      <c r="L15" s="319">
        <f>K15*(1-Assumptions!$D$32)</f>
        <v>0.20389502960426492</v>
      </c>
      <c r="M15" s="319">
        <f>L15*(1-Assumptions!$D$32)</f>
        <v>0.18146657634779578</v>
      </c>
      <c r="N15" s="319">
        <f>M15*(1-Assumptions!$D$32)</f>
        <v>0.16150525294953824</v>
      </c>
      <c r="O15" s="319">
        <f>N15*(1-Assumptions!$D$32)</f>
        <v>0.14373967512508903</v>
      </c>
      <c r="P15" s="319">
        <f>O15*(1-Assumptions!$D$32)</f>
        <v>0.12792831086132925</v>
      </c>
      <c r="Q15" s="319">
        <f>P15*(1-Assumptions!$D$32)</f>
        <v>0.11385619666658303</v>
      </c>
      <c r="R15" s="319">
        <f>Q15*(1-Assumptions!$D$32)</f>
        <v>0.10133201503325889</v>
      </c>
      <c r="S15" s="319">
        <f>R15*(1-Assumptions!$D$32)</f>
        <v>9.0185493379600412E-2</v>
      </c>
    </row>
    <row r="16" spans="2:19" ht="14.4" customHeight="1" x14ac:dyDescent="0.25">
      <c r="B16" s="308"/>
      <c r="C16" s="14" t="s">
        <v>216</v>
      </c>
      <c r="E16" s="317"/>
      <c r="F16" s="318"/>
      <c r="G16" s="318"/>
      <c r="H16" s="318"/>
      <c r="I16" s="318"/>
      <c r="J16" s="319">
        <f>AVERAGE(H12:I12)</f>
        <v>0.20741071784404108</v>
      </c>
      <c r="K16" s="319">
        <f>J16*(1-Assumptions!$D$32)</f>
        <v>0.18459553888119656</v>
      </c>
      <c r="L16" s="319">
        <f>K16*(1-Assumptions!$D$32)</f>
        <v>0.16429002960426495</v>
      </c>
      <c r="M16" s="319">
        <f>L16*(1-Assumptions!$D$32)</f>
        <v>0.1462181263477958</v>
      </c>
      <c r="N16" s="319">
        <f>M16*(1-Assumptions!$D$32)</f>
        <v>0.13013413244953825</v>
      </c>
      <c r="O16" s="319">
        <f>N16*(1-Assumptions!$D$32)</f>
        <v>0.11581937788008904</v>
      </c>
      <c r="P16" s="319">
        <f>O16*(1-Assumptions!$D$32)</f>
        <v>0.10307924631327925</v>
      </c>
      <c r="Q16" s="319">
        <f>P16*(1-Assumptions!$D$32)</f>
        <v>9.1740529218818534E-2</v>
      </c>
      <c r="R16" s="319">
        <f>Q16*(1-Assumptions!$D$32)</f>
        <v>8.1649071004748497E-2</v>
      </c>
      <c r="S16" s="319">
        <f>R16*(1-Assumptions!$D$32)</f>
        <v>7.2667673194226165E-2</v>
      </c>
    </row>
    <row r="17" spans="2:19" ht="14.4" customHeight="1" x14ac:dyDescent="0.25">
      <c r="B17" s="308"/>
      <c r="C17" s="14" t="s">
        <v>217</v>
      </c>
      <c r="E17" s="317"/>
      <c r="F17" s="318"/>
      <c r="G17" s="318"/>
      <c r="H17" s="318"/>
      <c r="I17" s="318"/>
      <c r="J17" s="319">
        <f>J16-5%</f>
        <v>0.15741071784404109</v>
      </c>
      <c r="K17" s="319">
        <f>J17*(1-Assumptions!$D$32)</f>
        <v>0.14009553888119658</v>
      </c>
      <c r="L17" s="319">
        <f>K17*(1-Assumptions!$D$32)</f>
        <v>0.12468502960426496</v>
      </c>
      <c r="M17" s="319">
        <f>L17*(1-Assumptions!$D$32)</f>
        <v>0.11096967634779582</v>
      </c>
      <c r="N17" s="319">
        <f>M17*(1-Assumptions!$D$32)</f>
        <v>9.8763011949538279E-2</v>
      </c>
      <c r="O17" s="319">
        <f>N17*(1-Assumptions!$D$32)</f>
        <v>8.7899080635089069E-2</v>
      </c>
      <c r="P17" s="319">
        <f>O17*(1-Assumptions!$D$32)</f>
        <v>7.8230181765229279E-2</v>
      </c>
      <c r="Q17" s="319">
        <f>P17*(1-Assumptions!$D$32)</f>
        <v>6.9624861771054064E-2</v>
      </c>
      <c r="R17" s="319">
        <f>Q17*(1-Assumptions!$D$32)</f>
        <v>6.1966126976238114E-2</v>
      </c>
      <c r="S17" s="319">
        <f>R17*(1-Assumptions!$D$32)</f>
        <v>5.5149853008851925E-2</v>
      </c>
    </row>
    <row r="18" spans="2:19" ht="14.4" customHeight="1" x14ac:dyDescent="0.25">
      <c r="B18" s="308"/>
      <c r="E18" s="314"/>
      <c r="F18" s="315"/>
      <c r="G18" s="315"/>
      <c r="H18" s="315"/>
      <c r="I18" s="315"/>
      <c r="J18" s="236"/>
      <c r="K18" s="236"/>
      <c r="L18" s="236"/>
      <c r="M18" s="236"/>
      <c r="N18" s="236"/>
      <c r="O18" s="236"/>
      <c r="P18" s="236"/>
      <c r="Q18" s="236"/>
      <c r="R18" s="236"/>
      <c r="S18" s="237"/>
    </row>
    <row r="19" spans="2:19" ht="14.4" customHeight="1" x14ac:dyDescent="0.25">
      <c r="B19" s="309" t="s">
        <v>218</v>
      </c>
      <c r="E19" s="183">
        <v>1990.4902999999999</v>
      </c>
      <c r="F19" s="184">
        <v>1873.6718000000001</v>
      </c>
      <c r="G19" s="184">
        <v>2094.6587</v>
      </c>
      <c r="H19" s="184">
        <v>2359.3445999999999</v>
      </c>
      <c r="I19" s="184">
        <v>2656.0319</v>
      </c>
      <c r="J19" s="175">
        <f t="shared" ref="J19:S19" si="2">I19*(1+J20)</f>
        <v>2990.0275923311965</v>
      </c>
      <c r="K19" s="175">
        <f t="shared" si="2"/>
        <v>3324.6636856902919</v>
      </c>
      <c r="L19" s="175">
        <f t="shared" si="2"/>
        <v>3655.8217320660137</v>
      </c>
      <c r="M19" s="175">
        <f t="shared" si="2"/>
        <v>3979.9094770101751</v>
      </c>
      <c r="N19" s="175">
        <f t="shared" si="2"/>
        <v>4293.9175397648942</v>
      </c>
      <c r="O19" s="175">
        <f t="shared" si="2"/>
        <v>4595.43419865123</v>
      </c>
      <c r="P19" s="175">
        <f t="shared" si="2"/>
        <v>4882.6274104586519</v>
      </c>
      <c r="Q19" s="175">
        <f t="shared" si="2"/>
        <v>5154.2032996634907</v>
      </c>
      <c r="R19" s="175">
        <f t="shared" si="2"/>
        <v>5409.349541974093</v>
      </c>
      <c r="S19" s="176">
        <f t="shared" si="2"/>
        <v>5647.6707459653571</v>
      </c>
    </row>
    <row r="20" spans="2:19" ht="14.4" customHeight="1" x14ac:dyDescent="0.25">
      <c r="B20" s="308"/>
      <c r="C20" s="310" t="s">
        <v>213</v>
      </c>
      <c r="D20" s="310"/>
      <c r="E20" s="311" t="s">
        <v>214</v>
      </c>
      <c r="F20" s="312">
        <f>F19/E19-1</f>
        <v>-5.8688304082667453E-2</v>
      </c>
      <c r="G20" s="312">
        <f>G19/F19-1</f>
        <v>0.11794322783744726</v>
      </c>
      <c r="H20" s="312">
        <f>H19/G19-1</f>
        <v>0.12636230427419992</v>
      </c>
      <c r="I20" s="312">
        <f>I19/H19-1</f>
        <v>0.12574987986070374</v>
      </c>
      <c r="J20" s="313">
        <f>CHOOSE(Assumptions!$C$17,'Income Buildup'!J23:S23,'Income Buildup'!J24:S24,'Income Buildup'!J25:S25)</f>
        <v>0.12574987986070374</v>
      </c>
      <c r="K20" s="313">
        <f>CHOOSE(Assumptions!$C$17,'Income Buildup'!K23:T23,'Income Buildup'!K24:T24,'Income Buildup'!K25:T25)</f>
        <v>0.11191739307602633</v>
      </c>
      <c r="L20" s="313">
        <f>CHOOSE(Assumptions!$C$17,'Income Buildup'!L23:U23,'Income Buildup'!L24:U24,'Income Buildup'!L25:U25)</f>
        <v>9.9606479837663436E-2</v>
      </c>
      <c r="M20" s="313">
        <f>CHOOSE(Assumptions!$C$17,'Income Buildup'!M23:V23,'Income Buildup'!M24:V24,'Income Buildup'!M25:V25)</f>
        <v>8.8649767055520454E-2</v>
      </c>
      <c r="N20" s="313">
        <f>CHOOSE(Assumptions!$C$17,'Income Buildup'!N23:W23,'Income Buildup'!N24:W24,'Income Buildup'!N25:W25)</f>
        <v>7.8898292679413201E-2</v>
      </c>
      <c r="O20" s="313">
        <f>CHOOSE(Assumptions!$C$17,'Income Buildup'!O23:X23,'Income Buildup'!O24:X24,'Income Buildup'!O25:X25)</f>
        <v>7.0219480484677743E-2</v>
      </c>
      <c r="P20" s="313">
        <f>CHOOSE(Assumptions!$C$17,'Income Buildup'!P23:Y23,'Income Buildup'!P24:Y24,'Income Buildup'!P25:Y25)</f>
        <v>6.2495337631363189E-2</v>
      </c>
      <c r="Q20" s="313">
        <f>CHOOSE(Assumptions!$C$17,'Income Buildup'!Q23:Z23,'Income Buildup'!Q24:Z24,'Income Buildup'!Q25:Z25)</f>
        <v>5.5620850491913239E-2</v>
      </c>
      <c r="R20" s="313">
        <f>CHOOSE(Assumptions!$C$17,'Income Buildup'!R23:AA23,'Income Buildup'!R24:AA24,'Income Buildup'!R25:AA25)</f>
        <v>4.9502556937802783E-2</v>
      </c>
      <c r="S20" s="320">
        <f>CHOOSE(Assumptions!$C$17,'Income Buildup'!S23:AB23,'Income Buildup'!S24:AB24,'Income Buildup'!S25:AB25)</f>
        <v>4.4057275674644479E-2</v>
      </c>
    </row>
    <row r="21" spans="2:19" ht="14.4" customHeight="1" x14ac:dyDescent="0.25">
      <c r="B21" s="308"/>
      <c r="E21" s="314"/>
      <c r="F21" s="315"/>
      <c r="G21" s="315"/>
      <c r="H21" s="315"/>
      <c r="I21" s="315"/>
      <c r="J21" s="236"/>
      <c r="K21" s="236"/>
      <c r="L21" s="236"/>
      <c r="M21" s="236"/>
      <c r="N21" s="236"/>
      <c r="O21" s="236"/>
      <c r="P21" s="236"/>
      <c r="Q21" s="236"/>
      <c r="R21" s="236"/>
      <c r="S21" s="237"/>
    </row>
    <row r="22" spans="2:19" ht="14.4" customHeight="1" x14ac:dyDescent="0.25">
      <c r="B22" s="308"/>
      <c r="C22" s="316" t="s">
        <v>11</v>
      </c>
      <c r="E22" s="314"/>
      <c r="F22" s="315"/>
      <c r="G22" s="315"/>
      <c r="H22" s="315"/>
      <c r="I22" s="315"/>
      <c r="J22" s="236"/>
      <c r="K22" s="236"/>
      <c r="L22" s="236"/>
      <c r="M22" s="236"/>
      <c r="N22" s="236"/>
      <c r="O22" s="236"/>
      <c r="P22" s="236"/>
      <c r="Q22" s="236"/>
      <c r="R22" s="236"/>
      <c r="S22" s="237"/>
    </row>
    <row r="23" spans="2:19" ht="14.4" customHeight="1" x14ac:dyDescent="0.25">
      <c r="B23" s="308"/>
      <c r="C23" s="14" t="s">
        <v>215</v>
      </c>
      <c r="E23" s="317"/>
      <c r="F23" s="318"/>
      <c r="G23" s="318"/>
      <c r="H23" s="318"/>
      <c r="I23" s="318"/>
      <c r="J23" s="319">
        <f>J24+5%</f>
        <v>0.17574987986070373</v>
      </c>
      <c r="K23" s="319">
        <f>J23*(1-Assumptions!$D$32)</f>
        <v>0.15641739307602631</v>
      </c>
      <c r="L23" s="319">
        <f>K23*(1-Assumptions!$D$32)</f>
        <v>0.13921147983766341</v>
      </c>
      <c r="M23" s="319">
        <f>L23*(1-Assumptions!$D$32)</f>
        <v>0.12389821705552044</v>
      </c>
      <c r="N23" s="319">
        <f>M23*(1-Assumptions!$D$32)</f>
        <v>0.11026941317941319</v>
      </c>
      <c r="O23" s="319">
        <f>N23*(1-Assumptions!$D$32)</f>
        <v>9.8139777729677746E-2</v>
      </c>
      <c r="P23" s="319">
        <f>O23*(1-Assumptions!$D$32)</f>
        <v>8.7344402179413194E-2</v>
      </c>
      <c r="Q23" s="319">
        <f>P23*(1-Assumptions!$D$32)</f>
        <v>7.7736517939677743E-2</v>
      </c>
      <c r="R23" s="319">
        <f>Q23*(1-Assumptions!$D$32)</f>
        <v>6.9185500966313193E-2</v>
      </c>
      <c r="S23" s="319">
        <f>R23*(1-Assumptions!$D$32)</f>
        <v>6.157509586001874E-2</v>
      </c>
    </row>
    <row r="24" spans="2:19" ht="14.4" customHeight="1" x14ac:dyDescent="0.25">
      <c r="B24" s="308"/>
      <c r="C24" s="14" t="s">
        <v>216</v>
      </c>
      <c r="E24" s="317"/>
      <c r="F24" s="318"/>
      <c r="G24" s="318"/>
      <c r="H24" s="318"/>
      <c r="I24" s="318"/>
      <c r="J24" s="319">
        <f>I20</f>
        <v>0.12574987986070374</v>
      </c>
      <c r="K24" s="319">
        <f>J24*(1-Assumptions!$D$32)</f>
        <v>0.11191739307602633</v>
      </c>
      <c r="L24" s="319">
        <f>K24*(1-Assumptions!$D$32)</f>
        <v>9.9606479837663436E-2</v>
      </c>
      <c r="M24" s="319">
        <f>L24*(1-Assumptions!$D$32)</f>
        <v>8.8649767055520454E-2</v>
      </c>
      <c r="N24" s="319">
        <f>M24*(1-Assumptions!$D$32)</f>
        <v>7.8898292679413201E-2</v>
      </c>
      <c r="O24" s="319">
        <f>N24*(1-Assumptions!$D$32)</f>
        <v>7.0219480484677743E-2</v>
      </c>
      <c r="P24" s="319">
        <f>O24*(1-Assumptions!$D$32)</f>
        <v>6.2495337631363189E-2</v>
      </c>
      <c r="Q24" s="319">
        <f>P24*(1-Assumptions!$D$32)</f>
        <v>5.5620850491913239E-2</v>
      </c>
      <c r="R24" s="319">
        <f>Q24*(1-Assumptions!$D$32)</f>
        <v>4.9502556937802783E-2</v>
      </c>
      <c r="S24" s="319">
        <f>R24*(1-Assumptions!$D$32)</f>
        <v>4.4057275674644479E-2</v>
      </c>
    </row>
    <row r="25" spans="2:19" ht="14.4" customHeight="1" x14ac:dyDescent="0.25">
      <c r="B25" s="308"/>
      <c r="C25" s="14" t="s">
        <v>217</v>
      </c>
      <c r="E25" s="317"/>
      <c r="F25" s="318"/>
      <c r="G25" s="318"/>
      <c r="H25" s="318"/>
      <c r="I25" s="318"/>
      <c r="J25" s="319">
        <f>J24-5%</f>
        <v>7.5749879860703737E-2</v>
      </c>
      <c r="K25" s="319">
        <f>J25*(1-Assumptions!$D$32)</f>
        <v>6.741739307602633E-2</v>
      </c>
      <c r="L25" s="319">
        <f>K25*(1-Assumptions!$D$32)</f>
        <v>6.0001479837663435E-2</v>
      </c>
      <c r="M25" s="319">
        <f>L25*(1-Assumptions!$D$32)</f>
        <v>5.340131705552046E-2</v>
      </c>
      <c r="N25" s="319">
        <f>M25*(1-Assumptions!$D$32)</f>
        <v>4.7527172179413213E-2</v>
      </c>
      <c r="O25" s="319">
        <f>N25*(1-Assumptions!$D$32)</f>
        <v>4.2299183239677761E-2</v>
      </c>
      <c r="P25" s="319">
        <f>O25*(1-Assumptions!$D$32)</f>
        <v>3.7646273083313204E-2</v>
      </c>
      <c r="Q25" s="319">
        <f>P25*(1-Assumptions!$D$32)</f>
        <v>3.3505183044148755E-2</v>
      </c>
      <c r="R25" s="319">
        <f>Q25*(1-Assumptions!$D$32)</f>
        <v>2.9819612909292394E-2</v>
      </c>
      <c r="S25" s="319">
        <f>R25*(1-Assumptions!$D$32)</f>
        <v>2.6539455489270232E-2</v>
      </c>
    </row>
    <row r="26" spans="2:19" ht="14.4" customHeight="1" x14ac:dyDescent="0.25">
      <c r="B26" s="308"/>
      <c r="E26" s="314"/>
      <c r="F26" s="315"/>
      <c r="G26" s="315"/>
      <c r="H26" s="315"/>
      <c r="I26" s="315"/>
      <c r="J26" s="236"/>
      <c r="K26" s="236"/>
      <c r="L26" s="236"/>
      <c r="M26" s="236"/>
      <c r="N26" s="236"/>
      <c r="O26" s="236"/>
      <c r="P26" s="236"/>
      <c r="Q26" s="236"/>
      <c r="R26" s="236"/>
      <c r="S26" s="237"/>
    </row>
    <row r="27" spans="2:19" ht="14.4" customHeight="1" x14ac:dyDescent="0.25">
      <c r="B27" s="309" t="s">
        <v>219</v>
      </c>
      <c r="E27" s="183">
        <v>37.477699999999999</v>
      </c>
      <c r="F27" s="184">
        <v>114.0592</v>
      </c>
      <c r="G27" s="184">
        <v>118.4293</v>
      </c>
      <c r="H27" s="184">
        <v>30.713000000000001</v>
      </c>
      <c r="I27" s="184">
        <v>22.029299999999999</v>
      </c>
      <c r="J27" s="175">
        <f t="shared" ref="J27:S27" si="3">I27*(1+J28)</f>
        <v>15.800802868166572</v>
      </c>
      <c r="K27" s="175">
        <f t="shared" si="3"/>
        <v>11.824753821801668</v>
      </c>
      <c r="L27" s="175">
        <f t="shared" si="3"/>
        <v>9.1765299702313055</v>
      </c>
      <c r="M27" s="175">
        <f t="shared" si="3"/>
        <v>7.3474568023535847</v>
      </c>
      <c r="N27" s="175">
        <f t="shared" si="3"/>
        <v>6.0440510315120521</v>
      </c>
      <c r="O27" s="175">
        <f t="shared" si="3"/>
        <v>5.089804198488558</v>
      </c>
      <c r="P27" s="175">
        <f t="shared" si="3"/>
        <v>4.3746104872678453</v>
      </c>
      <c r="Q27" s="175">
        <f t="shared" si="3"/>
        <v>3.8275290140134781</v>
      </c>
      <c r="R27" s="175">
        <f t="shared" si="3"/>
        <v>3.4015177167735904</v>
      </c>
      <c r="S27" s="176">
        <f t="shared" si="3"/>
        <v>3.0645677882103977</v>
      </c>
    </row>
    <row r="28" spans="2:19" ht="14.4" customHeight="1" x14ac:dyDescent="0.25">
      <c r="B28" s="308"/>
      <c r="C28" s="310" t="s">
        <v>213</v>
      </c>
      <c r="D28" s="310"/>
      <c r="E28" s="311" t="s">
        <v>214</v>
      </c>
      <c r="F28" s="312">
        <f>F27/E27-1</f>
        <v>2.0433884683425081</v>
      </c>
      <c r="G28" s="312">
        <f>G27/F27-1</f>
        <v>3.831431397028906E-2</v>
      </c>
      <c r="H28" s="312">
        <f>H27/G27-1</f>
        <v>-0.74066383910062794</v>
      </c>
      <c r="I28" s="312">
        <f>I27/H27-1</f>
        <v>-0.28273695177937685</v>
      </c>
      <c r="J28" s="313">
        <f>CHOOSE(Assumptions!$C$17,'Income Buildup'!J31:S31,'Income Buildup'!J32:S32,'Income Buildup'!J33:S33)</f>
        <v>-0.28273695177937685</v>
      </c>
      <c r="K28" s="313">
        <f>CHOOSE(Assumptions!$C$17,'Income Buildup'!K31:T31,'Income Buildup'!K32:T32,'Income Buildup'!K33:T33)</f>
        <v>-0.25163588708364543</v>
      </c>
      <c r="L28" s="313">
        <f>CHOOSE(Assumptions!$C$17,'Income Buildup'!L31:U31,'Income Buildup'!L32:U32,'Income Buildup'!L33:U33)</f>
        <v>-0.22395593950444442</v>
      </c>
      <c r="M28" s="313">
        <f>CHOOSE(Assumptions!$C$17,'Income Buildup'!M31:V31,'Income Buildup'!M32:V32,'Income Buildup'!M33:V33)</f>
        <v>-0.19932078615895554</v>
      </c>
      <c r="N28" s="313">
        <f>CHOOSE(Assumptions!$C$17,'Income Buildup'!N31:W31,'Income Buildup'!N32:W32,'Income Buildup'!N33:W33)</f>
        <v>-0.17739549968147045</v>
      </c>
      <c r="O28" s="313">
        <f>CHOOSE(Assumptions!$C$17,'Income Buildup'!O31:X31,'Income Buildup'!O32:X32,'Income Buildup'!O33:X33)</f>
        <v>-0.15788199471650871</v>
      </c>
      <c r="P28" s="313">
        <f>CHOOSE(Assumptions!$C$17,'Income Buildup'!P31:Y31,'Income Buildup'!P32:Y32,'Income Buildup'!P33:Y33)</f>
        <v>-0.14051497529769275</v>
      </c>
      <c r="Q28" s="313">
        <f>CHOOSE(Assumptions!$C$17,'Income Buildup'!Q31:Z31,'Income Buildup'!Q32:Z32,'Income Buildup'!Q33:Z33)</f>
        <v>-0.12505832801494654</v>
      </c>
      <c r="R28" s="313">
        <f>CHOOSE(Assumptions!$C$17,'Income Buildup'!R31:AA31,'Income Buildup'!R32:AA32,'Income Buildup'!R33:AA33)</f>
        <v>-0.11130191193330242</v>
      </c>
      <c r="S28" s="320">
        <f>CHOOSE(Assumptions!$C$17,'Income Buildup'!S31:AB31,'Income Buildup'!S32:AB32,'Income Buildup'!S33:AB33)</f>
        <v>-9.9058701620639164E-2</v>
      </c>
    </row>
    <row r="29" spans="2:19" ht="14.4" customHeight="1" x14ac:dyDescent="0.25">
      <c r="B29" s="308"/>
      <c r="E29" s="314"/>
      <c r="F29" s="315"/>
      <c r="G29" s="315"/>
      <c r="H29" s="315"/>
      <c r="I29" s="315"/>
      <c r="J29" s="236"/>
      <c r="K29" s="236"/>
      <c r="L29" s="236"/>
      <c r="M29" s="236"/>
      <c r="N29" s="236"/>
      <c r="O29" s="236"/>
      <c r="P29" s="236"/>
      <c r="Q29" s="236"/>
      <c r="R29" s="236"/>
      <c r="S29" s="237"/>
    </row>
    <row r="30" spans="2:19" ht="14.4" customHeight="1" x14ac:dyDescent="0.25">
      <c r="B30" s="308"/>
      <c r="C30" s="316" t="s">
        <v>11</v>
      </c>
      <c r="E30" s="314"/>
      <c r="F30" s="315"/>
      <c r="G30" s="315"/>
      <c r="H30" s="315"/>
      <c r="I30" s="315"/>
      <c r="J30" s="236"/>
      <c r="K30" s="236"/>
      <c r="L30" s="236"/>
      <c r="M30" s="236"/>
      <c r="N30" s="236"/>
      <c r="O30" s="236"/>
      <c r="P30" s="236"/>
      <c r="Q30" s="236"/>
      <c r="R30" s="236"/>
      <c r="S30" s="237"/>
    </row>
    <row r="31" spans="2:19" ht="14.4" customHeight="1" x14ac:dyDescent="0.25">
      <c r="B31" s="308"/>
      <c r="C31" s="14" t="s">
        <v>215</v>
      </c>
      <c r="E31" s="317"/>
      <c r="F31" s="318"/>
      <c r="G31" s="318"/>
      <c r="H31" s="318"/>
      <c r="I31" s="318"/>
      <c r="J31" s="319">
        <f>J32+5%</f>
        <v>-0.23273695177937687</v>
      </c>
      <c r="K31" s="319">
        <f>J31*(1-Assumptions!$D$32)</f>
        <v>-0.20713588708364541</v>
      </c>
      <c r="L31" s="319">
        <f>K31*(1-Assumptions!$D$32)</f>
        <v>-0.18435093950444442</v>
      </c>
      <c r="M31" s="319">
        <f>L31*(1-Assumptions!$D$32)</f>
        <v>-0.16407233615895553</v>
      </c>
      <c r="N31" s="319">
        <f>M31*(1-Assumptions!$D$32)</f>
        <v>-0.14602437918147043</v>
      </c>
      <c r="O31" s="319">
        <f>N31*(1-Assumptions!$D$32)</f>
        <v>-0.12996169747150868</v>
      </c>
      <c r="P31" s="319">
        <f>O31*(1-Assumptions!$D$32)</f>
        <v>-0.11566591074964273</v>
      </c>
      <c r="Q31" s="319">
        <f>P31*(1-Assumptions!$D$32)</f>
        <v>-0.10294266056718203</v>
      </c>
      <c r="R31" s="319">
        <f>Q31*(1-Assumptions!$D$32)</f>
        <v>-9.1618967904792001E-2</v>
      </c>
      <c r="S31" s="319">
        <f>R31*(1-Assumptions!$D$32)</f>
        <v>-8.1540881435264875E-2</v>
      </c>
    </row>
    <row r="32" spans="2:19" ht="14.4" customHeight="1" x14ac:dyDescent="0.25">
      <c r="B32" s="308"/>
      <c r="C32" s="14" t="s">
        <v>216</v>
      </c>
      <c r="E32" s="317"/>
      <c r="F32" s="318"/>
      <c r="G32" s="318"/>
      <c r="H32" s="318"/>
      <c r="I32" s="318"/>
      <c r="J32" s="319">
        <f>I28</f>
        <v>-0.28273695177937685</v>
      </c>
      <c r="K32" s="319">
        <f>J32*(1-Assumptions!$D$32)</f>
        <v>-0.25163588708364543</v>
      </c>
      <c r="L32" s="319">
        <f>K32*(1-Assumptions!$D$32)</f>
        <v>-0.22395593950444442</v>
      </c>
      <c r="M32" s="319">
        <f>L32*(1-Assumptions!$D$32)</f>
        <v>-0.19932078615895554</v>
      </c>
      <c r="N32" s="319">
        <f>M32*(1-Assumptions!$D$32)</f>
        <v>-0.17739549968147045</v>
      </c>
      <c r="O32" s="319">
        <f>N32*(1-Assumptions!$D$32)</f>
        <v>-0.15788199471650871</v>
      </c>
      <c r="P32" s="319">
        <f>O32*(1-Assumptions!$D$32)</f>
        <v>-0.14051497529769275</v>
      </c>
      <c r="Q32" s="319">
        <f>P32*(1-Assumptions!$D$32)</f>
        <v>-0.12505832801494654</v>
      </c>
      <c r="R32" s="319">
        <f>Q32*(1-Assumptions!$D$32)</f>
        <v>-0.11130191193330242</v>
      </c>
      <c r="S32" s="319">
        <f>R32*(1-Assumptions!$D$32)</f>
        <v>-9.9058701620639164E-2</v>
      </c>
    </row>
    <row r="33" spans="2:19" ht="14.4" customHeight="1" x14ac:dyDescent="0.25">
      <c r="B33" s="308"/>
      <c r="C33" s="14" t="s">
        <v>217</v>
      </c>
      <c r="E33" s="317"/>
      <c r="F33" s="318"/>
      <c r="G33" s="318"/>
      <c r="H33" s="318"/>
      <c r="I33" s="318"/>
      <c r="J33" s="319">
        <f>J32-5%</f>
        <v>-0.33273695177937684</v>
      </c>
      <c r="K33" s="319">
        <f>J33*(1-Assumptions!$D$32)</f>
        <v>-0.29613588708364541</v>
      </c>
      <c r="L33" s="319">
        <f>K33*(1-Assumptions!$D$32)</f>
        <v>-0.26356093950444442</v>
      </c>
      <c r="M33" s="319">
        <f>L33*(1-Assumptions!$D$32)</f>
        <v>-0.23456923615895553</v>
      </c>
      <c r="N33" s="319">
        <f>M33*(1-Assumptions!$D$32)</f>
        <v>-0.20876662018147044</v>
      </c>
      <c r="O33" s="319">
        <f>N33*(1-Assumptions!$D$32)</f>
        <v>-0.18580229196150869</v>
      </c>
      <c r="P33" s="319">
        <f>O33*(1-Assumptions!$D$32)</f>
        <v>-0.16536403984574274</v>
      </c>
      <c r="Q33" s="319">
        <f>P33*(1-Assumptions!$D$32)</f>
        <v>-0.14717399546271104</v>
      </c>
      <c r="R33" s="319">
        <f>Q33*(1-Assumptions!$D$32)</f>
        <v>-0.13098485596181283</v>
      </c>
      <c r="S33" s="319">
        <f>R33*(1-Assumptions!$D$32)</f>
        <v>-0.11657652180601343</v>
      </c>
    </row>
    <row r="34" spans="2:19" ht="14.4" customHeight="1" x14ac:dyDescent="0.25">
      <c r="B34" s="308"/>
      <c r="E34" s="314"/>
      <c r="F34" s="315"/>
      <c r="G34" s="315"/>
      <c r="H34" s="315"/>
      <c r="I34" s="315"/>
      <c r="J34" s="236"/>
      <c r="K34" s="236"/>
      <c r="L34" s="236"/>
      <c r="M34" s="236"/>
      <c r="N34" s="236"/>
      <c r="O34" s="236"/>
      <c r="P34" s="236"/>
      <c r="Q34" s="236"/>
      <c r="R34" s="236"/>
      <c r="S34" s="237"/>
    </row>
    <row r="35" spans="2:19" ht="14.4" customHeight="1" x14ac:dyDescent="0.25">
      <c r="B35" s="309" t="s">
        <v>220</v>
      </c>
      <c r="E35" s="183">
        <v>127.7273</v>
      </c>
      <c r="F35" s="184">
        <v>120.73099999999999</v>
      </c>
      <c r="G35" s="184">
        <v>104.3098</v>
      </c>
      <c r="H35" s="184">
        <v>100.23480000000001</v>
      </c>
      <c r="I35" s="184">
        <v>64.677099999999996</v>
      </c>
      <c r="J35" s="175">
        <f t="shared" ref="J35:S35" si="4">I35*(1+J36)</f>
        <v>41.733282895860512</v>
      </c>
      <c r="K35" s="175">
        <f t="shared" si="4"/>
        <v>26.928648644820559</v>
      </c>
      <c r="L35" s="175">
        <f t="shared" si="4"/>
        <v>17.375870468798496</v>
      </c>
      <c r="M35" s="175">
        <f t="shared" si="4"/>
        <v>11.21188361624433</v>
      </c>
      <c r="N35" s="175">
        <f t="shared" si="4"/>
        <v>7.23453449137621</v>
      </c>
      <c r="O35" s="175">
        <f t="shared" si="4"/>
        <v>4.6681263468594567</v>
      </c>
      <c r="P35" s="175">
        <f t="shared" si="4"/>
        <v>3.0121362495706459</v>
      </c>
      <c r="Q35" s="175">
        <f t="shared" si="4"/>
        <v>1.9435988042786099</v>
      </c>
      <c r="R35" s="175">
        <f t="shared" si="4"/>
        <v>1.2541186716011612</v>
      </c>
      <c r="S35" s="176">
        <f t="shared" si="4"/>
        <v>0.80922752113054008</v>
      </c>
    </row>
    <row r="36" spans="2:19" ht="14.4" customHeight="1" x14ac:dyDescent="0.25">
      <c r="B36" s="308"/>
      <c r="C36" s="310" t="s">
        <v>213</v>
      </c>
      <c r="D36" s="310"/>
      <c r="E36" s="311" t="s">
        <v>214</v>
      </c>
      <c r="F36" s="312">
        <f>F35/E35-1</f>
        <v>-5.4775290795311626E-2</v>
      </c>
      <c r="G36" s="312">
        <f>G35/F35-1</f>
        <v>-0.13601477665222683</v>
      </c>
      <c r="H36" s="312">
        <f>H35/G35-1</f>
        <v>-3.9066319751355993E-2</v>
      </c>
      <c r="I36" s="312">
        <f>I35/H35-1</f>
        <v>-0.35474406094490141</v>
      </c>
      <c r="J36" s="313">
        <f>CHOOSE(Assumptions!$C$17,'Income Buildup'!J39:S39,'Income Buildup'!J40:S40,'Income Buildup'!J41:S41)</f>
        <v>-0.35474406094490141</v>
      </c>
      <c r="K36" s="313">
        <f>CHOOSE(Assumptions!$C$17,'Income Buildup'!K39:T39,'Income Buildup'!K40:T40,'Income Buildup'!K41:T41)</f>
        <v>-0.35474406094490141</v>
      </c>
      <c r="L36" s="313">
        <f>CHOOSE(Assumptions!$C$17,'Income Buildup'!L39:U39,'Income Buildup'!L40:U40,'Income Buildup'!L41:U41)</f>
        <v>-0.35474406094490141</v>
      </c>
      <c r="M36" s="313">
        <f>CHOOSE(Assumptions!$C$17,'Income Buildup'!M39:V39,'Income Buildup'!M40:V40,'Income Buildup'!M41:V41)</f>
        <v>-0.35474406094490141</v>
      </c>
      <c r="N36" s="313">
        <f>CHOOSE(Assumptions!$C$17,'Income Buildup'!N39:W39,'Income Buildup'!N40:W40,'Income Buildup'!N41:W41)</f>
        <v>-0.35474406094490141</v>
      </c>
      <c r="O36" s="313">
        <f>CHOOSE(Assumptions!$C$17,'Income Buildup'!O39:X39,'Income Buildup'!O40:X40,'Income Buildup'!O41:X41)</f>
        <v>-0.35474406094490141</v>
      </c>
      <c r="P36" s="313">
        <f>CHOOSE(Assumptions!$C$17,'Income Buildup'!P39:Y39,'Income Buildup'!P40:Y40,'Income Buildup'!P41:Y41)</f>
        <v>-0.35474406094490141</v>
      </c>
      <c r="Q36" s="313">
        <f>CHOOSE(Assumptions!$C$17,'Income Buildup'!Q39:Z39,'Income Buildup'!Q40:Z40,'Income Buildup'!Q41:Z41)</f>
        <v>-0.35474406094490141</v>
      </c>
      <c r="R36" s="313">
        <f>CHOOSE(Assumptions!$C$17,'Income Buildup'!R39:AA39,'Income Buildup'!R40:AA40,'Income Buildup'!R41:AA41)</f>
        <v>-0.35474406094490141</v>
      </c>
      <c r="S36" s="320">
        <f>CHOOSE(Assumptions!$C$17,'Income Buildup'!S39:AB39,'Income Buildup'!S40:AB40,'Income Buildup'!S41:AB41)</f>
        <v>-0.35474406094490141</v>
      </c>
    </row>
    <row r="37" spans="2:19" ht="14.4" customHeight="1" x14ac:dyDescent="0.25">
      <c r="B37" s="308"/>
      <c r="E37" s="314"/>
      <c r="F37" s="315"/>
      <c r="G37" s="315"/>
      <c r="H37" s="315"/>
      <c r="I37" s="315"/>
      <c r="J37" s="236"/>
      <c r="K37" s="236"/>
      <c r="L37" s="236"/>
      <c r="M37" s="236"/>
      <c r="N37" s="236"/>
      <c r="O37" s="236"/>
      <c r="P37" s="236"/>
      <c r="Q37" s="236"/>
      <c r="R37" s="236"/>
      <c r="S37" s="237"/>
    </row>
    <row r="38" spans="2:19" ht="14.4" customHeight="1" x14ac:dyDescent="0.25">
      <c r="B38" s="308"/>
      <c r="C38" s="316" t="s">
        <v>11</v>
      </c>
      <c r="E38" s="314"/>
      <c r="F38" s="315"/>
      <c r="G38" s="315"/>
      <c r="H38" s="315"/>
      <c r="I38" s="315"/>
      <c r="J38" s="236"/>
      <c r="K38" s="236"/>
      <c r="L38" s="236"/>
      <c r="M38" s="236"/>
      <c r="N38" s="236"/>
      <c r="O38" s="236"/>
      <c r="P38" s="236"/>
      <c r="Q38" s="236"/>
      <c r="R38" s="236"/>
      <c r="S38" s="237"/>
    </row>
    <row r="39" spans="2:19" ht="14.4" customHeight="1" x14ac:dyDescent="0.25">
      <c r="B39" s="308"/>
      <c r="C39" s="14" t="s">
        <v>215</v>
      </c>
      <c r="E39" s="317"/>
      <c r="F39" s="318"/>
      <c r="G39" s="318"/>
      <c r="H39" s="318"/>
      <c r="I39" s="318"/>
      <c r="J39" s="319">
        <f>J40+5%</f>
        <v>-0.30474406094490142</v>
      </c>
      <c r="K39" s="319">
        <f t="shared" ref="K39:S41" si="5">J39</f>
        <v>-0.30474406094490142</v>
      </c>
      <c r="L39" s="319">
        <f t="shared" si="5"/>
        <v>-0.30474406094490142</v>
      </c>
      <c r="M39" s="319">
        <f t="shared" si="5"/>
        <v>-0.30474406094490142</v>
      </c>
      <c r="N39" s="319">
        <f t="shared" si="5"/>
        <v>-0.30474406094490142</v>
      </c>
      <c r="O39" s="319">
        <f t="shared" si="5"/>
        <v>-0.30474406094490142</v>
      </c>
      <c r="P39" s="319">
        <f t="shared" si="5"/>
        <v>-0.30474406094490142</v>
      </c>
      <c r="Q39" s="319">
        <f t="shared" si="5"/>
        <v>-0.30474406094490142</v>
      </c>
      <c r="R39" s="319">
        <f t="shared" si="5"/>
        <v>-0.30474406094490142</v>
      </c>
      <c r="S39" s="319">
        <f t="shared" si="5"/>
        <v>-0.30474406094490142</v>
      </c>
    </row>
    <row r="40" spans="2:19" ht="14.4" customHeight="1" x14ac:dyDescent="0.25">
      <c r="B40" s="308"/>
      <c r="C40" s="14" t="s">
        <v>216</v>
      </c>
      <c r="E40" s="317"/>
      <c r="F40" s="318"/>
      <c r="G40" s="318"/>
      <c r="H40" s="318"/>
      <c r="I40" s="318"/>
      <c r="J40" s="319">
        <f>I36</f>
        <v>-0.35474406094490141</v>
      </c>
      <c r="K40" s="319">
        <f t="shared" si="5"/>
        <v>-0.35474406094490141</v>
      </c>
      <c r="L40" s="319">
        <f t="shared" si="5"/>
        <v>-0.35474406094490141</v>
      </c>
      <c r="M40" s="319">
        <f t="shared" si="5"/>
        <v>-0.35474406094490141</v>
      </c>
      <c r="N40" s="319">
        <f t="shared" si="5"/>
        <v>-0.35474406094490141</v>
      </c>
      <c r="O40" s="319">
        <f t="shared" si="5"/>
        <v>-0.35474406094490141</v>
      </c>
      <c r="P40" s="319">
        <f t="shared" si="5"/>
        <v>-0.35474406094490141</v>
      </c>
      <c r="Q40" s="319">
        <f t="shared" si="5"/>
        <v>-0.35474406094490141</v>
      </c>
      <c r="R40" s="319">
        <f t="shared" si="5"/>
        <v>-0.35474406094490141</v>
      </c>
      <c r="S40" s="319">
        <f t="shared" si="5"/>
        <v>-0.35474406094490141</v>
      </c>
    </row>
    <row r="41" spans="2:19" ht="14.4" customHeight="1" x14ac:dyDescent="0.25">
      <c r="B41" s="308"/>
      <c r="C41" s="14" t="s">
        <v>217</v>
      </c>
      <c r="E41" s="317"/>
      <c r="F41" s="318"/>
      <c r="G41" s="318"/>
      <c r="H41" s="318"/>
      <c r="I41" s="318"/>
      <c r="J41" s="319">
        <f>J40-5%</f>
        <v>-0.4047440609449014</v>
      </c>
      <c r="K41" s="319">
        <f t="shared" si="5"/>
        <v>-0.4047440609449014</v>
      </c>
      <c r="L41" s="319">
        <f t="shared" si="5"/>
        <v>-0.4047440609449014</v>
      </c>
      <c r="M41" s="319">
        <f t="shared" si="5"/>
        <v>-0.4047440609449014</v>
      </c>
      <c r="N41" s="319">
        <f t="shared" si="5"/>
        <v>-0.4047440609449014</v>
      </c>
      <c r="O41" s="319">
        <f t="shared" si="5"/>
        <v>-0.4047440609449014</v>
      </c>
      <c r="P41" s="319">
        <f t="shared" si="5"/>
        <v>-0.4047440609449014</v>
      </c>
      <c r="Q41" s="319">
        <f t="shared" si="5"/>
        <v>-0.4047440609449014</v>
      </c>
      <c r="R41" s="319">
        <f t="shared" si="5"/>
        <v>-0.4047440609449014</v>
      </c>
      <c r="S41" s="319">
        <f t="shared" si="5"/>
        <v>-0.4047440609449014</v>
      </c>
    </row>
    <row r="42" spans="2:19" ht="14.4" customHeight="1" x14ac:dyDescent="0.25">
      <c r="B42" s="308"/>
      <c r="E42" s="314"/>
      <c r="F42" s="315"/>
      <c r="G42" s="315"/>
      <c r="H42" s="315"/>
      <c r="I42" s="315"/>
      <c r="J42" s="236"/>
      <c r="K42" s="236"/>
      <c r="L42" s="236"/>
      <c r="M42" s="236"/>
      <c r="N42" s="236"/>
      <c r="O42" s="236"/>
      <c r="P42" s="236"/>
      <c r="Q42" s="236"/>
      <c r="R42" s="236"/>
      <c r="S42" s="237"/>
    </row>
    <row r="43" spans="2:19" ht="14.4" customHeight="1" thickBot="1" x14ac:dyDescent="0.3">
      <c r="B43" s="321" t="s">
        <v>221</v>
      </c>
      <c r="C43" s="322"/>
      <c r="D43" s="322"/>
      <c r="E43" s="179">
        <f t="shared" ref="E43:S43" si="6">E11+E19+E27+E35</f>
        <v>7929.5260999999991</v>
      </c>
      <c r="F43" s="180">
        <f t="shared" si="6"/>
        <v>6973.9142999999995</v>
      </c>
      <c r="G43" s="180">
        <f t="shared" si="6"/>
        <v>7095.8101999999999</v>
      </c>
      <c r="H43" s="180">
        <f t="shared" si="6"/>
        <v>7992.7314000000006</v>
      </c>
      <c r="I43" s="180">
        <f t="shared" si="6"/>
        <v>9693.9755999999998</v>
      </c>
      <c r="J43" s="181">
        <f t="shared" si="6"/>
        <v>11440.560096392497</v>
      </c>
      <c r="K43" s="181">
        <f t="shared" si="6"/>
        <v>13305.725572308802</v>
      </c>
      <c r="L43" s="181">
        <f t="shared" si="6"/>
        <v>15258.104771852979</v>
      </c>
      <c r="M43" s="181">
        <f t="shared" si="6"/>
        <v>17266.781101968936</v>
      </c>
      <c r="N43" s="181">
        <f t="shared" si="6"/>
        <v>19302.168718046134</v>
      </c>
      <c r="O43" s="181">
        <f t="shared" si="6"/>
        <v>21336.873118977182</v>
      </c>
      <c r="P43" s="181">
        <f t="shared" si="6"/>
        <v>23346.384212956902</v>
      </c>
      <c r="Q43" s="181">
        <f t="shared" si="6"/>
        <v>25309.541639617102</v>
      </c>
      <c r="R43" s="181">
        <f t="shared" si="6"/>
        <v>27208.765834516376</v>
      </c>
      <c r="S43" s="182">
        <f t="shared" si="6"/>
        <v>29030.079742136379</v>
      </c>
    </row>
    <row r="44" spans="2:19" ht="14.4" customHeight="1" thickTop="1" x14ac:dyDescent="0.25">
      <c r="B44" s="323" t="s">
        <v>213</v>
      </c>
      <c r="C44" s="310"/>
      <c r="D44" s="310"/>
      <c r="E44" s="311" t="s">
        <v>214</v>
      </c>
      <c r="F44" s="312">
        <f t="shared" ref="F44:S44" si="7">F43/E43-1</f>
        <v>-0.12051310355104317</v>
      </c>
      <c r="G44" s="312">
        <f t="shared" si="7"/>
        <v>1.7478835379436841E-2</v>
      </c>
      <c r="H44" s="312">
        <f t="shared" si="7"/>
        <v>0.12640152071711275</v>
      </c>
      <c r="I44" s="312">
        <f t="shared" si="7"/>
        <v>0.21284891420222118</v>
      </c>
      <c r="J44" s="313">
        <f>J43/I43-1</f>
        <v>0.18017215727183156</v>
      </c>
      <c r="K44" s="313">
        <f t="shared" si="7"/>
        <v>0.1630309582923688</v>
      </c>
      <c r="L44" s="324">
        <f t="shared" si="7"/>
        <v>0.1467322611558568</v>
      </c>
      <c r="M44" s="313">
        <f t="shared" si="7"/>
        <v>0.13164651574692376</v>
      </c>
      <c r="N44" s="313">
        <f t="shared" si="7"/>
        <v>0.11787881041968507</v>
      </c>
      <c r="O44" s="313">
        <f t="shared" si="7"/>
        <v>0.10541325333192986</v>
      </c>
      <c r="P44" s="313">
        <f t="shared" si="7"/>
        <v>9.4180205448775256E-2</v>
      </c>
      <c r="Q44" s="313">
        <f t="shared" si="7"/>
        <v>8.4088285738511681E-2</v>
      </c>
      <c r="R44" s="313">
        <f t="shared" si="7"/>
        <v>7.5039849474255682E-2</v>
      </c>
      <c r="S44" s="325">
        <f t="shared" si="7"/>
        <v>6.693849764069526E-2</v>
      </c>
    </row>
    <row r="45" spans="2:19" ht="14.4" customHeight="1" x14ac:dyDescent="0.25">
      <c r="B45" s="308"/>
      <c r="E45" s="314"/>
      <c r="F45" s="315"/>
      <c r="G45" s="315"/>
      <c r="H45" s="315"/>
      <c r="I45" s="315"/>
      <c r="J45" s="236"/>
      <c r="K45" s="236"/>
      <c r="L45" s="236"/>
      <c r="M45" s="236"/>
      <c r="N45" s="236"/>
      <c r="O45" s="236"/>
      <c r="P45" s="236"/>
      <c r="Q45" s="236"/>
      <c r="R45" s="236"/>
      <c r="S45" s="237"/>
    </row>
    <row r="46" spans="2:19" ht="14.4" customHeight="1" x14ac:dyDescent="0.25">
      <c r="B46" s="308" t="s">
        <v>10</v>
      </c>
      <c r="E46" s="178">
        <v>897.39750000000004</v>
      </c>
      <c r="F46" s="177">
        <v>902.80190000000005</v>
      </c>
      <c r="G46" s="177">
        <v>959.37860000000001</v>
      </c>
      <c r="H46" s="177">
        <v>939.96029999999996</v>
      </c>
      <c r="I46" s="177">
        <v>1221.4692</v>
      </c>
      <c r="J46" s="175">
        <f t="shared" ref="J46:S46" si="8">I46*(1+J47)</f>
        <v>1373.281721123102</v>
      </c>
      <c r="K46" s="175">
        <f t="shared" si="8"/>
        <v>1543.9625375497224</v>
      </c>
      <c r="L46" s="175">
        <f t="shared" si="8"/>
        <v>1735.856729679205</v>
      </c>
      <c r="M46" s="175">
        <f t="shared" si="8"/>
        <v>1951.6008404935449</v>
      </c>
      <c r="N46" s="175">
        <f t="shared" si="8"/>
        <v>2194.1591005145833</v>
      </c>
      <c r="O46" s="175">
        <f t="shared" si="8"/>
        <v>2466.8641550458942</v>
      </c>
      <c r="P46" s="175">
        <f t="shared" si="8"/>
        <v>2773.4628532740016</v>
      </c>
      <c r="Q46" s="175">
        <f t="shared" si="8"/>
        <v>3118.167728351325</v>
      </c>
      <c r="R46" s="175">
        <f t="shared" si="8"/>
        <v>3505.7148757748628</v>
      </c>
      <c r="S46" s="176">
        <f t="shared" si="8"/>
        <v>3941.4290252844403</v>
      </c>
    </row>
    <row r="47" spans="2:19" ht="14.4" customHeight="1" x14ac:dyDescent="0.25">
      <c r="B47" s="323" t="s">
        <v>222</v>
      </c>
      <c r="C47" s="310"/>
      <c r="D47" s="310"/>
      <c r="E47" s="326">
        <f>E46/E43</f>
        <v>0.1131716433848424</v>
      </c>
      <c r="F47" s="312">
        <f>F46/F43</f>
        <v>0.12945411445621008</v>
      </c>
      <c r="G47" s="312">
        <f>G46/G43</f>
        <v>0.13520353179683414</v>
      </c>
      <c r="H47" s="312">
        <f>H46/H43</f>
        <v>0.11760188763505801</v>
      </c>
      <c r="I47" s="312">
        <f>I46/I43</f>
        <v>0.12600291669807792</v>
      </c>
      <c r="J47" s="319">
        <f>AVERAGE(E47:I47)</f>
        <v>0.12428681879420451</v>
      </c>
      <c r="K47" s="319">
        <f t="shared" ref="K47:S47" si="9">J47</f>
        <v>0.12428681879420451</v>
      </c>
      <c r="L47" s="319">
        <f t="shared" si="9"/>
        <v>0.12428681879420451</v>
      </c>
      <c r="M47" s="319">
        <f t="shared" si="9"/>
        <v>0.12428681879420451</v>
      </c>
      <c r="N47" s="319">
        <f t="shared" si="9"/>
        <v>0.12428681879420451</v>
      </c>
      <c r="O47" s="319">
        <f t="shared" si="9"/>
        <v>0.12428681879420451</v>
      </c>
      <c r="P47" s="319">
        <f t="shared" si="9"/>
        <v>0.12428681879420451</v>
      </c>
      <c r="Q47" s="319">
        <f t="shared" si="9"/>
        <v>0.12428681879420451</v>
      </c>
      <c r="R47" s="319">
        <f t="shared" si="9"/>
        <v>0.12428681879420451</v>
      </c>
      <c r="S47" s="319">
        <f t="shared" si="9"/>
        <v>0.12428681879420451</v>
      </c>
    </row>
    <row r="48" spans="2:19" ht="14.4" customHeight="1" x14ac:dyDescent="0.25">
      <c r="B48" s="308"/>
      <c r="E48" s="314"/>
      <c r="F48" s="315"/>
      <c r="G48" s="315"/>
      <c r="H48" s="315"/>
      <c r="I48" s="315"/>
      <c r="J48" s="236"/>
      <c r="K48" s="236"/>
      <c r="L48" s="236"/>
      <c r="M48" s="236"/>
      <c r="N48" s="236"/>
      <c r="O48" s="236"/>
      <c r="P48" s="236"/>
      <c r="Q48" s="236"/>
      <c r="R48" s="236"/>
      <c r="S48" s="237"/>
    </row>
  </sheetData>
  <mergeCells count="1">
    <mergeCell ref="D6:S6"/>
  </mergeCells>
  <conditionalFormatting sqref="E15:I17">
    <cfRule type="colorScale" priority="1">
      <colorScale>
        <cfvo type="min"/>
        <cfvo type="max"/>
        <color theme="0" tint="-0.14999847407452621"/>
        <color rgb="FFFFEF9C"/>
      </colorScale>
    </cfRule>
  </conditionalFormatting>
  <conditionalFormatting sqref="E23:I25">
    <cfRule type="colorScale" priority="4">
      <colorScale>
        <cfvo type="min"/>
        <cfvo type="max"/>
        <color theme="0" tint="-0.14999847407452621"/>
        <color rgb="FFFFEF9C"/>
      </colorScale>
    </cfRule>
  </conditionalFormatting>
  <conditionalFormatting sqref="E31:I33">
    <cfRule type="colorScale" priority="3">
      <colorScale>
        <cfvo type="min"/>
        <cfvo type="max"/>
        <color theme="0" tint="-0.14999847407452621"/>
        <color rgb="FFFFEF9C"/>
      </colorScale>
    </cfRule>
  </conditionalFormatting>
  <conditionalFormatting sqref="E39:I41">
    <cfRule type="colorScale" priority="2">
      <colorScale>
        <cfvo type="min"/>
        <cfvo type="max"/>
        <color theme="0" tint="-0.14999847407452621"/>
        <color rgb="FFFFEF9C"/>
      </colorScale>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7023D-525E-4231-8BDD-5515F7D8F1F1}">
  <dimension ref="B5:S36"/>
  <sheetViews>
    <sheetView showGridLines="0" topLeftCell="A10" workbookViewId="0">
      <selection activeCell="J28" sqref="J28"/>
    </sheetView>
  </sheetViews>
  <sheetFormatPr defaultRowHeight="13.8" x14ac:dyDescent="0.25"/>
  <cols>
    <col min="1" max="3" width="1.33203125" style="1" customWidth="1"/>
    <col min="4" max="4" width="35.77734375" style="1" customWidth="1"/>
    <col min="5" max="19" width="10.77734375" style="1" customWidth="1"/>
    <col min="20" max="16384" width="8.88671875" style="1"/>
  </cols>
  <sheetData>
    <row r="5" spans="2:19" x14ac:dyDescent="0.25">
      <c r="R5" s="66" t="s">
        <v>64</v>
      </c>
    </row>
    <row r="6" spans="2:19" ht="16.8" customHeight="1" x14ac:dyDescent="0.3">
      <c r="D6" s="448" t="s">
        <v>36</v>
      </c>
      <c r="E6" s="449"/>
      <c r="F6" s="449"/>
      <c r="G6" s="449"/>
      <c r="H6" s="449"/>
      <c r="I6" s="449"/>
      <c r="J6" s="449"/>
      <c r="K6" s="449"/>
      <c r="L6" s="449"/>
      <c r="M6" s="449"/>
      <c r="N6" s="449"/>
      <c r="O6" s="449"/>
      <c r="P6" s="449"/>
      <c r="Q6" s="449"/>
      <c r="R6" s="449"/>
      <c r="S6" s="449"/>
    </row>
    <row r="7" spans="2:19" x14ac:dyDescent="0.25">
      <c r="D7" s="55"/>
      <c r="E7" s="46">
        <v>2020</v>
      </c>
      <c r="F7" s="47">
        <f t="shared" ref="F7:S7" si="0">E7+1</f>
        <v>2021</v>
      </c>
      <c r="G7" s="47">
        <f t="shared" si="0"/>
        <v>2022</v>
      </c>
      <c r="H7" s="47">
        <f t="shared" si="0"/>
        <v>2023</v>
      </c>
      <c r="I7" s="47">
        <f t="shared" si="0"/>
        <v>2024</v>
      </c>
      <c r="J7" s="47">
        <f t="shared" si="0"/>
        <v>2025</v>
      </c>
      <c r="K7" s="47">
        <f t="shared" si="0"/>
        <v>2026</v>
      </c>
      <c r="L7" s="47">
        <f t="shared" si="0"/>
        <v>2027</v>
      </c>
      <c r="M7" s="47">
        <f t="shared" si="0"/>
        <v>2028</v>
      </c>
      <c r="N7" s="47">
        <f t="shared" si="0"/>
        <v>2029</v>
      </c>
      <c r="O7" s="47">
        <f t="shared" si="0"/>
        <v>2030</v>
      </c>
      <c r="P7" s="47">
        <f t="shared" si="0"/>
        <v>2031</v>
      </c>
      <c r="Q7" s="47">
        <f t="shared" si="0"/>
        <v>2032</v>
      </c>
      <c r="R7" s="47">
        <f t="shared" si="0"/>
        <v>2033</v>
      </c>
      <c r="S7" s="47">
        <f t="shared" si="0"/>
        <v>2034</v>
      </c>
    </row>
    <row r="8" spans="2:19" x14ac:dyDescent="0.25">
      <c r="D8" s="48" t="s">
        <v>0</v>
      </c>
      <c r="E8" s="49" t="s">
        <v>8</v>
      </c>
      <c r="F8" s="50" t="s">
        <v>8</v>
      </c>
      <c r="G8" s="50" t="s">
        <v>8</v>
      </c>
      <c r="H8" s="50" t="s">
        <v>8</v>
      </c>
      <c r="I8" s="50" t="s">
        <v>8</v>
      </c>
      <c r="J8" s="51" t="s">
        <v>9</v>
      </c>
      <c r="K8" s="51" t="s">
        <v>9</v>
      </c>
      <c r="L8" s="51" t="s">
        <v>9</v>
      </c>
      <c r="M8" s="51" t="s">
        <v>9</v>
      </c>
      <c r="N8" s="51" t="s">
        <v>9</v>
      </c>
      <c r="O8" s="51" t="s">
        <v>9</v>
      </c>
      <c r="P8" s="51" t="s">
        <v>9</v>
      </c>
      <c r="Q8" s="51" t="s">
        <v>9</v>
      </c>
      <c r="R8" s="51" t="s">
        <v>9</v>
      </c>
      <c r="S8" s="51" t="s">
        <v>9</v>
      </c>
    </row>
    <row r="9" spans="2:19" x14ac:dyDescent="0.25">
      <c r="E9" s="77"/>
      <c r="J9" s="26"/>
      <c r="K9" s="26"/>
      <c r="L9" s="26"/>
      <c r="M9" s="26"/>
      <c r="N9" s="26"/>
      <c r="O9" s="26"/>
      <c r="P9" s="26"/>
      <c r="Q9" s="26"/>
      <c r="R9" s="26"/>
      <c r="S9" s="26"/>
    </row>
    <row r="10" spans="2:19" x14ac:dyDescent="0.25">
      <c r="D10" s="3" t="s">
        <v>221</v>
      </c>
      <c r="E10" s="188">
        <f>'Income Buildup'!E43</f>
        <v>7929.5260999999991</v>
      </c>
      <c r="F10" s="12">
        <f>'Income Buildup'!F43</f>
        <v>6973.9142999999995</v>
      </c>
      <c r="G10" s="12">
        <f>'Income Buildup'!G43</f>
        <v>7095.8101999999999</v>
      </c>
      <c r="H10" s="12">
        <f>'Income Buildup'!H43</f>
        <v>7992.7314000000006</v>
      </c>
      <c r="I10" s="12">
        <f>'Income Buildup'!I43</f>
        <v>9693.9755999999998</v>
      </c>
      <c r="J10" s="193">
        <f>'Income Buildup'!J43</f>
        <v>11440.560096392497</v>
      </c>
      <c r="K10" s="193">
        <f>'Income Buildup'!K43</f>
        <v>13305.725572308802</v>
      </c>
      <c r="L10" s="193">
        <f>'Income Buildup'!L43</f>
        <v>15258.104771852979</v>
      </c>
      <c r="M10" s="193">
        <f>'Income Buildup'!M43</f>
        <v>17266.781101968936</v>
      </c>
      <c r="N10" s="193">
        <f>'Income Buildup'!N43</f>
        <v>19302.168718046134</v>
      </c>
      <c r="O10" s="193">
        <f>'Income Buildup'!O43</f>
        <v>21336.873118977182</v>
      </c>
      <c r="P10" s="193">
        <f>'Income Buildup'!P43</f>
        <v>23346.384212956902</v>
      </c>
      <c r="Q10" s="193">
        <f>'Income Buildup'!Q43</f>
        <v>25309.541639617102</v>
      </c>
      <c r="R10" s="193">
        <f>'Income Buildup'!R43</f>
        <v>27208.765834516376</v>
      </c>
      <c r="S10" s="194">
        <f>'Income Buildup'!S43</f>
        <v>29030.079742136379</v>
      </c>
    </row>
    <row r="11" spans="2:19" x14ac:dyDescent="0.25">
      <c r="B11" s="3" t="s">
        <v>224</v>
      </c>
      <c r="E11" s="19"/>
      <c r="J11" s="26"/>
      <c r="K11" s="26"/>
      <c r="L11" s="26"/>
      <c r="M11" s="26"/>
      <c r="N11" s="26"/>
      <c r="O11" s="26"/>
      <c r="P11" s="26"/>
      <c r="Q11" s="26"/>
      <c r="R11" s="26"/>
      <c r="S11" s="26"/>
    </row>
    <row r="12" spans="2:19" x14ac:dyDescent="0.25">
      <c r="D12" s="1" t="s">
        <v>225</v>
      </c>
      <c r="E12" s="189">
        <f>'P&amp;L Inputs'!E15</f>
        <v>5610.7308000000003</v>
      </c>
      <c r="F12" s="171">
        <f>'P&amp;L Inputs'!F15</f>
        <v>4452.6485000000002</v>
      </c>
      <c r="G12" s="171">
        <f>'P&amp;L Inputs'!G15</f>
        <v>4207.7019</v>
      </c>
      <c r="H12" s="171">
        <f>'P&amp;L Inputs'!H15</f>
        <v>4717.8380999999999</v>
      </c>
      <c r="I12" s="171">
        <f>'P&amp;L Inputs'!I15</f>
        <v>6311.8656000000001</v>
      </c>
      <c r="J12" s="175">
        <f>J$10*J13</f>
        <v>7277.1313994058628</v>
      </c>
      <c r="K12" s="175">
        <f t="shared" ref="K12:R12" si="1">K$10*K13</f>
        <v>8463.5291050704873</v>
      </c>
      <c r="L12" s="175">
        <f t="shared" si="1"/>
        <v>9705.4018680158861</v>
      </c>
      <c r="M12" s="175">
        <f t="shared" si="1"/>
        <v>10983.084207863863</v>
      </c>
      <c r="N12" s="175">
        <f t="shared" si="1"/>
        <v>12277.757109026084</v>
      </c>
      <c r="O12" s="175">
        <f t="shared" si="1"/>
        <v>13571.995429507755</v>
      </c>
      <c r="P12" s="175">
        <f t="shared" si="1"/>
        <v>14850.208747408633</v>
      </c>
      <c r="Q12" s="175">
        <f t="shared" si="1"/>
        <v>16098.937343837277</v>
      </c>
      <c r="R12" s="175">
        <f t="shared" si="1"/>
        <v>17306.999178814298</v>
      </c>
      <c r="S12" s="176">
        <f>S$10*S13</f>
        <v>18465.503702512873</v>
      </c>
    </row>
    <row r="13" spans="2:19" x14ac:dyDescent="0.25">
      <c r="D13" s="172" t="s">
        <v>222</v>
      </c>
      <c r="E13" s="238">
        <f>E12/E$10</f>
        <v>0.70757454219111537</v>
      </c>
      <c r="F13" s="168">
        <f>F12/F$10</f>
        <v>0.63847192673417286</v>
      </c>
      <c r="G13" s="168">
        <f>G12/G$10</f>
        <v>0.59298399779633337</v>
      </c>
      <c r="H13" s="168">
        <f>H12/H$10</f>
        <v>0.59026606348863409</v>
      </c>
      <c r="I13" s="168">
        <f>I12/I$10</f>
        <v>0.65111218146660077</v>
      </c>
      <c r="J13" s="200">
        <f>AVERAGE(E13:I13)</f>
        <v>0.63608174233537129</v>
      </c>
      <c r="K13" s="200">
        <f t="shared" ref="K13:S13" si="2">J13</f>
        <v>0.63608174233537129</v>
      </c>
      <c r="L13" s="200">
        <f t="shared" si="2"/>
        <v>0.63608174233537129</v>
      </c>
      <c r="M13" s="200">
        <f t="shared" si="2"/>
        <v>0.63608174233537129</v>
      </c>
      <c r="N13" s="200">
        <f t="shared" si="2"/>
        <v>0.63608174233537129</v>
      </c>
      <c r="O13" s="200">
        <f t="shared" si="2"/>
        <v>0.63608174233537129</v>
      </c>
      <c r="P13" s="200">
        <f t="shared" si="2"/>
        <v>0.63608174233537129</v>
      </c>
      <c r="Q13" s="200">
        <f t="shared" si="2"/>
        <v>0.63608174233537129</v>
      </c>
      <c r="R13" s="200">
        <f t="shared" si="2"/>
        <v>0.63608174233537129</v>
      </c>
      <c r="S13" s="200">
        <f t="shared" si="2"/>
        <v>0.63608174233537129</v>
      </c>
    </row>
    <row r="14" spans="2:19" x14ac:dyDescent="0.25">
      <c r="E14" s="248"/>
      <c r="J14" s="236"/>
      <c r="K14" s="236"/>
      <c r="L14" s="236"/>
      <c r="M14" s="236"/>
      <c r="N14" s="236"/>
      <c r="O14" s="236"/>
      <c r="P14" s="236"/>
      <c r="Q14" s="236"/>
      <c r="R14" s="236"/>
      <c r="S14" s="237"/>
    </row>
    <row r="15" spans="2:19" x14ac:dyDescent="0.25">
      <c r="D15" s="1" t="s">
        <v>193</v>
      </c>
      <c r="E15" s="247">
        <f>'P&amp;L Inputs'!E18</f>
        <v>1443.29448</v>
      </c>
      <c r="F15" s="171">
        <f>'P&amp;L Inputs'!F18</f>
        <v>1810.1769279999999</v>
      </c>
      <c r="G15" s="171">
        <f>'P&amp;L Inputs'!G18</f>
        <v>1650.5046249999998</v>
      </c>
      <c r="H15" s="171">
        <f>'P&amp;L Inputs'!H18</f>
        <v>1736.3015249999999</v>
      </c>
      <c r="I15" s="171">
        <f>'P&amp;L Inputs'!I18</f>
        <v>2058.3023780000003</v>
      </c>
      <c r="J15" s="175">
        <f t="shared" ref="J15:S15" si="3">J$10*J16</f>
        <v>2525.4921121473035</v>
      </c>
      <c r="K15" s="175">
        <f t="shared" si="3"/>
        <v>2937.2255113504971</v>
      </c>
      <c r="L15" s="175">
        <f t="shared" si="3"/>
        <v>3368.2112521556232</v>
      </c>
      <c r="M15" s="175">
        <f t="shared" si="3"/>
        <v>3811.6245278014944</v>
      </c>
      <c r="N15" s="175">
        <f t="shared" si="3"/>
        <v>4260.9342929052282</v>
      </c>
      <c r="O15" s="175">
        <f t="shared" si="3"/>
        <v>4710.0932389539548</v>
      </c>
      <c r="P15" s="175">
        <f t="shared" si="3"/>
        <v>5153.6907878815255</v>
      </c>
      <c r="Q15" s="175">
        <f t="shared" si="3"/>
        <v>5587.055811460843</v>
      </c>
      <c r="R15" s="175">
        <f t="shared" si="3"/>
        <v>6006.3076385571303</v>
      </c>
      <c r="S15" s="176">
        <f t="shared" si="3"/>
        <v>6408.3608482499758</v>
      </c>
    </row>
    <row r="16" spans="2:19" x14ac:dyDescent="0.25">
      <c r="D16" s="172" t="s">
        <v>222</v>
      </c>
      <c r="E16" s="253">
        <f>E15/E$10</f>
        <v>0.18201522534871287</v>
      </c>
      <c r="F16" s="168">
        <f>F15/F$10</f>
        <v>0.25956397657481967</v>
      </c>
      <c r="G16" s="168">
        <f>G15/G$10</f>
        <v>0.23260270194374699</v>
      </c>
      <c r="H16" s="168">
        <f>H15/H$10</f>
        <v>0.21723506497415887</v>
      </c>
      <c r="I16" s="168">
        <f>I15/I$10</f>
        <v>0.21232799244924863</v>
      </c>
      <c r="J16" s="200">
        <f>AVERAGE(E16:I16)</f>
        <v>0.22074899225813743</v>
      </c>
      <c r="K16" s="200">
        <f t="shared" ref="K16:S16" si="4">J16</f>
        <v>0.22074899225813743</v>
      </c>
      <c r="L16" s="200">
        <f t="shared" si="4"/>
        <v>0.22074899225813743</v>
      </c>
      <c r="M16" s="200">
        <f t="shared" si="4"/>
        <v>0.22074899225813743</v>
      </c>
      <c r="N16" s="200">
        <f t="shared" si="4"/>
        <v>0.22074899225813743</v>
      </c>
      <c r="O16" s="200">
        <f t="shared" si="4"/>
        <v>0.22074899225813743</v>
      </c>
      <c r="P16" s="200">
        <f t="shared" si="4"/>
        <v>0.22074899225813743</v>
      </c>
      <c r="Q16" s="200">
        <f t="shared" si="4"/>
        <v>0.22074899225813743</v>
      </c>
      <c r="R16" s="200">
        <f t="shared" si="4"/>
        <v>0.22074899225813743</v>
      </c>
      <c r="S16" s="200">
        <f t="shared" si="4"/>
        <v>0.22074899225813743</v>
      </c>
    </row>
    <row r="17" spans="4:19" x14ac:dyDescent="0.25">
      <c r="E17" s="247"/>
      <c r="F17" s="171"/>
      <c r="G17" s="171"/>
      <c r="H17" s="171"/>
      <c r="I17" s="171"/>
      <c r="J17" s="236"/>
      <c r="K17" s="236"/>
      <c r="L17" s="236"/>
      <c r="M17" s="236"/>
      <c r="N17" s="236"/>
      <c r="O17" s="236"/>
      <c r="P17" s="236"/>
      <c r="Q17" s="236"/>
      <c r="R17" s="236"/>
      <c r="S17" s="237"/>
    </row>
    <row r="18" spans="4:19" x14ac:dyDescent="0.25">
      <c r="D18" s="1" t="s">
        <v>226</v>
      </c>
      <c r="E18" s="250">
        <f>'P&amp;L Inputs'!E20</f>
        <v>2087.7130999999999</v>
      </c>
      <c r="F18" s="167">
        <f>'P&amp;L Inputs'!F20</f>
        <v>3504.1208000000001</v>
      </c>
      <c r="G18" s="167">
        <f>'P&amp;L Inputs'!G20</f>
        <v>291.03590000000003</v>
      </c>
      <c r="H18" s="167">
        <f>'P&amp;L Inputs'!H20</f>
        <v>136.90979999999999</v>
      </c>
      <c r="I18" s="167">
        <f>'P&amp;L Inputs'!I20</f>
        <v>535.51700000000005</v>
      </c>
      <c r="J18" s="175">
        <f t="shared" ref="J18:S18" si="5">J$10*J19</f>
        <v>632.00225314573947</v>
      </c>
      <c r="K18" s="175">
        <f t="shared" si="5"/>
        <v>735.03818611902568</v>
      </c>
      <c r="L18" s="175">
        <f t="shared" si="5"/>
        <v>842.89200120416979</v>
      </c>
      <c r="M18" s="175">
        <f t="shared" si="5"/>
        <v>953.85579631365067</v>
      </c>
      <c r="N18" s="175">
        <f t="shared" si="5"/>
        <v>1066.2951828950252</v>
      </c>
      <c r="O18" s="175">
        <f t="shared" si="5"/>
        <v>1178.696827136155</v>
      </c>
      <c r="P18" s="175">
        <f t="shared" si="5"/>
        <v>1289.7067364776576</v>
      </c>
      <c r="Q18" s="175">
        <f t="shared" si="5"/>
        <v>1398.1559650534743</v>
      </c>
      <c r="R18" s="175">
        <f t="shared" si="5"/>
        <v>1503.0733782126197</v>
      </c>
      <c r="S18" s="176">
        <f t="shared" si="5"/>
        <v>1603.6868519938969</v>
      </c>
    </row>
    <row r="19" spans="4:19" x14ac:dyDescent="0.25">
      <c r="D19" s="172" t="s">
        <v>222</v>
      </c>
      <c r="E19" s="253">
        <f>E18/E$10</f>
        <v>0.26328346406476927</v>
      </c>
      <c r="F19" s="168">
        <f>F18/F$10</f>
        <v>0.50246112143936161</v>
      </c>
      <c r="G19" s="168">
        <f>G18/G$10</f>
        <v>4.1015175405903617E-2</v>
      </c>
      <c r="H19" s="168">
        <f>H18/H$10</f>
        <v>1.7129288243065442E-2</v>
      </c>
      <c r="I19" s="168">
        <f>I18/I$10</f>
        <v>5.5242247566622722E-2</v>
      </c>
      <c r="J19" s="200">
        <f>MEDIAN(E19:I19)</f>
        <v>5.5242247566622722E-2</v>
      </c>
      <c r="K19" s="200">
        <f t="shared" ref="K19:S19" si="6">J19</f>
        <v>5.5242247566622722E-2</v>
      </c>
      <c r="L19" s="200">
        <f t="shared" si="6"/>
        <v>5.5242247566622722E-2</v>
      </c>
      <c r="M19" s="200">
        <f t="shared" si="6"/>
        <v>5.5242247566622722E-2</v>
      </c>
      <c r="N19" s="200">
        <f t="shared" si="6"/>
        <v>5.5242247566622722E-2</v>
      </c>
      <c r="O19" s="200">
        <f t="shared" si="6"/>
        <v>5.5242247566622722E-2</v>
      </c>
      <c r="P19" s="200">
        <f t="shared" si="6"/>
        <v>5.5242247566622722E-2</v>
      </c>
      <c r="Q19" s="200">
        <f t="shared" si="6"/>
        <v>5.5242247566622722E-2</v>
      </c>
      <c r="R19" s="200">
        <f t="shared" si="6"/>
        <v>5.5242247566622722E-2</v>
      </c>
      <c r="S19" s="200">
        <f t="shared" si="6"/>
        <v>5.5242247566622722E-2</v>
      </c>
    </row>
    <row r="20" spans="4:19" x14ac:dyDescent="0.25">
      <c r="E20" s="247"/>
      <c r="F20" s="171"/>
      <c r="G20" s="171"/>
      <c r="H20" s="171"/>
      <c r="I20" s="171"/>
      <c r="J20" s="236"/>
      <c r="K20" s="236"/>
      <c r="L20" s="236"/>
      <c r="M20" s="236"/>
      <c r="N20" s="236"/>
      <c r="O20" s="236"/>
      <c r="P20" s="236"/>
      <c r="Q20" s="236"/>
      <c r="R20" s="236"/>
      <c r="S20" s="237"/>
    </row>
    <row r="21" spans="4:19" x14ac:dyDescent="0.25">
      <c r="D21" s="1" t="s">
        <v>39</v>
      </c>
      <c r="E21" s="247">
        <f>'P&amp;L Inputs'!E19</f>
        <v>53.909399999999998</v>
      </c>
      <c r="F21" s="171">
        <f>'P&amp;L Inputs'!F19</f>
        <v>102.13330000000001</v>
      </c>
      <c r="G21" s="171">
        <f>'P&amp;L Inputs'!G19</f>
        <v>137.09039999999999</v>
      </c>
      <c r="H21" s="171">
        <f>'P&amp;L Inputs'!H19</f>
        <v>148.33199999999999</v>
      </c>
      <c r="I21" s="171">
        <f>'P&amp;L Inputs'!I19</f>
        <v>150.08430000000001</v>
      </c>
      <c r="J21" s="175">
        <f>-'Working Sheet'!J11</f>
        <v>158.86321250000003</v>
      </c>
      <c r="K21" s="175">
        <f>-'Working Sheet'!K11</f>
        <v>168.29897316380655</v>
      </c>
      <c r="L21" s="175">
        <f>-'Working Sheet'!L11</f>
        <v>186.78120295651854</v>
      </c>
      <c r="M21" s="175">
        <f>-'Working Sheet'!M11</f>
        <v>194.32466426812496</v>
      </c>
      <c r="N21" s="175">
        <f>-'Working Sheet'!N11</f>
        <v>211.81491479617745</v>
      </c>
      <c r="O21" s="175">
        <f>-'Working Sheet'!O11</f>
        <v>217.50574720963215</v>
      </c>
      <c r="P21" s="175">
        <f>-'Working Sheet'!P11</f>
        <v>233.84440879553841</v>
      </c>
      <c r="Q21" s="175">
        <f>-'Working Sheet'!Q11</f>
        <v>237.77862279916212</v>
      </c>
      <c r="R21" s="175">
        <f>-'Working Sheet'!R11</f>
        <v>252.88572003024203</v>
      </c>
      <c r="S21" s="176">
        <f>-'Working Sheet'!S11</f>
        <v>255.20304808580471</v>
      </c>
    </row>
    <row r="22" spans="4:19" x14ac:dyDescent="0.25">
      <c r="D22" s="172" t="s">
        <v>292</v>
      </c>
      <c r="E22" s="253">
        <f>E21/'Balance Sheet'!E20</f>
        <v>4.3446336166201374E-2</v>
      </c>
      <c r="F22" s="168">
        <f>F21/'Balance Sheet'!F20</f>
        <v>6.4440995111463298E-2</v>
      </c>
      <c r="G22" s="168">
        <f>G21/'Balance Sheet'!G20</f>
        <v>8.6906694280967894E-2</v>
      </c>
      <c r="H22" s="168">
        <f>H21/'Balance Sheet'!H20</f>
        <v>9.7623913501890314E-2</v>
      </c>
      <c r="I22" s="168">
        <f>I21/'Balance Sheet'!I20</f>
        <v>8.5480006777604867E-2</v>
      </c>
      <c r="J22" s="200">
        <f>I22+0.5%</f>
        <v>9.0480006777604871E-2</v>
      </c>
      <c r="K22" s="200">
        <f>J22</f>
        <v>9.0480006777604871E-2</v>
      </c>
      <c r="L22" s="200">
        <f>K22+0.5%</f>
        <v>9.5480006777604876E-2</v>
      </c>
      <c r="M22" s="200">
        <f>L22</f>
        <v>9.5480006777604876E-2</v>
      </c>
      <c r="N22" s="200">
        <f>M22+0.5%</f>
        <v>0.10048000677760488</v>
      </c>
      <c r="O22" s="200">
        <f>N22</f>
        <v>0.10048000677760488</v>
      </c>
      <c r="P22" s="200">
        <f>O22+0.5%</f>
        <v>0.10548000677760488</v>
      </c>
      <c r="Q22" s="200">
        <f>P22</f>
        <v>0.10548000677760488</v>
      </c>
      <c r="R22" s="200">
        <f>Q22+0.5%</f>
        <v>0.11048000677760489</v>
      </c>
      <c r="S22" s="200">
        <f>R22</f>
        <v>0.11048000677760489</v>
      </c>
    </row>
    <row r="23" spans="4:19" x14ac:dyDescent="0.25">
      <c r="E23" s="254"/>
      <c r="F23" s="11"/>
      <c r="G23" s="11"/>
      <c r="H23" s="11"/>
      <c r="I23" s="11"/>
      <c r="J23" s="11"/>
      <c r="K23" s="11"/>
      <c r="L23" s="11"/>
      <c r="M23" s="11"/>
      <c r="N23" s="11"/>
      <c r="O23" s="11"/>
      <c r="P23" s="11"/>
      <c r="Q23" s="11"/>
      <c r="R23" s="11"/>
      <c r="S23" s="11"/>
    </row>
    <row r="24" spans="4:19" x14ac:dyDescent="0.25">
      <c r="D24" s="1" t="s">
        <v>286</v>
      </c>
      <c r="E24" s="247">
        <f>'P&amp;L Inputs'!E17</f>
        <v>241.11410000000001</v>
      </c>
      <c r="F24" s="171">
        <f>'P&amp;L Inputs'!F17</f>
        <v>247.4659</v>
      </c>
      <c r="G24" s="171">
        <f>'P&amp;L Inputs'!G17</f>
        <v>234.2987</v>
      </c>
      <c r="H24" s="171">
        <f>'P&amp;L Inputs'!H17</f>
        <v>152.02359999999999</v>
      </c>
      <c r="I24" s="171">
        <f>'P&amp;L Inputs'!I17</f>
        <v>249.38120000000001</v>
      </c>
      <c r="J24" s="175">
        <f>J25*('Balance Sheet'!J31+'Balance Sheet'!J35)</f>
        <v>190.66784506718722</v>
      </c>
      <c r="K24" s="175">
        <f>K25*('Balance Sheet'!K31+'Balance Sheet'!K35)</f>
        <v>221.75260656403168</v>
      </c>
      <c r="L24" s="175">
        <f>L25*('Balance Sheet'!L31+'Balance Sheet'!L35)</f>
        <v>254.2908679423771</v>
      </c>
      <c r="M24" s="175">
        <f>M25*('Balance Sheet'!M31+'Balance Sheet'!M35)</f>
        <v>287.76737469325218</v>
      </c>
      <c r="N24" s="175">
        <f>N25*('Balance Sheet'!N31+'Balance Sheet'!N35)</f>
        <v>321.68905049968856</v>
      </c>
      <c r="O24" s="175">
        <f>O25*('Balance Sheet'!O31+'Balance Sheet'!O35)</f>
        <v>355.59933987412018</v>
      </c>
      <c r="P24" s="175">
        <f>P25*('Balance Sheet'!P31+'Balance Sheet'!P35)</f>
        <v>389.0897587609137</v>
      </c>
      <c r="Q24" s="175">
        <f>Q25*('Balance Sheet'!Q31+'Balance Sheet'!Q35)</f>
        <v>421.80764957353006</v>
      </c>
      <c r="R24" s="175">
        <f>R25*('Balance Sheet'!R31+'Balance Sheet'!R35)</f>
        <v>453.46003210461726</v>
      </c>
      <c r="S24" s="176">
        <f>S25*('Balance Sheet'!S31+'Balance Sheet'!S35)</f>
        <v>483.81396539380182</v>
      </c>
    </row>
    <row r="25" spans="4:19" x14ac:dyDescent="0.25">
      <c r="D25" s="172" t="s">
        <v>290</v>
      </c>
      <c r="E25" s="253">
        <f>E24/SUM('Balance Sheet'!E31+'Balance Sheet'!E35)</f>
        <v>7.504212508364326E-2</v>
      </c>
      <c r="F25" s="168">
        <f>F24/SUM('Balance Sheet'!F31+'Balance Sheet'!F35)</f>
        <v>9.3611204630137501E-2</v>
      </c>
      <c r="G25" s="168">
        <f>G24/SUM('Balance Sheet'!G31+'Balance Sheet'!G35)</f>
        <v>9.5881316032586719E-2</v>
      </c>
      <c r="H25" s="168">
        <f>H24/SUM('Balance Sheet'!H31+'Balance Sheet'!H35)</f>
        <v>1.6857079215706866E-2</v>
      </c>
      <c r="I25" s="168">
        <f>I24/SUM('Balance Sheet'!I31+'Balance Sheet'!I35)</f>
        <v>2.552296313114262E-2</v>
      </c>
      <c r="J25" s="200">
        <f t="shared" ref="J25:S25" si="7">I25</f>
        <v>2.552296313114262E-2</v>
      </c>
      <c r="K25" s="200">
        <f t="shared" si="7"/>
        <v>2.552296313114262E-2</v>
      </c>
      <c r="L25" s="200">
        <f t="shared" si="7"/>
        <v>2.552296313114262E-2</v>
      </c>
      <c r="M25" s="200">
        <f t="shared" si="7"/>
        <v>2.552296313114262E-2</v>
      </c>
      <c r="N25" s="200">
        <f t="shared" si="7"/>
        <v>2.552296313114262E-2</v>
      </c>
      <c r="O25" s="200">
        <f t="shared" si="7"/>
        <v>2.552296313114262E-2</v>
      </c>
      <c r="P25" s="200">
        <f t="shared" si="7"/>
        <v>2.552296313114262E-2</v>
      </c>
      <c r="Q25" s="200">
        <f t="shared" si="7"/>
        <v>2.552296313114262E-2</v>
      </c>
      <c r="R25" s="200">
        <f t="shared" si="7"/>
        <v>2.552296313114262E-2</v>
      </c>
      <c r="S25" s="200">
        <f t="shared" si="7"/>
        <v>2.552296313114262E-2</v>
      </c>
    </row>
    <row r="26" spans="4:19" x14ac:dyDescent="0.25">
      <c r="E26" s="248"/>
    </row>
    <row r="27" spans="4:19" x14ac:dyDescent="0.25">
      <c r="D27" s="1" t="s">
        <v>287</v>
      </c>
      <c r="E27" s="247">
        <f>'P&amp;L Inputs'!E16</f>
        <v>20.136399999999998</v>
      </c>
      <c r="F27" s="171">
        <f>'P&amp;L Inputs'!F16</f>
        <v>11.8849</v>
      </c>
      <c r="G27" s="171">
        <f>'P&amp;L Inputs'!G16</f>
        <v>2.4948000000000001</v>
      </c>
      <c r="H27" s="171">
        <f>'P&amp;L Inputs'!H16</f>
        <v>149.48929999999999</v>
      </c>
      <c r="I27" s="171">
        <f>'P&amp;L Inputs'!I16</f>
        <v>291.68709999999999</v>
      </c>
      <c r="J27" s="175">
        <f>J28*'Balance Sheet'!J30</f>
        <v>124.9834350188826</v>
      </c>
      <c r="K27" s="175">
        <f>K28*'Balance Sheet'!K30</f>
        <v>145.35960420068304</v>
      </c>
      <c r="L27" s="175">
        <f>L28*'Balance Sheet'!L30</f>
        <v>166.68854760576966</v>
      </c>
      <c r="M27" s="175">
        <f>M28*'Balance Sheet'!M30</f>
        <v>188.63251411298444</v>
      </c>
      <c r="N27" s="175">
        <f>N28*'Balance Sheet'!N30</f>
        <v>210.86829048309752</v>
      </c>
      <c r="O27" s="175">
        <f>O28*'Balance Sheet'!O30</f>
        <v>233.09660300746327</v>
      </c>
      <c r="P27" s="175">
        <f>P28*'Balance Sheet'!P30</f>
        <v>255.04968896811772</v>
      </c>
      <c r="Q27" s="175">
        <f>Q28*'Balance Sheet'!Q30</f>
        <v>276.49638009158735</v>
      </c>
      <c r="R27" s="175">
        <f>R28*'Balance Sheet'!R30</f>
        <v>297.24462683383666</v>
      </c>
      <c r="S27" s="176">
        <f>S28*'Balance Sheet'!S30</f>
        <v>317.14173558586276</v>
      </c>
    </row>
    <row r="28" spans="4:19" x14ac:dyDescent="0.25">
      <c r="D28" s="172" t="s">
        <v>289</v>
      </c>
      <c r="E28" s="253">
        <f>E27/'Balance Sheet'!E30</f>
        <v>7.5936840945583291E-4</v>
      </c>
      <c r="F28" s="168">
        <f>F27/'Balance Sheet'!F30</f>
        <v>3.7693473649169981E-4</v>
      </c>
      <c r="G28" s="168">
        <f>G27/'Balance Sheet'!G30</f>
        <v>7.225352416651007E-5</v>
      </c>
      <c r="H28" s="168">
        <f>H27/'Balance Sheet'!H30</f>
        <v>4.0585580147616436E-3</v>
      </c>
      <c r="I28" s="168">
        <f>I27/'Balance Sheet'!I30</f>
        <v>7.5355272940318191E-3</v>
      </c>
      <c r="J28" s="200">
        <f>AVERAGE(E28:I28)</f>
        <v>2.5605283957815012E-3</v>
      </c>
      <c r="K28" s="200">
        <f t="shared" ref="K28:S28" si="8">J28</f>
        <v>2.5605283957815012E-3</v>
      </c>
      <c r="L28" s="200">
        <f t="shared" si="8"/>
        <v>2.5605283957815012E-3</v>
      </c>
      <c r="M28" s="200">
        <f t="shared" si="8"/>
        <v>2.5605283957815012E-3</v>
      </c>
      <c r="N28" s="200">
        <f t="shared" si="8"/>
        <v>2.5605283957815012E-3</v>
      </c>
      <c r="O28" s="200">
        <f t="shared" si="8"/>
        <v>2.5605283957815012E-3</v>
      </c>
      <c r="P28" s="200">
        <f t="shared" si="8"/>
        <v>2.5605283957815012E-3</v>
      </c>
      <c r="Q28" s="200">
        <f t="shared" si="8"/>
        <v>2.5605283957815012E-3</v>
      </c>
      <c r="R28" s="200">
        <f t="shared" si="8"/>
        <v>2.5605283957815012E-3</v>
      </c>
      <c r="S28" s="200">
        <f t="shared" si="8"/>
        <v>2.5605283957815012E-3</v>
      </c>
    </row>
    <row r="29" spans="4:19" x14ac:dyDescent="0.25">
      <c r="E29" s="248"/>
    </row>
    <row r="30" spans="4:19" x14ac:dyDescent="0.25">
      <c r="D30" s="1" t="s">
        <v>288</v>
      </c>
      <c r="E30" s="247">
        <f>'P&amp;L Inputs'!E21</f>
        <v>360.82362000000001</v>
      </c>
      <c r="F30" s="171">
        <f>'P&amp;L Inputs'!F21</f>
        <v>481.18627199999997</v>
      </c>
      <c r="G30" s="171">
        <f>'P&amp;L Inputs'!G21</f>
        <v>493.00787500000001</v>
      </c>
      <c r="H30" s="171">
        <f>'P&amp;L Inputs'!H21</f>
        <v>578.76717499999995</v>
      </c>
      <c r="I30" s="171">
        <f>'P&amp;L Inputs'!I21</f>
        <v>723.18732199999999</v>
      </c>
      <c r="J30" s="175">
        <f>J31*'Income Statement'!J24</f>
        <v>571.41046806918655</v>
      </c>
      <c r="K30" s="175">
        <f>K31*'Income Statement'!K24</f>
        <v>653.5452370169977</v>
      </c>
      <c r="L30" s="175">
        <f>L31*'Income Statement'!L24</f>
        <v>740.90872849555205</v>
      </c>
      <c r="M30" s="175">
        <f>M31*'Income Statement'!M24</f>
        <v>839.72785722273386</v>
      </c>
      <c r="N30" s="175">
        <f>N31*'Income Statement'!N24</f>
        <v>944.09069338662539</v>
      </c>
      <c r="O30" s="175">
        <f>O31*'Income Statement'!O24</f>
        <v>1061.0250265001985</v>
      </c>
      <c r="P30" s="175">
        <f>P31*'Income Statement'!P24</f>
        <v>1184.4770813815564</v>
      </c>
      <c r="Q30" s="175">
        <f>Q31*'Income Statement'!Q24</f>
        <v>1322.2432785457661</v>
      </c>
      <c r="R30" s="175">
        <f>R31*'Income Statement'!R24</f>
        <v>1468.3530407215494</v>
      </c>
      <c r="S30" s="176">
        <f>S31*'Income Statement'!S24</f>
        <v>1631.3395846795811</v>
      </c>
    </row>
    <row r="31" spans="4:19" x14ac:dyDescent="0.25">
      <c r="D31" s="172" t="s">
        <v>291</v>
      </c>
      <c r="E31" s="255">
        <f>E30/'Income Statement'!E24</f>
        <v>-0.57275892421581054</v>
      </c>
      <c r="F31" s="169">
        <f>F30/'Income Statement'!F24</f>
        <v>-0.21369776296931414</v>
      </c>
      <c r="G31" s="169">
        <f>G30/'Income Statement'!G24</f>
        <v>0.32179358416829579</v>
      </c>
      <c r="H31" s="169">
        <f>H30/'Income Statement'!H24</f>
        <v>0.30593507668864373</v>
      </c>
      <c r="I31" s="169">
        <f>I30/'Income Statement'!I24</f>
        <v>0.54844786979332982</v>
      </c>
      <c r="J31" s="200">
        <v>0.3</v>
      </c>
      <c r="K31" s="200">
        <f t="shared" ref="K31:S31" si="9">J31</f>
        <v>0.3</v>
      </c>
      <c r="L31" s="200">
        <f t="shared" si="9"/>
        <v>0.3</v>
      </c>
      <c r="M31" s="200">
        <f t="shared" si="9"/>
        <v>0.3</v>
      </c>
      <c r="N31" s="200">
        <f t="shared" si="9"/>
        <v>0.3</v>
      </c>
      <c r="O31" s="200">
        <f t="shared" si="9"/>
        <v>0.3</v>
      </c>
      <c r="P31" s="200">
        <f t="shared" si="9"/>
        <v>0.3</v>
      </c>
      <c r="Q31" s="200">
        <f t="shared" si="9"/>
        <v>0.3</v>
      </c>
      <c r="R31" s="200">
        <f t="shared" si="9"/>
        <v>0.3</v>
      </c>
      <c r="S31" s="200">
        <f t="shared" si="9"/>
        <v>0.3</v>
      </c>
    </row>
    <row r="34" spans="10:13" x14ac:dyDescent="0.25">
      <c r="J34" s="28"/>
    </row>
    <row r="36" spans="10:13" x14ac:dyDescent="0.25">
      <c r="J36" s="27"/>
      <c r="L36" s="27"/>
      <c r="M36" s="27"/>
    </row>
  </sheetData>
  <mergeCells count="1">
    <mergeCell ref="D6:S6"/>
  </mergeCells>
  <pageMargins left="0.7" right="0.7" top="0.75" bottom="0.75" header="0.3" footer="0.3"/>
  <pageSetup orientation="portrait" r:id="rId1"/>
  <ignoredErrors>
    <ignoredError sqref="K22 L22:S22" formula="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D600-40DD-484B-AC4B-C2A2149C84B5}">
  <dimension ref="B6:I96"/>
  <sheetViews>
    <sheetView showGridLines="0" topLeftCell="A28" workbookViewId="0">
      <selection activeCell="G53" sqref="G53"/>
    </sheetView>
  </sheetViews>
  <sheetFormatPr defaultRowHeight="14.4" customHeight="1" x14ac:dyDescent="0.3"/>
  <cols>
    <col min="1" max="3" width="1.33203125" customWidth="1"/>
    <col min="4" max="4" width="35.77734375" customWidth="1"/>
    <col min="5" max="9" width="10.77734375" customWidth="1"/>
  </cols>
  <sheetData>
    <row r="6" spans="2:9" ht="16.8" customHeight="1" x14ac:dyDescent="0.3">
      <c r="C6" s="1"/>
      <c r="D6" s="425" t="s">
        <v>55</v>
      </c>
      <c r="E6" s="425"/>
      <c r="F6" s="425"/>
      <c r="G6" s="425"/>
      <c r="H6" s="425"/>
      <c r="I6" s="425"/>
    </row>
    <row r="7" spans="2:9" ht="14.4" customHeight="1" x14ac:dyDescent="0.3">
      <c r="C7" s="1"/>
      <c r="D7" s="1"/>
      <c r="E7" s="17">
        <v>2020</v>
      </c>
      <c r="F7" s="3">
        <f>E7+1</f>
        <v>2021</v>
      </c>
      <c r="G7" s="3">
        <f>F7+1</f>
        <v>2022</v>
      </c>
      <c r="H7" s="3">
        <f>G7+1</f>
        <v>2023</v>
      </c>
      <c r="I7" s="3">
        <f>H7+1</f>
        <v>2024</v>
      </c>
    </row>
    <row r="8" spans="2:9" ht="14.4" customHeight="1" x14ac:dyDescent="0.3">
      <c r="C8" s="1"/>
      <c r="D8" s="5" t="s">
        <v>0</v>
      </c>
      <c r="E8" s="18" t="s">
        <v>8</v>
      </c>
      <c r="F8" s="7" t="s">
        <v>8</v>
      </c>
      <c r="G8" s="7" t="s">
        <v>8</v>
      </c>
      <c r="H8" s="7" t="s">
        <v>8</v>
      </c>
      <c r="I8" s="7" t="s">
        <v>8</v>
      </c>
    </row>
    <row r="9" spans="2:9" ht="14.4" customHeight="1" x14ac:dyDescent="0.3">
      <c r="C9" s="1"/>
      <c r="D9" s="1"/>
      <c r="E9" s="19"/>
      <c r="F9" s="1"/>
      <c r="G9" s="1"/>
      <c r="H9" s="1"/>
      <c r="I9" s="1"/>
    </row>
    <row r="10" spans="2:9" ht="14.4" customHeight="1" x14ac:dyDescent="0.3">
      <c r="B10" s="1"/>
      <c r="D10" s="379" t="s">
        <v>221</v>
      </c>
      <c r="E10" s="377">
        <f>'Income Statement'!E10/'Income Statement'!E$10</f>
        <v>1</v>
      </c>
      <c r="F10" s="377">
        <f>'Income Statement'!F10/'Income Statement'!F$10</f>
        <v>1</v>
      </c>
      <c r="G10" s="377">
        <f>'Income Statement'!G10/'Income Statement'!G$10</f>
        <v>1</v>
      </c>
      <c r="H10" s="377">
        <f>'Income Statement'!H10/'Income Statement'!H$10</f>
        <v>1</v>
      </c>
      <c r="I10" s="377">
        <f>'Income Statement'!I10/'Income Statement'!I$10</f>
        <v>1</v>
      </c>
    </row>
    <row r="11" spans="2:9" ht="14.4" customHeight="1" x14ac:dyDescent="0.3">
      <c r="C11" s="3" t="s">
        <v>227</v>
      </c>
      <c r="D11" s="163"/>
      <c r="E11" s="377"/>
      <c r="F11" s="377"/>
      <c r="G11" s="377"/>
      <c r="H11" s="377"/>
      <c r="I11" s="377"/>
    </row>
    <row r="12" spans="2:9" ht="14.4" customHeight="1" x14ac:dyDescent="0.3">
      <c r="B12" s="1"/>
      <c r="C12" s="1"/>
      <c r="D12" s="163" t="s">
        <v>192</v>
      </c>
      <c r="E12" s="377">
        <f>'Income Statement'!E12/'Income Statement'!E$10</f>
        <v>0.70757454219111537</v>
      </c>
      <c r="F12" s="377">
        <f>'Income Statement'!F12/'Income Statement'!F$10</f>
        <v>0.63847192673417286</v>
      </c>
      <c r="G12" s="377">
        <f>'Income Statement'!G12/'Income Statement'!G$10</f>
        <v>0.59298399779633337</v>
      </c>
      <c r="H12" s="377">
        <f>'Income Statement'!H12/'Income Statement'!H$10</f>
        <v>0.59026606348863409</v>
      </c>
      <c r="I12" s="377">
        <f>'Income Statement'!I12/'Income Statement'!I$10</f>
        <v>0.65111218146660077</v>
      </c>
    </row>
    <row r="13" spans="2:9" ht="14.4" customHeight="1" x14ac:dyDescent="0.3">
      <c r="B13" s="1"/>
      <c r="D13" s="163" t="s">
        <v>193</v>
      </c>
      <c r="E13" s="377">
        <f>'Income Statement'!E13/'Income Statement'!E$10</f>
        <v>0.18201522534871287</v>
      </c>
      <c r="F13" s="377">
        <f>'Income Statement'!F13/'Income Statement'!F$10</f>
        <v>0.25956397657481967</v>
      </c>
      <c r="G13" s="377">
        <f>'Income Statement'!G13/'Income Statement'!G$10</f>
        <v>0.23260270194374699</v>
      </c>
      <c r="H13" s="377">
        <f>'Income Statement'!H13/'Income Statement'!H$10</f>
        <v>0.21723506497415887</v>
      </c>
      <c r="I13" s="377">
        <f>'Income Statement'!I13/'Income Statement'!I$10</f>
        <v>0.21232799244924863</v>
      </c>
    </row>
    <row r="14" spans="2:9" ht="14.4" customHeight="1" x14ac:dyDescent="0.3">
      <c r="B14" s="1"/>
      <c r="D14" s="380" t="s">
        <v>287</v>
      </c>
      <c r="E14" s="377">
        <f>'Income Statement'!E14/'Income Statement'!E$10</f>
        <v>2.5394203570374778E-3</v>
      </c>
      <c r="F14" s="377">
        <f>'Income Statement'!F14/'Income Statement'!F$10</f>
        <v>1.7041935832219793E-3</v>
      </c>
      <c r="G14" s="377">
        <f>'Income Statement'!G14/'Income Statement'!G$10</f>
        <v>3.5158775808293182E-4</v>
      </c>
      <c r="H14" s="377">
        <f>'Income Statement'!H14/'Income Statement'!H$10</f>
        <v>1.8703155719708032E-2</v>
      </c>
      <c r="I14" s="377">
        <f>'Income Statement'!I14/'Income Statement'!I$10</f>
        <v>3.0089522816624376E-2</v>
      </c>
    </row>
    <row r="15" spans="2:9" ht="14.4" customHeight="1" x14ac:dyDescent="0.3">
      <c r="B15" s="1"/>
      <c r="D15" s="163" t="s">
        <v>293</v>
      </c>
      <c r="E15" s="377">
        <f>'Income Statement'!E15/'Income Statement'!E$10</f>
        <v>0.26328346406476927</v>
      </c>
      <c r="F15" s="377">
        <f>'Income Statement'!F15/'Income Statement'!F$10</f>
        <v>0.50246112143936161</v>
      </c>
      <c r="G15" s="377">
        <f>'Income Statement'!G15/'Income Statement'!G$10</f>
        <v>4.1015175405903617E-2</v>
      </c>
      <c r="H15" s="377">
        <f>'Income Statement'!H15/'Income Statement'!H$10</f>
        <v>1.7129288243065442E-2</v>
      </c>
      <c r="I15" s="377">
        <f>'Income Statement'!I15/'Income Statement'!I$10</f>
        <v>5.5242247566622722E-2</v>
      </c>
    </row>
    <row r="16" spans="2:9" ht="14.4" customHeight="1" x14ac:dyDescent="0.3">
      <c r="B16" s="1"/>
      <c r="D16" s="379"/>
      <c r="E16" s="377"/>
      <c r="F16" s="377"/>
      <c r="G16" s="377"/>
      <c r="H16" s="377"/>
      <c r="I16" s="377"/>
    </row>
    <row r="17" spans="2:9" ht="14.4" customHeight="1" x14ac:dyDescent="0.3">
      <c r="B17" s="3"/>
      <c r="D17" s="381" t="s">
        <v>228</v>
      </c>
      <c r="E17" s="378">
        <f>'Income Statement'!E17/'Income Statement'!E$10</f>
        <v>1.155412651961635</v>
      </c>
      <c r="F17" s="378">
        <f>'Income Statement'!F17/'Income Statement'!F$10</f>
        <v>1.4022012183315762</v>
      </c>
      <c r="G17" s="378">
        <f>'Income Statement'!G17/'Income Statement'!G$10</f>
        <v>0.86695346290406694</v>
      </c>
      <c r="H17" s="378">
        <f>'Income Statement'!H17/'Income Statement'!H$10</f>
        <v>0.8433335724255665</v>
      </c>
      <c r="I17" s="378">
        <f>'Income Statement'!I17/'Income Statement'!I$10</f>
        <v>0.9487719442990965</v>
      </c>
    </row>
    <row r="18" spans="2:9" ht="14.4" customHeight="1" x14ac:dyDescent="0.3">
      <c r="B18" s="1"/>
      <c r="D18" s="163"/>
      <c r="E18" s="377"/>
      <c r="F18" s="377"/>
      <c r="G18" s="377"/>
      <c r="H18" s="377"/>
      <c r="I18" s="377"/>
    </row>
    <row r="19" spans="2:9" ht="14.4" customHeight="1" x14ac:dyDescent="0.3">
      <c r="B19" s="1"/>
      <c r="D19" s="379" t="s">
        <v>38</v>
      </c>
      <c r="E19" s="377">
        <f>'Income Statement'!E19/'Income Statement'!E$10</f>
        <v>-0.15541265196163503</v>
      </c>
      <c r="F19" s="377">
        <f>'Income Statement'!F19/'Income Statement'!F$10</f>
        <v>-0.40220121833157607</v>
      </c>
      <c r="G19" s="377">
        <f>'Income Statement'!G19/'Income Statement'!G$10</f>
        <v>0.13304653709593303</v>
      </c>
      <c r="H19" s="377">
        <f>'Income Statement'!H19/'Income Statement'!H$10</f>
        <v>0.15666642757443347</v>
      </c>
      <c r="I19" s="377">
        <f>'Income Statement'!I19/'Income Statement'!I$10</f>
        <v>5.1228055700903503E-2</v>
      </c>
    </row>
    <row r="20" spans="2:9" ht="14.4" customHeight="1" x14ac:dyDescent="0.3">
      <c r="B20" s="1"/>
      <c r="D20" s="382" t="s">
        <v>39</v>
      </c>
      <c r="E20" s="378">
        <f>'Income Statement'!E20/'Income Statement'!E$10</f>
        <v>-6.7985651752883449E-3</v>
      </c>
      <c r="F20" s="378">
        <f>'Income Statement'!F20/'Income Statement'!F$10</f>
        <v>-1.4645046613205443E-2</v>
      </c>
      <c r="G20" s="378">
        <f>'Income Statement'!G20/'Income Statement'!G$10</f>
        <v>-1.9319907964843817E-2</v>
      </c>
      <c r="H20" s="378">
        <f>'Income Statement'!H20/'Income Statement'!H$10</f>
        <v>-1.8558361663448365E-2</v>
      </c>
      <c r="I20" s="378">
        <f>'Income Statement'!I20/'Income Statement'!I$10</f>
        <v>-1.5482223825692322E-2</v>
      </c>
    </row>
    <row r="21" spans="2:9" ht="14.4" customHeight="1" x14ac:dyDescent="0.3">
      <c r="B21" s="1"/>
      <c r="D21" s="381" t="s">
        <v>40</v>
      </c>
      <c r="E21" s="378">
        <f>'Income Statement'!E21/'Income Statement'!E$10</f>
        <v>-0.16221121713692338</v>
      </c>
      <c r="F21" s="378">
        <f>'Income Statement'!F21/'Income Statement'!F$10</f>
        <v>-0.4168462649447815</v>
      </c>
      <c r="G21" s="378">
        <f>'Income Statement'!G21/'Income Statement'!G$10</f>
        <v>0.11372662913108922</v>
      </c>
      <c r="H21" s="378">
        <f>'Income Statement'!H21/'Income Statement'!H$10</f>
        <v>0.13810806591098509</v>
      </c>
      <c r="I21" s="378">
        <f>'Income Statement'!I21/'Income Statement'!I$10</f>
        <v>3.574583187521118E-2</v>
      </c>
    </row>
    <row r="22" spans="2:9" ht="14.4" customHeight="1" x14ac:dyDescent="0.3">
      <c r="B22" s="1"/>
      <c r="D22" s="163" t="s">
        <v>286</v>
      </c>
      <c r="E22" s="377">
        <f>'Income Statement'!E22/'Income Statement'!E$10</f>
        <v>-3.0407126095467425E-2</v>
      </c>
      <c r="F22" s="377">
        <f>'Income Statement'!F22/'Income Statement'!F$10</f>
        <v>-3.5484505451981251E-2</v>
      </c>
      <c r="G22" s="377">
        <f>'Income Statement'!G22/'Income Statement'!G$10</f>
        <v>-3.3019302010079132E-2</v>
      </c>
      <c r="H22" s="377">
        <f>'Income Statement'!H22/'Income Statement'!H$10</f>
        <v>-1.9020231306659446E-2</v>
      </c>
      <c r="I22" s="377">
        <f>'Income Statement'!I22/'Income Statement'!I$10</f>
        <v>-2.5725379378920658E-2</v>
      </c>
    </row>
    <row r="23" spans="2:9" ht="14.4" customHeight="1" x14ac:dyDescent="0.3">
      <c r="B23" s="1"/>
      <c r="D23" s="163" t="s">
        <v>10</v>
      </c>
      <c r="E23" s="377">
        <f>'Income Statement'!E23/'Income Statement'!E$10</f>
        <v>0.1131716433848424</v>
      </c>
      <c r="F23" s="377">
        <f>'Income Statement'!F23/'Income Statement'!F$10</f>
        <v>0.12945411445621008</v>
      </c>
      <c r="G23" s="377">
        <f>'Income Statement'!G23/'Income Statement'!G$10</f>
        <v>0.13520353179683414</v>
      </c>
      <c r="H23" s="377">
        <f>'Income Statement'!H23/'Income Statement'!H$10</f>
        <v>0.11760188763505801</v>
      </c>
      <c r="I23" s="377">
        <f>'Income Statement'!I23/'Income Statement'!I$10</f>
        <v>0.12600291669807792</v>
      </c>
    </row>
    <row r="24" spans="2:9" ht="14.4" customHeight="1" x14ac:dyDescent="0.3">
      <c r="B24" s="1"/>
      <c r="D24" s="381" t="s">
        <v>294</v>
      </c>
      <c r="E24" s="378">
        <f>'Income Statement'!E24/'Income Statement'!E$10</f>
        <v>-7.9446699847548388E-2</v>
      </c>
      <c r="F24" s="378">
        <f>'Income Statement'!F24/'Income Statement'!F$10</f>
        <v>-0.32287665594055276</v>
      </c>
      <c r="G24" s="378">
        <f>'Income Statement'!G24/'Income Statement'!G$10</f>
        <v>0.21591085891784423</v>
      </c>
      <c r="H24" s="378">
        <f>'Income Statement'!H24/'Income Statement'!H$10</f>
        <v>0.23668972223938367</v>
      </c>
      <c r="I24" s="378">
        <f>'Income Statement'!I24/'Income Statement'!I$10</f>
        <v>0.13602336919436844</v>
      </c>
    </row>
    <row r="25" spans="2:9" ht="16.8" customHeight="1" x14ac:dyDescent="0.3">
      <c r="B25" s="1"/>
      <c r="D25" s="163" t="s">
        <v>288</v>
      </c>
      <c r="E25" s="401">
        <f>'Income Statement'!E25/'Income Statement'!E$10</f>
        <v>-4.5503806337178217E-2</v>
      </c>
      <c r="F25" s="401">
        <f>'Income Statement'!F25/'Income Statement'!F$10</f>
        <v>-6.8998019089509033E-2</v>
      </c>
      <c r="G25" s="401">
        <f>'Income Statement'!G25/'Income Statement'!G$10</f>
        <v>-6.9478729152028337E-2</v>
      </c>
      <c r="H25" s="401">
        <f>'Income Statement'!H25/'Income Statement'!H$10</f>
        <v>-7.2411688324719614E-2</v>
      </c>
      <c r="I25" s="401">
        <f>'Income Statement'!I25/'Income Statement'!I$10</f>
        <v>-7.4601727076763019E-2</v>
      </c>
    </row>
    <row r="26" spans="2:9" ht="14.4" customHeight="1" x14ac:dyDescent="0.3">
      <c r="B26" s="1"/>
      <c r="D26" s="386" t="s">
        <v>295</v>
      </c>
      <c r="E26" s="387">
        <f>'Income Statement'!E26/'Income Statement'!E$10</f>
        <v>-0.12495050618472661</v>
      </c>
      <c r="F26" s="387">
        <f>'Income Statement'!F26/'Income Statement'!F$10</f>
        <v>-0.39187467503006174</v>
      </c>
      <c r="G26" s="387">
        <f>'Income Statement'!G26/'Income Statement'!G$10</f>
        <v>0.14643212976581588</v>
      </c>
      <c r="H26" s="387">
        <f>'Income Statement'!H26/'Income Statement'!H$10</f>
        <v>0.16427803391466406</v>
      </c>
      <c r="I26" s="387">
        <f>'Income Statement'!I26/'Income Statement'!I$10</f>
        <v>6.1421642117605438E-2</v>
      </c>
    </row>
    <row r="27" spans="2:9" ht="14.4" customHeight="1" x14ac:dyDescent="0.3">
      <c r="B27" s="56"/>
      <c r="C27" s="45"/>
      <c r="D27" s="383"/>
      <c r="E27" s="1"/>
      <c r="F27" s="1"/>
      <c r="G27" s="1"/>
      <c r="H27" s="1"/>
      <c r="I27" s="1"/>
    </row>
    <row r="28" spans="2:9" ht="14.4" customHeight="1" x14ac:dyDescent="0.3">
      <c r="B28" s="45"/>
      <c r="C28" s="56"/>
      <c r="D28" s="45"/>
      <c r="E28" s="1"/>
      <c r="F28" s="1"/>
      <c r="G28" s="1"/>
      <c r="H28" s="1"/>
      <c r="I28" s="1"/>
    </row>
    <row r="29" spans="2:9" ht="14.4" customHeight="1" x14ac:dyDescent="0.3">
      <c r="B29" s="45"/>
      <c r="C29" s="45"/>
      <c r="D29" s="425" t="s">
        <v>43</v>
      </c>
      <c r="E29" s="425"/>
      <c r="F29" s="425"/>
      <c r="G29" s="425"/>
      <c r="H29" s="425"/>
      <c r="I29" s="425"/>
    </row>
    <row r="30" spans="2:9" ht="14.4" customHeight="1" x14ac:dyDescent="0.3">
      <c r="B30" s="45"/>
      <c r="C30" s="45"/>
      <c r="D30" s="55"/>
      <c r="E30" s="377"/>
      <c r="F30" s="377"/>
      <c r="G30" s="377"/>
      <c r="H30" s="377"/>
      <c r="I30" s="377"/>
    </row>
    <row r="31" spans="2:9" ht="14.4" customHeight="1" x14ac:dyDescent="0.3">
      <c r="B31" s="56" t="s">
        <v>1</v>
      </c>
      <c r="C31" s="55"/>
      <c r="D31" s="55"/>
      <c r="E31" s="376"/>
      <c r="F31" s="377"/>
      <c r="G31" s="377"/>
      <c r="H31" s="377"/>
      <c r="I31" s="377"/>
    </row>
    <row r="32" spans="2:9" ht="14.4" customHeight="1" x14ac:dyDescent="0.3">
      <c r="B32" s="55"/>
      <c r="C32" s="56" t="s">
        <v>3</v>
      </c>
      <c r="D32" s="1"/>
      <c r="E32" s="376"/>
      <c r="F32" s="377"/>
      <c r="G32" s="377"/>
      <c r="H32" s="377"/>
      <c r="I32" s="377"/>
    </row>
    <row r="33" spans="2:9" ht="14.4" customHeight="1" x14ac:dyDescent="0.3">
      <c r="B33" s="55"/>
      <c r="C33" s="55"/>
      <c r="D33" s="55" t="s">
        <v>233</v>
      </c>
      <c r="E33" s="376">
        <f>'Balance Sheet'!E12/'Balance Sheet'!E$23</f>
        <v>9.4408378978121682E-2</v>
      </c>
      <c r="F33" s="377">
        <f>'Balance Sheet'!F12/'Balance Sheet'!F$23</f>
        <v>6.5246130444155268E-2</v>
      </c>
      <c r="G33" s="377">
        <f>'Balance Sheet'!G12/'Balance Sheet'!G$23</f>
        <v>5.0709199802532717E-2</v>
      </c>
      <c r="H33" s="377">
        <f>'Balance Sheet'!H12/'Balance Sheet'!H$23</f>
        <v>4.562253369743708E-2</v>
      </c>
      <c r="I33" s="377">
        <f>'Balance Sheet'!I12/'Balance Sheet'!I$23</f>
        <v>4.9523476564471987E-2</v>
      </c>
    </row>
    <row r="34" spans="2:9" ht="14.4" customHeight="1" x14ac:dyDescent="0.3">
      <c r="B34" s="55"/>
      <c r="C34" s="55"/>
      <c r="D34" s="55" t="s">
        <v>234</v>
      </c>
      <c r="E34" s="376">
        <f>'Balance Sheet'!E13/'Balance Sheet'!E$23</f>
        <v>8.9402484027296589E-4</v>
      </c>
      <c r="F34" s="377">
        <f>'Balance Sheet'!F13/'Balance Sheet'!F$23</f>
        <v>1.023636496543384E-2</v>
      </c>
      <c r="G34" s="377">
        <f>'Balance Sheet'!G13/'Balance Sheet'!G$23</f>
        <v>1.2306006393138567E-3</v>
      </c>
      <c r="H34" s="377">
        <f>'Balance Sheet'!H13/'Balance Sheet'!H$23</f>
        <v>5.2267086182277139E-4</v>
      </c>
      <c r="I34" s="377">
        <f>'Balance Sheet'!I13/'Balance Sheet'!I$23</f>
        <v>4.7778044058667649E-4</v>
      </c>
    </row>
    <row r="35" spans="2:9" ht="14.4" customHeight="1" x14ac:dyDescent="0.3">
      <c r="B35" s="55"/>
      <c r="C35" s="55"/>
      <c r="D35" s="55" t="s">
        <v>203</v>
      </c>
      <c r="E35" s="376">
        <f>'Balance Sheet'!E14/'Balance Sheet'!E$23</f>
        <v>4.1506586909687899E-4</v>
      </c>
      <c r="F35" s="377">
        <f>'Balance Sheet'!F14/'Balance Sheet'!F$23</f>
        <v>1.8216878672326565E-2</v>
      </c>
      <c r="G35" s="377">
        <f>'Balance Sheet'!G14/'Balance Sheet'!G$23</f>
        <v>0.35046435615217858</v>
      </c>
      <c r="H35" s="377">
        <f>'Balance Sheet'!H14/'Balance Sheet'!H$23</f>
        <v>2.9912326024355792E-3</v>
      </c>
      <c r="I35" s="377">
        <f>'Balance Sheet'!I14/'Balance Sheet'!I$23</f>
        <v>6.6656518836598205E-3</v>
      </c>
    </row>
    <row r="36" spans="2:9" ht="14.4" customHeight="1" x14ac:dyDescent="0.3">
      <c r="B36" s="55"/>
      <c r="C36" s="55"/>
      <c r="D36" s="55" t="s">
        <v>229</v>
      </c>
      <c r="E36" s="376">
        <f>'Balance Sheet'!E15/'Balance Sheet'!E$23</f>
        <v>0.17435730031599694</v>
      </c>
      <c r="F36" s="377">
        <f>'Balance Sheet'!F15/'Balance Sheet'!F$23</f>
        <v>0.16547971289914257</v>
      </c>
      <c r="G36" s="377">
        <f>'Balance Sheet'!G15/'Balance Sheet'!G$23</f>
        <v>0.15766379345736869</v>
      </c>
      <c r="H36" s="377">
        <f>'Balance Sheet'!H15/'Balance Sheet'!H$23</f>
        <v>0.16889018536484213</v>
      </c>
      <c r="I36" s="377">
        <f>'Balance Sheet'!I15/'Balance Sheet'!I$23</f>
        <v>0.16809898992754241</v>
      </c>
    </row>
    <row r="37" spans="2:9" ht="14.4" customHeight="1" x14ac:dyDescent="0.3">
      <c r="B37" s="55"/>
      <c r="C37" s="55"/>
      <c r="D37" s="56"/>
      <c r="E37" s="376"/>
      <c r="F37" s="377"/>
      <c r="G37" s="377"/>
      <c r="H37" s="377"/>
      <c r="I37" s="377"/>
    </row>
    <row r="38" spans="2:9" ht="14.4" customHeight="1" x14ac:dyDescent="0.3">
      <c r="B38" s="55"/>
      <c r="C38" s="56" t="s">
        <v>2</v>
      </c>
      <c r="D38" s="55"/>
      <c r="E38" s="376"/>
      <c r="F38" s="377"/>
      <c r="G38" s="377"/>
      <c r="H38" s="377"/>
      <c r="I38" s="377"/>
    </row>
    <row r="39" spans="2:9" ht="14.4" customHeight="1" x14ac:dyDescent="0.3">
      <c r="B39" s="55"/>
      <c r="C39" s="55"/>
      <c r="D39" s="55" t="s">
        <v>203</v>
      </c>
      <c r="E39" s="376">
        <f>'Balance Sheet'!E18/'Balance Sheet'!E$23</f>
        <v>0.24387514096854057</v>
      </c>
      <c r="F39" s="377">
        <f>'Balance Sheet'!F18/'Balance Sheet'!F$23</f>
        <v>0.27162949128276687</v>
      </c>
      <c r="G39" s="377">
        <f>'Balance Sheet'!G18/'Balance Sheet'!G$23</f>
        <v>-1.2306006393138567E-3</v>
      </c>
      <c r="H39" s="377">
        <f>'Balance Sheet'!H18/'Balance Sheet'!H$23</f>
        <v>0.3256048467783591</v>
      </c>
      <c r="I39" s="377">
        <f>'Balance Sheet'!I18/'Balance Sheet'!I$23</f>
        <v>0.32924335449233272</v>
      </c>
    </row>
    <row r="40" spans="2:9" ht="14.4" customHeight="1" x14ac:dyDescent="0.3">
      <c r="B40" s="55"/>
      <c r="C40" s="55"/>
      <c r="D40" s="55" t="s">
        <v>229</v>
      </c>
      <c r="E40" s="376">
        <f>'Balance Sheet'!E19/'Balance Sheet'!E$23</f>
        <v>0.40683370073732633</v>
      </c>
      <c r="F40" s="377">
        <f>'Balance Sheet'!F19/'Balance Sheet'!F$23</f>
        <v>0.38611933009799931</v>
      </c>
      <c r="G40" s="377">
        <f>'Balance Sheet'!G19/'Balance Sheet'!G$23</f>
        <v>0.36788218473386025</v>
      </c>
      <c r="H40" s="377">
        <f>'Balance Sheet'!H19/'Balance Sheet'!H$23</f>
        <v>0.39407709918463163</v>
      </c>
      <c r="I40" s="377">
        <f>'Balance Sheet'!I19/'Balance Sheet'!I$23</f>
        <v>0.39223097649759897</v>
      </c>
    </row>
    <row r="41" spans="2:9" ht="14.4" customHeight="1" x14ac:dyDescent="0.3">
      <c r="B41" s="55"/>
      <c r="C41" s="55"/>
      <c r="D41" s="55" t="s">
        <v>231</v>
      </c>
      <c r="E41" s="376">
        <f>'Balance Sheet'!E20/'Balance Sheet'!E$23</f>
        <v>1.2346072621905752E-2</v>
      </c>
      <c r="F41" s="377">
        <f>'Balance Sheet'!F20/'Balance Sheet'!F$23</f>
        <v>1.4345445823053853E-2</v>
      </c>
      <c r="G41" s="377">
        <f>'Balance Sheet'!G20/'Balance Sheet'!G$23</f>
        <v>1.3029449649439664E-2</v>
      </c>
      <c r="H41" s="377">
        <f>'Balance Sheet'!H20/'Balance Sheet'!H$23</f>
        <v>1.1135012848273833E-2</v>
      </c>
      <c r="I41" s="377">
        <f>'Balance Sheet'!I20/'Balance Sheet'!I$23</f>
        <v>1.1890991537950035E-2</v>
      </c>
    </row>
    <row r="42" spans="2:9" ht="14.4" customHeight="1" x14ac:dyDescent="0.3">
      <c r="B42" s="55"/>
      <c r="C42" s="55"/>
      <c r="D42" s="55" t="s">
        <v>232</v>
      </c>
      <c r="E42" s="376">
        <f>'Balance Sheet'!E21/'Balance Sheet'!E$23</f>
        <v>6.6870315668738786E-2</v>
      </c>
      <c r="F42" s="377">
        <f>'Balance Sheet'!F21/'Balance Sheet'!F$23</f>
        <v>6.8726645815121681E-2</v>
      </c>
      <c r="G42" s="377">
        <f>'Balance Sheet'!G21/'Balance Sheet'!G$23</f>
        <v>6.0251016204620138E-2</v>
      </c>
      <c r="H42" s="377">
        <f>'Balance Sheet'!H21/'Balance Sheet'!H$23</f>
        <v>5.1156418662197903E-2</v>
      </c>
      <c r="I42" s="377">
        <f>'Balance Sheet'!I21/'Balance Sheet'!I$23</f>
        <v>4.1868778655857572E-2</v>
      </c>
    </row>
    <row r="43" spans="2:9" ht="14.4" customHeight="1" x14ac:dyDescent="0.3">
      <c r="B43" s="55"/>
      <c r="C43" s="55"/>
      <c r="D43" s="55"/>
      <c r="E43" s="376"/>
      <c r="F43" s="377"/>
      <c r="G43" s="377"/>
      <c r="H43" s="377"/>
      <c r="I43" s="377"/>
    </row>
    <row r="44" spans="2:9" ht="14.4" customHeight="1" x14ac:dyDescent="0.3">
      <c r="B44" s="55"/>
      <c r="C44" s="55"/>
      <c r="D44" s="136" t="s">
        <v>45</v>
      </c>
      <c r="E44" s="384">
        <f>SUM(E32:E43)</f>
        <v>0.99999999999999989</v>
      </c>
      <c r="F44" s="385">
        <f>SUM(F32:F43)</f>
        <v>1</v>
      </c>
      <c r="G44" s="385">
        <f>SUM(G32:G43)</f>
        <v>1</v>
      </c>
      <c r="H44" s="385">
        <f>SUM(H32:H43)</f>
        <v>1</v>
      </c>
      <c r="I44" s="385">
        <f>SUM(I32:I43)</f>
        <v>1.0000000000000002</v>
      </c>
    </row>
    <row r="45" spans="2:9" ht="14.4" customHeight="1" x14ac:dyDescent="0.3">
      <c r="B45" s="55"/>
      <c r="C45" s="55"/>
      <c r="D45" s="55"/>
      <c r="E45" s="376"/>
      <c r="F45" s="377"/>
      <c r="G45" s="377"/>
      <c r="H45" s="377"/>
      <c r="I45" s="377"/>
    </row>
    <row r="46" spans="2:9" ht="14.4" customHeight="1" x14ac:dyDescent="0.3">
      <c r="B46" s="56" t="s">
        <v>5</v>
      </c>
      <c r="C46" s="55"/>
      <c r="D46" s="56"/>
      <c r="E46" s="376"/>
      <c r="F46" s="377"/>
      <c r="G46" s="377"/>
      <c r="H46" s="377"/>
      <c r="I46" s="377"/>
    </row>
    <row r="47" spans="2:9" ht="14.4" customHeight="1" x14ac:dyDescent="0.3">
      <c r="B47" s="55"/>
      <c r="C47" s="55"/>
      <c r="D47" s="55" t="s">
        <v>196</v>
      </c>
      <c r="E47" s="376">
        <f>'Balance Sheet'!E26/'Balance Sheet'!E$37</f>
        <v>6.9753885044374474E-3</v>
      </c>
      <c r="F47" s="377">
        <f>'Balance Sheet'!F26/'Balance Sheet'!F$37</f>
        <v>3.6681741889138454E-2</v>
      </c>
      <c r="G47" s="377">
        <f>'Balance Sheet'!G26/'Balance Sheet'!G$37</f>
        <v>5.5983511696905089E-2</v>
      </c>
      <c r="H47" s="377">
        <f>'Balance Sheet'!H26/'Balance Sheet'!H$37</f>
        <v>4.9670663522263604E-2</v>
      </c>
      <c r="I47" s="377">
        <f>'Balance Sheet'!I26/'Balance Sheet'!I$37</f>
        <v>4.5902382970802368E-2</v>
      </c>
    </row>
    <row r="48" spans="2:9" ht="14.4" customHeight="1" x14ac:dyDescent="0.3">
      <c r="B48" s="56"/>
      <c r="C48" s="55"/>
      <c r="D48" s="55" t="s">
        <v>235</v>
      </c>
      <c r="E48" s="376">
        <f>'Balance Sheet'!E27/'Balance Sheet'!E$37</f>
        <v>4.8708048442383869E-2</v>
      </c>
      <c r="F48" s="377">
        <f>'Balance Sheet'!F27/'Balance Sheet'!F$37</f>
        <v>3.9014052740825193E-2</v>
      </c>
      <c r="G48" s="377">
        <f>'Balance Sheet'!G27/'Balance Sheet'!G$37</f>
        <v>5.9741880587083566E-2</v>
      </c>
      <c r="H48" s="377">
        <f>'Balance Sheet'!H27/'Balance Sheet'!H$37</f>
        <v>6.1051262231209234E-2</v>
      </c>
      <c r="I48" s="377">
        <f>'Balance Sheet'!I27/'Balance Sheet'!I$37</f>
        <v>5.9297350026572701E-2</v>
      </c>
    </row>
    <row r="49" spans="2:9" ht="14.4" customHeight="1" x14ac:dyDescent="0.3">
      <c r="B49" s="55"/>
      <c r="C49" s="56"/>
      <c r="D49" s="55"/>
      <c r="E49" s="376"/>
      <c r="F49" s="377"/>
      <c r="G49" s="377"/>
      <c r="H49" s="377"/>
      <c r="I49" s="377"/>
    </row>
    <row r="50" spans="2:9" ht="14.4" customHeight="1" x14ac:dyDescent="0.3">
      <c r="B50" s="56" t="s">
        <v>47</v>
      </c>
      <c r="C50" s="55"/>
      <c r="D50" s="55"/>
      <c r="E50" s="376"/>
      <c r="F50" s="377"/>
      <c r="G50" s="377"/>
      <c r="H50" s="377"/>
      <c r="I50" s="377"/>
    </row>
    <row r="51" spans="2:9" ht="14.4" customHeight="1" x14ac:dyDescent="0.3">
      <c r="B51" s="55"/>
      <c r="C51" s="55"/>
      <c r="D51" s="55" t="s">
        <v>223</v>
      </c>
      <c r="E51" s="376">
        <f>'Balance Sheet'!E30/'Balance Sheet'!E$37</f>
        <v>0.26384373778000264</v>
      </c>
      <c r="F51" s="377">
        <f>'Balance Sheet'!F30/'Balance Sheet'!F$37</f>
        <v>0.28538969908399997</v>
      </c>
      <c r="G51" s="377">
        <f>'Balance Sheet'!G30/'Balance Sheet'!G$37</f>
        <v>0.28519963133571857</v>
      </c>
      <c r="H51" s="377">
        <f>'Balance Sheet'!H30/'Balance Sheet'!H$37</f>
        <v>0.26992955169083915</v>
      </c>
      <c r="I51" s="377">
        <f>'Balance Sheet'!I30/'Balance Sheet'!I$37</f>
        <v>0.26215064430145846</v>
      </c>
    </row>
    <row r="52" spans="2:9" ht="14.4" customHeight="1" x14ac:dyDescent="0.3">
      <c r="B52" s="55"/>
      <c r="C52" s="55"/>
      <c r="D52" s="55" t="s">
        <v>199</v>
      </c>
      <c r="E52" s="376">
        <f>'Balance Sheet'!E31/'Balance Sheet'!E$37</f>
        <v>7.9923589362142257E-3</v>
      </c>
      <c r="F52" s="377">
        <f>'Balance Sheet'!F31/'Balance Sheet'!F$37</f>
        <v>5.9818629832885375E-3</v>
      </c>
      <c r="G52" s="377">
        <f>'Balance Sheet'!G31/'Balance Sheet'!G$37</f>
        <v>5.0460106210593854E-3</v>
      </c>
      <c r="H52" s="377">
        <f>'Balance Sheet'!H31/'Balance Sheet'!H$37</f>
        <v>1.6522690853832268E-2</v>
      </c>
      <c r="I52" s="377">
        <f>'Balance Sheet'!I31/'Balance Sheet'!I$37</f>
        <v>1.6543217511797083E-2</v>
      </c>
    </row>
    <row r="53" spans="2:9" ht="14.4" customHeight="1" x14ac:dyDescent="0.3">
      <c r="B53" s="55"/>
      <c r="C53" s="56"/>
      <c r="D53" s="55"/>
      <c r="E53" s="376"/>
      <c r="F53" s="377"/>
      <c r="G53" s="377"/>
      <c r="H53" s="377"/>
      <c r="I53" s="377"/>
    </row>
    <row r="54" spans="2:9" ht="14.4" customHeight="1" x14ac:dyDescent="0.3">
      <c r="B54" s="56" t="s">
        <v>236</v>
      </c>
      <c r="C54" s="55"/>
      <c r="D54" s="55"/>
      <c r="E54" s="376"/>
      <c r="F54" s="377"/>
      <c r="G54" s="377"/>
      <c r="H54" s="377"/>
      <c r="I54" s="377"/>
    </row>
    <row r="55" spans="2:9" ht="14.4" customHeight="1" x14ac:dyDescent="0.3">
      <c r="B55" s="55"/>
      <c r="C55" s="55"/>
      <c r="D55" s="55" t="s">
        <v>237</v>
      </c>
      <c r="E55" s="376">
        <f>'Balance Sheet'!E34/'Balance Sheet'!E$37</f>
        <v>0.62833692757529058</v>
      </c>
      <c r="F55" s="377">
        <f>'Balance Sheet'!F34/'Balance Sheet'!F$37</f>
        <v>0.58451018847702441</v>
      </c>
      <c r="G55" s="377">
        <f>'Balance Sheet'!G34/'Balance Sheet'!G$37</f>
        <v>0.55843697514629731</v>
      </c>
      <c r="H55" s="377">
        <f>'Balance Sheet'!H34/'Balance Sheet'!H$37</f>
        <v>0.53374842402615363</v>
      </c>
      <c r="I55" s="377">
        <f>'Balance Sheet'!I34/'Balance Sheet'!I$37</f>
        <v>0.54654747162786921</v>
      </c>
    </row>
    <row r="56" spans="2:9" ht="14.4" customHeight="1" x14ac:dyDescent="0.3">
      <c r="B56" s="55"/>
      <c r="C56" s="55"/>
      <c r="D56" s="55" t="s">
        <v>238</v>
      </c>
      <c r="E56" s="376">
        <f>'Balance Sheet'!E35/'Balance Sheet'!E$37</f>
        <v>2.3977076808642677E-2</v>
      </c>
      <c r="F56" s="377">
        <f>'Balance Sheet'!F35/'Balance Sheet'!F$37</f>
        <v>1.7945588949865608E-2</v>
      </c>
      <c r="G56" s="377">
        <f>'Balance Sheet'!G35/'Balance Sheet'!G$37</f>
        <v>1.5138031863178157E-2</v>
      </c>
      <c r="H56" s="377">
        <f>'Balance Sheet'!H35/'Balance Sheet'!H$37</f>
        <v>4.9568072561496805E-2</v>
      </c>
      <c r="I56" s="377">
        <f>'Balance Sheet'!I35/'Balance Sheet'!I$37</f>
        <v>4.9629652535391242E-2</v>
      </c>
    </row>
    <row r="57" spans="2:9" ht="14.4" customHeight="1" x14ac:dyDescent="0.3">
      <c r="B57" s="55"/>
      <c r="C57" s="56"/>
      <c r="D57" s="55" t="s">
        <v>239</v>
      </c>
      <c r="E57" s="376">
        <f>'Balance Sheet'!E36/'Balance Sheet'!E$37</f>
        <v>2.0166461953028302E-2</v>
      </c>
      <c r="F57" s="377">
        <f>'Balance Sheet'!F36/'Balance Sheet'!F$37</f>
        <v>3.0476865875857746E-2</v>
      </c>
      <c r="G57" s="377">
        <f>'Balance Sheet'!G36/'Balance Sheet'!G$37</f>
        <v>2.0453958749757892E-2</v>
      </c>
      <c r="H57" s="377">
        <f>'Balance Sheet'!H36/'Balance Sheet'!H$37</f>
        <v>1.950933511420512E-2</v>
      </c>
      <c r="I57" s="377">
        <f>'Balance Sheet'!I36/'Balance Sheet'!I$37</f>
        <v>1.9929281026108709E-2</v>
      </c>
    </row>
    <row r="58" spans="2:9" ht="14.4" customHeight="1" x14ac:dyDescent="0.3">
      <c r="B58" s="55"/>
      <c r="C58" s="55"/>
      <c r="D58" s="199" t="s">
        <v>301</v>
      </c>
      <c r="E58" s="384">
        <f>SUM(E47:E57)</f>
        <v>0.99999999999999978</v>
      </c>
      <c r="F58" s="385">
        <f>SUM(F47:F57)</f>
        <v>0.99999999999999989</v>
      </c>
      <c r="G58" s="385">
        <f>SUM(G47:G57)</f>
        <v>1</v>
      </c>
      <c r="H58" s="385">
        <f>SUM(H47:H57)</f>
        <v>0.99999999999999978</v>
      </c>
      <c r="I58" s="385">
        <f>SUM(I47:I57)</f>
        <v>0.99999999999999978</v>
      </c>
    </row>
    <row r="59" spans="2:9" ht="14.4" customHeight="1" x14ac:dyDescent="0.3">
      <c r="C59" s="1"/>
      <c r="D59" s="1"/>
      <c r="E59" s="1"/>
      <c r="F59" s="1"/>
      <c r="G59" s="1"/>
      <c r="H59" s="1"/>
      <c r="I59" s="1"/>
    </row>
    <row r="60" spans="2:9" ht="14.4" customHeight="1" x14ac:dyDescent="0.3">
      <c r="C60" s="1"/>
      <c r="D60" s="1"/>
      <c r="E60" s="1"/>
      <c r="F60" s="1"/>
      <c r="G60" s="1"/>
      <c r="H60" s="1"/>
      <c r="I60" s="1"/>
    </row>
    <row r="61" spans="2:9" ht="14.4" customHeight="1" x14ac:dyDescent="0.3">
      <c r="C61" s="1"/>
      <c r="D61" s="1"/>
      <c r="E61" s="1"/>
      <c r="F61" s="1"/>
      <c r="G61" s="1"/>
      <c r="H61" s="1"/>
      <c r="I61" s="1"/>
    </row>
    <row r="62" spans="2:9" ht="14.4" customHeight="1" x14ac:dyDescent="0.3">
      <c r="C62" s="1"/>
      <c r="D62" s="1"/>
      <c r="E62" s="1"/>
      <c r="F62" s="1"/>
      <c r="G62" s="1"/>
      <c r="H62" s="1"/>
      <c r="I62" s="1"/>
    </row>
    <row r="63" spans="2:9" ht="14.4" customHeight="1" x14ac:dyDescent="0.3">
      <c r="C63" s="1"/>
      <c r="D63" s="1"/>
      <c r="E63" s="1"/>
      <c r="F63" s="1"/>
      <c r="G63" s="1"/>
      <c r="H63" s="1"/>
      <c r="I63" s="1"/>
    </row>
    <row r="64" spans="2:9" ht="14.4" customHeight="1" x14ac:dyDescent="0.3">
      <c r="C64" s="1"/>
      <c r="D64" s="1"/>
      <c r="E64" s="1"/>
      <c r="F64" s="1"/>
      <c r="G64" s="1"/>
      <c r="H64" s="1"/>
      <c r="I64" s="1"/>
    </row>
    <row r="65" spans="3:9" ht="14.4" customHeight="1" x14ac:dyDescent="0.3">
      <c r="C65" s="1"/>
      <c r="D65" s="1"/>
      <c r="E65" s="1"/>
      <c r="F65" s="1"/>
      <c r="G65" s="1"/>
      <c r="H65" s="1"/>
      <c r="I65" s="1"/>
    </row>
    <row r="66" spans="3:9" ht="14.4" customHeight="1" x14ac:dyDescent="0.3">
      <c r="C66" s="1"/>
      <c r="D66" s="1"/>
      <c r="E66" s="1"/>
      <c r="F66" s="1"/>
      <c r="G66" s="1"/>
      <c r="H66" s="1"/>
      <c r="I66" s="1"/>
    </row>
    <row r="67" spans="3:9" ht="14.4" customHeight="1" x14ac:dyDescent="0.3">
      <c r="C67" s="1"/>
      <c r="D67" s="1"/>
      <c r="E67" s="1"/>
      <c r="F67" s="1"/>
      <c r="G67" s="1"/>
      <c r="H67" s="1"/>
      <c r="I67" s="1"/>
    </row>
    <row r="68" spans="3:9" ht="14.4" customHeight="1" x14ac:dyDescent="0.3">
      <c r="C68" s="1"/>
      <c r="D68" s="1"/>
      <c r="E68" s="1"/>
      <c r="F68" s="1"/>
      <c r="G68" s="1"/>
      <c r="H68" s="1"/>
      <c r="I68" s="1"/>
    </row>
    <row r="69" spans="3:9" ht="14.4" customHeight="1" x14ac:dyDescent="0.3">
      <c r="C69" s="1"/>
      <c r="D69" s="1"/>
      <c r="E69" s="1"/>
      <c r="F69" s="1"/>
      <c r="G69" s="1"/>
      <c r="H69" s="1"/>
      <c r="I69" s="1"/>
    </row>
    <row r="70" spans="3:9" ht="14.4" customHeight="1" x14ac:dyDescent="0.3">
      <c r="C70" s="1"/>
      <c r="D70" s="1"/>
      <c r="E70" s="1"/>
      <c r="F70" s="1"/>
      <c r="G70" s="1"/>
      <c r="H70" s="1"/>
      <c r="I70" s="1"/>
    </row>
    <row r="71" spans="3:9" ht="14.4" customHeight="1" x14ac:dyDescent="0.3">
      <c r="C71" s="1"/>
      <c r="D71" s="1"/>
      <c r="E71" s="1"/>
      <c r="F71" s="1"/>
      <c r="G71" s="1"/>
      <c r="H71" s="1"/>
      <c r="I71" s="1"/>
    </row>
    <row r="72" spans="3:9" ht="14.4" customHeight="1" x14ac:dyDescent="0.3">
      <c r="C72" s="1"/>
      <c r="D72" s="1"/>
      <c r="E72" s="1"/>
      <c r="F72" s="1"/>
      <c r="G72" s="1"/>
      <c r="H72" s="1"/>
      <c r="I72" s="1"/>
    </row>
    <row r="73" spans="3:9" ht="14.4" customHeight="1" x14ac:dyDescent="0.3">
      <c r="C73" s="1"/>
      <c r="D73" s="1"/>
      <c r="E73" s="1"/>
      <c r="F73" s="1"/>
      <c r="G73" s="1"/>
      <c r="H73" s="1"/>
      <c r="I73" s="1"/>
    </row>
    <row r="74" spans="3:9" ht="14.4" customHeight="1" x14ac:dyDescent="0.3">
      <c r="C74" s="1"/>
      <c r="D74" s="1"/>
      <c r="E74" s="1"/>
      <c r="F74" s="1"/>
      <c r="G74" s="1"/>
      <c r="H74" s="1"/>
      <c r="I74" s="1"/>
    </row>
    <row r="75" spans="3:9" ht="14.4" customHeight="1" x14ac:dyDescent="0.3">
      <c r="C75" s="1"/>
      <c r="D75" s="1"/>
      <c r="E75" s="1"/>
      <c r="F75" s="1"/>
      <c r="G75" s="1"/>
      <c r="H75" s="1"/>
      <c r="I75" s="1"/>
    </row>
    <row r="76" spans="3:9" ht="14.4" customHeight="1" x14ac:dyDescent="0.3">
      <c r="C76" s="1"/>
      <c r="D76" s="1"/>
      <c r="E76" s="1"/>
      <c r="F76" s="1"/>
      <c r="G76" s="1"/>
      <c r="H76" s="1"/>
      <c r="I76" s="1"/>
    </row>
    <row r="77" spans="3:9" ht="14.4" customHeight="1" x14ac:dyDescent="0.3">
      <c r="C77" s="1"/>
      <c r="D77" s="1"/>
      <c r="E77" s="1"/>
      <c r="F77" s="1"/>
      <c r="G77" s="1"/>
      <c r="H77" s="1"/>
      <c r="I77" s="1"/>
    </row>
    <row r="78" spans="3:9" ht="14.4" customHeight="1" x14ac:dyDescent="0.3">
      <c r="C78" s="1"/>
      <c r="D78" s="1"/>
      <c r="E78" s="1"/>
      <c r="F78" s="1"/>
      <c r="G78" s="1"/>
      <c r="H78" s="1"/>
      <c r="I78" s="1"/>
    </row>
    <row r="79" spans="3:9" ht="14.4" customHeight="1" x14ac:dyDescent="0.3">
      <c r="C79" s="1"/>
      <c r="D79" s="1"/>
      <c r="E79" s="1"/>
      <c r="F79" s="1"/>
      <c r="G79" s="1"/>
      <c r="H79" s="1"/>
      <c r="I79" s="1"/>
    </row>
    <row r="80" spans="3:9" ht="14.4" customHeight="1" x14ac:dyDescent="0.3">
      <c r="C80" s="1"/>
      <c r="D80" s="1"/>
      <c r="E80" s="1"/>
      <c r="F80" s="1"/>
      <c r="G80" s="1"/>
      <c r="H80" s="1"/>
      <c r="I80" s="1"/>
    </row>
    <row r="81" spans="3:9" ht="14.4" customHeight="1" x14ac:dyDescent="0.3">
      <c r="C81" s="1"/>
      <c r="D81" s="1"/>
      <c r="E81" s="1"/>
      <c r="F81" s="1"/>
      <c r="G81" s="1"/>
      <c r="H81" s="1"/>
      <c r="I81" s="1"/>
    </row>
    <row r="82" spans="3:9" ht="14.4" customHeight="1" x14ac:dyDescent="0.3">
      <c r="C82" s="1"/>
      <c r="D82" s="1"/>
      <c r="E82" s="1"/>
      <c r="F82" s="1"/>
      <c r="G82" s="1"/>
      <c r="H82" s="1"/>
      <c r="I82" s="1"/>
    </row>
    <row r="83" spans="3:9" ht="14.4" customHeight="1" x14ac:dyDescent="0.3">
      <c r="C83" s="1"/>
      <c r="D83" s="1"/>
      <c r="E83" s="1"/>
      <c r="F83" s="1"/>
      <c r="G83" s="1"/>
      <c r="H83" s="1"/>
      <c r="I83" s="1"/>
    </row>
    <row r="84" spans="3:9" ht="14.4" customHeight="1" x14ac:dyDescent="0.3">
      <c r="C84" s="1"/>
      <c r="D84" s="1"/>
      <c r="E84" s="1"/>
      <c r="F84" s="1"/>
      <c r="G84" s="1"/>
      <c r="H84" s="1"/>
      <c r="I84" s="1"/>
    </row>
    <row r="85" spans="3:9" ht="14.4" customHeight="1" x14ac:dyDescent="0.3">
      <c r="C85" s="1"/>
      <c r="D85" s="1"/>
      <c r="E85" s="1"/>
      <c r="F85" s="1"/>
      <c r="G85" s="1"/>
      <c r="H85" s="1"/>
      <c r="I85" s="1"/>
    </row>
    <row r="86" spans="3:9" ht="14.4" customHeight="1" x14ac:dyDescent="0.3">
      <c r="C86" s="1"/>
      <c r="D86" s="1"/>
      <c r="E86" s="1"/>
      <c r="F86" s="1"/>
      <c r="G86" s="1"/>
      <c r="H86" s="1"/>
      <c r="I86" s="1"/>
    </row>
    <row r="87" spans="3:9" ht="14.4" customHeight="1" x14ac:dyDescent="0.3">
      <c r="C87" s="1"/>
      <c r="D87" s="1"/>
      <c r="E87" s="1"/>
      <c r="F87" s="1"/>
      <c r="G87" s="1"/>
      <c r="H87" s="1"/>
      <c r="I87" s="1"/>
    </row>
    <row r="88" spans="3:9" ht="14.4" customHeight="1" x14ac:dyDescent="0.3">
      <c r="C88" s="1"/>
      <c r="D88" s="1"/>
      <c r="E88" s="1"/>
      <c r="F88" s="1"/>
      <c r="G88" s="1"/>
      <c r="H88" s="1"/>
      <c r="I88" s="1"/>
    </row>
    <row r="89" spans="3:9" ht="14.4" customHeight="1" x14ac:dyDescent="0.3">
      <c r="C89" s="1"/>
      <c r="D89" s="1"/>
      <c r="E89" s="1"/>
      <c r="F89" s="1"/>
      <c r="G89" s="1"/>
      <c r="H89" s="1"/>
      <c r="I89" s="1"/>
    </row>
    <row r="90" spans="3:9" ht="14.4" customHeight="1" x14ac:dyDescent="0.3">
      <c r="C90" s="1"/>
      <c r="D90" s="1"/>
      <c r="E90" s="1"/>
      <c r="F90" s="1"/>
      <c r="G90" s="1"/>
      <c r="H90" s="1"/>
      <c r="I90" s="1"/>
    </row>
    <row r="91" spans="3:9" ht="14.4" customHeight="1" x14ac:dyDescent="0.3">
      <c r="C91" s="1"/>
      <c r="D91" s="1"/>
      <c r="E91" s="1"/>
      <c r="F91" s="1"/>
      <c r="G91" s="1"/>
      <c r="H91" s="1"/>
      <c r="I91" s="1"/>
    </row>
    <row r="92" spans="3:9" ht="14.4" customHeight="1" x14ac:dyDescent="0.3">
      <c r="C92" s="1"/>
      <c r="D92" s="1"/>
      <c r="E92" s="1"/>
      <c r="F92" s="1"/>
      <c r="G92" s="1"/>
      <c r="H92" s="1"/>
      <c r="I92" s="1"/>
    </row>
    <row r="93" spans="3:9" ht="14.4" customHeight="1" x14ac:dyDescent="0.3">
      <c r="C93" s="1"/>
      <c r="D93" s="1"/>
      <c r="E93" s="1"/>
      <c r="F93" s="1"/>
      <c r="G93" s="1"/>
      <c r="H93" s="1"/>
      <c r="I93" s="1"/>
    </row>
    <row r="94" spans="3:9" ht="14.4" customHeight="1" x14ac:dyDescent="0.3">
      <c r="C94" s="1"/>
      <c r="D94" s="1"/>
      <c r="E94" s="1"/>
      <c r="F94" s="1"/>
      <c r="G94" s="1"/>
      <c r="H94" s="1"/>
      <c r="I94" s="1"/>
    </row>
    <row r="95" spans="3:9" ht="14.4" customHeight="1" x14ac:dyDescent="0.3">
      <c r="C95" s="1"/>
      <c r="D95" s="1"/>
      <c r="E95" s="1"/>
      <c r="F95" s="1"/>
      <c r="G95" s="1"/>
      <c r="H95" s="1"/>
      <c r="I95" s="1"/>
    </row>
    <row r="96" spans="3:9" ht="14.4" customHeight="1" x14ac:dyDescent="0.3">
      <c r="C96" s="1"/>
      <c r="D96" s="1"/>
      <c r="E96" s="1"/>
      <c r="F96" s="1"/>
      <c r="G96" s="1"/>
      <c r="H96" s="1"/>
      <c r="I96" s="1"/>
    </row>
  </sheetData>
  <mergeCells count="2">
    <mergeCell ref="D6:I6"/>
    <mergeCell ref="D29:I2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860A0-380C-43F2-A8AE-8F5691FF1A83}">
  <dimension ref="B5:S62"/>
  <sheetViews>
    <sheetView showGridLines="0" topLeftCell="A16" workbookViewId="0">
      <selection activeCell="J26" sqref="J26"/>
    </sheetView>
  </sheetViews>
  <sheetFormatPr defaultRowHeight="13.8" x14ac:dyDescent="0.25"/>
  <cols>
    <col min="1" max="3" width="1.33203125" style="1" customWidth="1"/>
    <col min="4" max="4" width="35.77734375" style="1" customWidth="1"/>
    <col min="5" max="19" width="10.77734375" style="1" customWidth="1"/>
    <col min="20" max="16384" width="8.88671875" style="1"/>
  </cols>
  <sheetData>
    <row r="5" spans="2:19" ht="14.4" x14ac:dyDescent="0.3">
      <c r="J5"/>
      <c r="R5" s="66" t="s">
        <v>64</v>
      </c>
    </row>
    <row r="6" spans="2:19" ht="16.8" x14ac:dyDescent="0.25">
      <c r="D6" s="425" t="s">
        <v>43</v>
      </c>
      <c r="E6" s="425"/>
      <c r="F6" s="425"/>
      <c r="G6" s="425"/>
      <c r="H6" s="425"/>
      <c r="I6" s="425"/>
      <c r="J6" s="425"/>
      <c r="K6" s="425"/>
      <c r="L6" s="425"/>
      <c r="M6" s="425"/>
      <c r="N6" s="425"/>
      <c r="O6" s="425"/>
      <c r="P6" s="425"/>
      <c r="Q6" s="425"/>
      <c r="R6" s="425"/>
      <c r="S6" s="425"/>
    </row>
    <row r="7" spans="2:19" x14ac:dyDescent="0.25">
      <c r="E7" s="17">
        <v>2020</v>
      </c>
      <c r="F7" s="3">
        <f t="shared" ref="F7:S7" si="0">E7+1</f>
        <v>2021</v>
      </c>
      <c r="G7" s="3">
        <f t="shared" si="0"/>
        <v>2022</v>
      </c>
      <c r="H7" s="3">
        <f t="shared" si="0"/>
        <v>2023</v>
      </c>
      <c r="I7" s="3">
        <f t="shared" si="0"/>
        <v>2024</v>
      </c>
      <c r="J7" s="3">
        <f t="shared" si="0"/>
        <v>2025</v>
      </c>
      <c r="K7" s="3">
        <f t="shared" si="0"/>
        <v>2026</v>
      </c>
      <c r="L7" s="3">
        <f t="shared" si="0"/>
        <v>2027</v>
      </c>
      <c r="M7" s="3">
        <f t="shared" si="0"/>
        <v>2028</v>
      </c>
      <c r="N7" s="3">
        <f t="shared" si="0"/>
        <v>2029</v>
      </c>
      <c r="O7" s="3">
        <f t="shared" si="0"/>
        <v>2030</v>
      </c>
      <c r="P7" s="3">
        <f t="shared" si="0"/>
        <v>2031</v>
      </c>
      <c r="Q7" s="3">
        <f t="shared" si="0"/>
        <v>2032</v>
      </c>
      <c r="R7" s="3">
        <f t="shared" si="0"/>
        <v>2033</v>
      </c>
      <c r="S7" s="3">
        <f t="shared" si="0"/>
        <v>2034</v>
      </c>
    </row>
    <row r="8" spans="2:19" x14ac:dyDescent="0.25">
      <c r="D8" s="5" t="s">
        <v>0</v>
      </c>
      <c r="E8" s="18" t="s">
        <v>8</v>
      </c>
      <c r="F8" s="7" t="s">
        <v>8</v>
      </c>
      <c r="G8" s="7" t="s">
        <v>8</v>
      </c>
      <c r="H8" s="7" t="s">
        <v>8</v>
      </c>
      <c r="I8" s="7" t="s">
        <v>8</v>
      </c>
      <c r="J8" s="54" t="s">
        <v>9</v>
      </c>
      <c r="K8" s="54" t="s">
        <v>9</v>
      </c>
      <c r="L8" s="54" t="s">
        <v>9</v>
      </c>
      <c r="M8" s="54" t="s">
        <v>9</v>
      </c>
      <c r="N8" s="54" t="s">
        <v>9</v>
      </c>
      <c r="O8" s="54" t="s">
        <v>9</v>
      </c>
      <c r="P8" s="54" t="s">
        <v>9</v>
      </c>
      <c r="Q8" s="54" t="s">
        <v>9</v>
      </c>
      <c r="R8" s="54" t="s">
        <v>9</v>
      </c>
      <c r="S8" s="54" t="s">
        <v>9</v>
      </c>
    </row>
    <row r="9" spans="2:19" x14ac:dyDescent="0.25">
      <c r="B9" s="3" t="s">
        <v>1</v>
      </c>
      <c r="E9" s="77"/>
      <c r="J9" s="26"/>
      <c r="K9" s="26"/>
      <c r="L9" s="26"/>
      <c r="M9" s="26"/>
      <c r="N9" s="26"/>
      <c r="O9" s="26"/>
      <c r="P9" s="26"/>
      <c r="Q9" s="26"/>
      <c r="R9" s="26"/>
      <c r="S9" s="26"/>
    </row>
    <row r="10" spans="2:19" x14ac:dyDescent="0.25">
      <c r="C10" s="3" t="s">
        <v>3</v>
      </c>
      <c r="E10" s="19"/>
      <c r="J10" s="26"/>
      <c r="K10" s="26"/>
      <c r="L10" s="26"/>
      <c r="M10" s="26"/>
      <c r="N10" s="26"/>
      <c r="O10" s="26"/>
      <c r="P10" s="26"/>
      <c r="Q10" s="26"/>
      <c r="R10" s="26"/>
      <c r="S10" s="26"/>
    </row>
    <row r="11" spans="2:19" x14ac:dyDescent="0.25">
      <c r="C11" s="3"/>
      <c r="D11" s="1" t="s">
        <v>201</v>
      </c>
      <c r="E11" s="277">
        <f>'Balance Sheet'!E12</f>
        <v>9488.4014999999999</v>
      </c>
      <c r="F11" s="11">
        <f>'Balance Sheet'!F12</f>
        <v>7208.5155000000004</v>
      </c>
      <c r="G11" s="11">
        <f>'Balance Sheet'!G12</f>
        <v>6139.2384000000002</v>
      </c>
      <c r="H11" s="11">
        <f>'Balance Sheet'!H12</f>
        <v>6225.4008000000003</v>
      </c>
      <c r="I11" s="11">
        <f>'Balance Sheet'!I12</f>
        <v>7312.4645</v>
      </c>
      <c r="J11" s="38">
        <f>J52-SUM(J12,J13,J15,J20,J22,J25,'Working Sheet'!J12)</f>
        <v>25868.173833928799</v>
      </c>
      <c r="K11" s="38">
        <f>K52-SUM(K12,K13,K15,K20,K22,K25,'Working Sheet'!K12)</f>
        <v>27119.134973632492</v>
      </c>
      <c r="L11" s="38">
        <f>L52-SUM(L12,L13,L15,L20,L22,L25,'Working Sheet'!L12)</f>
        <v>28381.262608591293</v>
      </c>
      <c r="M11" s="38">
        <f>M52-SUM(M12,M13,M15,M20,M22,M25,'Working Sheet'!M12)</f>
        <v>29598.298663186404</v>
      </c>
      <c r="N11" s="38">
        <f>N52-SUM(N12,N13,N15,N20,N22,N25,'Working Sheet'!N12)</f>
        <v>30741.739578099514</v>
      </c>
      <c r="O11" s="38">
        <f>O52-SUM(O12,O13,O15,O20,O22,O25,'Working Sheet'!O12)</f>
        <v>31758.47625954973</v>
      </c>
      <c r="P11" s="38">
        <f>P52-SUM(P12,P13,P15,P20,P22,P25,'Working Sheet'!P12)</f>
        <v>32626.50364519516</v>
      </c>
      <c r="Q11" s="38">
        <f>Q52-SUM(Q12,Q13,Q15,Q20,Q22,Q25,'Working Sheet'!Q12)</f>
        <v>33298.476598531473</v>
      </c>
      <c r="R11" s="38">
        <f>R52-SUM(R12,R13,R15,R20,R22,R25,'Working Sheet'!R12)</f>
        <v>33759.886890274589</v>
      </c>
      <c r="S11" s="38">
        <f>S52-SUM(S12,S13,S15,S20,S22,S25,'Working Sheet'!S12)</f>
        <v>33969.534518483502</v>
      </c>
    </row>
    <row r="12" spans="2:19" x14ac:dyDescent="0.25">
      <c r="C12" s="3"/>
      <c r="D12" s="1" t="s">
        <v>234</v>
      </c>
      <c r="E12" s="277">
        <f>'Balance Sheet'!E13</f>
        <v>89.852900000000005</v>
      </c>
      <c r="F12" s="11">
        <f>'Balance Sheet'!F13</f>
        <v>1130.9329</v>
      </c>
      <c r="G12" s="11">
        <f>'Balance Sheet'!G13</f>
        <v>148.98580000000001</v>
      </c>
      <c r="H12" s="11">
        <f>'Balance Sheet'!H13</f>
        <v>71.320800000000006</v>
      </c>
      <c r="I12" s="11">
        <f>'Balance Sheet'!I13</f>
        <v>70.547399999999996</v>
      </c>
      <c r="J12" s="38">
        <f t="shared" ref="J12:S12" si="1">I12</f>
        <v>70.547399999999996</v>
      </c>
      <c r="K12" s="38">
        <f t="shared" si="1"/>
        <v>70.547399999999996</v>
      </c>
      <c r="L12" s="38">
        <f t="shared" si="1"/>
        <v>70.547399999999996</v>
      </c>
      <c r="M12" s="38">
        <f t="shared" si="1"/>
        <v>70.547399999999996</v>
      </c>
      <c r="N12" s="38">
        <f t="shared" si="1"/>
        <v>70.547399999999996</v>
      </c>
      <c r="O12" s="38">
        <f t="shared" si="1"/>
        <v>70.547399999999996</v>
      </c>
      <c r="P12" s="38">
        <f t="shared" si="1"/>
        <v>70.547399999999996</v>
      </c>
      <c r="Q12" s="38">
        <f t="shared" si="1"/>
        <v>70.547399999999996</v>
      </c>
      <c r="R12" s="38">
        <f t="shared" si="1"/>
        <v>70.547399999999996</v>
      </c>
      <c r="S12" s="38">
        <f t="shared" si="1"/>
        <v>70.547399999999996</v>
      </c>
    </row>
    <row r="13" spans="2:19" x14ac:dyDescent="0.25">
      <c r="D13" s="1" t="s">
        <v>203</v>
      </c>
      <c r="E13" s="277">
        <f>'Balance Sheet'!E14</f>
        <v>41.715699999999998</v>
      </c>
      <c r="F13" s="11">
        <f>'Balance Sheet'!F14</f>
        <v>2012.6351</v>
      </c>
      <c r="G13" s="11">
        <f>'Balance Sheet'!G14</f>
        <v>42429.859700000001</v>
      </c>
      <c r="H13" s="11">
        <f>'Balance Sheet'!H14</f>
        <v>408.16719999999998</v>
      </c>
      <c r="I13" s="11">
        <f>'Balance Sheet'!I14</f>
        <v>984.22699999999998</v>
      </c>
      <c r="J13" s="38">
        <f>'Income Statement'!J10*J14</f>
        <v>1161.5573018351829</v>
      </c>
      <c r="K13" s="38">
        <f>'Income Statement'!K10*K14</f>
        <v>1350.9271018648712</v>
      </c>
      <c r="L13" s="38">
        <f>'Income Statement'!L10*L14</f>
        <v>1549.1516901782322</v>
      </c>
      <c r="M13" s="38">
        <f>'Income Statement'!M10*M14</f>
        <v>1753.0921125536545</v>
      </c>
      <c r="N13" s="38">
        <f>'Income Statement'!N10*N14</f>
        <v>1959.744525337612</v>
      </c>
      <c r="O13" s="38">
        <f>'Income Statement'!O10*O14</f>
        <v>2166.3275714528882</v>
      </c>
      <c r="P13" s="38">
        <f>'Income Statement'!P10*P14</f>
        <v>2370.3527472016676</v>
      </c>
      <c r="Q13" s="38">
        <f>'Income Statement'!Q10*Q14</f>
        <v>2569.6716463094276</v>
      </c>
      <c r="R13" s="38">
        <f>'Income Statement'!R10*R14</f>
        <v>2762.4994198467502</v>
      </c>
      <c r="S13" s="38">
        <f>'Income Statement'!S10*S14</f>
        <v>2947.4169807445837</v>
      </c>
    </row>
    <row r="14" spans="2:19" ht="14.4" x14ac:dyDescent="0.3">
      <c r="D14" s="170" t="s">
        <v>302</v>
      </c>
      <c r="E14" s="374">
        <f>E13/'Income Statement'!E10</f>
        <v>5.260806191179572E-3</v>
      </c>
      <c r="F14" s="169">
        <f>F13/'Income Statement'!F10</f>
        <v>0.28859475660605699</v>
      </c>
      <c r="G14" s="169">
        <f>G13/'Income Statement'!G10</f>
        <v>5.9795651946834774</v>
      </c>
      <c r="H14" s="169">
        <f>H13/'Income Statement'!H10</f>
        <v>5.1067298470708018E-2</v>
      </c>
      <c r="I14" s="169">
        <f>I13/'Income Statement'!I10</f>
        <v>0.10152975833774536</v>
      </c>
      <c r="J14" s="200">
        <f>I14</f>
        <v>0.10152975833774536</v>
      </c>
      <c r="K14" s="200">
        <f t="shared" ref="K14:S14" si="2">J14</f>
        <v>0.10152975833774536</v>
      </c>
      <c r="L14" s="200">
        <f t="shared" si="2"/>
        <v>0.10152975833774536</v>
      </c>
      <c r="M14" s="200">
        <f t="shared" si="2"/>
        <v>0.10152975833774536</v>
      </c>
      <c r="N14" s="200">
        <f t="shared" si="2"/>
        <v>0.10152975833774536</v>
      </c>
      <c r="O14" s="200">
        <f t="shared" si="2"/>
        <v>0.10152975833774536</v>
      </c>
      <c r="P14" s="200">
        <f t="shared" si="2"/>
        <v>0.10152975833774536</v>
      </c>
      <c r="Q14" s="200">
        <f t="shared" si="2"/>
        <v>0.10152975833774536</v>
      </c>
      <c r="R14" s="200">
        <f t="shared" si="2"/>
        <v>0.10152975833774536</v>
      </c>
      <c r="S14" s="200">
        <f t="shared" si="2"/>
        <v>0.10152975833774536</v>
      </c>
    </row>
    <row r="15" spans="2:19" x14ac:dyDescent="0.25">
      <c r="D15" s="1" t="s">
        <v>229</v>
      </c>
      <c r="E15" s="277">
        <f>'Balance Sheet'!E15</f>
        <v>17523.572459999999</v>
      </c>
      <c r="F15" s="11">
        <f>'Balance Sheet'!F15</f>
        <v>18282.51066</v>
      </c>
      <c r="G15" s="11">
        <f>'Balance Sheet'!G15</f>
        <v>19087.968629999999</v>
      </c>
      <c r="H15" s="11">
        <f>'Balance Sheet'!H15</f>
        <v>23045.828669999999</v>
      </c>
      <c r="I15" s="11">
        <f>'Balance Sheet'!I15</f>
        <v>24820.91286</v>
      </c>
      <c r="J15" s="38">
        <f>'Income Statement'!J10*'BS Items'!J16</f>
        <v>29666.058782819124</v>
      </c>
      <c r="K15" s="37">
        <f>'Income Statement'!K10*'BS Items'!K16</f>
        <v>34502.544774939874</v>
      </c>
      <c r="L15" s="37">
        <f>'Income Statement'!L10*'BS Items'!L16</f>
        <v>39565.181185397989</v>
      </c>
      <c r="M15" s="37">
        <f>'Income Statement'!M10*'BS Items'!M16</f>
        <v>44773.799433351385</v>
      </c>
      <c r="N15" s="37">
        <f>'Income Statement'!N10*'BS Items'!N16</f>
        <v>50051.681648524413</v>
      </c>
      <c r="O15" s="37">
        <f>'Income Statement'!O10*'BS Items'!O16</f>
        <v>55327.79224582942</v>
      </c>
      <c r="P15" s="37">
        <f>'Income Statement'!P10*'BS Items'!P16</f>
        <v>60538.575086568788</v>
      </c>
      <c r="Q15" s="37">
        <f>'Income Statement'!Q10*'BS Items'!Q16</f>
        <v>65629.160086650532</v>
      </c>
      <c r="R15" s="37">
        <f>'Income Statement'!R10*'BS Items'!R16</f>
        <v>70553.962380674624</v>
      </c>
      <c r="S15" s="37">
        <f>'Income Statement'!S10*'BS Items'!S16</f>
        <v>75276.738625035097</v>
      </c>
    </row>
    <row r="16" spans="2:19" ht="14.4" x14ac:dyDescent="0.3">
      <c r="D16" s="170" t="s">
        <v>302</v>
      </c>
      <c r="E16" s="374">
        <f>E15/'Income Statement'!E10</f>
        <v>2.2099142166894441</v>
      </c>
      <c r="F16" s="169">
        <f>F15/'Income Statement'!F10</f>
        <v>2.6215565425000995</v>
      </c>
      <c r="G16" s="169">
        <f>G15/'Income Statement'!G10</f>
        <v>2.6900337089061375</v>
      </c>
      <c r="H16" s="169">
        <f>H15/'Income Statement'!H10</f>
        <v>2.8833483219516167</v>
      </c>
      <c r="I16" s="169">
        <f>I15/'Income Statement'!I10</f>
        <v>2.5604472183734401</v>
      </c>
      <c r="J16" s="200">
        <f>AVERAGE(E16:I16)</f>
        <v>2.5930600016841479</v>
      </c>
      <c r="K16" s="200">
        <f t="shared" ref="K16:S16" si="3">J16</f>
        <v>2.5930600016841479</v>
      </c>
      <c r="L16" s="200">
        <f t="shared" si="3"/>
        <v>2.5930600016841479</v>
      </c>
      <c r="M16" s="200">
        <f t="shared" si="3"/>
        <v>2.5930600016841479</v>
      </c>
      <c r="N16" s="200">
        <f t="shared" si="3"/>
        <v>2.5930600016841479</v>
      </c>
      <c r="O16" s="200">
        <f t="shared" si="3"/>
        <v>2.5930600016841479</v>
      </c>
      <c r="P16" s="200">
        <f t="shared" si="3"/>
        <v>2.5930600016841479</v>
      </c>
      <c r="Q16" s="200">
        <f t="shared" si="3"/>
        <v>2.5930600016841479</v>
      </c>
      <c r="R16" s="200">
        <f t="shared" si="3"/>
        <v>2.5930600016841479</v>
      </c>
      <c r="S16" s="200">
        <f t="shared" si="3"/>
        <v>2.5930600016841479</v>
      </c>
    </row>
    <row r="17" spans="2:19" x14ac:dyDescent="0.25">
      <c r="E17" s="19"/>
      <c r="J17" s="26"/>
      <c r="K17" s="26"/>
      <c r="L17" s="26"/>
      <c r="M17" s="26"/>
      <c r="N17" s="26"/>
      <c r="O17" s="26"/>
      <c r="P17" s="26"/>
      <c r="Q17" s="26"/>
      <c r="R17" s="26"/>
      <c r="S17" s="26"/>
    </row>
    <row r="18" spans="2:19" x14ac:dyDescent="0.25">
      <c r="C18" s="3" t="s">
        <v>230</v>
      </c>
      <c r="E18" s="19"/>
      <c r="J18" s="26"/>
      <c r="K18" s="26"/>
      <c r="L18" s="26"/>
      <c r="M18" s="26"/>
      <c r="N18" s="26"/>
      <c r="O18" s="26"/>
      <c r="P18" s="26"/>
      <c r="Q18" s="26"/>
      <c r="R18" s="26"/>
      <c r="S18" s="26"/>
    </row>
    <row r="19" spans="2:19" x14ac:dyDescent="0.25">
      <c r="E19" s="19"/>
      <c r="J19" s="26"/>
      <c r="K19" s="26"/>
      <c r="L19" s="26"/>
      <c r="M19" s="26"/>
      <c r="N19" s="26"/>
      <c r="O19" s="26"/>
      <c r="P19" s="26"/>
      <c r="Q19" s="26"/>
      <c r="R19" s="26"/>
      <c r="S19" s="26"/>
    </row>
    <row r="20" spans="2:19" x14ac:dyDescent="0.25">
      <c r="D20" s="1" t="s">
        <v>229</v>
      </c>
      <c r="E20" s="277">
        <f>'Balance Sheet'!E19</f>
        <v>40888.33574000001</v>
      </c>
      <c r="F20" s="11">
        <f>'Balance Sheet'!F19</f>
        <v>42659.19154</v>
      </c>
      <c r="G20" s="11">
        <f>'Balance Sheet'!G19</f>
        <v>44538.593469999993</v>
      </c>
      <c r="H20" s="11">
        <f>'Balance Sheet'!H19</f>
        <v>53773.600229999996</v>
      </c>
      <c r="I20" s="11">
        <f>'Balance Sheet'!I19</f>
        <v>57915.463340000002</v>
      </c>
      <c r="J20" s="38">
        <f>'Income Statement'!J10*'BS Items'!J21</f>
        <v>69220.803826577947</v>
      </c>
      <c r="K20" s="38">
        <f>'Income Statement'!K10*'BS Items'!K21</f>
        <v>80505.937808193019</v>
      </c>
      <c r="L20" s="38">
        <f>'Income Statement'!L10*'BS Items'!L21</f>
        <v>92318.756099261955</v>
      </c>
      <c r="M20" s="38">
        <f>'Income Statement'!M10*'BS Items'!M21</f>
        <v>104472.19867781988</v>
      </c>
      <c r="N20" s="38">
        <f>'Income Statement'!N10*'BS Items'!N21</f>
        <v>116787.25717989028</v>
      </c>
      <c r="O20" s="38">
        <f>'Income Statement'!O10*'BS Items'!O21</f>
        <v>129098.18190693529</v>
      </c>
      <c r="P20" s="38">
        <f>'Income Statement'!P10*'BS Items'!P21</f>
        <v>141256.67520199381</v>
      </c>
      <c r="Q20" s="38">
        <f>'Income Statement'!Q10*'BS Items'!Q21</f>
        <v>153134.70686885121</v>
      </c>
      <c r="R20" s="38">
        <f>'Income Statement'!R10*'BS Items'!R21</f>
        <v>164625.91222157408</v>
      </c>
      <c r="S20" s="38">
        <f>'Income Statement'!S10*'BS Items'!S21</f>
        <v>175645.72345841522</v>
      </c>
    </row>
    <row r="21" spans="2:19" ht="14.4" x14ac:dyDescent="0.3">
      <c r="D21" s="170" t="s">
        <v>302</v>
      </c>
      <c r="E21" s="374">
        <f>E20/'Income Statement'!E10</f>
        <v>5.1564665056087042</v>
      </c>
      <c r="F21" s="169">
        <f>F20/'Income Statement'!F10</f>
        <v>6.1169652658335654</v>
      </c>
      <c r="G21" s="169">
        <f>G20/'Income Statement'!G10</f>
        <v>6.2767453207809858</v>
      </c>
      <c r="H21" s="169">
        <f>H20/'Income Statement'!H10</f>
        <v>6.7278127512204389</v>
      </c>
      <c r="I21" s="169">
        <f>I20/'Income Statement'!I10</f>
        <v>5.9743768428713606</v>
      </c>
      <c r="J21" s="200">
        <f>AVERAGE(E21:I21)</f>
        <v>6.0504733372630106</v>
      </c>
      <c r="K21" s="200">
        <f t="shared" ref="K21:S23" si="4">J21</f>
        <v>6.0504733372630106</v>
      </c>
      <c r="L21" s="200">
        <f t="shared" si="4"/>
        <v>6.0504733372630106</v>
      </c>
      <c r="M21" s="200">
        <f t="shared" si="4"/>
        <v>6.0504733372630106</v>
      </c>
      <c r="N21" s="200">
        <f t="shared" si="4"/>
        <v>6.0504733372630106</v>
      </c>
      <c r="O21" s="200">
        <f t="shared" si="4"/>
        <v>6.0504733372630106</v>
      </c>
      <c r="P21" s="200">
        <f t="shared" si="4"/>
        <v>6.0504733372630106</v>
      </c>
      <c r="Q21" s="200">
        <f t="shared" si="4"/>
        <v>6.0504733372630106</v>
      </c>
      <c r="R21" s="200">
        <f t="shared" si="4"/>
        <v>6.0504733372630106</v>
      </c>
      <c r="S21" s="200">
        <f t="shared" si="4"/>
        <v>6.0504733372630106</v>
      </c>
    </row>
    <row r="22" spans="2:19" x14ac:dyDescent="0.25">
      <c r="D22" s="1" t="s">
        <v>203</v>
      </c>
      <c r="E22" s="277">
        <f>'Balance Sheet'!E18</f>
        <v>24510.380099999998</v>
      </c>
      <c r="F22" s="11">
        <f>'Balance Sheet'!F18</f>
        <v>30010.138299999999</v>
      </c>
      <c r="G22" s="11">
        <f>'Balance Sheet'!G18</f>
        <v>-148.98580000000001</v>
      </c>
      <c r="H22" s="11">
        <f>'Balance Sheet'!H18</f>
        <v>44430.252099999998</v>
      </c>
      <c r="I22" s="11">
        <f>'Balance Sheet'!I18</f>
        <v>48614.929900000003</v>
      </c>
      <c r="J22" s="38">
        <f>'Income Statement'!J10*'BS Items'!J23</f>
        <v>41064.802769011483</v>
      </c>
      <c r="K22" s="38">
        <f>'Income Statement'!K10*'BS Items'!K23</f>
        <v>47759.636916530544</v>
      </c>
      <c r="L22" s="38">
        <f>'Income Statement'!L10*'BS Items'!L23</f>
        <v>54767.516433275799</v>
      </c>
      <c r="M22" s="38">
        <f>'Income Statement'!M10*'BS Items'!M23</f>
        <v>61977.469147828953</v>
      </c>
      <c r="N22" s="38">
        <f>'Income Statement'!N10*'BS Items'!N23</f>
        <v>69283.299483797775</v>
      </c>
      <c r="O22" s="38">
        <f>'Income Statement'!O10*'BS Items'!O23</f>
        <v>76586.677483955311</v>
      </c>
      <c r="P22" s="38">
        <f>'Income Statement'!P10*'BS Items'!P23</f>
        <v>83799.626504033295</v>
      </c>
      <c r="Q22" s="38">
        <f>'Income Statement'!Q10*'BS Items'!Q23</f>
        <v>90846.193442285017</v>
      </c>
      <c r="R22" s="38">
        <f>'Income Statement'!R10*'BS Items'!R23</f>
        <v>97663.278123503202</v>
      </c>
      <c r="S22" s="38">
        <f>'Income Statement'!S10*'BS Items'!S23</f>
        <v>104200.71123575588</v>
      </c>
    </row>
    <row r="23" spans="2:19" ht="14.4" x14ac:dyDescent="0.3">
      <c r="D23" s="170" t="s">
        <v>302</v>
      </c>
      <c r="E23" s="374">
        <f>E22/'Income Statement'!E10</f>
        <v>3.0910271043814337</v>
      </c>
      <c r="F23" s="169">
        <f>F22/'Income Statement'!F10</f>
        <v>4.3031986068426455</v>
      </c>
      <c r="G23" s="169">
        <f>G22/'Income Statement'!G10</f>
        <v>-2.0996305679089333E-2</v>
      </c>
      <c r="H23" s="169">
        <f>H22/'Income Statement'!H10</f>
        <v>5.5588321284010611</v>
      </c>
      <c r="I23" s="169">
        <f>I22/'Income Statement'!I10</f>
        <v>5.0149630972869383</v>
      </c>
      <c r="J23" s="201">
        <f>AVERAGE(E23:I23)</f>
        <v>3.5894049262465977</v>
      </c>
      <c r="K23" s="201">
        <f t="shared" si="4"/>
        <v>3.5894049262465977</v>
      </c>
      <c r="L23" s="201">
        <f t="shared" si="4"/>
        <v>3.5894049262465977</v>
      </c>
      <c r="M23" s="201">
        <f t="shared" si="4"/>
        <v>3.5894049262465977</v>
      </c>
      <c r="N23" s="201">
        <f t="shared" si="4"/>
        <v>3.5894049262465977</v>
      </c>
      <c r="O23" s="201">
        <f t="shared" si="4"/>
        <v>3.5894049262465977</v>
      </c>
      <c r="P23" s="201">
        <f t="shared" si="4"/>
        <v>3.5894049262465977</v>
      </c>
      <c r="Q23" s="201">
        <f t="shared" si="4"/>
        <v>3.5894049262465977</v>
      </c>
      <c r="R23" s="201">
        <f t="shared" si="4"/>
        <v>3.5894049262465977</v>
      </c>
      <c r="S23" s="201">
        <f t="shared" si="4"/>
        <v>3.5894049262465977</v>
      </c>
    </row>
    <row r="24" spans="2:19" x14ac:dyDescent="0.25">
      <c r="E24" s="44"/>
      <c r="F24" s="27"/>
      <c r="G24" s="27"/>
      <c r="H24" s="27"/>
      <c r="I24" s="27"/>
      <c r="J24" s="419"/>
      <c r="K24" s="419"/>
      <c r="L24" s="419"/>
      <c r="M24" s="419"/>
      <c r="N24" s="419"/>
      <c r="O24" s="419"/>
      <c r="P24" s="419"/>
      <c r="Q24" s="419"/>
      <c r="R24" s="419"/>
      <c r="S24" s="419"/>
    </row>
    <row r="25" spans="2:19" x14ac:dyDescent="0.25">
      <c r="D25" s="11" t="s">
        <v>232</v>
      </c>
      <c r="E25" s="277">
        <f>'BS Inputs'!E33</f>
        <v>6720.7213000000002</v>
      </c>
      <c r="F25" s="11">
        <f>'BS Inputs'!F33</f>
        <v>7593.0493999999999</v>
      </c>
      <c r="G25" s="11">
        <f>'BS Inputs'!G33</f>
        <v>7294.4426999999996</v>
      </c>
      <c r="H25" s="11">
        <f>'BS Inputs'!H33</f>
        <v>6980.5244000000002</v>
      </c>
      <c r="I25" s="11">
        <f>'BS Inputs'!I33</f>
        <v>6182.1984000000002</v>
      </c>
      <c r="J25" s="38">
        <f>'Income Statement'!J$10*'BS Items'!J26</f>
        <v>7296.058422410465</v>
      </c>
      <c r="K25" s="38">
        <f>'Income Statement'!K$10*'BS Items'!K26</f>
        <v>8485.541818773152</v>
      </c>
      <c r="L25" s="38">
        <f>'Income Statement'!L$10*'BS Items'!L26</f>
        <v>9730.6445569743191</v>
      </c>
      <c r="M25" s="38">
        <f>'Income Statement'!M$10*'BS Items'!M26</f>
        <v>11011.650008871757</v>
      </c>
      <c r="N25" s="38">
        <f>'Income Statement'!N$10*'BS Items'!N26</f>
        <v>12309.690212675474</v>
      </c>
      <c r="O25" s="38">
        <f>'Income Statement'!O$10*'BS Items'!O26</f>
        <v>13607.294705501812</v>
      </c>
      <c r="P25" s="38">
        <f>'Income Statement'!P$10*'BS Items'!P26</f>
        <v>14888.832516468003</v>
      </c>
      <c r="Q25" s="38">
        <f>'Income Statement'!Q$10*'BS Items'!Q26</f>
        <v>16140.80891942561</v>
      </c>
      <c r="R25" s="38">
        <f>'Income Statement'!R$10*'BS Items'!R26</f>
        <v>17352.012791132031</v>
      </c>
      <c r="S25" s="38">
        <f>'Income Statement'!S$10*'BS Items'!S26</f>
        <v>18513.530458412537</v>
      </c>
    </row>
    <row r="26" spans="2:19" ht="14.4" x14ac:dyDescent="0.3">
      <c r="D26" s="170" t="s">
        <v>302</v>
      </c>
      <c r="E26" s="374">
        <f>E25/'Income Statement'!E$10</f>
        <v>0.84755648890543422</v>
      </c>
      <c r="F26" s="169">
        <f>F25/'Income Statement'!F$10</f>
        <v>1.0887787078197966</v>
      </c>
      <c r="G26" s="169">
        <f>G25/'Income Statement'!G$10</f>
        <v>1.0279929274320216</v>
      </c>
      <c r="H26" s="169">
        <f>H25/'Income Statement'!H$10</f>
        <v>0.87335906220994741</v>
      </c>
      <c r="I26" s="169">
        <f>I25/'Income Statement'!I$10</f>
        <v>0.63773612139069136</v>
      </c>
      <c r="J26" s="201">
        <f t="shared" ref="J26:S26" si="5">I26</f>
        <v>0.63773612139069136</v>
      </c>
      <c r="K26" s="201">
        <f t="shared" si="5"/>
        <v>0.63773612139069136</v>
      </c>
      <c r="L26" s="201">
        <f t="shared" si="5"/>
        <v>0.63773612139069136</v>
      </c>
      <c r="M26" s="201">
        <f t="shared" si="5"/>
        <v>0.63773612139069136</v>
      </c>
      <c r="N26" s="201">
        <f t="shared" si="5"/>
        <v>0.63773612139069136</v>
      </c>
      <c r="O26" s="201">
        <f t="shared" si="5"/>
        <v>0.63773612139069136</v>
      </c>
      <c r="P26" s="201">
        <f t="shared" si="5"/>
        <v>0.63773612139069136</v>
      </c>
      <c r="Q26" s="201">
        <f t="shared" si="5"/>
        <v>0.63773612139069136</v>
      </c>
      <c r="R26" s="201">
        <f t="shared" si="5"/>
        <v>0.63773612139069136</v>
      </c>
      <c r="S26" s="201">
        <f t="shared" si="5"/>
        <v>0.63773612139069136</v>
      </c>
    </row>
    <row r="27" spans="2:19" x14ac:dyDescent="0.25">
      <c r="E27" s="19"/>
      <c r="J27" s="26"/>
      <c r="K27" s="26"/>
      <c r="L27" s="26"/>
      <c r="M27" s="26"/>
      <c r="N27" s="26"/>
      <c r="O27" s="26"/>
      <c r="P27" s="26"/>
      <c r="Q27" s="26"/>
      <c r="R27" s="26"/>
      <c r="S27" s="26"/>
    </row>
    <row r="28" spans="2:19" s="3" customFormat="1" x14ac:dyDescent="0.25">
      <c r="D28" s="197" t="s">
        <v>45</v>
      </c>
      <c r="E28" s="263">
        <f>SUM(E11,E12,E13,E15,E20,E22,E25,'Working Sheet'!E12)</f>
        <v>100503.80700000002</v>
      </c>
      <c r="F28" s="195">
        <f>SUM(F11,F12,F13,F15,F20,F22,F25,'Working Sheet'!F12)</f>
        <v>110481.88530000001</v>
      </c>
      <c r="G28" s="195">
        <f>SUM(G11,G12,G13,G15,G20,G22,G25,'Working Sheet'!G12)</f>
        <v>121067.54639999999</v>
      </c>
      <c r="H28" s="195">
        <f>SUM(H11,H12,H13,H15,H20,H22,H25,'Working Sheet'!H12)</f>
        <v>136454.51699999999</v>
      </c>
      <c r="I28" s="195">
        <f>SUM(I11,I12,I13,I15,I20,I22,I25,'Working Sheet'!I12)</f>
        <v>147656.52589999998</v>
      </c>
      <c r="J28" s="196">
        <f>SUM(J11,J12,J13,J15,J20,J22,J25,'Working Sheet'!J12)</f>
        <v>176208.07042408298</v>
      </c>
      <c r="K28" s="196">
        <f>SUM(K11,K12,K13,K15,K20,K22,K25,'Working Sheet'!K12)</f>
        <v>201750.50445227014</v>
      </c>
      <c r="L28" s="196">
        <f>SUM(L11,L12,L13,L15,L20,L22,L25,'Working Sheet'!L12)</f>
        <v>228418.29929577929</v>
      </c>
      <c r="M28" s="196">
        <f>SUM(M11,M12,M13,M15,M20,M22,M25,'Working Sheet'!M12)</f>
        <v>255765.08590249717</v>
      </c>
      <c r="N28" s="196">
        <f>SUM(N11,N12,N13,N15,N20,N22,N25,'Working Sheet'!N12)</f>
        <v>283368.62695247296</v>
      </c>
      <c r="O28" s="196">
        <f>SUM(O11,O12,O13,O15,O20,O22,O25,'Working Sheet'!O12)</f>
        <v>310832.25238712184</v>
      </c>
      <c r="P28" s="196">
        <f>SUM(P11,P12,P13,P15,P20,P22,P25,'Working Sheet'!P12)</f>
        <v>337805.36611170653</v>
      </c>
      <c r="Q28" s="196">
        <f>SUM(Q11,Q12,Q13,Q15,Q20,Q22,Q25,'Working Sheet'!Q12)</f>
        <v>363978.53766766959</v>
      </c>
      <c r="R28" s="196">
        <f>SUM(R11,R12,R13,R15,R20,R22,R25,'Working Sheet'!R12)</f>
        <v>389098.04702235188</v>
      </c>
      <c r="S28" s="196">
        <f>SUM(S11,S12,S13,S15,S20,S22,S25,'Working Sheet'!S12)</f>
        <v>412954.17753791693</v>
      </c>
    </row>
    <row r="29" spans="2:19" x14ac:dyDescent="0.25">
      <c r="E29" s="19"/>
      <c r="J29" s="26"/>
      <c r="K29" s="26"/>
      <c r="L29" s="26"/>
      <c r="M29" s="26"/>
      <c r="N29" s="26"/>
      <c r="O29" s="26"/>
      <c r="P29" s="26"/>
      <c r="Q29" s="26"/>
      <c r="R29" s="26"/>
      <c r="S29" s="26"/>
    </row>
    <row r="30" spans="2:19" x14ac:dyDescent="0.25">
      <c r="B30" s="3" t="s">
        <v>46</v>
      </c>
      <c r="E30" s="19"/>
      <c r="J30" s="26"/>
      <c r="K30" s="26"/>
      <c r="L30" s="26"/>
      <c r="M30" s="26"/>
      <c r="N30" s="26"/>
      <c r="O30" s="26"/>
      <c r="P30" s="26"/>
      <c r="Q30" s="26"/>
      <c r="R30" s="26"/>
      <c r="S30" s="26"/>
    </row>
    <row r="31" spans="2:19" x14ac:dyDescent="0.25">
      <c r="C31" s="3" t="s">
        <v>47</v>
      </c>
      <c r="E31" s="19"/>
      <c r="J31" s="26"/>
      <c r="K31" s="26"/>
      <c r="L31" s="26"/>
      <c r="M31" s="26"/>
      <c r="N31" s="26"/>
      <c r="O31" s="26"/>
      <c r="P31" s="26"/>
      <c r="Q31" s="26"/>
      <c r="R31" s="26"/>
      <c r="S31" s="26"/>
    </row>
    <row r="32" spans="2:19" x14ac:dyDescent="0.25">
      <c r="C32" s="3"/>
      <c r="D32" s="1" t="s">
        <v>125</v>
      </c>
      <c r="E32" s="277">
        <f>'Balance Sheet'!E26</f>
        <v>701.05309999999997</v>
      </c>
      <c r="F32" s="11">
        <f>'Balance Sheet'!F26</f>
        <v>4052.6680000000001</v>
      </c>
      <c r="G32" s="11">
        <f>'Balance Sheet'!G26</f>
        <v>6777.7864</v>
      </c>
      <c r="H32" s="11">
        <f>'Balance Sheet'!H26</f>
        <v>6777.7864</v>
      </c>
      <c r="I32" s="11">
        <f>'Balance Sheet'!I26</f>
        <v>6777.7864</v>
      </c>
      <c r="J32" s="38">
        <f t="shared" ref="J32:S32" si="6">I32</f>
        <v>6777.7864</v>
      </c>
      <c r="K32" s="38">
        <f t="shared" si="6"/>
        <v>6777.7864</v>
      </c>
      <c r="L32" s="38">
        <f t="shared" si="6"/>
        <v>6777.7864</v>
      </c>
      <c r="M32" s="38">
        <f t="shared" si="6"/>
        <v>6777.7864</v>
      </c>
      <c r="N32" s="38">
        <f t="shared" si="6"/>
        <v>6777.7864</v>
      </c>
      <c r="O32" s="38">
        <f t="shared" si="6"/>
        <v>6777.7864</v>
      </c>
      <c r="P32" s="38">
        <f t="shared" si="6"/>
        <v>6777.7864</v>
      </c>
      <c r="Q32" s="38">
        <f t="shared" si="6"/>
        <v>6777.7864</v>
      </c>
      <c r="R32" s="38">
        <f t="shared" si="6"/>
        <v>6777.7864</v>
      </c>
      <c r="S32" s="38">
        <f t="shared" si="6"/>
        <v>6777.7864</v>
      </c>
    </row>
    <row r="33" spans="3:19" x14ac:dyDescent="0.25">
      <c r="C33" s="3"/>
      <c r="E33" s="277"/>
      <c r="F33" s="11"/>
      <c r="G33" s="11"/>
      <c r="H33" s="11"/>
      <c r="I33" s="11"/>
      <c r="J33" s="26"/>
      <c r="K33" s="26"/>
      <c r="L33" s="26"/>
      <c r="M33" s="26"/>
      <c r="N33" s="26"/>
      <c r="O33" s="26"/>
      <c r="P33" s="26"/>
      <c r="Q33" s="26"/>
      <c r="R33" s="26"/>
      <c r="S33" s="26"/>
    </row>
    <row r="34" spans="3:19" x14ac:dyDescent="0.25">
      <c r="C34" s="3"/>
      <c r="D34" s="1" t="s">
        <v>235</v>
      </c>
      <c r="E34" s="277">
        <f>'Balance Sheet'!E27</f>
        <v>4895.3442999999997</v>
      </c>
      <c r="F34" s="11">
        <f>'Balance Sheet'!F27</f>
        <v>4310.3460999999998</v>
      </c>
      <c r="G34" s="11">
        <f>'Balance Sheet'!G27</f>
        <v>7232.8028999999997</v>
      </c>
      <c r="H34" s="11">
        <f>'Balance Sheet'!H27</f>
        <v>8330.7204999999994</v>
      </c>
      <c r="I34" s="11">
        <f>'Balance Sheet'!I27</f>
        <v>8755.6406999999999</v>
      </c>
      <c r="J34" s="38">
        <f>I34+'Income Statement'!J22-'Income Statement'!J28</f>
        <v>8094.049274758283</v>
      </c>
      <c r="K34" s="38">
        <f>J34+'Income Statement'!K22-'Income Statement'!K28</f>
        <v>7333.6823444804777</v>
      </c>
      <c r="L34" s="38">
        <f>K34+'Income Statement'!L22-'Income Statement'!L28</f>
        <v>6468.7771974811103</v>
      </c>
      <c r="M34" s="38">
        <f>L34+'Income Statement'!M22-'Income Statement'!M28</f>
        <v>5488.9545123000307</v>
      </c>
      <c r="N34" s="38">
        <f>M34+'Income Statement'!N22-'Income Statement'!N28</f>
        <v>4389.2003156692572</v>
      </c>
      <c r="O34" s="38">
        <f>N34+'Income Statement'!O22-'Income Statement'!O28</f>
        <v>3159.1652906691361</v>
      </c>
      <c r="P34" s="38">
        <f>O34+'Income Statement'!P22-'Income Statement'!P28</f>
        <v>1793.897777090925</v>
      </c>
      <c r="Q34" s="38">
        <f>P34+'Income Statement'!Q22-'Income Statement'!Q28</f>
        <v>282.3734117937247</v>
      </c>
      <c r="R34" s="38">
        <f>Q34+'Income Statement'!R22-'Income Statement'!R28</f>
        <v>-1381.2185824243752</v>
      </c>
      <c r="S34" s="38">
        <f>R34+'Income Statement'!S22-'Income Statement'!S28</f>
        <v>-3209.4886273394914</v>
      </c>
    </row>
    <row r="35" spans="3:19" ht="14.4" x14ac:dyDescent="0.3">
      <c r="C35" s="3"/>
      <c r="D35" s="170"/>
      <c r="E35" s="19"/>
      <c r="F35" s="11"/>
      <c r="G35" s="11"/>
      <c r="H35" s="11"/>
      <c r="I35" s="11"/>
      <c r="J35" s="38"/>
      <c r="K35" s="26"/>
      <c r="L35" s="26"/>
      <c r="M35" s="26"/>
      <c r="N35" s="26"/>
      <c r="O35" s="26"/>
      <c r="P35" s="26"/>
      <c r="Q35" s="26"/>
      <c r="R35" s="26"/>
      <c r="S35" s="26"/>
    </row>
    <row r="36" spans="3:19" x14ac:dyDescent="0.25">
      <c r="D36" s="1" t="s">
        <v>223</v>
      </c>
      <c r="E36" s="277">
        <f>'Balance Sheet'!E30</f>
        <v>26517.3001</v>
      </c>
      <c r="F36" s="11">
        <f>'Balance Sheet'!F30</f>
        <v>31530.392</v>
      </c>
      <c r="G36" s="11">
        <f>'Balance Sheet'!G30</f>
        <v>34528.419600000001</v>
      </c>
      <c r="H36" s="11">
        <f>'Balance Sheet'!H30</f>
        <v>36833.106599999999</v>
      </c>
      <c r="I36" s="11">
        <f>'Balance Sheet'!I30</f>
        <v>38708.253400000001</v>
      </c>
      <c r="J36" s="38">
        <f>'Income Statement'!J$10*'BS Items'!J37</f>
        <v>48811.57936963097</v>
      </c>
      <c r="K36" s="38">
        <f>'Income Statement'!K$10*'BS Items'!K37</f>
        <v>56769.377930025927</v>
      </c>
      <c r="L36" s="38">
        <f>'Income Statement'!L$10*'BS Items'!L37</f>
        <v>65099.277118110025</v>
      </c>
      <c r="M36" s="38">
        <f>'Income Statement'!M$10*'BS Items'!M37</f>
        <v>73669.370128352646</v>
      </c>
      <c r="N36" s="38">
        <f>'Income Statement'!N$10*'BS Items'!N37</f>
        <v>82353.42784345035</v>
      </c>
      <c r="O36" s="38">
        <f>'Income Statement'!O$10*'BS Items'!O37</f>
        <v>91034.570595464786</v>
      </c>
      <c r="P36" s="38">
        <f>'Income Statement'!P$10*'BS Items'!P37</f>
        <v>99608.225157086679</v>
      </c>
      <c r="Q36" s="38">
        <f>'Income Statement'!Q$10*'BS Items'!Q37</f>
        <v>107984.11005600181</v>
      </c>
      <c r="R36" s="38">
        <f>'Income Statement'!R$10*'BS Items'!R37</f>
        <v>116087.22142021565</v>
      </c>
      <c r="S36" s="38">
        <f>'Income Statement'!S$10*'BS Items'!S37</f>
        <v>123857.92561736761</v>
      </c>
    </row>
    <row r="37" spans="3:19" ht="14.4" x14ac:dyDescent="0.3">
      <c r="D37" s="170" t="s">
        <v>302</v>
      </c>
      <c r="E37" s="374">
        <f>E36/'Income Statement'!E$10</f>
        <v>3.3441216745600979</v>
      </c>
      <c r="F37" s="169">
        <f>F36/'Income Statement'!F$10</f>
        <v>4.5211900582145095</v>
      </c>
      <c r="G37" s="169">
        <f>G36/'Income Statement'!G$10</f>
        <v>4.8660291956512589</v>
      </c>
      <c r="H37" s="169">
        <f>H36/'Income Statement'!H$10</f>
        <v>4.6083253341905115</v>
      </c>
      <c r="I37" s="169">
        <f>I36/'Income Statement'!I$10</f>
        <v>3.9930215421627429</v>
      </c>
      <c r="J37" s="201">
        <f>AVERAGE(E37:I37)</f>
        <v>4.2665375609558236</v>
      </c>
      <c r="K37" s="201">
        <f t="shared" ref="K37:S37" si="7">J37</f>
        <v>4.2665375609558236</v>
      </c>
      <c r="L37" s="201">
        <f t="shared" si="7"/>
        <v>4.2665375609558236</v>
      </c>
      <c r="M37" s="201">
        <f t="shared" si="7"/>
        <v>4.2665375609558236</v>
      </c>
      <c r="N37" s="201">
        <f t="shared" si="7"/>
        <v>4.2665375609558236</v>
      </c>
      <c r="O37" s="201">
        <f t="shared" si="7"/>
        <v>4.2665375609558236</v>
      </c>
      <c r="P37" s="201">
        <f t="shared" si="7"/>
        <v>4.2665375609558236</v>
      </c>
      <c r="Q37" s="201">
        <f t="shared" si="7"/>
        <v>4.2665375609558236</v>
      </c>
      <c r="R37" s="201">
        <f t="shared" si="7"/>
        <v>4.2665375609558236</v>
      </c>
      <c r="S37" s="201">
        <f t="shared" si="7"/>
        <v>4.2665375609558236</v>
      </c>
    </row>
    <row r="38" spans="3:19" x14ac:dyDescent="0.25">
      <c r="E38" s="19"/>
      <c r="J38" s="26"/>
      <c r="K38" s="26"/>
      <c r="L38" s="26"/>
      <c r="M38" s="26"/>
      <c r="N38" s="26"/>
      <c r="O38" s="26"/>
      <c r="P38" s="26"/>
      <c r="Q38" s="26"/>
      <c r="R38" s="26"/>
      <c r="S38" s="26"/>
    </row>
    <row r="39" spans="3:19" x14ac:dyDescent="0.25">
      <c r="D39" s="1" t="s">
        <v>199</v>
      </c>
      <c r="E39" s="277">
        <f>'Balance Sheet'!E31</f>
        <v>803.26250000000005</v>
      </c>
      <c r="F39" s="11">
        <f>'Balance Sheet'!F31</f>
        <v>660.88750000000005</v>
      </c>
      <c r="G39" s="11">
        <f>'Balance Sheet'!G31</f>
        <v>610.90812500000004</v>
      </c>
      <c r="H39" s="11">
        <f>'Balance Sheet'!H31</f>
        <v>2254.5958000000001</v>
      </c>
      <c r="I39" s="11">
        <f>'Balance Sheet'!I31</f>
        <v>2442.7140250000002</v>
      </c>
      <c r="J39" s="38">
        <f>'Income Statement'!J$10*'BS Items'!J40</f>
        <v>1867.6107872692301</v>
      </c>
      <c r="K39" s="38">
        <f>'Income Statement'!K$10*'BS Items'!K40</f>
        <v>2172.0891636348983</v>
      </c>
      <c r="L39" s="38">
        <f>'Income Statement'!L$10*'BS Items'!L40</f>
        <v>2490.8047180471808</v>
      </c>
      <c r="M39" s="38">
        <f>'Income Statement'!M$10*'BS Items'!M40</f>
        <v>2818.7104805840909</v>
      </c>
      <c r="N39" s="38">
        <f>'Income Statement'!N$10*'BS Items'!N40</f>
        <v>3150.9767189528425</v>
      </c>
      <c r="O39" s="38">
        <f>'Income Statement'!O$10*'BS Items'!O40</f>
        <v>3483.1314260708318</v>
      </c>
      <c r="P39" s="38">
        <f>'Income Statement'!P$10*'BS Items'!P40</f>
        <v>3811.173459383268</v>
      </c>
      <c r="Q39" s="38">
        <f>'Income Statement'!Q$10*'BS Items'!Q40</f>
        <v>4131.6485022349207</v>
      </c>
      <c r="R39" s="38">
        <f>'Income Statement'!R$10*'BS Items'!R40</f>
        <v>4441.6867839231627</v>
      </c>
      <c r="S39" s="38">
        <f>'Income Statement'!S$10*'BS Items'!S40</f>
        <v>4739.0066242295106</v>
      </c>
    </row>
    <row r="40" spans="3:19" ht="14.4" x14ac:dyDescent="0.3">
      <c r="D40" s="170" t="s">
        <v>302</v>
      </c>
      <c r="E40" s="374">
        <f>E39/'Income Statement'!E$10</f>
        <v>0.10130018993190527</v>
      </c>
      <c r="F40" s="169">
        <f>F39/'Income Statement'!F$10</f>
        <v>9.4765646890728222E-2</v>
      </c>
      <c r="G40" s="169">
        <f>G39/'Income Statement'!G$10</f>
        <v>8.609420316794833E-2</v>
      </c>
      <c r="H40" s="169">
        <f>H39/'Income Statement'!H$10</f>
        <v>0.28208076653245223</v>
      </c>
      <c r="I40" s="169">
        <f>I39/'Income Statement'!I$10</f>
        <v>0.25198268757763331</v>
      </c>
      <c r="J40" s="201">
        <f>AVERAGE(E40:I40)</f>
        <v>0.16324469882013345</v>
      </c>
      <c r="K40" s="201">
        <f t="shared" ref="K40:S40" si="8">J40</f>
        <v>0.16324469882013345</v>
      </c>
      <c r="L40" s="201">
        <f t="shared" si="8"/>
        <v>0.16324469882013345</v>
      </c>
      <c r="M40" s="201">
        <f t="shared" si="8"/>
        <v>0.16324469882013345</v>
      </c>
      <c r="N40" s="201">
        <f t="shared" si="8"/>
        <v>0.16324469882013345</v>
      </c>
      <c r="O40" s="201">
        <f t="shared" si="8"/>
        <v>0.16324469882013345</v>
      </c>
      <c r="P40" s="201">
        <f t="shared" si="8"/>
        <v>0.16324469882013345</v>
      </c>
      <c r="Q40" s="201">
        <f t="shared" si="8"/>
        <v>0.16324469882013345</v>
      </c>
      <c r="R40" s="201">
        <f t="shared" si="8"/>
        <v>0.16324469882013345</v>
      </c>
      <c r="S40" s="201">
        <f t="shared" si="8"/>
        <v>0.16324469882013345</v>
      </c>
    </row>
    <row r="41" spans="3:19" x14ac:dyDescent="0.25">
      <c r="E41" s="19"/>
      <c r="J41" s="26"/>
      <c r="K41" s="26"/>
      <c r="L41" s="26"/>
      <c r="M41" s="26"/>
      <c r="N41" s="26"/>
      <c r="O41" s="26"/>
      <c r="P41" s="26"/>
      <c r="Q41" s="26"/>
      <c r="R41" s="26"/>
      <c r="S41" s="26"/>
    </row>
    <row r="42" spans="3:19" x14ac:dyDescent="0.25">
      <c r="C42" s="3" t="s">
        <v>48</v>
      </c>
      <c r="E42" s="19"/>
      <c r="J42" s="26"/>
      <c r="K42" s="26"/>
      <c r="L42" s="26"/>
      <c r="M42" s="26"/>
      <c r="N42" s="26"/>
      <c r="O42" s="26"/>
      <c r="P42" s="26"/>
      <c r="Q42" s="26"/>
      <c r="R42" s="26"/>
      <c r="S42" s="26"/>
    </row>
    <row r="43" spans="3:19" x14ac:dyDescent="0.25">
      <c r="D43" s="1" t="s">
        <v>240</v>
      </c>
      <c r="E43" s="277">
        <f>'Balance Sheet'!E34</f>
        <v>63150.253299999997</v>
      </c>
      <c r="F43" s="11">
        <f>'Balance Sheet'!F34</f>
        <v>64577.787600000003</v>
      </c>
      <c r="G43" s="11">
        <f>'Balance Sheet'!G34</f>
        <v>67608.594400000002</v>
      </c>
      <c r="H43" s="11">
        <f>'Balance Sheet'!H34</f>
        <v>72832.383400000006</v>
      </c>
      <c r="I43" s="11">
        <f>'Balance Sheet'!I34</f>
        <v>80701.300900000002</v>
      </c>
      <c r="J43" s="38">
        <f>'Income Statement'!J$10*'BS Items'!J44</f>
        <v>101109.43346081705</v>
      </c>
      <c r="K43" s="38">
        <f>'Income Statement'!K$10*'BS Items'!K44</f>
        <v>117593.40129033256</v>
      </c>
      <c r="L43" s="38">
        <f>'Income Statement'!L$10*'BS Items'!L44</f>
        <v>134848.1469586711</v>
      </c>
      <c r="M43" s="38">
        <f>'Income Statement'!M$10*'BS Items'!M44</f>
        <v>152600.43566070931</v>
      </c>
      <c r="N43" s="38">
        <f>'Income Statement'!N$10*'BS Items'!N44</f>
        <v>170588.79348591939</v>
      </c>
      <c r="O43" s="38">
        <f>'Income Statement'!O$10*'BS Items'!O44</f>
        <v>188571.11318923888</v>
      </c>
      <c r="P43" s="38">
        <f>'Income Statement'!P$10*'BS Items'!P44</f>
        <v>206330.77937110566</v>
      </c>
      <c r="Q43" s="38">
        <f>'Income Statement'!Q$10*'BS Items'!Q44</f>
        <v>223680.78090351302</v>
      </c>
      <c r="R43" s="38">
        <f>'Income Statement'!R$10*'BS Items'!R44</f>
        <v>240465.75303279658</v>
      </c>
      <c r="S43" s="38">
        <f>'Income Statement'!S$10*'BS Items'!S44</f>
        <v>256562.16927485043</v>
      </c>
    </row>
    <row r="44" spans="3:19" ht="14.4" x14ac:dyDescent="0.3">
      <c r="D44" s="170" t="s">
        <v>302</v>
      </c>
      <c r="E44" s="374">
        <f>E43/'Income Statement'!E$10</f>
        <v>7.9639378827443421</v>
      </c>
      <c r="F44" s="169">
        <f>F43/'Income Statement'!F$10</f>
        <v>9.2599055311018095</v>
      </c>
      <c r="G44" s="169">
        <f>G43/'Income Statement'!G$10</f>
        <v>9.527959809297041</v>
      </c>
      <c r="H44" s="169">
        <f>H43/'Income Statement'!H$10</f>
        <v>9.1123271576472593</v>
      </c>
      <c r="I44" s="169">
        <f>I43/'Income Statement'!I$10</f>
        <v>8.3248921010281887</v>
      </c>
      <c r="J44" s="201">
        <f>AVERAGE(E44:I44)</f>
        <v>8.8378044963637272</v>
      </c>
      <c r="K44" s="201">
        <f t="shared" ref="K44:S44" si="9">J44</f>
        <v>8.8378044963637272</v>
      </c>
      <c r="L44" s="201">
        <f t="shared" si="9"/>
        <v>8.8378044963637272</v>
      </c>
      <c r="M44" s="201">
        <f t="shared" si="9"/>
        <v>8.8378044963637272</v>
      </c>
      <c r="N44" s="201">
        <f t="shared" si="9"/>
        <v>8.8378044963637272</v>
      </c>
      <c r="O44" s="201">
        <f t="shared" si="9"/>
        <v>8.8378044963637272</v>
      </c>
      <c r="P44" s="201">
        <f t="shared" si="9"/>
        <v>8.8378044963637272</v>
      </c>
      <c r="Q44" s="201">
        <f t="shared" si="9"/>
        <v>8.8378044963637272</v>
      </c>
      <c r="R44" s="201">
        <f t="shared" si="9"/>
        <v>8.8378044963637272</v>
      </c>
      <c r="S44" s="201">
        <f t="shared" si="9"/>
        <v>8.8378044963637272</v>
      </c>
    </row>
    <row r="45" spans="3:19" x14ac:dyDescent="0.25">
      <c r="E45" s="19"/>
      <c r="J45" s="26"/>
      <c r="K45" s="26"/>
      <c r="L45" s="26"/>
      <c r="M45" s="26"/>
      <c r="N45" s="26"/>
      <c r="O45" s="26"/>
      <c r="P45" s="26"/>
      <c r="Q45" s="26"/>
      <c r="R45" s="26"/>
      <c r="S45" s="26"/>
    </row>
    <row r="46" spans="3:19" x14ac:dyDescent="0.25">
      <c r="D46" s="11" t="s">
        <v>199</v>
      </c>
      <c r="E46" s="277">
        <f>'Balance Sheet'!E35</f>
        <v>2409.7874999999999</v>
      </c>
      <c r="F46" s="11">
        <f>'Balance Sheet'!F35</f>
        <v>1982.6624999999999</v>
      </c>
      <c r="G46" s="11">
        <f>'Balance Sheet'!G35</f>
        <v>1832.724375</v>
      </c>
      <c r="H46" s="11">
        <f>'Balance Sheet'!H35</f>
        <v>6763.7874000000002</v>
      </c>
      <c r="I46" s="11">
        <f>'Balance Sheet'!I35</f>
        <v>7328.1420749999997</v>
      </c>
      <c r="J46" s="38">
        <f>'Income Statement'!J$10*'BS Items'!J47</f>
        <v>5602.8323618076902</v>
      </c>
      <c r="K46" s="38">
        <f>'Income Statement'!K$10*'BS Items'!K47</f>
        <v>6516.2674909046946</v>
      </c>
      <c r="L46" s="38">
        <f>'Income Statement'!L$10*'BS Items'!L47</f>
        <v>7472.4141541415411</v>
      </c>
      <c r="M46" s="38">
        <f>'Income Statement'!M$10*'BS Items'!M47</f>
        <v>8456.1314417522717</v>
      </c>
      <c r="N46" s="38">
        <f>'Income Statement'!N$10*'BS Items'!N47</f>
        <v>9452.930156858527</v>
      </c>
      <c r="O46" s="38">
        <f>'Income Statement'!O$10*'BS Items'!O47</f>
        <v>10449.394278212494</v>
      </c>
      <c r="P46" s="38">
        <f>'Income Statement'!P$10*'BS Items'!P47</f>
        <v>11433.520378149804</v>
      </c>
      <c r="Q46" s="38">
        <f>'Income Statement'!Q$10*'BS Items'!Q47</f>
        <v>12394.94550670476</v>
      </c>
      <c r="R46" s="38">
        <f>'Income Statement'!R$10*'BS Items'!R47</f>
        <v>13325.060351769489</v>
      </c>
      <c r="S46" s="38">
        <f>'Income Statement'!S$10*'BS Items'!S47</f>
        <v>14217.01987268853</v>
      </c>
    </row>
    <row r="47" spans="3:19" ht="14.4" x14ac:dyDescent="0.3">
      <c r="D47" s="170" t="s">
        <v>302</v>
      </c>
      <c r="E47" s="374">
        <f>E46/'Income Statement'!E$10</f>
        <v>0.30390056979571584</v>
      </c>
      <c r="F47" s="169">
        <f>F46/'Income Statement'!F$10</f>
        <v>0.28429694067218464</v>
      </c>
      <c r="G47" s="169">
        <f>G46/'Income Statement'!G$10</f>
        <v>0.25828260950384496</v>
      </c>
      <c r="H47" s="169">
        <f>H46/'Income Statement'!H$10</f>
        <v>0.84624229959735664</v>
      </c>
      <c r="I47" s="169">
        <f>I46/'Income Statement'!I$10</f>
        <v>0.75594806273289983</v>
      </c>
      <c r="J47" s="201">
        <f>AVERAGE(E47:I47)</f>
        <v>0.48973409646040034</v>
      </c>
      <c r="K47" s="201">
        <f t="shared" ref="K47:S47" si="10">J47</f>
        <v>0.48973409646040034</v>
      </c>
      <c r="L47" s="201">
        <f t="shared" si="10"/>
        <v>0.48973409646040034</v>
      </c>
      <c r="M47" s="201">
        <f t="shared" si="10"/>
        <v>0.48973409646040034</v>
      </c>
      <c r="N47" s="201">
        <f t="shared" si="10"/>
        <v>0.48973409646040034</v>
      </c>
      <c r="O47" s="201">
        <f t="shared" si="10"/>
        <v>0.48973409646040034</v>
      </c>
      <c r="P47" s="201">
        <f t="shared" si="10"/>
        <v>0.48973409646040034</v>
      </c>
      <c r="Q47" s="201">
        <f t="shared" si="10"/>
        <v>0.48973409646040034</v>
      </c>
      <c r="R47" s="201">
        <f t="shared" si="10"/>
        <v>0.48973409646040034</v>
      </c>
      <c r="S47" s="201">
        <f t="shared" si="10"/>
        <v>0.48973409646040034</v>
      </c>
    </row>
    <row r="48" spans="3:19" x14ac:dyDescent="0.25">
      <c r="E48" s="19"/>
      <c r="J48" s="26"/>
      <c r="K48" s="26"/>
      <c r="L48" s="26"/>
      <c r="M48" s="26"/>
      <c r="N48" s="26"/>
      <c r="O48" s="26"/>
      <c r="P48" s="26"/>
      <c r="Q48" s="26"/>
      <c r="R48" s="26"/>
      <c r="S48" s="26"/>
    </row>
    <row r="49" spans="4:19" x14ac:dyDescent="0.25">
      <c r="D49" s="1" t="s">
        <v>241</v>
      </c>
      <c r="E49" s="277">
        <f>'Balance Sheet'!E36</f>
        <v>2026.8062</v>
      </c>
      <c r="F49" s="11">
        <f>'Balance Sheet'!F36</f>
        <v>3367.1415999999999</v>
      </c>
      <c r="G49" s="11">
        <f>'Balance Sheet'!G36</f>
        <v>2476.3105999999998</v>
      </c>
      <c r="H49" s="11">
        <f>'Balance Sheet'!H36</f>
        <v>2662.1369</v>
      </c>
      <c r="I49" s="11">
        <f>'Balance Sheet'!I36</f>
        <v>2942.6884</v>
      </c>
      <c r="J49" s="38">
        <f>'Income Statement'!J$10*'BS Items'!J50</f>
        <v>3944.7787697997392</v>
      </c>
      <c r="K49" s="38">
        <f>'Income Statement'!K$10*'BS Items'!K50</f>
        <v>4587.8998328915832</v>
      </c>
      <c r="L49" s="38">
        <f>'Income Statement'!L$10*'BS Items'!L50</f>
        <v>5261.0927493283425</v>
      </c>
      <c r="M49" s="38">
        <f>'Income Statement'!M$10*'BS Items'!M50</f>
        <v>5953.6972787988225</v>
      </c>
      <c r="N49" s="38">
        <f>'Income Statement'!N$10*'BS Items'!N50</f>
        <v>6655.5120316225448</v>
      </c>
      <c r="O49" s="38">
        <f>'Income Statement'!O$10*'BS Items'!O50</f>
        <v>7357.091207465679</v>
      </c>
      <c r="P49" s="38">
        <f>'Income Statement'!P$10*'BS Items'!P50</f>
        <v>8049.983568890174</v>
      </c>
      <c r="Q49" s="38">
        <f>'Income Statement'!Q$10*'BS Items'!Q50</f>
        <v>8726.8928874213361</v>
      </c>
      <c r="R49" s="38">
        <f>'Income Statement'!R$10*'BS Items'!R50</f>
        <v>9381.7576160713852</v>
      </c>
      <c r="S49" s="38">
        <f>'Income Statement'!S$10*'BS Items'!S50</f>
        <v>10009.758376120353</v>
      </c>
    </row>
    <row r="50" spans="4:19" ht="14.4" x14ac:dyDescent="0.3">
      <c r="D50" s="170" t="s">
        <v>302</v>
      </c>
      <c r="E50" s="374">
        <f>E49/'Income Statement'!E$10</f>
        <v>0.25560243757820539</v>
      </c>
      <c r="F50" s="169">
        <f>F49/'Income Statement'!F$10</f>
        <v>0.48281946911793855</v>
      </c>
      <c r="G50" s="169">
        <f>G49/'Income Statement'!G$10</f>
        <v>0.34898207959395527</v>
      </c>
      <c r="H50" s="169">
        <f>H49/'Income Statement'!H$10</f>
        <v>0.33306973133114415</v>
      </c>
      <c r="I50" s="169">
        <f>I49/'Income Statement'!I$10</f>
        <v>0.30355846986039453</v>
      </c>
      <c r="J50" s="201">
        <f>AVERAGE(E50:I50)</f>
        <v>0.34480643749632761</v>
      </c>
      <c r="K50" s="201">
        <f t="shared" ref="K50:S50" si="11">J50</f>
        <v>0.34480643749632761</v>
      </c>
      <c r="L50" s="201">
        <f t="shared" si="11"/>
        <v>0.34480643749632761</v>
      </c>
      <c r="M50" s="201">
        <f t="shared" si="11"/>
        <v>0.34480643749632761</v>
      </c>
      <c r="N50" s="201">
        <f t="shared" si="11"/>
        <v>0.34480643749632761</v>
      </c>
      <c r="O50" s="201">
        <f t="shared" si="11"/>
        <v>0.34480643749632761</v>
      </c>
      <c r="P50" s="201">
        <f t="shared" si="11"/>
        <v>0.34480643749632761</v>
      </c>
      <c r="Q50" s="201">
        <f t="shared" si="11"/>
        <v>0.34480643749632761</v>
      </c>
      <c r="R50" s="201">
        <f t="shared" si="11"/>
        <v>0.34480643749632761</v>
      </c>
      <c r="S50" s="201">
        <f t="shared" si="11"/>
        <v>0.34480643749632761</v>
      </c>
    </row>
    <row r="51" spans="4:19" x14ac:dyDescent="0.25">
      <c r="E51" s="19"/>
      <c r="J51" s="26"/>
      <c r="K51" s="26"/>
      <c r="L51" s="26"/>
      <c r="M51" s="26"/>
      <c r="N51" s="26"/>
      <c r="O51" s="26"/>
      <c r="P51" s="26"/>
      <c r="Q51" s="26"/>
      <c r="R51" s="26"/>
      <c r="S51" s="26"/>
    </row>
    <row r="52" spans="4:19" s="3" customFormat="1" x14ac:dyDescent="0.25">
      <c r="D52" s="197" t="s">
        <v>301</v>
      </c>
      <c r="E52" s="263">
        <f t="shared" ref="E52:S52" si="12">SUM(E32,E34,E36,E39,E43,E46,E49)</f>
        <v>100503.80700000002</v>
      </c>
      <c r="F52" s="195">
        <f t="shared" si="12"/>
        <v>110481.88530000001</v>
      </c>
      <c r="G52" s="195">
        <f t="shared" si="12"/>
        <v>121067.54640000001</v>
      </c>
      <c r="H52" s="195">
        <f t="shared" si="12"/>
        <v>136454.51700000002</v>
      </c>
      <c r="I52" s="195">
        <f t="shared" si="12"/>
        <v>147656.52590000004</v>
      </c>
      <c r="J52" s="196">
        <f t="shared" si="12"/>
        <v>176208.07042408298</v>
      </c>
      <c r="K52" s="196">
        <f t="shared" si="12"/>
        <v>201750.50445227014</v>
      </c>
      <c r="L52" s="196">
        <f t="shared" si="12"/>
        <v>228418.29929577929</v>
      </c>
      <c r="M52" s="196">
        <f t="shared" si="12"/>
        <v>255765.08590249717</v>
      </c>
      <c r="N52" s="196">
        <f t="shared" si="12"/>
        <v>283368.6269524729</v>
      </c>
      <c r="O52" s="196">
        <f t="shared" si="12"/>
        <v>310832.25238712184</v>
      </c>
      <c r="P52" s="196">
        <f t="shared" si="12"/>
        <v>337805.36611170653</v>
      </c>
      <c r="Q52" s="196">
        <f t="shared" si="12"/>
        <v>363978.53766766959</v>
      </c>
      <c r="R52" s="196">
        <f t="shared" si="12"/>
        <v>389098.04702235188</v>
      </c>
      <c r="S52" s="196">
        <f t="shared" si="12"/>
        <v>412954.17753791693</v>
      </c>
    </row>
    <row r="57" spans="4:19" ht="15" x14ac:dyDescent="0.25">
      <c r="D57" s="272"/>
      <c r="E57" s="2"/>
      <c r="F57" s="2"/>
      <c r="G57" s="2"/>
      <c r="H57" s="2"/>
      <c r="I57" s="2"/>
    </row>
    <row r="58" spans="4:19" ht="15" x14ac:dyDescent="0.25">
      <c r="D58" s="273"/>
      <c r="E58" s="2"/>
      <c r="F58" s="2"/>
      <c r="G58" s="2"/>
      <c r="H58" s="2"/>
      <c r="I58" s="2"/>
      <c r="J58" s="11"/>
      <c r="K58" s="15"/>
      <c r="L58" s="15"/>
      <c r="M58" s="15"/>
      <c r="N58" s="15"/>
      <c r="O58" s="15"/>
      <c r="P58" s="15"/>
      <c r="Q58" s="15"/>
      <c r="R58" s="15"/>
      <c r="S58" s="15"/>
    </row>
    <row r="59" spans="4:19" ht="15" x14ac:dyDescent="0.25">
      <c r="D59" s="273"/>
      <c r="E59" s="2"/>
      <c r="F59" s="2"/>
      <c r="G59" s="2"/>
      <c r="H59" s="2"/>
      <c r="I59" s="2"/>
      <c r="J59" s="11"/>
      <c r="K59" s="15"/>
      <c r="L59" s="15"/>
      <c r="M59" s="15"/>
      <c r="N59" s="15"/>
      <c r="O59" s="15"/>
      <c r="P59" s="15"/>
      <c r="Q59" s="15"/>
      <c r="R59" s="15"/>
      <c r="S59" s="15"/>
    </row>
    <row r="60" spans="4:19" ht="15" x14ac:dyDescent="0.25">
      <c r="D60" s="273"/>
      <c r="E60" s="2"/>
      <c r="F60" s="2"/>
      <c r="G60" s="2"/>
      <c r="H60" s="2"/>
      <c r="I60" s="2"/>
      <c r="J60" s="15"/>
      <c r="K60" s="15"/>
      <c r="L60" s="15"/>
      <c r="M60" s="15"/>
      <c r="N60" s="15"/>
      <c r="O60" s="15"/>
      <c r="P60" s="15"/>
      <c r="Q60" s="15"/>
      <c r="R60" s="15"/>
      <c r="S60" s="15"/>
    </row>
    <row r="61" spans="4:19" ht="15" x14ac:dyDescent="0.25">
      <c r="D61" s="273"/>
      <c r="E61" s="2"/>
      <c r="F61" s="2"/>
      <c r="G61" s="2"/>
      <c r="H61" s="2"/>
      <c r="I61" s="2"/>
      <c r="J61" s="15"/>
      <c r="K61" s="15"/>
      <c r="L61" s="15"/>
      <c r="M61" s="15"/>
      <c r="N61" s="15"/>
      <c r="O61" s="15"/>
      <c r="P61" s="15"/>
      <c r="Q61" s="15"/>
      <c r="R61" s="15"/>
      <c r="S61" s="15"/>
    </row>
    <row r="62" spans="4:19" x14ac:dyDescent="0.25">
      <c r="J62" s="12"/>
      <c r="K62" s="12"/>
      <c r="L62" s="12"/>
      <c r="M62" s="12"/>
      <c r="N62" s="12"/>
      <c r="O62" s="12"/>
      <c r="P62" s="12"/>
      <c r="Q62" s="12"/>
      <c r="R62" s="12"/>
      <c r="S62" s="12"/>
    </row>
  </sheetData>
  <mergeCells count="1">
    <mergeCell ref="D6:S6"/>
  </mergeCells>
  <pageMargins left="0.7" right="0.7" top="0.75" bottom="0.75" header="0.3" footer="0.3"/>
  <ignoredErrors>
    <ignoredError sqref="E22:I22 E15:I15 K15:S15 J22:S22 J13:S13" formula="1"/>
  </ignoredError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2A1A2-44DD-4DCA-8C26-A52B2CEDB150}">
  <dimension ref="D5:S12"/>
  <sheetViews>
    <sheetView showGridLines="0" workbookViewId="0">
      <selection activeCell="S10" sqref="S10"/>
    </sheetView>
  </sheetViews>
  <sheetFormatPr defaultRowHeight="14.4" x14ac:dyDescent="0.3"/>
  <cols>
    <col min="1" max="3" width="1.33203125" customWidth="1"/>
    <col min="4" max="4" width="30.77734375" customWidth="1"/>
  </cols>
  <sheetData>
    <row r="5" spans="4:19" x14ac:dyDescent="0.3">
      <c r="R5" s="66" t="s">
        <v>64</v>
      </c>
    </row>
    <row r="6" spans="4:19" ht="16.05" customHeight="1" x14ac:dyDescent="0.3">
      <c r="D6" s="450" t="s">
        <v>367</v>
      </c>
      <c r="E6" s="450"/>
      <c r="F6" s="450"/>
      <c r="G6" s="450"/>
      <c r="H6" s="450"/>
      <c r="I6" s="450"/>
      <c r="J6" s="450"/>
      <c r="K6" s="450"/>
      <c r="L6" s="450"/>
      <c r="M6" s="450"/>
      <c r="N6" s="450"/>
      <c r="O6" s="450"/>
      <c r="P6" s="450"/>
      <c r="Q6" s="450"/>
      <c r="R6" s="450"/>
      <c r="S6" s="450"/>
    </row>
    <row r="7" spans="4:19" x14ac:dyDescent="0.3">
      <c r="D7" s="1"/>
      <c r="E7" s="17">
        <v>2020</v>
      </c>
      <c r="F7" s="3">
        <f t="shared" ref="F7:S7" si="0">E7+1</f>
        <v>2021</v>
      </c>
      <c r="G7" s="3">
        <f t="shared" si="0"/>
        <v>2022</v>
      </c>
      <c r="H7" s="3">
        <f t="shared" si="0"/>
        <v>2023</v>
      </c>
      <c r="I7" s="3">
        <f t="shared" si="0"/>
        <v>2024</v>
      </c>
      <c r="J7" s="3">
        <f t="shared" si="0"/>
        <v>2025</v>
      </c>
      <c r="K7" s="3">
        <f t="shared" si="0"/>
        <v>2026</v>
      </c>
      <c r="L7" s="3">
        <f t="shared" si="0"/>
        <v>2027</v>
      </c>
      <c r="M7" s="3">
        <f t="shared" si="0"/>
        <v>2028</v>
      </c>
      <c r="N7" s="3">
        <f t="shared" si="0"/>
        <v>2029</v>
      </c>
      <c r="O7" s="3">
        <f t="shared" si="0"/>
        <v>2030</v>
      </c>
      <c r="P7" s="3">
        <f t="shared" si="0"/>
        <v>2031</v>
      </c>
      <c r="Q7" s="3">
        <f t="shared" si="0"/>
        <v>2032</v>
      </c>
      <c r="R7" s="3">
        <f t="shared" si="0"/>
        <v>2033</v>
      </c>
      <c r="S7" s="3">
        <f t="shared" si="0"/>
        <v>2034</v>
      </c>
    </row>
    <row r="8" spans="4:19" x14ac:dyDescent="0.3">
      <c r="D8" s="5" t="s">
        <v>0</v>
      </c>
      <c r="E8" s="18" t="s">
        <v>8</v>
      </c>
      <c r="F8" s="7" t="s">
        <v>8</v>
      </c>
      <c r="G8" s="7" t="s">
        <v>8</v>
      </c>
      <c r="H8" s="7" t="s">
        <v>8</v>
      </c>
      <c r="I8" s="7" t="s">
        <v>8</v>
      </c>
      <c r="J8" s="54" t="s">
        <v>9</v>
      </c>
      <c r="K8" s="54" t="s">
        <v>9</v>
      </c>
      <c r="L8" s="54" t="s">
        <v>9</v>
      </c>
      <c r="M8" s="54" t="s">
        <v>9</v>
      </c>
      <c r="N8" s="54" t="s">
        <v>9</v>
      </c>
      <c r="O8" s="54" t="s">
        <v>9</v>
      </c>
      <c r="P8" s="54" t="s">
        <v>9</v>
      </c>
      <c r="Q8" s="54" t="s">
        <v>9</v>
      </c>
      <c r="R8" s="54" t="s">
        <v>9</v>
      </c>
      <c r="S8" s="54" t="s">
        <v>9</v>
      </c>
    </row>
    <row r="9" spans="4:19" x14ac:dyDescent="0.3">
      <c r="D9" s="202" t="s">
        <v>242</v>
      </c>
      <c r="E9" s="422"/>
      <c r="F9" s="423">
        <f t="shared" ref="F9:S9" si="1">E12</f>
        <v>1240.8272999999999</v>
      </c>
      <c r="G9" s="423">
        <f t="shared" si="1"/>
        <v>1584.9119000000001</v>
      </c>
      <c r="H9" s="423">
        <f t="shared" si="1"/>
        <v>1577.4435000000001</v>
      </c>
      <c r="I9" s="423">
        <f t="shared" si="1"/>
        <v>1519.4228000000001</v>
      </c>
      <c r="J9" s="367">
        <f t="shared" si="1"/>
        <v>1755.7825</v>
      </c>
      <c r="K9" s="367">
        <f t="shared" si="1"/>
        <v>1860.0680875000003</v>
      </c>
      <c r="L9" s="367">
        <f t="shared" si="1"/>
        <v>1956.2336583361937</v>
      </c>
      <c r="M9" s="367">
        <f t="shared" si="1"/>
        <v>2035.2393220996755</v>
      </c>
      <c r="N9" s="367">
        <f t="shared" si="1"/>
        <v>2108.0304588851504</v>
      </c>
      <c r="O9" s="367">
        <f t="shared" si="1"/>
        <v>2164.6669241478407</v>
      </c>
      <c r="P9" s="367">
        <f t="shared" si="1"/>
        <v>2216.9548138973705</v>
      </c>
      <c r="Q9" s="367">
        <f t="shared" si="1"/>
        <v>2254.2530102457899</v>
      </c>
      <c r="R9" s="367">
        <f t="shared" si="1"/>
        <v>2288.9727056163056</v>
      </c>
      <c r="S9" s="367">
        <f t="shared" si="1"/>
        <v>2309.9477953465898</v>
      </c>
    </row>
    <row r="10" spans="4:19" x14ac:dyDescent="0.3">
      <c r="D10" s="203" t="s">
        <v>243</v>
      </c>
      <c r="E10" s="189"/>
      <c r="F10" s="171">
        <f>F12-F9-F11</f>
        <v>446.21790000000016</v>
      </c>
      <c r="G10" s="171">
        <f>G12-G9-G11</f>
        <v>129.62200000000001</v>
      </c>
      <c r="H10" s="171">
        <f>H12-H9-H11</f>
        <v>90.31129999999996</v>
      </c>
      <c r="I10" s="171">
        <f>I12-I9-I11</f>
        <v>386.44399999999996</v>
      </c>
      <c r="J10" s="368">
        <f>AVERAGE(F10:I10)</f>
        <v>263.14880000000005</v>
      </c>
      <c r="K10" s="368">
        <f>J10*(1+0.5%)</f>
        <v>264.46454400000005</v>
      </c>
      <c r="L10" s="368">
        <f t="shared" ref="K10:S10" si="2">K10*(1+0.5%)</f>
        <v>265.78686672000003</v>
      </c>
      <c r="M10" s="368">
        <f t="shared" si="2"/>
        <v>267.11580105360002</v>
      </c>
      <c r="N10" s="368">
        <f t="shared" si="2"/>
        <v>268.45138005886798</v>
      </c>
      <c r="O10" s="368">
        <f t="shared" si="2"/>
        <v>269.79363695916231</v>
      </c>
      <c r="P10" s="368">
        <f t="shared" si="2"/>
        <v>271.14260514395812</v>
      </c>
      <c r="Q10" s="368">
        <f t="shared" si="2"/>
        <v>272.49831816967787</v>
      </c>
      <c r="R10" s="368">
        <f t="shared" si="2"/>
        <v>273.86080976052625</v>
      </c>
      <c r="S10" s="369">
        <f t="shared" si="2"/>
        <v>275.23011380932883</v>
      </c>
    </row>
    <row r="11" spans="4:19" x14ac:dyDescent="0.3">
      <c r="D11" s="203" t="s">
        <v>39</v>
      </c>
      <c r="E11" s="189">
        <f>-'Cost Buildup'!E21</f>
        <v>-53.909399999999998</v>
      </c>
      <c r="F11" s="171">
        <f>-'Cost Buildup'!F21</f>
        <v>-102.13330000000001</v>
      </c>
      <c r="G11" s="171">
        <f>-'Cost Buildup'!G21</f>
        <v>-137.09039999999999</v>
      </c>
      <c r="H11" s="171">
        <f>-'Cost Buildup'!H21</f>
        <v>-148.33199999999999</v>
      </c>
      <c r="I11" s="171">
        <f>-'Cost Buildup'!I21</f>
        <v>-150.08430000000001</v>
      </c>
      <c r="J11" s="368">
        <f>-'Working Sheet'!J9*'Cost Buildup'!J22</f>
        <v>-158.86321250000003</v>
      </c>
      <c r="K11" s="368">
        <f>-'Working Sheet'!K9*'Cost Buildup'!K22</f>
        <v>-168.29897316380655</v>
      </c>
      <c r="L11" s="368">
        <f>-'Working Sheet'!L9*'Cost Buildup'!L22</f>
        <v>-186.78120295651854</v>
      </c>
      <c r="M11" s="368">
        <f>-'Working Sheet'!M9*'Cost Buildup'!M22</f>
        <v>-194.32466426812496</v>
      </c>
      <c r="N11" s="368">
        <f>-'Working Sheet'!N9*'Cost Buildup'!N22</f>
        <v>-211.81491479617745</v>
      </c>
      <c r="O11" s="368">
        <f>-'Working Sheet'!O9*'Cost Buildup'!O22</f>
        <v>-217.50574720963215</v>
      </c>
      <c r="P11" s="368">
        <f>-'Working Sheet'!P9*'Cost Buildup'!P22</f>
        <v>-233.84440879553841</v>
      </c>
      <c r="Q11" s="368">
        <f>-'Working Sheet'!Q9*'Cost Buildup'!Q22</f>
        <v>-237.77862279916212</v>
      </c>
      <c r="R11" s="368">
        <f>-'Working Sheet'!R9*'Cost Buildup'!R22</f>
        <v>-252.88572003024203</v>
      </c>
      <c r="S11" s="369">
        <f>-'Working Sheet'!S9*'Cost Buildup'!S22</f>
        <v>-255.20304808580471</v>
      </c>
    </row>
    <row r="12" spans="4:19" x14ac:dyDescent="0.3">
      <c r="D12" s="205" t="s">
        <v>244</v>
      </c>
      <c r="E12" s="370">
        <f>'BS Inputs'!E32</f>
        <v>1240.8272999999999</v>
      </c>
      <c r="F12" s="371">
        <f>'BS Inputs'!F32</f>
        <v>1584.9119000000001</v>
      </c>
      <c r="G12" s="371">
        <f>'BS Inputs'!G32</f>
        <v>1577.4435000000001</v>
      </c>
      <c r="H12" s="371">
        <f>'BS Inputs'!H32</f>
        <v>1519.4228000000001</v>
      </c>
      <c r="I12" s="371">
        <f>'BS Inputs'!I32</f>
        <v>1755.7825</v>
      </c>
      <c r="J12" s="372">
        <f t="shared" ref="J12:S12" si="3">SUM(J9:J11)</f>
        <v>1860.0680875000003</v>
      </c>
      <c r="K12" s="372">
        <f t="shared" si="3"/>
        <v>1956.2336583361937</v>
      </c>
      <c r="L12" s="372">
        <f t="shared" si="3"/>
        <v>2035.2393220996755</v>
      </c>
      <c r="M12" s="372">
        <f t="shared" si="3"/>
        <v>2108.0304588851504</v>
      </c>
      <c r="N12" s="372">
        <f t="shared" si="3"/>
        <v>2164.6669241478407</v>
      </c>
      <c r="O12" s="372">
        <f t="shared" si="3"/>
        <v>2216.9548138973705</v>
      </c>
      <c r="P12" s="372">
        <f t="shared" si="3"/>
        <v>2254.2530102457899</v>
      </c>
      <c r="Q12" s="372">
        <f t="shared" si="3"/>
        <v>2288.9727056163056</v>
      </c>
      <c r="R12" s="372">
        <f t="shared" si="3"/>
        <v>2309.9477953465898</v>
      </c>
      <c r="S12" s="373">
        <f t="shared" si="3"/>
        <v>2329.974861070114</v>
      </c>
    </row>
  </sheetData>
  <mergeCells count="1">
    <mergeCell ref="D6:S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04F47-2AAD-4566-8471-0B81C69B5C90}">
  <dimension ref="C1:S31"/>
  <sheetViews>
    <sheetView showGridLines="0" zoomScale="99" zoomScaleNormal="99" workbookViewId="0">
      <selection activeCell="J27" sqref="J27"/>
    </sheetView>
  </sheetViews>
  <sheetFormatPr defaultRowHeight="14.4" customHeight="1" x14ac:dyDescent="0.25"/>
  <cols>
    <col min="1" max="3" width="1.33203125" style="1" customWidth="1"/>
    <col min="4" max="4" width="38" style="1" customWidth="1"/>
    <col min="5" max="19" width="10.77734375" style="1" customWidth="1"/>
    <col min="20" max="16384" width="8.88671875" style="1"/>
  </cols>
  <sheetData>
    <row r="1" spans="3:19" customFormat="1" ht="14.4" customHeight="1" x14ac:dyDescent="0.3"/>
    <row r="2" spans="3:19" customFormat="1" ht="14.4" customHeight="1" x14ac:dyDescent="0.3"/>
    <row r="3" spans="3:19" customFormat="1" ht="14.4" customHeight="1" x14ac:dyDescent="0.3"/>
    <row r="4" spans="3:19" customFormat="1" ht="14.4" customHeight="1" x14ac:dyDescent="0.3"/>
    <row r="5" spans="3:19" customFormat="1" ht="14.4" customHeight="1" x14ac:dyDescent="0.3">
      <c r="R5" s="66" t="s">
        <v>64</v>
      </c>
    </row>
    <row r="6" spans="3:19" customFormat="1" ht="16.8" customHeight="1" x14ac:dyDescent="0.3">
      <c r="D6" s="425" t="s">
        <v>37</v>
      </c>
      <c r="E6" s="425"/>
      <c r="F6" s="425"/>
      <c r="G6" s="425"/>
      <c r="H6" s="425"/>
      <c r="I6" s="425"/>
      <c r="J6" s="425"/>
      <c r="K6" s="425"/>
      <c r="L6" s="425"/>
      <c r="M6" s="425"/>
      <c r="N6" s="425"/>
      <c r="O6" s="425"/>
      <c r="P6" s="425"/>
      <c r="Q6" s="425"/>
      <c r="R6" s="425"/>
      <c r="S6" s="425"/>
    </row>
    <row r="7" spans="3:19" ht="14.4" customHeight="1" x14ac:dyDescent="0.25">
      <c r="E7" s="17">
        <v>2020</v>
      </c>
      <c r="F7" s="3">
        <f t="shared" ref="F7:S7" si="0">E7+1</f>
        <v>2021</v>
      </c>
      <c r="G7" s="3">
        <f t="shared" si="0"/>
        <v>2022</v>
      </c>
      <c r="H7" s="3">
        <f t="shared" si="0"/>
        <v>2023</v>
      </c>
      <c r="I7" s="3">
        <f t="shared" si="0"/>
        <v>2024</v>
      </c>
      <c r="J7" s="3">
        <f t="shared" si="0"/>
        <v>2025</v>
      </c>
      <c r="K7" s="3">
        <f t="shared" si="0"/>
        <v>2026</v>
      </c>
      <c r="L7" s="3">
        <f t="shared" si="0"/>
        <v>2027</v>
      </c>
      <c r="M7" s="3">
        <f t="shared" si="0"/>
        <v>2028</v>
      </c>
      <c r="N7" s="3">
        <f t="shared" si="0"/>
        <v>2029</v>
      </c>
      <c r="O7" s="3">
        <f t="shared" si="0"/>
        <v>2030</v>
      </c>
      <c r="P7" s="3">
        <f t="shared" si="0"/>
        <v>2031</v>
      </c>
      <c r="Q7" s="3">
        <f t="shared" si="0"/>
        <v>2032</v>
      </c>
      <c r="R7" s="3">
        <f t="shared" si="0"/>
        <v>2033</v>
      </c>
      <c r="S7" s="3">
        <f t="shared" si="0"/>
        <v>2034</v>
      </c>
    </row>
    <row r="8" spans="3:19" ht="14.4" customHeight="1" x14ac:dyDescent="0.25">
      <c r="D8" s="5" t="s">
        <v>0</v>
      </c>
      <c r="E8" s="18" t="s">
        <v>8</v>
      </c>
      <c r="F8" s="7" t="s">
        <v>8</v>
      </c>
      <c r="G8" s="7" t="s">
        <v>8</v>
      </c>
      <c r="H8" s="7" t="s">
        <v>8</v>
      </c>
      <c r="I8" s="7" t="s">
        <v>8</v>
      </c>
      <c r="J8" s="54" t="s">
        <v>9</v>
      </c>
      <c r="K8" s="54" t="s">
        <v>9</v>
      </c>
      <c r="L8" s="54" t="s">
        <v>9</v>
      </c>
      <c r="M8" s="54" t="s">
        <v>9</v>
      </c>
      <c r="N8" s="54" t="s">
        <v>9</v>
      </c>
      <c r="O8" s="54" t="s">
        <v>9</v>
      </c>
      <c r="P8" s="54" t="s">
        <v>9</v>
      </c>
      <c r="Q8" s="54" t="s">
        <v>9</v>
      </c>
      <c r="R8" s="54" t="s">
        <v>9</v>
      </c>
      <c r="S8" s="54" t="s">
        <v>9</v>
      </c>
    </row>
    <row r="9" spans="3:19" ht="14.4" customHeight="1" x14ac:dyDescent="0.25">
      <c r="E9" s="19"/>
      <c r="J9" s="26"/>
      <c r="K9" s="26"/>
      <c r="L9" s="26"/>
      <c r="M9" s="26"/>
      <c r="N9" s="26"/>
      <c r="O9" s="26"/>
      <c r="P9" s="26"/>
      <c r="Q9" s="26"/>
      <c r="R9" s="26"/>
      <c r="S9" s="26"/>
    </row>
    <row r="10" spans="3:19" ht="14.4" customHeight="1" x14ac:dyDescent="0.25">
      <c r="D10" s="3" t="s">
        <v>221</v>
      </c>
      <c r="E10" s="247">
        <f>'Income Buildup'!E43</f>
        <v>7929.5260999999991</v>
      </c>
      <c r="F10" s="171">
        <f>'Income Buildup'!F43</f>
        <v>6973.9142999999995</v>
      </c>
      <c r="G10" s="171">
        <f>'Income Buildup'!G43</f>
        <v>7095.8101999999999</v>
      </c>
      <c r="H10" s="171">
        <f>'Income Buildup'!H43</f>
        <v>7992.7314000000006</v>
      </c>
      <c r="I10" s="171">
        <f>'Income Buildup'!I43</f>
        <v>9693.9755999999998</v>
      </c>
      <c r="J10" s="239">
        <f>'Income Buildup'!J43</f>
        <v>11440.560096392497</v>
      </c>
      <c r="K10" s="239">
        <f>'Income Buildup'!K43</f>
        <v>13305.725572308802</v>
      </c>
      <c r="L10" s="239">
        <f>'Income Buildup'!L43</f>
        <v>15258.104771852979</v>
      </c>
      <c r="M10" s="239">
        <f>'Income Buildup'!M43</f>
        <v>17266.781101968936</v>
      </c>
      <c r="N10" s="239">
        <f>'Income Buildup'!N43</f>
        <v>19302.168718046134</v>
      </c>
      <c r="O10" s="239">
        <f>'Income Buildup'!O43</f>
        <v>21336.873118977182</v>
      </c>
      <c r="P10" s="239">
        <f>'Income Buildup'!P43</f>
        <v>23346.384212956902</v>
      </c>
      <c r="Q10" s="239">
        <f>'Income Buildup'!Q43</f>
        <v>25309.541639617102</v>
      </c>
      <c r="R10" s="239">
        <f>'Income Buildup'!R43</f>
        <v>27208.765834516376</v>
      </c>
      <c r="S10" s="239">
        <f>'Income Buildup'!S43</f>
        <v>29030.079742136379</v>
      </c>
    </row>
    <row r="11" spans="3:19" ht="14.4" customHeight="1" x14ac:dyDescent="0.25">
      <c r="C11" s="3" t="s">
        <v>227</v>
      </c>
      <c r="E11" s="247"/>
      <c r="F11" s="171"/>
      <c r="G11" s="171"/>
      <c r="H11" s="171"/>
      <c r="I11" s="171"/>
      <c r="J11" s="191"/>
      <c r="K11" s="191"/>
      <c r="L11" s="191"/>
      <c r="M11" s="191"/>
      <c r="N11" s="191"/>
      <c r="O11" s="191"/>
      <c r="P11" s="191"/>
      <c r="Q11" s="191"/>
      <c r="R11" s="191"/>
      <c r="S11" s="191"/>
    </row>
    <row r="12" spans="3:19" ht="14.4" customHeight="1" x14ac:dyDescent="0.25">
      <c r="D12" s="1" t="s">
        <v>192</v>
      </c>
      <c r="E12" s="247">
        <f>'Cost Buildup'!E12</f>
        <v>5610.7308000000003</v>
      </c>
      <c r="F12" s="171">
        <f>'Cost Buildup'!F12</f>
        <v>4452.6485000000002</v>
      </c>
      <c r="G12" s="171">
        <f>'Cost Buildup'!G12</f>
        <v>4207.7019</v>
      </c>
      <c r="H12" s="171">
        <f>'Cost Buildup'!H12</f>
        <v>4717.8380999999999</v>
      </c>
      <c r="I12" s="171">
        <f>'Cost Buildup'!I12</f>
        <v>6311.8656000000001</v>
      </c>
      <c r="J12" s="191">
        <f>'Cost Buildup'!J12</f>
        <v>7277.1313994058628</v>
      </c>
      <c r="K12" s="191">
        <f>'Cost Buildup'!K12</f>
        <v>8463.5291050704873</v>
      </c>
      <c r="L12" s="191">
        <f>'Cost Buildup'!L12</f>
        <v>9705.4018680158861</v>
      </c>
      <c r="M12" s="191">
        <f>'Cost Buildup'!M12</f>
        <v>10983.084207863863</v>
      </c>
      <c r="N12" s="191">
        <f>'Cost Buildup'!N12</f>
        <v>12277.757109026084</v>
      </c>
      <c r="O12" s="191">
        <f>'Cost Buildup'!O12</f>
        <v>13571.995429507755</v>
      </c>
      <c r="P12" s="191">
        <f>'Cost Buildup'!P12</f>
        <v>14850.208747408633</v>
      </c>
      <c r="Q12" s="191">
        <f>'Cost Buildup'!Q12</f>
        <v>16098.937343837277</v>
      </c>
      <c r="R12" s="191">
        <f>'Cost Buildup'!R12</f>
        <v>17306.999178814298</v>
      </c>
      <c r="S12" s="191">
        <f>'Cost Buildup'!S12</f>
        <v>18465.503702512873</v>
      </c>
    </row>
    <row r="13" spans="3:19" ht="14.4" customHeight="1" x14ac:dyDescent="0.25">
      <c r="D13" s="1" t="s">
        <v>193</v>
      </c>
      <c r="E13" s="247">
        <f>'Cost Buildup'!E15</f>
        <v>1443.29448</v>
      </c>
      <c r="F13" s="171">
        <f>'Cost Buildup'!F15</f>
        <v>1810.1769279999999</v>
      </c>
      <c r="G13" s="171">
        <f>'Cost Buildup'!G15</f>
        <v>1650.5046249999998</v>
      </c>
      <c r="H13" s="171">
        <f>'Cost Buildup'!H15</f>
        <v>1736.3015249999999</v>
      </c>
      <c r="I13" s="171">
        <f>'Cost Buildup'!I15</f>
        <v>2058.3023780000003</v>
      </c>
      <c r="J13" s="191">
        <f>'Cost Buildup'!J15</f>
        <v>2525.4921121473035</v>
      </c>
      <c r="K13" s="191">
        <f>'Cost Buildup'!K15</f>
        <v>2937.2255113504971</v>
      </c>
      <c r="L13" s="191">
        <f>'Cost Buildup'!L15</f>
        <v>3368.2112521556232</v>
      </c>
      <c r="M13" s="191">
        <f>'Cost Buildup'!M15</f>
        <v>3811.6245278014944</v>
      </c>
      <c r="N13" s="191">
        <f>'Cost Buildup'!N15</f>
        <v>4260.9342929052282</v>
      </c>
      <c r="O13" s="191">
        <f>'Cost Buildup'!O15</f>
        <v>4710.0932389539548</v>
      </c>
      <c r="P13" s="191">
        <f>'Cost Buildup'!P15</f>
        <v>5153.6907878815255</v>
      </c>
      <c r="Q13" s="191">
        <f>'Cost Buildup'!Q15</f>
        <v>5587.055811460843</v>
      </c>
      <c r="R13" s="191">
        <f>'Cost Buildup'!R15</f>
        <v>6006.3076385571303</v>
      </c>
      <c r="S13" s="191">
        <f>'Cost Buildup'!S15</f>
        <v>6408.3608482499758</v>
      </c>
    </row>
    <row r="14" spans="3:19" ht="14.4" customHeight="1" x14ac:dyDescent="0.25">
      <c r="D14" s="9" t="s">
        <v>368</v>
      </c>
      <c r="E14" s="247">
        <f>'Cost Buildup'!E27</f>
        <v>20.136399999999998</v>
      </c>
      <c r="F14" s="171">
        <f>'Cost Buildup'!F27</f>
        <v>11.8849</v>
      </c>
      <c r="G14" s="171">
        <f>'Cost Buildup'!G27</f>
        <v>2.4948000000000001</v>
      </c>
      <c r="H14" s="171">
        <f>'Cost Buildup'!H27</f>
        <v>149.48929999999999</v>
      </c>
      <c r="I14" s="171">
        <f>'Cost Buildup'!I27</f>
        <v>291.68709999999999</v>
      </c>
      <c r="J14" s="191">
        <f>'Cost Buildup'!J27</f>
        <v>124.9834350188826</v>
      </c>
      <c r="K14" s="191">
        <f>'Cost Buildup'!K27</f>
        <v>145.35960420068304</v>
      </c>
      <c r="L14" s="191">
        <f>'Cost Buildup'!L27</f>
        <v>166.68854760576966</v>
      </c>
      <c r="M14" s="191">
        <f>'Cost Buildup'!M27</f>
        <v>188.63251411298444</v>
      </c>
      <c r="N14" s="191">
        <f>'Cost Buildup'!N27</f>
        <v>210.86829048309752</v>
      </c>
      <c r="O14" s="191">
        <f>'Cost Buildup'!O27</f>
        <v>233.09660300746327</v>
      </c>
      <c r="P14" s="191">
        <f>'Cost Buildup'!P27</f>
        <v>255.04968896811772</v>
      </c>
      <c r="Q14" s="191">
        <f>'Cost Buildup'!Q27</f>
        <v>276.49638009158735</v>
      </c>
      <c r="R14" s="191">
        <f>'Cost Buildup'!R27</f>
        <v>297.24462683383666</v>
      </c>
      <c r="S14" s="191">
        <f>'Cost Buildup'!S27</f>
        <v>317.14173558586276</v>
      </c>
    </row>
    <row r="15" spans="3:19" ht="14.4" customHeight="1" x14ac:dyDescent="0.25">
      <c r="D15" s="1" t="s">
        <v>293</v>
      </c>
      <c r="E15" s="247">
        <f>'Cost Buildup'!E18</f>
        <v>2087.7130999999999</v>
      </c>
      <c r="F15" s="171">
        <f>'Cost Buildup'!F18</f>
        <v>3504.1208000000001</v>
      </c>
      <c r="G15" s="171">
        <f>'Cost Buildup'!G18</f>
        <v>291.03590000000003</v>
      </c>
      <c r="H15" s="171">
        <f>'Cost Buildup'!H18</f>
        <v>136.90979999999999</v>
      </c>
      <c r="I15" s="171">
        <f>'Cost Buildup'!I18</f>
        <v>535.51700000000005</v>
      </c>
      <c r="J15" s="191">
        <f>'Cost Buildup'!J18</f>
        <v>632.00225314573947</v>
      </c>
      <c r="K15" s="191">
        <f>'Cost Buildup'!K18</f>
        <v>735.03818611902568</v>
      </c>
      <c r="L15" s="191">
        <f>'Cost Buildup'!L18</f>
        <v>842.89200120416979</v>
      </c>
      <c r="M15" s="191">
        <f>'Cost Buildup'!M18</f>
        <v>953.85579631365067</v>
      </c>
      <c r="N15" s="191">
        <f>'Cost Buildup'!N18</f>
        <v>1066.2951828950252</v>
      </c>
      <c r="O15" s="191">
        <f>'Cost Buildup'!O18</f>
        <v>1178.696827136155</v>
      </c>
      <c r="P15" s="191">
        <f>'Cost Buildup'!P18</f>
        <v>1289.7067364776576</v>
      </c>
      <c r="Q15" s="191">
        <f>'Cost Buildup'!Q18</f>
        <v>1398.1559650534743</v>
      </c>
      <c r="R15" s="191">
        <f>'Cost Buildup'!R18</f>
        <v>1503.0733782126197</v>
      </c>
      <c r="S15" s="191">
        <f>'Cost Buildup'!S18</f>
        <v>1603.6868519938969</v>
      </c>
    </row>
    <row r="16" spans="3:19" ht="14.4" customHeight="1" x14ac:dyDescent="0.25">
      <c r="D16" s="3"/>
      <c r="E16" s="248"/>
      <c r="J16" s="223"/>
      <c r="K16" s="223"/>
      <c r="L16" s="223"/>
      <c r="M16" s="223"/>
      <c r="N16" s="223"/>
      <c r="O16" s="223"/>
      <c r="P16" s="223"/>
      <c r="Q16" s="223"/>
      <c r="R16" s="223"/>
      <c r="S16" s="223"/>
    </row>
    <row r="17" spans="4:19" s="3" customFormat="1" ht="14.4" customHeight="1" x14ac:dyDescent="0.25">
      <c r="D17" s="240" t="s">
        <v>228</v>
      </c>
      <c r="E17" s="249">
        <f t="shared" ref="E17:S17" si="1">SUM(E12:E15)</f>
        <v>9161.8747800000001</v>
      </c>
      <c r="F17" s="244">
        <f t="shared" si="1"/>
        <v>9778.8311279999998</v>
      </c>
      <c r="G17" s="244">
        <f t="shared" si="1"/>
        <v>6151.7372249999999</v>
      </c>
      <c r="H17" s="244">
        <f t="shared" si="1"/>
        <v>6740.5387250000003</v>
      </c>
      <c r="I17" s="244">
        <f t="shared" si="1"/>
        <v>9197.3720780000003</v>
      </c>
      <c r="J17" s="243">
        <f t="shared" si="1"/>
        <v>10559.60919971779</v>
      </c>
      <c r="K17" s="243">
        <f t="shared" si="1"/>
        <v>12281.152406740694</v>
      </c>
      <c r="L17" s="243">
        <f t="shared" si="1"/>
        <v>14083.193668981448</v>
      </c>
      <c r="M17" s="243">
        <f t="shared" si="1"/>
        <v>15937.197046091991</v>
      </c>
      <c r="N17" s="243">
        <f t="shared" si="1"/>
        <v>17815.854875309433</v>
      </c>
      <c r="O17" s="243">
        <f t="shared" si="1"/>
        <v>19693.882098605329</v>
      </c>
      <c r="P17" s="243">
        <f t="shared" si="1"/>
        <v>21548.65596073593</v>
      </c>
      <c r="Q17" s="243">
        <f t="shared" si="1"/>
        <v>23360.645500443181</v>
      </c>
      <c r="R17" s="243">
        <f t="shared" si="1"/>
        <v>25113.624822417882</v>
      </c>
      <c r="S17" s="243">
        <f t="shared" si="1"/>
        <v>26794.693138342609</v>
      </c>
    </row>
    <row r="18" spans="4:19" ht="14.4" customHeight="1" x14ac:dyDescent="0.25">
      <c r="E18" s="247"/>
      <c r="F18" s="171"/>
      <c r="G18" s="171"/>
      <c r="H18" s="171"/>
      <c r="I18" s="171"/>
      <c r="J18" s="191"/>
      <c r="K18" s="191"/>
      <c r="L18" s="191"/>
      <c r="M18" s="191"/>
      <c r="N18" s="191"/>
      <c r="O18" s="191"/>
      <c r="P18" s="191"/>
      <c r="Q18" s="191"/>
      <c r="R18" s="191"/>
      <c r="S18" s="191"/>
    </row>
    <row r="19" spans="4:19" ht="14.4" customHeight="1" x14ac:dyDescent="0.25">
      <c r="D19" s="3" t="s">
        <v>38</v>
      </c>
      <c r="E19" s="250">
        <f t="shared" ref="E19:S19" si="2">E10-E17</f>
        <v>-1232.348680000001</v>
      </c>
      <c r="F19" s="167">
        <f t="shared" si="2"/>
        <v>-2804.9168280000004</v>
      </c>
      <c r="G19" s="167">
        <f t="shared" si="2"/>
        <v>944.07297500000004</v>
      </c>
      <c r="H19" s="167">
        <f t="shared" si="2"/>
        <v>1252.1926750000002</v>
      </c>
      <c r="I19" s="167">
        <f t="shared" si="2"/>
        <v>496.60352199999943</v>
      </c>
      <c r="J19" s="221">
        <f t="shared" si="2"/>
        <v>880.95089667470711</v>
      </c>
      <c r="K19" s="221">
        <f t="shared" si="2"/>
        <v>1024.5731655681084</v>
      </c>
      <c r="L19" s="221">
        <f t="shared" si="2"/>
        <v>1174.9111028715306</v>
      </c>
      <c r="M19" s="221">
        <f t="shared" si="2"/>
        <v>1329.5840558769451</v>
      </c>
      <c r="N19" s="221">
        <f t="shared" si="2"/>
        <v>1486.3138427367012</v>
      </c>
      <c r="O19" s="221">
        <f t="shared" si="2"/>
        <v>1642.9910203718537</v>
      </c>
      <c r="P19" s="221">
        <f t="shared" si="2"/>
        <v>1797.7282522209716</v>
      </c>
      <c r="Q19" s="221">
        <f t="shared" si="2"/>
        <v>1948.8961391739213</v>
      </c>
      <c r="R19" s="221">
        <f t="shared" si="2"/>
        <v>2095.1410120984947</v>
      </c>
      <c r="S19" s="221">
        <f t="shared" si="2"/>
        <v>2235.3866037937696</v>
      </c>
    </row>
    <row r="20" spans="4:19" ht="14.4" customHeight="1" x14ac:dyDescent="0.25">
      <c r="D20" s="1" t="s">
        <v>39</v>
      </c>
      <c r="E20" s="247">
        <f>-'Cost Buildup'!E21</f>
        <v>-53.909399999999998</v>
      </c>
      <c r="F20" s="171">
        <f>-'Cost Buildup'!F21</f>
        <v>-102.13330000000001</v>
      </c>
      <c r="G20" s="171">
        <f>-'Cost Buildup'!G21</f>
        <v>-137.09039999999999</v>
      </c>
      <c r="H20" s="171">
        <f>-'Cost Buildup'!H21</f>
        <v>-148.33199999999999</v>
      </c>
      <c r="I20" s="171">
        <f>-'Cost Buildup'!I21</f>
        <v>-150.08430000000001</v>
      </c>
      <c r="J20" s="191">
        <f>-'Cost Buildup'!J21</f>
        <v>-158.86321250000003</v>
      </c>
      <c r="K20" s="191">
        <f>-'Cost Buildup'!K21</f>
        <v>-168.29897316380655</v>
      </c>
      <c r="L20" s="191">
        <f>-'Cost Buildup'!L21</f>
        <v>-186.78120295651854</v>
      </c>
      <c r="M20" s="191">
        <f>-'Cost Buildup'!M21</f>
        <v>-194.32466426812496</v>
      </c>
      <c r="N20" s="191">
        <f>-'Cost Buildup'!N21</f>
        <v>-211.81491479617745</v>
      </c>
      <c r="O20" s="191">
        <f>-'Cost Buildup'!O21</f>
        <v>-217.50574720963215</v>
      </c>
      <c r="P20" s="191">
        <f>-'Cost Buildup'!P21</f>
        <v>-233.84440879553841</v>
      </c>
      <c r="Q20" s="191">
        <f>-'Cost Buildup'!Q21</f>
        <v>-237.77862279916212</v>
      </c>
      <c r="R20" s="191">
        <f>-'Cost Buildup'!R21</f>
        <v>-252.88572003024203</v>
      </c>
      <c r="S20" s="191">
        <f>-'Cost Buildup'!S21</f>
        <v>-255.20304808580471</v>
      </c>
    </row>
    <row r="21" spans="4:19" ht="14.4" customHeight="1" x14ac:dyDescent="0.25">
      <c r="D21" s="240" t="s">
        <v>40</v>
      </c>
      <c r="E21" s="249">
        <f t="shared" ref="E21:S21" si="3">SUM(E19:E20)</f>
        <v>-1286.258080000001</v>
      </c>
      <c r="F21" s="244">
        <f t="shared" si="3"/>
        <v>-2907.0501280000003</v>
      </c>
      <c r="G21" s="244">
        <f t="shared" si="3"/>
        <v>806.982575</v>
      </c>
      <c r="H21" s="244">
        <f t="shared" si="3"/>
        <v>1103.8606750000004</v>
      </c>
      <c r="I21" s="244">
        <f t="shared" si="3"/>
        <v>346.51922199999944</v>
      </c>
      <c r="J21" s="241">
        <f t="shared" si="3"/>
        <v>722.08768417470708</v>
      </c>
      <c r="K21" s="241">
        <f t="shared" si="3"/>
        <v>856.27419240430186</v>
      </c>
      <c r="L21" s="241">
        <f t="shared" si="3"/>
        <v>988.12989991501206</v>
      </c>
      <c r="M21" s="241">
        <f t="shared" si="3"/>
        <v>1135.2593916088201</v>
      </c>
      <c r="N21" s="241">
        <f t="shared" si="3"/>
        <v>1274.4989279405238</v>
      </c>
      <c r="O21" s="241">
        <f t="shared" si="3"/>
        <v>1425.4852731622216</v>
      </c>
      <c r="P21" s="241">
        <f t="shared" si="3"/>
        <v>1563.8838434254333</v>
      </c>
      <c r="Q21" s="241">
        <f t="shared" si="3"/>
        <v>1711.1175163747591</v>
      </c>
      <c r="R21" s="241">
        <f t="shared" si="3"/>
        <v>1842.2552920682526</v>
      </c>
      <c r="S21" s="241">
        <f t="shared" si="3"/>
        <v>1980.1835557079648</v>
      </c>
    </row>
    <row r="22" spans="4:19" ht="14.4" customHeight="1" x14ac:dyDescent="0.25">
      <c r="D22" s="1" t="s">
        <v>286</v>
      </c>
      <c r="E22" s="247">
        <f>-'Cost Buildup'!E24</f>
        <v>-241.11410000000001</v>
      </c>
      <c r="F22" s="171">
        <f>-'Cost Buildup'!F24</f>
        <v>-247.4659</v>
      </c>
      <c r="G22" s="171">
        <f>-'Cost Buildup'!G24</f>
        <v>-234.2987</v>
      </c>
      <c r="H22" s="171">
        <f>-'Cost Buildup'!H24</f>
        <v>-152.02359999999999</v>
      </c>
      <c r="I22" s="171">
        <f>-'Cost Buildup'!I24</f>
        <v>-249.38120000000001</v>
      </c>
      <c r="J22" s="191">
        <f>-'Cost Buildup'!J24</f>
        <v>-190.66784506718722</v>
      </c>
      <c r="K22" s="191">
        <f>-'Cost Buildup'!K24</f>
        <v>-221.75260656403168</v>
      </c>
      <c r="L22" s="191">
        <f>-'Cost Buildup'!L24</f>
        <v>-254.2908679423771</v>
      </c>
      <c r="M22" s="191">
        <f>-'Cost Buildup'!M24</f>
        <v>-287.76737469325218</v>
      </c>
      <c r="N22" s="191">
        <f>-'Cost Buildup'!N24</f>
        <v>-321.68905049968856</v>
      </c>
      <c r="O22" s="191">
        <f>-'Cost Buildup'!O24</f>
        <v>-355.59933987412018</v>
      </c>
      <c r="P22" s="191">
        <f>-'Cost Buildup'!P24</f>
        <v>-389.0897587609137</v>
      </c>
      <c r="Q22" s="191">
        <f>-'Cost Buildup'!Q24</f>
        <v>-421.80764957353006</v>
      </c>
      <c r="R22" s="191">
        <f>-'Cost Buildup'!R24</f>
        <v>-453.46003210461726</v>
      </c>
      <c r="S22" s="191">
        <f>-'Cost Buildup'!S24</f>
        <v>-483.81396539380182</v>
      </c>
    </row>
    <row r="23" spans="4:19" ht="14.4" customHeight="1" x14ac:dyDescent="0.25">
      <c r="D23" s="1" t="s">
        <v>10</v>
      </c>
      <c r="E23" s="247">
        <f>'Income Buildup'!E46</f>
        <v>897.39750000000004</v>
      </c>
      <c r="F23" s="171">
        <f>'Income Buildup'!F46</f>
        <v>902.80190000000005</v>
      </c>
      <c r="G23" s="171">
        <f>'Income Buildup'!G46</f>
        <v>959.37860000000001</v>
      </c>
      <c r="H23" s="171">
        <f>'Income Buildup'!H46</f>
        <v>939.96029999999996</v>
      </c>
      <c r="I23" s="171">
        <f>'Income Buildup'!I46</f>
        <v>1221.4692</v>
      </c>
      <c r="J23" s="191">
        <f>'Income Buildup'!J46</f>
        <v>1373.281721123102</v>
      </c>
      <c r="K23" s="191">
        <f>'Income Buildup'!K46</f>
        <v>1543.9625375497224</v>
      </c>
      <c r="L23" s="191">
        <f>'Income Buildup'!L46</f>
        <v>1735.856729679205</v>
      </c>
      <c r="M23" s="191">
        <f>'Income Buildup'!M46</f>
        <v>1951.6008404935449</v>
      </c>
      <c r="N23" s="191">
        <f>'Income Buildup'!N46</f>
        <v>2194.1591005145833</v>
      </c>
      <c r="O23" s="191">
        <f>'Income Buildup'!O46</f>
        <v>2466.8641550458942</v>
      </c>
      <c r="P23" s="191">
        <f>'Income Buildup'!P46</f>
        <v>2773.4628532740016</v>
      </c>
      <c r="Q23" s="191">
        <f>'Income Buildup'!Q46</f>
        <v>3118.167728351325</v>
      </c>
      <c r="R23" s="191">
        <f>'Income Buildup'!R46</f>
        <v>3505.7148757748628</v>
      </c>
      <c r="S23" s="191">
        <f>'Income Buildup'!S46</f>
        <v>3941.4290252844403</v>
      </c>
    </row>
    <row r="24" spans="4:19" ht="14.4" customHeight="1" x14ac:dyDescent="0.25">
      <c r="D24" s="240" t="s">
        <v>294</v>
      </c>
      <c r="E24" s="251">
        <f t="shared" ref="E24:S24" si="4">SUM(E21:E23)</f>
        <v>-629.97468000000094</v>
      </c>
      <c r="F24" s="245">
        <f t="shared" si="4"/>
        <v>-2251.7141280000005</v>
      </c>
      <c r="G24" s="245">
        <f t="shared" si="4"/>
        <v>1532.0624749999999</v>
      </c>
      <c r="H24" s="245">
        <f t="shared" si="4"/>
        <v>1891.7973750000003</v>
      </c>
      <c r="I24" s="245">
        <f t="shared" si="4"/>
        <v>1318.6072219999994</v>
      </c>
      <c r="J24" s="241">
        <f t="shared" si="4"/>
        <v>1904.7015602306219</v>
      </c>
      <c r="K24" s="241">
        <f t="shared" si="4"/>
        <v>2178.4841233899924</v>
      </c>
      <c r="L24" s="241">
        <f t="shared" si="4"/>
        <v>2469.6957616518403</v>
      </c>
      <c r="M24" s="241">
        <f t="shared" si="4"/>
        <v>2799.0928574091131</v>
      </c>
      <c r="N24" s="241">
        <f t="shared" si="4"/>
        <v>3146.9689779554183</v>
      </c>
      <c r="O24" s="241">
        <f t="shared" si="4"/>
        <v>3536.7500883339953</v>
      </c>
      <c r="P24" s="241">
        <f t="shared" si="4"/>
        <v>3948.2569379385213</v>
      </c>
      <c r="Q24" s="241">
        <f t="shared" si="4"/>
        <v>4407.4775951525535</v>
      </c>
      <c r="R24" s="241">
        <f t="shared" si="4"/>
        <v>4894.5101357384983</v>
      </c>
      <c r="S24" s="241">
        <f t="shared" si="4"/>
        <v>5437.7986155986036</v>
      </c>
    </row>
    <row r="25" spans="4:19" ht="14.4" customHeight="1" thickBot="1" x14ac:dyDescent="0.3">
      <c r="D25" s="1" t="s">
        <v>288</v>
      </c>
      <c r="E25" s="247">
        <f>-'P&amp;L Inputs'!E21</f>
        <v>-360.82362000000001</v>
      </c>
      <c r="F25" s="171">
        <f>-'P&amp;L Inputs'!F21</f>
        <v>-481.18627199999997</v>
      </c>
      <c r="G25" s="171">
        <f>-'P&amp;L Inputs'!G21</f>
        <v>-493.00787500000001</v>
      </c>
      <c r="H25" s="171">
        <f>-'P&amp;L Inputs'!H21</f>
        <v>-578.76717499999995</v>
      </c>
      <c r="I25" s="171">
        <f>-'P&amp;L Inputs'!I21</f>
        <v>-723.18732199999999</v>
      </c>
      <c r="J25" s="191">
        <f>-'Cost Buildup'!J30</f>
        <v>-571.41046806918655</v>
      </c>
      <c r="K25" s="191">
        <f>-'Cost Buildup'!K30</f>
        <v>-653.5452370169977</v>
      </c>
      <c r="L25" s="191">
        <f>-'Cost Buildup'!L30</f>
        <v>-740.90872849555205</v>
      </c>
      <c r="M25" s="191">
        <f>-'Cost Buildup'!M30</f>
        <v>-839.72785722273386</v>
      </c>
      <c r="N25" s="191">
        <f>-'Cost Buildup'!N30</f>
        <v>-944.09069338662539</v>
      </c>
      <c r="O25" s="191">
        <f>-'Cost Buildup'!O30</f>
        <v>-1061.0250265001985</v>
      </c>
      <c r="P25" s="191">
        <f>-'Cost Buildup'!P30</f>
        <v>-1184.4770813815564</v>
      </c>
      <c r="Q25" s="191">
        <f>-'Cost Buildup'!Q30</f>
        <v>-1322.2432785457661</v>
      </c>
      <c r="R25" s="191">
        <f>-'Cost Buildup'!R30</f>
        <v>-1468.3530407215494</v>
      </c>
      <c r="S25" s="191">
        <f>-'Cost Buildup'!S30</f>
        <v>-1631.3395846795811</v>
      </c>
    </row>
    <row r="26" spans="4:19" ht="14.4" customHeight="1" thickTop="1" thickBot="1" x14ac:dyDescent="0.3">
      <c r="D26" s="242" t="s">
        <v>295</v>
      </c>
      <c r="E26" s="252">
        <f t="shared" ref="E26:S26" si="5">SUM(E24:E25)</f>
        <v>-990.79830000000095</v>
      </c>
      <c r="F26" s="246">
        <f t="shared" si="5"/>
        <v>-2732.9004000000004</v>
      </c>
      <c r="G26" s="246">
        <f t="shared" si="5"/>
        <v>1039.0545999999999</v>
      </c>
      <c r="H26" s="246">
        <f t="shared" si="5"/>
        <v>1313.0302000000004</v>
      </c>
      <c r="I26" s="246">
        <f t="shared" si="5"/>
        <v>595.41989999999942</v>
      </c>
      <c r="J26" s="270">
        <f t="shared" si="5"/>
        <v>1333.2910921614352</v>
      </c>
      <c r="K26" s="270">
        <f t="shared" si="5"/>
        <v>1524.9388863729946</v>
      </c>
      <c r="L26" s="270">
        <f t="shared" si="5"/>
        <v>1728.7870331562881</v>
      </c>
      <c r="M26" s="270">
        <f t="shared" si="5"/>
        <v>1959.3650001863793</v>
      </c>
      <c r="N26" s="270">
        <f t="shared" si="5"/>
        <v>2202.8782845687929</v>
      </c>
      <c r="O26" s="270">
        <f t="shared" si="5"/>
        <v>2475.7250618337966</v>
      </c>
      <c r="P26" s="270">
        <f t="shared" si="5"/>
        <v>2763.7798565569647</v>
      </c>
      <c r="Q26" s="270">
        <f t="shared" si="5"/>
        <v>3085.2343166067876</v>
      </c>
      <c r="R26" s="270">
        <f t="shared" si="5"/>
        <v>3426.1570950169489</v>
      </c>
      <c r="S26" s="270">
        <f t="shared" si="5"/>
        <v>3806.4590309190226</v>
      </c>
    </row>
    <row r="27" spans="4:19" ht="14.4" customHeight="1" thickTop="1" x14ac:dyDescent="0.25"/>
    <row r="28" spans="4:19" ht="14.4" customHeight="1" x14ac:dyDescent="0.25">
      <c r="D28" s="14" t="s">
        <v>300</v>
      </c>
      <c r="E28" s="20">
        <v>0</v>
      </c>
      <c r="F28" s="20">
        <v>0</v>
      </c>
      <c r="G28" s="20">
        <v>0</v>
      </c>
      <c r="H28" s="20">
        <v>210.1114</v>
      </c>
      <c r="I28" s="20">
        <v>325.33</v>
      </c>
      <c r="J28" s="11">
        <f t="shared" ref="J28:S28" si="6">J26*J29</f>
        <v>470.92358017452904</v>
      </c>
      <c r="K28" s="11">
        <f t="shared" si="6"/>
        <v>538.6143237137735</v>
      </c>
      <c r="L28" s="11">
        <f t="shared" si="6"/>
        <v>610.61427905698986</v>
      </c>
      <c r="M28" s="11">
        <f t="shared" si="6"/>
        <v>692.05531048782734</v>
      </c>
      <c r="N28" s="11">
        <f t="shared" si="6"/>
        <v>778.06514613108493</v>
      </c>
      <c r="O28" s="11">
        <f t="shared" si="6"/>
        <v>874.43568512600098</v>
      </c>
      <c r="P28" s="11">
        <f t="shared" si="6"/>
        <v>976.17775481729734</v>
      </c>
      <c r="Q28" s="11">
        <f t="shared" si="6"/>
        <v>1089.7167157236704</v>
      </c>
      <c r="R28" s="11">
        <f t="shared" si="6"/>
        <v>1210.1319621134826</v>
      </c>
      <c r="S28" s="11">
        <f t="shared" si="6"/>
        <v>1344.4560795213142</v>
      </c>
    </row>
    <row r="29" spans="4:19" ht="14.4" customHeight="1" x14ac:dyDescent="0.25">
      <c r="D29" s="402" t="s">
        <v>352</v>
      </c>
      <c r="E29" s="168">
        <f>E28/E26</f>
        <v>0</v>
      </c>
      <c r="F29" s="168">
        <f>F28/F26</f>
        <v>0</v>
      </c>
      <c r="G29" s="168">
        <f>G28/G26</f>
        <v>0</v>
      </c>
      <c r="H29" s="168">
        <f>H28/H26</f>
        <v>0.16002023411190386</v>
      </c>
      <c r="I29" s="168">
        <f>I28/I26</f>
        <v>0.54638751576828437</v>
      </c>
      <c r="J29" s="424">
        <f>AVERAGE(H29:I29)</f>
        <v>0.35320387494009409</v>
      </c>
      <c r="K29" s="424">
        <f t="shared" ref="K29:S29" si="7">J29</f>
        <v>0.35320387494009409</v>
      </c>
      <c r="L29" s="424">
        <f t="shared" si="7"/>
        <v>0.35320387494009409</v>
      </c>
      <c r="M29" s="424">
        <f t="shared" si="7"/>
        <v>0.35320387494009409</v>
      </c>
      <c r="N29" s="424">
        <f t="shared" si="7"/>
        <v>0.35320387494009409</v>
      </c>
      <c r="O29" s="424">
        <f t="shared" si="7"/>
        <v>0.35320387494009409</v>
      </c>
      <c r="P29" s="424">
        <f t="shared" si="7"/>
        <v>0.35320387494009409</v>
      </c>
      <c r="Q29" s="424">
        <f t="shared" si="7"/>
        <v>0.35320387494009409</v>
      </c>
      <c r="R29" s="424">
        <f t="shared" si="7"/>
        <v>0.35320387494009409</v>
      </c>
      <c r="S29" s="424">
        <f t="shared" si="7"/>
        <v>0.35320387494009409</v>
      </c>
    </row>
    <row r="30" spans="4:19" ht="14.4" customHeight="1" x14ac:dyDescent="0.25">
      <c r="E30" s="11"/>
      <c r="F30" s="11"/>
      <c r="G30" s="11"/>
      <c r="H30" s="11"/>
      <c r="I30" s="11"/>
    </row>
    <row r="31" spans="4:19" ht="14.4" customHeight="1" x14ac:dyDescent="0.25">
      <c r="D31" s="14"/>
    </row>
  </sheetData>
  <mergeCells count="1">
    <mergeCell ref="D6:S6"/>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F71C9-75EB-4744-AB13-87225924945C}">
  <dimension ref="B5:S43"/>
  <sheetViews>
    <sheetView showGridLines="0" topLeftCell="A2" zoomScale="99" zoomScaleNormal="99" workbookViewId="0">
      <selection activeCell="E24" sqref="E24"/>
    </sheetView>
  </sheetViews>
  <sheetFormatPr defaultRowHeight="14.4" customHeight="1" x14ac:dyDescent="0.25"/>
  <cols>
    <col min="1" max="3" width="1.33203125" style="1" customWidth="1"/>
    <col min="4" max="4" width="35.77734375" style="1" customWidth="1"/>
    <col min="5" max="19" width="10.77734375" style="1" customWidth="1"/>
    <col min="20" max="16384" width="8.88671875" style="1"/>
  </cols>
  <sheetData>
    <row r="5" spans="2:19" ht="14.4" customHeight="1" x14ac:dyDescent="0.25">
      <c r="R5" s="66" t="s">
        <v>64</v>
      </c>
    </row>
    <row r="6" spans="2:19" ht="16.8" customHeight="1" x14ac:dyDescent="0.25">
      <c r="D6" s="425" t="s">
        <v>43</v>
      </c>
      <c r="E6" s="425"/>
      <c r="F6" s="425"/>
      <c r="G6" s="425"/>
      <c r="H6" s="425"/>
      <c r="I6" s="425"/>
      <c r="J6" s="425"/>
      <c r="K6" s="425"/>
      <c r="L6" s="425"/>
      <c r="M6" s="425"/>
      <c r="N6" s="425"/>
      <c r="O6" s="425"/>
      <c r="P6" s="425"/>
      <c r="Q6" s="425"/>
      <c r="R6" s="425"/>
      <c r="S6" s="425"/>
    </row>
    <row r="7" spans="2:19" ht="14.4" customHeight="1" x14ac:dyDescent="0.25">
      <c r="E7" s="17">
        <v>2020</v>
      </c>
      <c r="F7" s="3">
        <f t="shared" ref="F7:S7" si="0">E7+1</f>
        <v>2021</v>
      </c>
      <c r="G7" s="3">
        <f t="shared" si="0"/>
        <v>2022</v>
      </c>
      <c r="H7" s="3">
        <f t="shared" si="0"/>
        <v>2023</v>
      </c>
      <c r="I7" s="3">
        <f t="shared" si="0"/>
        <v>2024</v>
      </c>
      <c r="J7" s="3">
        <f t="shared" si="0"/>
        <v>2025</v>
      </c>
      <c r="K7" s="3">
        <f t="shared" si="0"/>
        <v>2026</v>
      </c>
      <c r="L7" s="3">
        <f t="shared" si="0"/>
        <v>2027</v>
      </c>
      <c r="M7" s="3">
        <f t="shared" si="0"/>
        <v>2028</v>
      </c>
      <c r="N7" s="3">
        <f t="shared" si="0"/>
        <v>2029</v>
      </c>
      <c r="O7" s="3">
        <f t="shared" si="0"/>
        <v>2030</v>
      </c>
      <c r="P7" s="3">
        <f t="shared" si="0"/>
        <v>2031</v>
      </c>
      <c r="Q7" s="3">
        <f t="shared" si="0"/>
        <v>2032</v>
      </c>
      <c r="R7" s="3">
        <f t="shared" si="0"/>
        <v>2033</v>
      </c>
      <c r="S7" s="3">
        <f t="shared" si="0"/>
        <v>2034</v>
      </c>
    </row>
    <row r="8" spans="2:19" ht="14.4" customHeight="1" x14ac:dyDescent="0.25">
      <c r="D8" s="5" t="s">
        <v>0</v>
      </c>
      <c r="E8" s="18" t="s">
        <v>8</v>
      </c>
      <c r="F8" s="7" t="s">
        <v>8</v>
      </c>
      <c r="G8" s="7" t="s">
        <v>8</v>
      </c>
      <c r="H8" s="7" t="s">
        <v>8</v>
      </c>
      <c r="I8" s="7" t="s">
        <v>8</v>
      </c>
      <c r="J8" s="54" t="s">
        <v>9</v>
      </c>
      <c r="K8" s="54" t="s">
        <v>9</v>
      </c>
      <c r="L8" s="54" t="s">
        <v>9</v>
      </c>
      <c r="M8" s="54" t="s">
        <v>9</v>
      </c>
      <c r="N8" s="54" t="s">
        <v>9</v>
      </c>
      <c r="O8" s="54" t="s">
        <v>9</v>
      </c>
      <c r="P8" s="54" t="s">
        <v>9</v>
      </c>
      <c r="Q8" s="54" t="s">
        <v>9</v>
      </c>
      <c r="R8" s="54" t="s">
        <v>9</v>
      </c>
      <c r="S8" s="54" t="s">
        <v>9</v>
      </c>
    </row>
    <row r="9" spans="2:19" ht="14.4" customHeight="1" x14ac:dyDescent="0.25">
      <c r="E9" s="77"/>
      <c r="J9" s="26"/>
      <c r="K9" s="26"/>
      <c r="L9" s="26"/>
      <c r="M9" s="26"/>
      <c r="N9" s="26"/>
      <c r="O9" s="26"/>
      <c r="P9" s="26"/>
      <c r="Q9" s="26"/>
      <c r="R9" s="26"/>
      <c r="S9" s="26"/>
    </row>
    <row r="10" spans="2:19" ht="14.4" customHeight="1" x14ac:dyDescent="0.25">
      <c r="B10" s="56" t="s">
        <v>1</v>
      </c>
      <c r="C10" s="55"/>
      <c r="D10" s="55"/>
      <c r="E10" s="19"/>
      <c r="G10" s="11"/>
      <c r="J10" s="26"/>
      <c r="K10" s="26"/>
      <c r="L10" s="26"/>
      <c r="M10" s="26"/>
      <c r="N10" s="26"/>
      <c r="O10" s="26"/>
      <c r="P10" s="26"/>
      <c r="Q10" s="26"/>
      <c r="R10" s="26"/>
      <c r="S10" s="26"/>
    </row>
    <row r="11" spans="2:19" ht="14.4" customHeight="1" x14ac:dyDescent="0.25">
      <c r="B11" s="55"/>
      <c r="C11" s="56" t="s">
        <v>3</v>
      </c>
      <c r="E11" s="19"/>
      <c r="J11" s="26"/>
      <c r="K11" s="26"/>
      <c r="L11" s="26"/>
      <c r="M11" s="26"/>
      <c r="N11" s="26"/>
      <c r="O11" s="26"/>
      <c r="P11" s="26"/>
      <c r="Q11" s="26"/>
      <c r="R11" s="26"/>
      <c r="S11" s="26"/>
    </row>
    <row r="12" spans="2:19" ht="14.4" customHeight="1" x14ac:dyDescent="0.25">
      <c r="B12" s="55"/>
      <c r="C12" s="55"/>
      <c r="D12" s="55" t="s">
        <v>233</v>
      </c>
      <c r="E12" s="189">
        <f>'BS Inputs'!E24</f>
        <v>9488.4014999999999</v>
      </c>
      <c r="F12" s="171">
        <f>'BS Inputs'!F24</f>
        <v>7208.5155000000004</v>
      </c>
      <c r="G12" s="171">
        <f>'BS Inputs'!G24</f>
        <v>6139.2384000000002</v>
      </c>
      <c r="H12" s="171">
        <f>'BS Inputs'!H24</f>
        <v>6225.4008000000003</v>
      </c>
      <c r="I12" s="171">
        <f>'BS Inputs'!I24</f>
        <v>7312.4645</v>
      </c>
      <c r="J12" s="38">
        <f>'BS Items'!J11</f>
        <v>25868.173833928799</v>
      </c>
      <c r="K12" s="38">
        <f>'BS Items'!K11</f>
        <v>27119.134973632492</v>
      </c>
      <c r="L12" s="38">
        <f>'BS Items'!L11</f>
        <v>28381.262608591293</v>
      </c>
      <c r="M12" s="38">
        <f>'BS Items'!M11</f>
        <v>29598.298663186404</v>
      </c>
      <c r="N12" s="38">
        <f>'BS Items'!N11</f>
        <v>30741.739578099514</v>
      </c>
      <c r="O12" s="38">
        <f>'BS Items'!O11</f>
        <v>31758.47625954973</v>
      </c>
      <c r="P12" s="38">
        <f>'BS Items'!P11</f>
        <v>32626.50364519516</v>
      </c>
      <c r="Q12" s="38">
        <f>'BS Items'!Q11</f>
        <v>33298.476598531473</v>
      </c>
      <c r="R12" s="38">
        <f>'BS Items'!R11</f>
        <v>33759.886890274589</v>
      </c>
      <c r="S12" s="38">
        <f>'BS Items'!S11</f>
        <v>33969.534518483502</v>
      </c>
    </row>
    <row r="13" spans="2:19" ht="14.4" customHeight="1" x14ac:dyDescent="0.25">
      <c r="B13" s="55"/>
      <c r="C13" s="55"/>
      <c r="D13" s="55" t="s">
        <v>234</v>
      </c>
      <c r="E13" s="189">
        <f>'BS Inputs'!E25</f>
        <v>89.852900000000005</v>
      </c>
      <c r="F13" s="171">
        <f>'BS Inputs'!F25</f>
        <v>1130.9329</v>
      </c>
      <c r="G13" s="171">
        <f>'BS Inputs'!G25</f>
        <v>148.98580000000001</v>
      </c>
      <c r="H13" s="171">
        <f>'BS Inputs'!H25</f>
        <v>71.320800000000006</v>
      </c>
      <c r="I13" s="171">
        <f>'BS Inputs'!I25</f>
        <v>70.547399999999996</v>
      </c>
      <c r="J13" s="38">
        <f>'BS Items'!J12</f>
        <v>70.547399999999996</v>
      </c>
      <c r="K13" s="38">
        <f>'BS Items'!K12</f>
        <v>70.547399999999996</v>
      </c>
      <c r="L13" s="38">
        <f>'BS Items'!L12</f>
        <v>70.547399999999996</v>
      </c>
      <c r="M13" s="38">
        <f>'BS Items'!M12</f>
        <v>70.547399999999996</v>
      </c>
      <c r="N13" s="38">
        <f>'BS Items'!N12</f>
        <v>70.547399999999996</v>
      </c>
      <c r="O13" s="38">
        <f>'BS Items'!O12</f>
        <v>70.547399999999996</v>
      </c>
      <c r="P13" s="38">
        <f>'BS Items'!P12</f>
        <v>70.547399999999996</v>
      </c>
      <c r="Q13" s="38">
        <f>'BS Items'!Q12</f>
        <v>70.547399999999996</v>
      </c>
      <c r="R13" s="38">
        <f>'BS Items'!R12</f>
        <v>70.547399999999996</v>
      </c>
      <c r="S13" s="38">
        <f>'BS Items'!S12</f>
        <v>70.547399999999996</v>
      </c>
    </row>
    <row r="14" spans="2:19" ht="14.4" customHeight="1" x14ac:dyDescent="0.25">
      <c r="B14" s="55"/>
      <c r="C14" s="55"/>
      <c r="D14" s="55" t="s">
        <v>203</v>
      </c>
      <c r="E14" s="189">
        <f>'BS Inputs'!E27</f>
        <v>41.715699999999998</v>
      </c>
      <c r="F14" s="171">
        <f>'BS Inputs'!F27</f>
        <v>2012.6351</v>
      </c>
      <c r="G14" s="171">
        <f>'BS Inputs'!G27</f>
        <v>42429.859700000001</v>
      </c>
      <c r="H14" s="171">
        <f>'BS Inputs'!H27</f>
        <v>408.16719999999998</v>
      </c>
      <c r="I14" s="171">
        <f>'BS Inputs'!I27</f>
        <v>984.22699999999998</v>
      </c>
      <c r="J14" s="38">
        <f>'BS Items'!J13</f>
        <v>1161.5573018351829</v>
      </c>
      <c r="K14" s="38">
        <f>'BS Items'!K13</f>
        <v>1350.9271018648712</v>
      </c>
      <c r="L14" s="38">
        <f>'BS Items'!L13</f>
        <v>1549.1516901782322</v>
      </c>
      <c r="M14" s="38">
        <f>'BS Items'!M13</f>
        <v>1753.0921125536545</v>
      </c>
      <c r="N14" s="38">
        <f>'BS Items'!N13</f>
        <v>1959.744525337612</v>
      </c>
      <c r="O14" s="38">
        <f>'BS Items'!O13</f>
        <v>2166.3275714528882</v>
      </c>
      <c r="P14" s="38">
        <f>'BS Items'!P13</f>
        <v>2370.3527472016676</v>
      </c>
      <c r="Q14" s="38">
        <f>'BS Items'!Q13</f>
        <v>2569.6716463094276</v>
      </c>
      <c r="R14" s="38">
        <f>'BS Items'!R13</f>
        <v>2762.4994198467502</v>
      </c>
      <c r="S14" s="38">
        <f>'BS Items'!S13</f>
        <v>2947.4169807445837</v>
      </c>
    </row>
    <row r="15" spans="2:19" ht="14.4" customHeight="1" x14ac:dyDescent="0.25">
      <c r="B15" s="55"/>
      <c r="C15" s="55"/>
      <c r="D15" s="55" t="s">
        <v>229</v>
      </c>
      <c r="E15" s="189">
        <f>'BS Inputs'!E30</f>
        <v>17523.572459999999</v>
      </c>
      <c r="F15" s="171">
        <f>'BS Inputs'!F30</f>
        <v>18282.51066</v>
      </c>
      <c r="G15" s="171">
        <f>'BS Inputs'!G30</f>
        <v>19087.968629999999</v>
      </c>
      <c r="H15" s="171">
        <f>'BS Inputs'!H30</f>
        <v>23045.828669999999</v>
      </c>
      <c r="I15" s="171">
        <f>'BS Inputs'!I30</f>
        <v>24820.91286</v>
      </c>
      <c r="J15" s="38">
        <f>'BS Items'!J15</f>
        <v>29666.058782819124</v>
      </c>
      <c r="K15" s="38">
        <f>'BS Items'!K15</f>
        <v>34502.544774939874</v>
      </c>
      <c r="L15" s="38">
        <f>'BS Items'!L15</f>
        <v>39565.181185397989</v>
      </c>
      <c r="M15" s="38">
        <f>'BS Items'!M15</f>
        <v>44773.799433351385</v>
      </c>
      <c r="N15" s="38">
        <f>'BS Items'!N15</f>
        <v>50051.681648524413</v>
      </c>
      <c r="O15" s="38">
        <f>'BS Items'!O15</f>
        <v>55327.79224582942</v>
      </c>
      <c r="P15" s="38">
        <f>'BS Items'!P15</f>
        <v>60538.575086568788</v>
      </c>
      <c r="Q15" s="38">
        <f>'BS Items'!Q15</f>
        <v>65629.160086650532</v>
      </c>
      <c r="R15" s="38">
        <f>'BS Items'!R15</f>
        <v>70553.962380674624</v>
      </c>
      <c r="S15" s="38">
        <f>'BS Items'!S15</f>
        <v>75276.738625035097</v>
      </c>
    </row>
    <row r="16" spans="2:19" ht="14.4" customHeight="1" x14ac:dyDescent="0.25">
      <c r="B16" s="55"/>
      <c r="C16" s="55"/>
      <c r="D16" s="56"/>
      <c r="E16" s="19"/>
      <c r="J16" s="26"/>
      <c r="K16" s="26"/>
      <c r="L16" s="26"/>
      <c r="M16" s="26"/>
      <c r="N16" s="26"/>
      <c r="O16" s="26"/>
      <c r="P16" s="26"/>
      <c r="Q16" s="26"/>
      <c r="R16" s="26"/>
      <c r="S16" s="26"/>
    </row>
    <row r="17" spans="2:19" ht="14.4" customHeight="1" x14ac:dyDescent="0.25">
      <c r="B17" s="55"/>
      <c r="C17" s="56" t="s">
        <v>2</v>
      </c>
      <c r="D17" s="55"/>
      <c r="E17" s="19"/>
      <c r="J17" s="26"/>
      <c r="K17" s="26"/>
      <c r="L17" s="26"/>
      <c r="M17" s="26"/>
      <c r="N17" s="26"/>
      <c r="O17" s="26"/>
      <c r="P17" s="26"/>
      <c r="Q17" s="26"/>
      <c r="R17" s="26"/>
      <c r="S17" s="26"/>
    </row>
    <row r="18" spans="2:19" ht="14.4" customHeight="1" x14ac:dyDescent="0.25">
      <c r="B18" s="55"/>
      <c r="C18" s="55"/>
      <c r="D18" s="55" t="s">
        <v>203</v>
      </c>
      <c r="E18" s="189">
        <f>'BS Inputs'!E28</f>
        <v>24510.380099999998</v>
      </c>
      <c r="F18" s="171">
        <f>'BS Inputs'!F28</f>
        <v>30010.138299999999</v>
      </c>
      <c r="G18" s="171">
        <f>'BS Inputs'!G28</f>
        <v>-148.98580000000001</v>
      </c>
      <c r="H18" s="171">
        <f>'BS Inputs'!H28</f>
        <v>44430.252099999998</v>
      </c>
      <c r="I18" s="171">
        <f>'BS Inputs'!I28</f>
        <v>48614.929900000003</v>
      </c>
      <c r="J18" s="38">
        <f>'BS Items'!J22</f>
        <v>41064.802769011483</v>
      </c>
      <c r="K18" s="38">
        <f>'BS Items'!K22</f>
        <v>47759.636916530544</v>
      </c>
      <c r="L18" s="38">
        <f>'BS Items'!L22</f>
        <v>54767.516433275799</v>
      </c>
      <c r="M18" s="38">
        <f>'BS Items'!M22</f>
        <v>61977.469147828953</v>
      </c>
      <c r="N18" s="38">
        <f>'BS Items'!N22</f>
        <v>69283.299483797775</v>
      </c>
      <c r="O18" s="38">
        <f>'BS Items'!O22</f>
        <v>76586.677483955311</v>
      </c>
      <c r="P18" s="38">
        <f>'BS Items'!P22</f>
        <v>83799.626504033295</v>
      </c>
      <c r="Q18" s="38">
        <f>'BS Items'!Q22</f>
        <v>90846.193442285017</v>
      </c>
      <c r="R18" s="38">
        <f>'BS Items'!R22</f>
        <v>97663.278123503202</v>
      </c>
      <c r="S18" s="38">
        <f>'BS Items'!S22</f>
        <v>104200.71123575588</v>
      </c>
    </row>
    <row r="19" spans="2:19" ht="14.4" customHeight="1" x14ac:dyDescent="0.25">
      <c r="B19" s="55"/>
      <c r="C19" s="55"/>
      <c r="D19" s="55" t="s">
        <v>229</v>
      </c>
      <c r="E19" s="189">
        <f>'BS Inputs'!E31</f>
        <v>40888.33574000001</v>
      </c>
      <c r="F19" s="171">
        <f>'BS Inputs'!F31</f>
        <v>42659.19154</v>
      </c>
      <c r="G19" s="171">
        <f>'BS Inputs'!G31</f>
        <v>44538.593469999993</v>
      </c>
      <c r="H19" s="171">
        <f>'BS Inputs'!H31</f>
        <v>53773.600229999996</v>
      </c>
      <c r="I19" s="171">
        <f>'BS Inputs'!I31</f>
        <v>57915.463340000002</v>
      </c>
      <c r="J19" s="38">
        <f>'BS Items'!J20</f>
        <v>69220.803826577947</v>
      </c>
      <c r="K19" s="38">
        <f>'BS Items'!K20</f>
        <v>80505.937808193019</v>
      </c>
      <c r="L19" s="38">
        <f>'BS Items'!L20</f>
        <v>92318.756099261955</v>
      </c>
      <c r="M19" s="38">
        <f>'BS Items'!M20</f>
        <v>104472.19867781988</v>
      </c>
      <c r="N19" s="38">
        <f>'BS Items'!N20</f>
        <v>116787.25717989028</v>
      </c>
      <c r="O19" s="38">
        <f>'BS Items'!O20</f>
        <v>129098.18190693529</v>
      </c>
      <c r="P19" s="38">
        <f>'BS Items'!P20</f>
        <v>141256.67520199381</v>
      </c>
      <c r="Q19" s="38">
        <f>'BS Items'!Q20</f>
        <v>153134.70686885121</v>
      </c>
      <c r="R19" s="38">
        <f>'BS Items'!R20</f>
        <v>164625.91222157408</v>
      </c>
      <c r="S19" s="38">
        <f>'BS Items'!S20</f>
        <v>175645.72345841522</v>
      </c>
    </row>
    <row r="20" spans="2:19" ht="14.4" customHeight="1" x14ac:dyDescent="0.25">
      <c r="B20" s="55"/>
      <c r="C20" s="55"/>
      <c r="D20" s="55" t="s">
        <v>231</v>
      </c>
      <c r="E20" s="189">
        <f>'Working Sheet'!E12</f>
        <v>1240.8272999999999</v>
      </c>
      <c r="F20" s="171">
        <f>'Working Sheet'!F12</f>
        <v>1584.9119000000001</v>
      </c>
      <c r="G20" s="171">
        <f>'Working Sheet'!G12</f>
        <v>1577.4435000000001</v>
      </c>
      <c r="H20" s="171">
        <f>'Working Sheet'!H12</f>
        <v>1519.4228000000001</v>
      </c>
      <c r="I20" s="171">
        <f>'Working Sheet'!I12</f>
        <v>1755.7825</v>
      </c>
      <c r="J20" s="38">
        <f>'Working Sheet'!J12</f>
        <v>1860.0680875000003</v>
      </c>
      <c r="K20" s="38">
        <f>'Working Sheet'!K12</f>
        <v>1956.2336583361937</v>
      </c>
      <c r="L20" s="38">
        <f>'Working Sheet'!L12</f>
        <v>2035.2393220996755</v>
      </c>
      <c r="M20" s="38">
        <f>'Working Sheet'!M12</f>
        <v>2108.0304588851504</v>
      </c>
      <c r="N20" s="38">
        <f>'Working Sheet'!N12</f>
        <v>2164.6669241478407</v>
      </c>
      <c r="O20" s="38">
        <f>'Working Sheet'!O12</f>
        <v>2216.9548138973705</v>
      </c>
      <c r="P20" s="38">
        <f>'Working Sheet'!P12</f>
        <v>2254.2530102457899</v>
      </c>
      <c r="Q20" s="38">
        <f>'Working Sheet'!Q12</f>
        <v>2288.9727056163056</v>
      </c>
      <c r="R20" s="38">
        <f>'Working Sheet'!R12</f>
        <v>2309.9477953465898</v>
      </c>
      <c r="S20" s="38">
        <f>'Working Sheet'!S12</f>
        <v>2329.974861070114</v>
      </c>
    </row>
    <row r="21" spans="2:19" ht="14.4" customHeight="1" x14ac:dyDescent="0.25">
      <c r="B21" s="55"/>
      <c r="C21" s="55"/>
      <c r="D21" s="55" t="s">
        <v>232</v>
      </c>
      <c r="E21" s="189">
        <f>'BS Inputs'!E33</f>
        <v>6720.7213000000002</v>
      </c>
      <c r="F21" s="171">
        <f>'BS Inputs'!F33</f>
        <v>7593.0493999999999</v>
      </c>
      <c r="G21" s="171">
        <f>'BS Inputs'!G33</f>
        <v>7294.4426999999996</v>
      </c>
      <c r="H21" s="171">
        <f>'BS Inputs'!H33</f>
        <v>6980.5244000000002</v>
      </c>
      <c r="I21" s="171">
        <f>'BS Inputs'!I33</f>
        <v>6182.1984000000002</v>
      </c>
      <c r="J21" s="38">
        <f>'BS Items'!J25</f>
        <v>7296.058422410465</v>
      </c>
      <c r="K21" s="38">
        <f>'BS Items'!K25</f>
        <v>8485.541818773152</v>
      </c>
      <c r="L21" s="38">
        <f>'BS Items'!L25</f>
        <v>9730.6445569743191</v>
      </c>
      <c r="M21" s="38">
        <f>'BS Items'!M25</f>
        <v>11011.650008871757</v>
      </c>
      <c r="N21" s="38">
        <f>'BS Items'!N25</f>
        <v>12309.690212675474</v>
      </c>
      <c r="O21" s="38">
        <f>'BS Items'!O25</f>
        <v>13607.294705501812</v>
      </c>
      <c r="P21" s="38">
        <f>'BS Items'!P25</f>
        <v>14888.832516468003</v>
      </c>
      <c r="Q21" s="38">
        <f>'BS Items'!Q25</f>
        <v>16140.80891942561</v>
      </c>
      <c r="R21" s="38">
        <f>'BS Items'!R25</f>
        <v>17352.012791132031</v>
      </c>
      <c r="S21" s="38">
        <f>'BS Items'!S25</f>
        <v>18513.530458412537</v>
      </c>
    </row>
    <row r="22" spans="2:19" ht="14.4" customHeight="1" x14ac:dyDescent="0.25">
      <c r="B22" s="55"/>
      <c r="C22" s="55"/>
      <c r="D22" s="55"/>
      <c r="E22" s="189"/>
      <c r="F22" s="171"/>
      <c r="G22" s="171"/>
      <c r="H22" s="171"/>
      <c r="I22" s="171"/>
      <c r="J22" s="38"/>
      <c r="K22" s="38"/>
      <c r="L22" s="38"/>
      <c r="M22" s="38"/>
      <c r="N22" s="38"/>
      <c r="O22" s="38"/>
      <c r="P22" s="38"/>
      <c r="Q22" s="38"/>
      <c r="R22" s="38"/>
      <c r="S22" s="38"/>
    </row>
    <row r="23" spans="2:19" ht="14.4" customHeight="1" x14ac:dyDescent="0.25">
      <c r="B23" s="55"/>
      <c r="C23" s="55"/>
      <c r="D23" s="199" t="s">
        <v>45</v>
      </c>
      <c r="E23" s="276">
        <f>SUM(E12:E21)</f>
        <v>100503.80700000002</v>
      </c>
      <c r="F23" s="259">
        <f>SUM(F12:F21)</f>
        <v>110481.88530000001</v>
      </c>
      <c r="G23" s="259">
        <f>SUM(G12:G21)</f>
        <v>121067.54639999999</v>
      </c>
      <c r="H23" s="259">
        <f>SUM(H12:H21)</f>
        <v>136454.51699999999</v>
      </c>
      <c r="I23" s="259">
        <f>SUM(I12:I21)</f>
        <v>147656.52589999998</v>
      </c>
      <c r="J23" s="196">
        <f t="shared" ref="J23:S23" si="1">SUM(J12:J21)</f>
        <v>176208.07042408298</v>
      </c>
      <c r="K23" s="196">
        <f t="shared" si="1"/>
        <v>201750.50445227014</v>
      </c>
      <c r="L23" s="196">
        <f t="shared" si="1"/>
        <v>228418.29929577926</v>
      </c>
      <c r="M23" s="196">
        <f t="shared" si="1"/>
        <v>255765.0859024972</v>
      </c>
      <c r="N23" s="196">
        <f t="shared" si="1"/>
        <v>283368.62695247296</v>
      </c>
      <c r="O23" s="196">
        <f t="shared" si="1"/>
        <v>310832.25238712184</v>
      </c>
      <c r="P23" s="196">
        <f t="shared" si="1"/>
        <v>337805.36611170653</v>
      </c>
      <c r="Q23" s="196">
        <f t="shared" si="1"/>
        <v>363978.53766766959</v>
      </c>
      <c r="R23" s="196">
        <f t="shared" si="1"/>
        <v>389098.04702235194</v>
      </c>
      <c r="S23" s="196">
        <f t="shared" si="1"/>
        <v>412954.17753791693</v>
      </c>
    </row>
    <row r="24" spans="2:19" ht="14.4" customHeight="1" x14ac:dyDescent="0.25">
      <c r="B24" s="55"/>
      <c r="C24" s="55"/>
      <c r="D24" s="55"/>
      <c r="E24" s="277"/>
      <c r="F24" s="277"/>
      <c r="J24" s="26"/>
      <c r="K24" s="26"/>
      <c r="L24" s="26"/>
      <c r="M24" s="26"/>
      <c r="N24" s="26"/>
      <c r="O24" s="26"/>
      <c r="P24" s="26"/>
      <c r="Q24" s="26"/>
      <c r="R24" s="26"/>
      <c r="S24" s="26"/>
    </row>
    <row r="25" spans="2:19" ht="14.4" customHeight="1" x14ac:dyDescent="0.25">
      <c r="B25" s="56" t="s">
        <v>5</v>
      </c>
      <c r="C25" s="55"/>
      <c r="D25" s="56"/>
      <c r="E25" s="188"/>
      <c r="F25" s="12"/>
      <c r="G25" s="12"/>
      <c r="H25" s="12"/>
      <c r="I25" s="12"/>
      <c r="J25" s="133"/>
      <c r="K25" s="133"/>
      <c r="L25" s="133"/>
      <c r="M25" s="133"/>
      <c r="N25" s="133"/>
      <c r="O25" s="133"/>
      <c r="P25" s="133"/>
      <c r="Q25" s="133"/>
      <c r="R25" s="133"/>
      <c r="S25" s="133"/>
    </row>
    <row r="26" spans="2:19" ht="14.4" customHeight="1" x14ac:dyDescent="0.25">
      <c r="B26" s="55"/>
      <c r="C26" s="55"/>
      <c r="D26" s="55" t="s">
        <v>196</v>
      </c>
      <c r="E26" s="189">
        <f>'BS Inputs'!E11</f>
        <v>701.05309999999997</v>
      </c>
      <c r="F26" s="171">
        <f>'BS Inputs'!F11</f>
        <v>4052.6680000000001</v>
      </c>
      <c r="G26" s="171">
        <f>'BS Inputs'!G11</f>
        <v>6777.7864</v>
      </c>
      <c r="H26" s="171">
        <f>'BS Inputs'!H11</f>
        <v>6777.7864</v>
      </c>
      <c r="I26" s="171">
        <f>'BS Inputs'!I11</f>
        <v>6777.7864</v>
      </c>
      <c r="J26" s="38">
        <f t="shared" ref="J26:S26" si="2">I26</f>
        <v>6777.7864</v>
      </c>
      <c r="K26" s="38">
        <f t="shared" si="2"/>
        <v>6777.7864</v>
      </c>
      <c r="L26" s="38">
        <f t="shared" si="2"/>
        <v>6777.7864</v>
      </c>
      <c r="M26" s="38">
        <f t="shared" si="2"/>
        <v>6777.7864</v>
      </c>
      <c r="N26" s="38">
        <f t="shared" si="2"/>
        <v>6777.7864</v>
      </c>
      <c r="O26" s="38">
        <f t="shared" si="2"/>
        <v>6777.7864</v>
      </c>
      <c r="P26" s="38">
        <f t="shared" si="2"/>
        <v>6777.7864</v>
      </c>
      <c r="Q26" s="38">
        <f t="shared" si="2"/>
        <v>6777.7864</v>
      </c>
      <c r="R26" s="38">
        <f t="shared" si="2"/>
        <v>6777.7864</v>
      </c>
      <c r="S26" s="38">
        <f t="shared" si="2"/>
        <v>6777.7864</v>
      </c>
    </row>
    <row r="27" spans="2:19" ht="14.4" customHeight="1" x14ac:dyDescent="0.25">
      <c r="B27" s="56"/>
      <c r="C27" s="55"/>
      <c r="D27" s="55" t="s">
        <v>235</v>
      </c>
      <c r="E27" s="189">
        <f>'BS Inputs'!E12</f>
        <v>4895.3442999999997</v>
      </c>
      <c r="F27" s="171">
        <f>'BS Inputs'!F12</f>
        <v>4310.3460999999998</v>
      </c>
      <c r="G27" s="171">
        <f>'BS Inputs'!G12</f>
        <v>7232.8028999999997</v>
      </c>
      <c r="H27" s="171">
        <f>'BS Inputs'!H12</f>
        <v>8330.7204999999994</v>
      </c>
      <c r="I27" s="171">
        <f>'BS Inputs'!I12</f>
        <v>8755.6406999999999</v>
      </c>
      <c r="J27" s="38">
        <f>'BS Items'!J34</f>
        <v>8094.049274758283</v>
      </c>
      <c r="K27" s="38">
        <f>'BS Items'!K34</f>
        <v>7333.6823444804777</v>
      </c>
      <c r="L27" s="38">
        <f>'BS Items'!L34</f>
        <v>6468.7771974811103</v>
      </c>
      <c r="M27" s="38">
        <f>'BS Items'!M34</f>
        <v>5488.9545123000307</v>
      </c>
      <c r="N27" s="38">
        <f>'BS Items'!N34</f>
        <v>4389.2003156692572</v>
      </c>
      <c r="O27" s="38">
        <f>'BS Items'!O34</f>
        <v>3159.1652906691361</v>
      </c>
      <c r="P27" s="38">
        <f>'BS Items'!P34</f>
        <v>1793.897777090925</v>
      </c>
      <c r="Q27" s="38">
        <f>'BS Items'!Q34</f>
        <v>282.3734117937247</v>
      </c>
      <c r="R27" s="38">
        <f>'BS Items'!R34</f>
        <v>-1381.2185824243752</v>
      </c>
      <c r="S27" s="38">
        <f>'BS Items'!S34</f>
        <v>-3209.4886273394914</v>
      </c>
    </row>
    <row r="28" spans="2:19" ht="14.4" customHeight="1" x14ac:dyDescent="0.25">
      <c r="B28" s="55"/>
      <c r="C28" s="56"/>
      <c r="D28" s="55"/>
      <c r="E28" s="274"/>
      <c r="F28" s="148"/>
      <c r="G28" s="148"/>
      <c r="H28" s="148"/>
      <c r="I28" s="148"/>
      <c r="J28" s="26"/>
      <c r="K28" s="26"/>
      <c r="L28" s="26"/>
      <c r="M28" s="26"/>
      <c r="N28" s="26"/>
      <c r="O28" s="26"/>
      <c r="P28" s="26"/>
      <c r="Q28" s="26"/>
      <c r="R28" s="26"/>
      <c r="S28" s="26"/>
    </row>
    <row r="29" spans="2:19" ht="14.4" customHeight="1" x14ac:dyDescent="0.25">
      <c r="B29" s="56" t="s">
        <v>47</v>
      </c>
      <c r="C29" s="55"/>
      <c r="D29" s="55"/>
      <c r="E29" s="189"/>
      <c r="F29" s="171"/>
      <c r="G29" s="171"/>
      <c r="H29" s="171"/>
      <c r="I29" s="171"/>
      <c r="J29" s="38"/>
      <c r="K29" s="38"/>
      <c r="L29" s="38"/>
      <c r="M29" s="38"/>
      <c r="N29" s="38"/>
      <c r="O29" s="38"/>
      <c r="P29" s="38"/>
      <c r="Q29" s="38"/>
      <c r="R29" s="38"/>
      <c r="S29" s="38"/>
    </row>
    <row r="30" spans="2:19" ht="14.4" customHeight="1" x14ac:dyDescent="0.25">
      <c r="B30" s="55"/>
      <c r="C30" s="55"/>
      <c r="D30" s="55" t="s">
        <v>223</v>
      </c>
      <c r="E30" s="189">
        <f>'BS Inputs'!E14</f>
        <v>26517.3001</v>
      </c>
      <c r="F30" s="171">
        <f>'BS Inputs'!F14</f>
        <v>31530.392</v>
      </c>
      <c r="G30" s="171">
        <f>'BS Inputs'!G14</f>
        <v>34528.419600000001</v>
      </c>
      <c r="H30" s="171">
        <f>'BS Inputs'!H14</f>
        <v>36833.106599999999</v>
      </c>
      <c r="I30" s="171">
        <f>'BS Inputs'!I14</f>
        <v>38708.253400000001</v>
      </c>
      <c r="J30" s="38">
        <f>'BS Items'!J36</f>
        <v>48811.57936963097</v>
      </c>
      <c r="K30" s="38">
        <f>'BS Items'!K36</f>
        <v>56769.377930025927</v>
      </c>
      <c r="L30" s="38">
        <f>'BS Items'!L36</f>
        <v>65099.277118110025</v>
      </c>
      <c r="M30" s="38">
        <f>'BS Items'!M36</f>
        <v>73669.370128352646</v>
      </c>
      <c r="N30" s="38">
        <f>'BS Items'!N36</f>
        <v>82353.42784345035</v>
      </c>
      <c r="O30" s="38">
        <f>'BS Items'!O36</f>
        <v>91034.570595464786</v>
      </c>
      <c r="P30" s="38">
        <f>'BS Items'!P36</f>
        <v>99608.225157086679</v>
      </c>
      <c r="Q30" s="38">
        <f>'BS Items'!Q36</f>
        <v>107984.11005600181</v>
      </c>
      <c r="R30" s="38">
        <f>'BS Items'!R36</f>
        <v>116087.22142021565</v>
      </c>
      <c r="S30" s="38">
        <f>'BS Items'!S36</f>
        <v>123857.92561736761</v>
      </c>
    </row>
    <row r="31" spans="2:19" ht="14.4" customHeight="1" x14ac:dyDescent="0.25">
      <c r="B31" s="55"/>
      <c r="C31" s="55"/>
      <c r="D31" s="55" t="s">
        <v>199</v>
      </c>
      <c r="E31" s="189">
        <f>'BS Inputs'!E17</f>
        <v>803.26250000000005</v>
      </c>
      <c r="F31" s="171">
        <f>'BS Inputs'!F17</f>
        <v>660.88750000000005</v>
      </c>
      <c r="G31" s="171">
        <f>'BS Inputs'!G17</f>
        <v>610.90812500000004</v>
      </c>
      <c r="H31" s="171">
        <f>'BS Inputs'!H17</f>
        <v>2254.5958000000001</v>
      </c>
      <c r="I31" s="171">
        <f>'BS Inputs'!I17</f>
        <v>2442.7140250000002</v>
      </c>
      <c r="J31" s="37">
        <f>'BS Items'!J39</f>
        <v>1867.6107872692301</v>
      </c>
      <c r="K31" s="37">
        <f>'BS Items'!K39</f>
        <v>2172.0891636348983</v>
      </c>
      <c r="L31" s="37">
        <f>'BS Items'!L39</f>
        <v>2490.8047180471808</v>
      </c>
      <c r="M31" s="37">
        <f>'BS Items'!M39</f>
        <v>2818.7104805840909</v>
      </c>
      <c r="N31" s="37">
        <f>'BS Items'!N39</f>
        <v>3150.9767189528425</v>
      </c>
      <c r="O31" s="37">
        <f>'BS Items'!O39</f>
        <v>3483.1314260708318</v>
      </c>
      <c r="P31" s="37">
        <f>'BS Items'!P39</f>
        <v>3811.173459383268</v>
      </c>
      <c r="Q31" s="37">
        <f>'BS Items'!Q39</f>
        <v>4131.6485022349207</v>
      </c>
      <c r="R31" s="37">
        <f>'BS Items'!R39</f>
        <v>4441.6867839231627</v>
      </c>
      <c r="S31" s="37">
        <f>'BS Items'!S39</f>
        <v>4739.0066242295106</v>
      </c>
    </row>
    <row r="32" spans="2:19" ht="14.4" customHeight="1" x14ac:dyDescent="0.25">
      <c r="B32" s="55"/>
      <c r="C32" s="56"/>
      <c r="D32" s="55"/>
      <c r="E32" s="274"/>
      <c r="F32" s="148"/>
      <c r="G32" s="148"/>
      <c r="H32" s="148"/>
      <c r="I32" s="148"/>
      <c r="J32" s="26"/>
      <c r="K32" s="26"/>
      <c r="L32" s="26"/>
      <c r="M32" s="26"/>
      <c r="N32" s="26"/>
      <c r="O32" s="26"/>
      <c r="P32" s="26"/>
      <c r="Q32" s="26"/>
      <c r="R32" s="26"/>
      <c r="S32" s="26"/>
    </row>
    <row r="33" spans="2:19" ht="14.4" customHeight="1" x14ac:dyDescent="0.25">
      <c r="B33" s="56" t="s">
        <v>236</v>
      </c>
      <c r="C33" s="55"/>
      <c r="D33" s="55"/>
      <c r="E33" s="189"/>
      <c r="F33" s="171"/>
      <c r="G33" s="171"/>
      <c r="H33" s="171"/>
      <c r="I33" s="171"/>
      <c r="J33" s="38"/>
      <c r="K33" s="38"/>
      <c r="L33" s="38"/>
      <c r="M33" s="38"/>
      <c r="N33" s="38"/>
      <c r="O33" s="38"/>
      <c r="P33" s="38"/>
      <c r="Q33" s="38"/>
      <c r="R33" s="38"/>
      <c r="S33" s="38"/>
    </row>
    <row r="34" spans="2:19" ht="14.4" customHeight="1" x14ac:dyDescent="0.25">
      <c r="B34" s="55"/>
      <c r="C34" s="55"/>
      <c r="D34" s="55" t="s">
        <v>237</v>
      </c>
      <c r="E34" s="192">
        <f>'BS Inputs'!E15</f>
        <v>63150.253299999997</v>
      </c>
      <c r="F34" s="167">
        <f>'BS Inputs'!F15</f>
        <v>64577.787600000003</v>
      </c>
      <c r="G34" s="167">
        <f>'BS Inputs'!G15</f>
        <v>67608.594400000002</v>
      </c>
      <c r="H34" s="167">
        <f>'BS Inputs'!H15</f>
        <v>72832.383400000006</v>
      </c>
      <c r="I34" s="167">
        <f>'BS Inputs'!I15</f>
        <v>80701.300900000002</v>
      </c>
      <c r="J34" s="37">
        <f>'BS Items'!J43</f>
        <v>101109.43346081705</v>
      </c>
      <c r="K34" s="37">
        <f>'BS Items'!K43</f>
        <v>117593.40129033256</v>
      </c>
      <c r="L34" s="37">
        <f>'BS Items'!L43</f>
        <v>134848.1469586711</v>
      </c>
      <c r="M34" s="37">
        <f>'BS Items'!M43</f>
        <v>152600.43566070931</v>
      </c>
      <c r="N34" s="37">
        <f>'BS Items'!N43</f>
        <v>170588.79348591939</v>
      </c>
      <c r="O34" s="37">
        <f>'BS Items'!O43</f>
        <v>188571.11318923888</v>
      </c>
      <c r="P34" s="37">
        <f>'BS Items'!P43</f>
        <v>206330.77937110566</v>
      </c>
      <c r="Q34" s="37">
        <f>'BS Items'!Q43</f>
        <v>223680.78090351302</v>
      </c>
      <c r="R34" s="37">
        <f>'BS Items'!R43</f>
        <v>240465.75303279658</v>
      </c>
      <c r="S34" s="37">
        <f>'BS Items'!S43</f>
        <v>256562.16927485043</v>
      </c>
    </row>
    <row r="35" spans="2:19" ht="14.4" customHeight="1" x14ac:dyDescent="0.25">
      <c r="B35" s="55"/>
      <c r="C35" s="55"/>
      <c r="D35" s="55" t="s">
        <v>238</v>
      </c>
      <c r="E35" s="189">
        <f>'BS Inputs'!E18+'BS Inputs'!E19</f>
        <v>2409.7874999999999</v>
      </c>
      <c r="F35" s="171">
        <f>'BS Inputs'!F18+'BS Inputs'!F19</f>
        <v>1982.6624999999999</v>
      </c>
      <c r="G35" s="171">
        <f>'BS Inputs'!G18+'BS Inputs'!G19</f>
        <v>1832.724375</v>
      </c>
      <c r="H35" s="171">
        <f>'BS Inputs'!H18+'BS Inputs'!H19</f>
        <v>6763.7874000000002</v>
      </c>
      <c r="I35" s="171">
        <f>'BS Inputs'!I18+'BS Inputs'!I19</f>
        <v>7328.1420749999997</v>
      </c>
      <c r="J35" s="37">
        <f>'BS Items'!J46</f>
        <v>5602.8323618076902</v>
      </c>
      <c r="K35" s="37">
        <f>'BS Items'!K46</f>
        <v>6516.2674909046946</v>
      </c>
      <c r="L35" s="37">
        <f>'BS Items'!L46</f>
        <v>7472.4141541415411</v>
      </c>
      <c r="M35" s="37">
        <f>'BS Items'!M46</f>
        <v>8456.1314417522717</v>
      </c>
      <c r="N35" s="37">
        <f>'BS Items'!N46</f>
        <v>9452.930156858527</v>
      </c>
      <c r="O35" s="37">
        <f>'BS Items'!O46</f>
        <v>10449.394278212494</v>
      </c>
      <c r="P35" s="37">
        <f>'BS Items'!P46</f>
        <v>11433.520378149804</v>
      </c>
      <c r="Q35" s="37">
        <f>'BS Items'!Q46</f>
        <v>12394.94550670476</v>
      </c>
      <c r="R35" s="37">
        <f>'BS Items'!R46</f>
        <v>13325.060351769489</v>
      </c>
      <c r="S35" s="37">
        <f>'BS Items'!S46</f>
        <v>14217.01987268853</v>
      </c>
    </row>
    <row r="36" spans="2:19" ht="14.4" customHeight="1" x14ac:dyDescent="0.25">
      <c r="B36" s="55"/>
      <c r="C36" s="56"/>
      <c r="D36" s="55" t="s">
        <v>239</v>
      </c>
      <c r="E36" s="189">
        <f>'BS Inputs'!E20</f>
        <v>2026.8062</v>
      </c>
      <c r="F36" s="171">
        <f>'BS Inputs'!F20</f>
        <v>3367.1415999999999</v>
      </c>
      <c r="G36" s="171">
        <f>'BS Inputs'!G20</f>
        <v>2476.3105999999998</v>
      </c>
      <c r="H36" s="171">
        <f>'BS Inputs'!H20</f>
        <v>2662.1369</v>
      </c>
      <c r="I36" s="171">
        <f>'BS Inputs'!I20</f>
        <v>2942.6884</v>
      </c>
      <c r="J36" s="37">
        <f>'BS Items'!J49</f>
        <v>3944.7787697997392</v>
      </c>
      <c r="K36" s="37">
        <f>'BS Items'!K49</f>
        <v>4587.8998328915832</v>
      </c>
      <c r="L36" s="37">
        <f>'BS Items'!L49</f>
        <v>5261.0927493283425</v>
      </c>
      <c r="M36" s="37">
        <f>'BS Items'!M49</f>
        <v>5953.6972787988225</v>
      </c>
      <c r="N36" s="37">
        <f>'BS Items'!N49</f>
        <v>6655.5120316225448</v>
      </c>
      <c r="O36" s="37">
        <f>'BS Items'!O49</f>
        <v>7357.091207465679</v>
      </c>
      <c r="P36" s="37">
        <f>'BS Items'!P49</f>
        <v>8049.983568890174</v>
      </c>
      <c r="Q36" s="37">
        <f>'BS Items'!Q49</f>
        <v>8726.8928874213361</v>
      </c>
      <c r="R36" s="37">
        <f>'BS Items'!R49</f>
        <v>9381.7576160713852</v>
      </c>
      <c r="S36" s="37">
        <f>'BS Items'!S49</f>
        <v>10009.758376120353</v>
      </c>
    </row>
    <row r="37" spans="2:19" ht="14.4" customHeight="1" x14ac:dyDescent="0.25">
      <c r="B37" s="55"/>
      <c r="C37" s="55"/>
      <c r="D37" s="199" t="s">
        <v>301</v>
      </c>
      <c r="E37" s="276">
        <f>SUM(E26:E36)</f>
        <v>100503.80700000002</v>
      </c>
      <c r="F37" s="259">
        <f>SUM(F26:F36)</f>
        <v>110481.88530000001</v>
      </c>
      <c r="G37" s="259">
        <f>SUM(G26:G36)</f>
        <v>121067.54640000001</v>
      </c>
      <c r="H37" s="259">
        <f>SUM(H26:H36)</f>
        <v>136454.51700000002</v>
      </c>
      <c r="I37" s="259">
        <f>SUM(I26:I36)</f>
        <v>147656.52590000004</v>
      </c>
      <c r="J37" s="196">
        <f t="shared" ref="J37:S37" si="3">SUM(J26:J36)</f>
        <v>176208.07042408298</v>
      </c>
      <c r="K37" s="196">
        <f t="shared" si="3"/>
        <v>201750.50445227014</v>
      </c>
      <c r="L37" s="196">
        <f t="shared" si="3"/>
        <v>228418.29929577929</v>
      </c>
      <c r="M37" s="196">
        <f t="shared" si="3"/>
        <v>255765.08590249717</v>
      </c>
      <c r="N37" s="196">
        <f t="shared" si="3"/>
        <v>283368.6269524729</v>
      </c>
      <c r="O37" s="196">
        <f t="shared" si="3"/>
        <v>310832.25238712184</v>
      </c>
      <c r="P37" s="196">
        <f t="shared" si="3"/>
        <v>337805.36611170653</v>
      </c>
      <c r="Q37" s="196">
        <f t="shared" si="3"/>
        <v>363978.53766766959</v>
      </c>
      <c r="R37" s="196">
        <f t="shared" si="3"/>
        <v>389098.04702235188</v>
      </c>
      <c r="S37" s="196">
        <f t="shared" si="3"/>
        <v>412954.17753791693</v>
      </c>
    </row>
    <row r="38" spans="2:19" ht="14.4" customHeight="1" x14ac:dyDescent="0.25">
      <c r="B38" s="55"/>
      <c r="C38" s="55"/>
      <c r="D38" s="55"/>
      <c r="E38" s="189"/>
      <c r="F38" s="171"/>
      <c r="G38" s="171"/>
      <c r="H38" s="171"/>
      <c r="I38" s="171"/>
      <c r="J38" s="11"/>
      <c r="K38" s="11"/>
      <c r="L38" s="11"/>
      <c r="M38" s="11"/>
      <c r="N38" s="11"/>
      <c r="O38" s="11"/>
      <c r="P38" s="11"/>
      <c r="Q38" s="11"/>
      <c r="R38" s="11"/>
      <c r="S38" s="11"/>
    </row>
    <row r="39" spans="2:19" ht="14.4" customHeight="1" x14ac:dyDescent="0.25">
      <c r="B39" s="55"/>
      <c r="C39" s="55"/>
      <c r="D39" s="267" t="s">
        <v>299</v>
      </c>
      <c r="E39" s="275">
        <f t="shared" ref="E39:S39" si="4">E37-E23</f>
        <v>0</v>
      </c>
      <c r="F39" s="268">
        <f t="shared" si="4"/>
        <v>0</v>
      </c>
      <c r="G39" s="268">
        <f t="shared" si="4"/>
        <v>0</v>
      </c>
      <c r="H39" s="268">
        <f t="shared" si="4"/>
        <v>0</v>
      </c>
      <c r="I39" s="268">
        <f t="shared" si="4"/>
        <v>0</v>
      </c>
      <c r="J39" s="268">
        <f t="shared" si="4"/>
        <v>0</v>
      </c>
      <c r="K39" s="268">
        <f t="shared" si="4"/>
        <v>0</v>
      </c>
      <c r="L39" s="268">
        <f t="shared" si="4"/>
        <v>0</v>
      </c>
      <c r="M39" s="268">
        <f t="shared" si="4"/>
        <v>0</v>
      </c>
      <c r="N39" s="268">
        <f t="shared" si="4"/>
        <v>0</v>
      </c>
      <c r="O39" s="268">
        <f t="shared" si="4"/>
        <v>0</v>
      </c>
      <c r="P39" s="268">
        <f t="shared" si="4"/>
        <v>0</v>
      </c>
      <c r="Q39" s="268">
        <f t="shared" si="4"/>
        <v>0</v>
      </c>
      <c r="R39" s="268">
        <f t="shared" si="4"/>
        <v>0</v>
      </c>
      <c r="S39" s="268">
        <f t="shared" si="4"/>
        <v>0</v>
      </c>
    </row>
    <row r="40" spans="2:19" ht="14.4" customHeight="1" x14ac:dyDescent="0.25">
      <c r="B40" s="55"/>
      <c r="C40" s="55"/>
      <c r="D40" s="55"/>
    </row>
    <row r="41" spans="2:19" ht="14.4" customHeight="1" x14ac:dyDescent="0.25">
      <c r="B41" s="55"/>
      <c r="C41" s="55"/>
      <c r="D41" s="56"/>
      <c r="E41" s="12"/>
      <c r="F41" s="12"/>
      <c r="G41" s="12"/>
      <c r="H41" s="12"/>
      <c r="I41" s="12"/>
      <c r="J41" s="12"/>
      <c r="K41" s="12"/>
      <c r="L41" s="12"/>
      <c r="M41" s="12"/>
      <c r="N41" s="12"/>
      <c r="O41" s="12"/>
      <c r="P41" s="12"/>
      <c r="Q41" s="12"/>
      <c r="R41" s="12"/>
      <c r="S41" s="12"/>
    </row>
    <row r="43" spans="2:19" ht="14.4" customHeight="1" x14ac:dyDescent="0.25">
      <c r="D43" s="14"/>
      <c r="E43" s="198"/>
      <c r="F43" s="198"/>
      <c r="G43" s="198"/>
      <c r="H43" s="198"/>
      <c r="I43" s="198"/>
      <c r="J43" s="198"/>
      <c r="K43" s="198"/>
      <c r="L43" s="198"/>
      <c r="M43" s="198"/>
      <c r="N43" s="198"/>
      <c r="O43" s="198"/>
      <c r="P43" s="198"/>
      <c r="Q43" s="198"/>
      <c r="R43" s="198"/>
      <c r="S43" s="198"/>
    </row>
  </sheetData>
  <mergeCells count="1">
    <mergeCell ref="D6:S6"/>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3C0D3-1681-4D7D-9C98-7FA764109CEB}">
  <dimension ref="B5:S58"/>
  <sheetViews>
    <sheetView showGridLines="0" topLeftCell="A16" workbookViewId="0">
      <selection activeCell="E51" sqref="E51"/>
    </sheetView>
  </sheetViews>
  <sheetFormatPr defaultRowHeight="13.8" x14ac:dyDescent="0.25"/>
  <cols>
    <col min="1" max="3" width="1.33203125" style="1" customWidth="1"/>
    <col min="4" max="4" width="36.21875" style="1" customWidth="1"/>
    <col min="5" max="5" width="8.88671875" style="1"/>
    <col min="6" max="19" width="10.77734375" style="1" customWidth="1"/>
    <col min="20" max="16384" width="8.88671875" style="1"/>
  </cols>
  <sheetData>
    <row r="5" spans="2:19" x14ac:dyDescent="0.25">
      <c r="R5" s="66" t="s">
        <v>64</v>
      </c>
    </row>
    <row r="6" spans="2:19" ht="16.8" x14ac:dyDescent="0.25">
      <c r="D6" s="425" t="s">
        <v>50</v>
      </c>
      <c r="E6" s="425"/>
      <c r="F6" s="425"/>
      <c r="G6" s="425"/>
      <c r="H6" s="425"/>
      <c r="I6" s="425"/>
      <c r="J6" s="425"/>
      <c r="K6" s="425"/>
      <c r="L6" s="425"/>
      <c r="M6" s="425"/>
      <c r="N6" s="425"/>
      <c r="O6" s="425"/>
      <c r="P6" s="425"/>
      <c r="Q6" s="425"/>
      <c r="R6" s="425"/>
      <c r="S6" s="425"/>
    </row>
    <row r="7" spans="2:19" x14ac:dyDescent="0.25">
      <c r="E7" s="59">
        <v>2020</v>
      </c>
      <c r="F7" s="3">
        <f t="shared" ref="F7:S7" si="0">E7+1</f>
        <v>2021</v>
      </c>
      <c r="G7" s="3">
        <f t="shared" si="0"/>
        <v>2022</v>
      </c>
      <c r="H7" s="3">
        <f t="shared" si="0"/>
        <v>2023</v>
      </c>
      <c r="I7" s="3">
        <f t="shared" si="0"/>
        <v>2024</v>
      </c>
      <c r="J7" s="3">
        <f t="shared" si="0"/>
        <v>2025</v>
      </c>
      <c r="K7" s="3">
        <f t="shared" si="0"/>
        <v>2026</v>
      </c>
      <c r="L7" s="3">
        <f t="shared" si="0"/>
        <v>2027</v>
      </c>
      <c r="M7" s="3">
        <f t="shared" si="0"/>
        <v>2028</v>
      </c>
      <c r="N7" s="3">
        <f t="shared" si="0"/>
        <v>2029</v>
      </c>
      <c r="O7" s="3">
        <f t="shared" si="0"/>
        <v>2030</v>
      </c>
      <c r="P7" s="3">
        <f t="shared" si="0"/>
        <v>2031</v>
      </c>
      <c r="Q7" s="3">
        <f t="shared" si="0"/>
        <v>2032</v>
      </c>
      <c r="R7" s="3">
        <f t="shared" si="0"/>
        <v>2033</v>
      </c>
      <c r="S7" s="3">
        <f t="shared" si="0"/>
        <v>2034</v>
      </c>
    </row>
    <row r="8" spans="2:19" x14ac:dyDescent="0.25">
      <c r="D8" s="5" t="s">
        <v>0</v>
      </c>
      <c r="E8" s="18" t="s">
        <v>8</v>
      </c>
      <c r="F8" s="7" t="s">
        <v>8</v>
      </c>
      <c r="G8" s="7" t="s">
        <v>8</v>
      </c>
      <c r="H8" s="7" t="s">
        <v>8</v>
      </c>
      <c r="I8" s="7" t="s">
        <v>8</v>
      </c>
      <c r="J8" s="54" t="s">
        <v>9</v>
      </c>
      <c r="K8" s="54" t="s">
        <v>9</v>
      </c>
      <c r="L8" s="54" t="s">
        <v>9</v>
      </c>
      <c r="M8" s="54" t="s">
        <v>9</v>
      </c>
      <c r="N8" s="54" t="s">
        <v>9</v>
      </c>
      <c r="O8" s="54" t="s">
        <v>9</v>
      </c>
      <c r="P8" s="54" t="s">
        <v>9</v>
      </c>
      <c r="Q8" s="54" t="s">
        <v>9</v>
      </c>
      <c r="R8" s="54" t="s">
        <v>9</v>
      </c>
      <c r="S8" s="54" t="s">
        <v>9</v>
      </c>
    </row>
    <row r="9" spans="2:19" x14ac:dyDescent="0.25">
      <c r="E9" s="77"/>
      <c r="J9" s="26"/>
      <c r="K9" s="26"/>
      <c r="L9" s="26"/>
      <c r="M9" s="26"/>
      <c r="N9" s="26"/>
      <c r="O9" s="26"/>
      <c r="P9" s="26"/>
      <c r="Q9" s="26"/>
      <c r="R9" s="26"/>
      <c r="S9" s="26"/>
    </row>
    <row r="10" spans="2:19" x14ac:dyDescent="0.25">
      <c r="B10" s="3" t="s">
        <v>254</v>
      </c>
      <c r="C10" s="3"/>
      <c r="E10" s="19"/>
      <c r="J10" s="26"/>
      <c r="K10" s="26"/>
      <c r="L10" s="26"/>
      <c r="M10" s="26"/>
      <c r="N10" s="26"/>
      <c r="O10" s="26"/>
      <c r="P10" s="26"/>
      <c r="Q10" s="26"/>
      <c r="R10" s="26"/>
      <c r="S10" s="26"/>
    </row>
    <row r="11" spans="2:19" x14ac:dyDescent="0.25">
      <c r="D11" s="3" t="s">
        <v>296</v>
      </c>
      <c r="E11" s="192"/>
      <c r="F11" s="171">
        <f>'Income Statement'!E24</f>
        <v>-629.97468000000094</v>
      </c>
      <c r="G11" s="171">
        <f>'Income Statement'!F24</f>
        <v>-2251.7141280000005</v>
      </c>
      <c r="H11" s="171">
        <f>'Income Statement'!G24</f>
        <v>1532.0624749999999</v>
      </c>
      <c r="I11" s="171">
        <f>'Income Statement'!H24</f>
        <v>1891.7973750000003</v>
      </c>
      <c r="J11" s="191">
        <f>'Income Statement'!I24</f>
        <v>1318.6072219999994</v>
      </c>
      <c r="K11" s="191">
        <f>'Income Statement'!J24</f>
        <v>1904.7015602306219</v>
      </c>
      <c r="L11" s="191">
        <f>'Income Statement'!K24</f>
        <v>2178.4841233899924</v>
      </c>
      <c r="M11" s="191">
        <f>'Income Statement'!L24</f>
        <v>2469.6957616518403</v>
      </c>
      <c r="N11" s="191">
        <f>'Income Statement'!M24</f>
        <v>2799.0928574091131</v>
      </c>
      <c r="O11" s="191">
        <f>'Income Statement'!N24</f>
        <v>3146.9689779554183</v>
      </c>
      <c r="P11" s="191">
        <f>'Income Statement'!O24</f>
        <v>3536.7500883339953</v>
      </c>
      <c r="Q11" s="191">
        <f>'Income Statement'!P24</f>
        <v>3948.2569379385213</v>
      </c>
      <c r="R11" s="191">
        <f>'Income Statement'!Q24</f>
        <v>4407.4775951525535</v>
      </c>
      <c r="S11" s="191">
        <f>'Income Statement'!R24</f>
        <v>4894.5101357384983</v>
      </c>
    </row>
    <row r="12" spans="2:19" x14ac:dyDescent="0.25">
      <c r="C12" s="3" t="s">
        <v>248</v>
      </c>
      <c r="E12" s="192"/>
      <c r="F12" s="171"/>
      <c r="G12" s="171"/>
      <c r="H12" s="171"/>
      <c r="I12" s="171"/>
      <c r="J12" s="191"/>
      <c r="K12" s="191"/>
      <c r="L12" s="191"/>
      <c r="M12" s="191"/>
      <c r="N12" s="191"/>
      <c r="O12" s="191"/>
      <c r="P12" s="191"/>
      <c r="Q12" s="191"/>
      <c r="R12" s="191"/>
      <c r="S12" s="191"/>
    </row>
    <row r="13" spans="2:19" x14ac:dyDescent="0.25">
      <c r="D13" s="1" t="s">
        <v>39</v>
      </c>
      <c r="E13" s="192"/>
      <c r="F13" s="171">
        <f>-'Income Statement'!E20</f>
        <v>53.909399999999998</v>
      </c>
      <c r="G13" s="171">
        <f>-'Income Statement'!F20</f>
        <v>102.13330000000001</v>
      </c>
      <c r="H13" s="171">
        <f>-'Income Statement'!G20</f>
        <v>137.09039999999999</v>
      </c>
      <c r="I13" s="171">
        <f>-'Income Statement'!H20</f>
        <v>148.33199999999999</v>
      </c>
      <c r="J13" s="191">
        <f>-'Income Statement'!I20</f>
        <v>150.08430000000001</v>
      </c>
      <c r="K13" s="191">
        <f>-'Income Statement'!J20</f>
        <v>158.86321250000003</v>
      </c>
      <c r="L13" s="191">
        <f>-'Income Statement'!K20</f>
        <v>168.29897316380655</v>
      </c>
      <c r="M13" s="191">
        <f>-'Income Statement'!L20</f>
        <v>186.78120295651854</v>
      </c>
      <c r="N13" s="191">
        <f>-'Income Statement'!M20</f>
        <v>194.32466426812496</v>
      </c>
      <c r="O13" s="191">
        <f>-'Income Statement'!N20</f>
        <v>211.81491479617745</v>
      </c>
      <c r="P13" s="191">
        <f>-'Income Statement'!O20</f>
        <v>217.50574720963215</v>
      </c>
      <c r="Q13" s="191">
        <f>-'Income Statement'!P20</f>
        <v>233.84440879553841</v>
      </c>
      <c r="R13" s="191">
        <f>-'Income Statement'!Q20</f>
        <v>237.77862279916212</v>
      </c>
      <c r="S13" s="191">
        <f>-'Income Statement'!R20</f>
        <v>252.88572003024203</v>
      </c>
    </row>
    <row r="14" spans="2:19" x14ac:dyDescent="0.25">
      <c r="D14" s="1" t="s">
        <v>297</v>
      </c>
      <c r="E14" s="192"/>
      <c r="F14" s="171">
        <f>-'Income Statement'!E22</f>
        <v>241.11410000000001</v>
      </c>
      <c r="G14" s="171">
        <f>-'Income Statement'!F22</f>
        <v>247.4659</v>
      </c>
      <c r="H14" s="171">
        <f>-'Income Statement'!G22</f>
        <v>234.2987</v>
      </c>
      <c r="I14" s="171">
        <f>-'Income Statement'!H22</f>
        <v>152.02359999999999</v>
      </c>
      <c r="J14" s="191">
        <f>-'Income Statement'!I22</f>
        <v>249.38120000000001</v>
      </c>
      <c r="K14" s="191">
        <f>-'Income Statement'!J22</f>
        <v>190.66784506718722</v>
      </c>
      <c r="L14" s="191">
        <f>-'Income Statement'!K22</f>
        <v>221.75260656403168</v>
      </c>
      <c r="M14" s="191">
        <f>-'Income Statement'!L22</f>
        <v>254.2908679423771</v>
      </c>
      <c r="N14" s="191">
        <f>-'Income Statement'!M22</f>
        <v>287.76737469325218</v>
      </c>
      <c r="O14" s="191">
        <f>-'Income Statement'!N22</f>
        <v>321.68905049968856</v>
      </c>
      <c r="P14" s="191">
        <f>-'Income Statement'!O22</f>
        <v>355.59933987412018</v>
      </c>
      <c r="Q14" s="191">
        <f>-'Income Statement'!P22</f>
        <v>389.0897587609137</v>
      </c>
      <c r="R14" s="191">
        <f>-'Income Statement'!Q22</f>
        <v>421.80764957353006</v>
      </c>
      <c r="S14" s="191">
        <f>-'Income Statement'!R22</f>
        <v>453.46003210461726</v>
      </c>
    </row>
    <row r="15" spans="2:19" x14ac:dyDescent="0.25">
      <c r="D15" s="3" t="s">
        <v>245</v>
      </c>
      <c r="E15" s="204"/>
      <c r="F15" s="15"/>
      <c r="G15" s="15"/>
      <c r="H15" s="15"/>
      <c r="I15" s="15"/>
      <c r="J15" s="191"/>
      <c r="K15" s="191"/>
      <c r="L15" s="191"/>
      <c r="M15" s="191"/>
      <c r="N15" s="191"/>
      <c r="O15" s="191"/>
      <c r="P15" s="191"/>
      <c r="Q15" s="191"/>
      <c r="R15" s="191"/>
      <c r="S15" s="191"/>
    </row>
    <row r="16" spans="2:19" x14ac:dyDescent="0.25">
      <c r="D16" s="3" t="s">
        <v>246</v>
      </c>
      <c r="E16" s="188"/>
      <c r="F16" s="12"/>
      <c r="G16" s="12"/>
      <c r="H16" s="12"/>
      <c r="I16" s="12"/>
      <c r="J16" s="222"/>
      <c r="K16" s="222"/>
      <c r="L16" s="222"/>
      <c r="M16" s="222"/>
      <c r="N16" s="222"/>
      <c r="O16" s="222"/>
      <c r="P16" s="222"/>
      <c r="Q16" s="222"/>
      <c r="R16" s="222"/>
      <c r="S16" s="222"/>
    </row>
    <row r="17" spans="2:19" x14ac:dyDescent="0.25">
      <c r="D17" s="1" t="s">
        <v>223</v>
      </c>
      <c r="E17" s="19"/>
      <c r="F17" s="171">
        <f>'Balance Sheet'!F30-'Balance Sheet'!E30</f>
        <v>5013.0918999999994</v>
      </c>
      <c r="G17" s="171">
        <f>'Balance Sheet'!G30-'Balance Sheet'!F30</f>
        <v>2998.0276000000013</v>
      </c>
      <c r="H17" s="171">
        <f>'Balance Sheet'!H30-'Balance Sheet'!G30</f>
        <v>2304.6869999999981</v>
      </c>
      <c r="I17" s="171">
        <f>'Balance Sheet'!I30-'Balance Sheet'!H30</f>
        <v>1875.1468000000023</v>
      </c>
      <c r="J17" s="191">
        <f>'Balance Sheet'!J30-'Balance Sheet'!I30</f>
        <v>10103.325969630969</v>
      </c>
      <c r="K17" s="191">
        <f>'Balance Sheet'!K30-'Balance Sheet'!J30</f>
        <v>7957.7985603949564</v>
      </c>
      <c r="L17" s="191">
        <f>'Balance Sheet'!L30-'Balance Sheet'!K30</f>
        <v>8329.8991880840986</v>
      </c>
      <c r="M17" s="191">
        <f>'Balance Sheet'!M30-'Balance Sheet'!L30</f>
        <v>8570.0930102426209</v>
      </c>
      <c r="N17" s="191">
        <f>'Balance Sheet'!N30-'Balance Sheet'!M30</f>
        <v>8684.0577150977042</v>
      </c>
      <c r="O17" s="191">
        <f>'Balance Sheet'!O30-'Balance Sheet'!N30</f>
        <v>8681.1427520144352</v>
      </c>
      <c r="P17" s="191">
        <f>'Balance Sheet'!P30-'Balance Sheet'!O30</f>
        <v>8573.6545616218937</v>
      </c>
      <c r="Q17" s="191">
        <f>'Balance Sheet'!Q30-'Balance Sheet'!P30</f>
        <v>8375.8848989151302</v>
      </c>
      <c r="R17" s="191">
        <f>'Balance Sheet'!R30-'Balance Sheet'!Q30</f>
        <v>8103.1113642138371</v>
      </c>
      <c r="S17" s="191">
        <f>'Balance Sheet'!S30-'Balance Sheet'!R30</f>
        <v>7770.7041971519648</v>
      </c>
    </row>
    <row r="18" spans="2:19" x14ac:dyDescent="0.25">
      <c r="C18" s="3"/>
      <c r="D18" s="1" t="s">
        <v>199</v>
      </c>
      <c r="E18" s="19"/>
      <c r="F18" s="171">
        <f>'Balance Sheet'!F31-'Balance Sheet'!E31</f>
        <v>-142.375</v>
      </c>
      <c r="G18" s="171">
        <f>'Balance Sheet'!G31-'Balance Sheet'!F31</f>
        <v>-49.979375000000005</v>
      </c>
      <c r="H18" s="171">
        <f>'Balance Sheet'!H31-'Balance Sheet'!G31</f>
        <v>1643.6876750000001</v>
      </c>
      <c r="I18" s="171">
        <f>'Balance Sheet'!I31-'Balance Sheet'!H31</f>
        <v>188.11822500000017</v>
      </c>
      <c r="J18" s="191">
        <f>'Balance Sheet'!J31-'Balance Sheet'!I31</f>
        <v>-575.10323773077016</v>
      </c>
      <c r="K18" s="191">
        <f>'Balance Sheet'!K31-'Balance Sheet'!J31</f>
        <v>304.47837636566828</v>
      </c>
      <c r="L18" s="191">
        <f>'Balance Sheet'!L31-'Balance Sheet'!K31</f>
        <v>318.71555441228247</v>
      </c>
      <c r="M18" s="191">
        <f>'Balance Sheet'!M31-'Balance Sheet'!L31</f>
        <v>327.90576253691006</v>
      </c>
      <c r="N18" s="191">
        <f>'Balance Sheet'!N31-'Balance Sheet'!M31</f>
        <v>332.2662383687516</v>
      </c>
      <c r="O18" s="191">
        <f>'Balance Sheet'!O31-'Balance Sheet'!N31</f>
        <v>332.15470711798935</v>
      </c>
      <c r="P18" s="191">
        <f>'Balance Sheet'!P31-'Balance Sheet'!O31</f>
        <v>328.04203331243616</v>
      </c>
      <c r="Q18" s="191">
        <f>'Balance Sheet'!Q31-'Balance Sheet'!P31</f>
        <v>320.47504285165269</v>
      </c>
      <c r="R18" s="191">
        <f>'Balance Sheet'!R31-'Balance Sheet'!Q31</f>
        <v>310.03828168824202</v>
      </c>
      <c r="S18" s="191">
        <f>'Balance Sheet'!S31-'Balance Sheet'!R31</f>
        <v>297.31984030634794</v>
      </c>
    </row>
    <row r="19" spans="2:19" x14ac:dyDescent="0.25">
      <c r="E19" s="192"/>
      <c r="F19" s="167"/>
      <c r="G19" s="167"/>
      <c r="H19" s="167"/>
      <c r="I19" s="167"/>
      <c r="J19" s="191"/>
      <c r="K19" s="191"/>
      <c r="L19" s="191"/>
      <c r="M19" s="191"/>
      <c r="N19" s="191"/>
      <c r="O19" s="191"/>
      <c r="P19" s="191"/>
      <c r="Q19" s="191"/>
      <c r="R19" s="191"/>
      <c r="S19" s="191"/>
    </row>
    <row r="20" spans="2:19" x14ac:dyDescent="0.25">
      <c r="C20" s="271" t="s">
        <v>247</v>
      </c>
      <c r="E20" s="192"/>
      <c r="F20" s="167"/>
      <c r="G20" s="167"/>
      <c r="H20" s="167"/>
      <c r="I20" s="167"/>
      <c r="J20" s="191"/>
      <c r="K20" s="191"/>
      <c r="L20" s="191"/>
      <c r="M20" s="191"/>
      <c r="N20" s="191"/>
      <c r="O20" s="191"/>
      <c r="P20" s="191"/>
      <c r="Q20" s="191"/>
      <c r="R20" s="191"/>
      <c r="S20" s="191"/>
    </row>
    <row r="21" spans="2:19" x14ac:dyDescent="0.25">
      <c r="D21" s="1" t="s">
        <v>10</v>
      </c>
      <c r="E21" s="192"/>
      <c r="F21" s="171">
        <f>'Income Statement'!E23</f>
        <v>897.39750000000004</v>
      </c>
      <c r="G21" s="171">
        <f>'Income Statement'!F23</f>
        <v>902.80190000000005</v>
      </c>
      <c r="H21" s="171">
        <f>'Income Statement'!G23</f>
        <v>959.37860000000001</v>
      </c>
      <c r="I21" s="171">
        <f>'Income Statement'!H23</f>
        <v>939.96029999999996</v>
      </c>
      <c r="J21" s="191">
        <f>'Income Statement'!I23</f>
        <v>1221.4692</v>
      </c>
      <c r="K21" s="191">
        <f>'Income Statement'!J23</f>
        <v>1373.281721123102</v>
      </c>
      <c r="L21" s="191">
        <f>'Income Statement'!K23</f>
        <v>1543.9625375497224</v>
      </c>
      <c r="M21" s="191">
        <f>'Income Statement'!L23</f>
        <v>1735.856729679205</v>
      </c>
      <c r="N21" s="191">
        <f>'Income Statement'!M23</f>
        <v>1951.6008404935449</v>
      </c>
      <c r="O21" s="191">
        <f>'Income Statement'!N23</f>
        <v>2194.1591005145833</v>
      </c>
      <c r="P21" s="191">
        <f>'Income Statement'!O23</f>
        <v>2466.8641550458942</v>
      </c>
      <c r="Q21" s="191">
        <f>'Income Statement'!P23</f>
        <v>2773.4628532740016</v>
      </c>
      <c r="R21" s="191">
        <f>'Income Statement'!Q23</f>
        <v>3118.167728351325</v>
      </c>
      <c r="S21" s="191">
        <f>'Income Statement'!R23</f>
        <v>3505.7148757748628</v>
      </c>
    </row>
    <row r="22" spans="2:19" x14ac:dyDescent="0.25">
      <c r="D22" s="1" t="s">
        <v>298</v>
      </c>
      <c r="E22" s="192"/>
      <c r="F22" s="171">
        <f>-'Income Statement'!E25</f>
        <v>360.82362000000001</v>
      </c>
      <c r="G22" s="171">
        <f>-'Income Statement'!F25</f>
        <v>481.18627199999997</v>
      </c>
      <c r="H22" s="171">
        <f>-'Income Statement'!G25</f>
        <v>493.00787500000001</v>
      </c>
      <c r="I22" s="171">
        <f>-'Income Statement'!H25</f>
        <v>578.76717499999995</v>
      </c>
      <c r="J22" s="191">
        <f>-'Income Statement'!I25</f>
        <v>723.18732199999999</v>
      </c>
      <c r="K22" s="191">
        <f>-'Income Statement'!J25</f>
        <v>571.41046806918655</v>
      </c>
      <c r="L22" s="191">
        <f>-'Income Statement'!K25</f>
        <v>653.5452370169977</v>
      </c>
      <c r="M22" s="191">
        <f>-'Income Statement'!L25</f>
        <v>740.90872849555205</v>
      </c>
      <c r="N22" s="191">
        <f>-'Income Statement'!M25</f>
        <v>839.72785722273386</v>
      </c>
      <c r="O22" s="191">
        <f>-'Income Statement'!N25</f>
        <v>944.09069338662539</v>
      </c>
      <c r="P22" s="191">
        <f>-'Income Statement'!O25</f>
        <v>1061.0250265001985</v>
      </c>
      <c r="Q22" s="191">
        <f>-'Income Statement'!P25</f>
        <v>1184.4770813815564</v>
      </c>
      <c r="R22" s="191">
        <f>-'Income Statement'!Q25</f>
        <v>1322.2432785457661</v>
      </c>
      <c r="S22" s="191">
        <f>-'Income Statement'!R25</f>
        <v>1468.3530407215494</v>
      </c>
    </row>
    <row r="23" spans="2:19" x14ac:dyDescent="0.25">
      <c r="D23" s="156" t="s">
        <v>249</v>
      </c>
      <c r="E23" s="192"/>
      <c r="F23" s="167"/>
      <c r="G23" s="167"/>
      <c r="H23" s="167"/>
      <c r="I23" s="167"/>
      <c r="J23" s="191"/>
      <c r="K23" s="191"/>
      <c r="L23" s="191"/>
      <c r="M23" s="191"/>
      <c r="N23" s="191"/>
      <c r="O23" s="191"/>
      <c r="P23" s="191"/>
      <c r="Q23" s="191"/>
      <c r="R23" s="191"/>
      <c r="S23" s="191"/>
    </row>
    <row r="24" spans="2:19" x14ac:dyDescent="0.25">
      <c r="D24" s="3" t="s">
        <v>250</v>
      </c>
      <c r="E24" s="192"/>
      <c r="F24" s="167"/>
      <c r="G24" s="167"/>
      <c r="H24" s="167"/>
      <c r="I24" s="167"/>
      <c r="J24" s="191"/>
      <c r="K24" s="191"/>
      <c r="L24" s="191"/>
      <c r="M24" s="191"/>
      <c r="N24" s="191"/>
      <c r="O24" s="191"/>
      <c r="P24" s="191"/>
      <c r="Q24" s="191"/>
      <c r="R24" s="191"/>
      <c r="S24" s="191"/>
    </row>
    <row r="25" spans="2:19" x14ac:dyDescent="0.25">
      <c r="D25" s="1" t="s">
        <v>251</v>
      </c>
      <c r="E25" s="261"/>
      <c r="F25" s="171">
        <f>'Balance Sheet'!F13-'Balance Sheet'!E13</f>
        <v>1041.08</v>
      </c>
      <c r="G25" s="171">
        <f>'Balance Sheet'!G13-'Balance Sheet'!F13</f>
        <v>-981.94709999999998</v>
      </c>
      <c r="H25" s="171">
        <f>'Balance Sheet'!H13-'Balance Sheet'!G13</f>
        <v>-77.665000000000006</v>
      </c>
      <c r="I25" s="171">
        <f>'Balance Sheet'!I13-'Balance Sheet'!H13</f>
        <v>-0.77340000000000941</v>
      </c>
      <c r="J25" s="221">
        <f>'Balance Sheet'!J13-'Balance Sheet'!I13</f>
        <v>0</v>
      </c>
      <c r="K25" s="221">
        <f>'Balance Sheet'!K13-'Balance Sheet'!J13</f>
        <v>0</v>
      </c>
      <c r="L25" s="221">
        <f>'Balance Sheet'!L13-'Balance Sheet'!K13</f>
        <v>0</v>
      </c>
      <c r="M25" s="221">
        <f>'Balance Sheet'!M13-'Balance Sheet'!L13</f>
        <v>0</v>
      </c>
      <c r="N25" s="221">
        <f>'Balance Sheet'!N13-'Balance Sheet'!M13</f>
        <v>0</v>
      </c>
      <c r="O25" s="221">
        <f>'Balance Sheet'!O13-'Balance Sheet'!N13</f>
        <v>0</v>
      </c>
      <c r="P25" s="221">
        <f>'Balance Sheet'!P13-'Balance Sheet'!O13</f>
        <v>0</v>
      </c>
      <c r="Q25" s="221">
        <f>'Balance Sheet'!Q13-'Balance Sheet'!P13</f>
        <v>0</v>
      </c>
      <c r="R25" s="221">
        <f>'Balance Sheet'!R13-'Balance Sheet'!Q13</f>
        <v>0</v>
      </c>
      <c r="S25" s="221">
        <f>'Balance Sheet'!S13-'Balance Sheet'!R13</f>
        <v>0</v>
      </c>
    </row>
    <row r="26" spans="2:19" x14ac:dyDescent="0.25">
      <c r="D26" s="1" t="s">
        <v>203</v>
      </c>
      <c r="E26" s="19"/>
      <c r="F26" s="171">
        <f>'Balance Sheet'!F14-'Balance Sheet'!E14</f>
        <v>1970.9194</v>
      </c>
      <c r="G26" s="171">
        <f>'Balance Sheet'!G14-'Balance Sheet'!F14</f>
        <v>40417.224600000001</v>
      </c>
      <c r="H26" s="171">
        <f>'Balance Sheet'!H14-'Balance Sheet'!G14</f>
        <v>-42021.692499999997</v>
      </c>
      <c r="I26" s="171">
        <f>'Balance Sheet'!I14-'Balance Sheet'!H14</f>
        <v>576.0598</v>
      </c>
      <c r="J26" s="191">
        <f>'Balance Sheet'!J14-'Balance Sheet'!I14</f>
        <v>177.33030183518292</v>
      </c>
      <c r="K26" s="191">
        <f>'Balance Sheet'!K14-'Balance Sheet'!J14</f>
        <v>189.36980002968835</v>
      </c>
      <c r="L26" s="191">
        <f>'Balance Sheet'!L14-'Balance Sheet'!K14</f>
        <v>198.22458831336098</v>
      </c>
      <c r="M26" s="191">
        <f>'Balance Sheet'!M14-'Balance Sheet'!L14</f>
        <v>203.94042237542226</v>
      </c>
      <c r="N26" s="191">
        <f>'Balance Sheet'!N14-'Balance Sheet'!M14</f>
        <v>206.65241278395752</v>
      </c>
      <c r="O26" s="191">
        <f>'Balance Sheet'!O14-'Balance Sheet'!N14</f>
        <v>206.58304611527615</v>
      </c>
      <c r="P26" s="191">
        <f>'Balance Sheet'!P14-'Balance Sheet'!O14</f>
        <v>204.02517574877947</v>
      </c>
      <c r="Q26" s="191">
        <f>'Balance Sheet'!Q14-'Balance Sheet'!P14</f>
        <v>199.31889910775999</v>
      </c>
      <c r="R26" s="191">
        <f>'Balance Sheet'!R14-'Balance Sheet'!Q14</f>
        <v>192.82777353732263</v>
      </c>
      <c r="S26" s="191">
        <f>'Balance Sheet'!S14-'Balance Sheet'!R14</f>
        <v>184.91756089783348</v>
      </c>
    </row>
    <row r="27" spans="2:19" x14ac:dyDescent="0.25">
      <c r="C27" s="3"/>
      <c r="D27" s="1" t="s">
        <v>229</v>
      </c>
      <c r="E27" s="19"/>
      <c r="F27" s="171">
        <f>'Balance Sheet'!F15-'Balance Sheet'!E15</f>
        <v>758.93820000000051</v>
      </c>
      <c r="G27" s="171">
        <f>'Balance Sheet'!G15-'Balance Sheet'!F15</f>
        <v>805.45796999999948</v>
      </c>
      <c r="H27" s="171">
        <f>'Balance Sheet'!H15-'Balance Sheet'!G15</f>
        <v>3957.8600399999996</v>
      </c>
      <c r="I27" s="171">
        <f>'Balance Sheet'!I15-'Balance Sheet'!H15</f>
        <v>1775.0841900000014</v>
      </c>
      <c r="J27" s="191">
        <f>'Balance Sheet'!J15-'Balance Sheet'!I15</f>
        <v>4845.1459228191234</v>
      </c>
      <c r="K27" s="191">
        <f>'Balance Sheet'!K15-'Balance Sheet'!J15</f>
        <v>4836.4859921207499</v>
      </c>
      <c r="L27" s="191">
        <f>'Balance Sheet'!L15-'Balance Sheet'!K15</f>
        <v>5062.6364104581153</v>
      </c>
      <c r="M27" s="191">
        <f>'Balance Sheet'!M15-'Balance Sheet'!L15</f>
        <v>5208.6182479533963</v>
      </c>
      <c r="N27" s="191">
        <f>'Balance Sheet'!N15-'Balance Sheet'!M15</f>
        <v>5277.8822151730274</v>
      </c>
      <c r="O27" s="191">
        <f>'Balance Sheet'!O15-'Balance Sheet'!N15</f>
        <v>5276.1105973050071</v>
      </c>
      <c r="P27" s="191">
        <f>'Balance Sheet'!P15-'Balance Sheet'!O15</f>
        <v>5210.7828407393681</v>
      </c>
      <c r="Q27" s="191">
        <f>'Balance Sheet'!Q15-'Balance Sheet'!P15</f>
        <v>5090.5850000817445</v>
      </c>
      <c r="R27" s="191">
        <f>'Balance Sheet'!R15-'Balance Sheet'!Q15</f>
        <v>4924.8022940240917</v>
      </c>
      <c r="S27" s="191">
        <f>'Balance Sheet'!S15-'Balance Sheet'!R15</f>
        <v>4722.7762443604734</v>
      </c>
    </row>
    <row r="28" spans="2:19" s="3" customFormat="1" x14ac:dyDescent="0.25">
      <c r="D28" s="197" t="s">
        <v>252</v>
      </c>
      <c r="E28" s="264"/>
      <c r="F28" s="259">
        <f>SUM(F11:F18)-SUM(F21:F27)</f>
        <v>-493.39300000000185</v>
      </c>
      <c r="G28" s="259">
        <f t="shared" ref="G28:S28" si="1">SUM(G11:G18)-SUM(G21:G27)</f>
        <v>-40578.790344999994</v>
      </c>
      <c r="H28" s="259">
        <f t="shared" si="1"/>
        <v>42540.937234999998</v>
      </c>
      <c r="I28" s="259">
        <f t="shared" si="1"/>
        <v>386.31993500000226</v>
      </c>
      <c r="J28" s="260">
        <f t="shared" si="1"/>
        <v>4279.1627072458923</v>
      </c>
      <c r="K28" s="260">
        <f t="shared" si="1"/>
        <v>3545.9615732157072</v>
      </c>
      <c r="L28" s="260">
        <f t="shared" si="1"/>
        <v>3758.7816722760181</v>
      </c>
      <c r="M28" s="260">
        <f t="shared" si="1"/>
        <v>3919.4424768266917</v>
      </c>
      <c r="N28" s="260">
        <f t="shared" si="1"/>
        <v>4021.6455241636813</v>
      </c>
      <c r="O28" s="260">
        <f t="shared" si="1"/>
        <v>4072.8269650622187</v>
      </c>
      <c r="P28" s="260">
        <f t="shared" si="1"/>
        <v>4068.8545723178377</v>
      </c>
      <c r="Q28" s="260">
        <f t="shared" si="1"/>
        <v>4019.7072134166938</v>
      </c>
      <c r="R28" s="260">
        <f t="shared" si="1"/>
        <v>3922.172438968817</v>
      </c>
      <c r="S28" s="260">
        <f t="shared" si="1"/>
        <v>3787.1182035769489</v>
      </c>
    </row>
    <row r="29" spans="2:19" x14ac:dyDescent="0.25">
      <c r="E29" s="192"/>
      <c r="F29" s="167"/>
      <c r="G29" s="167"/>
      <c r="H29" s="167"/>
      <c r="I29" s="167"/>
      <c r="J29" s="191"/>
      <c r="K29" s="191"/>
      <c r="L29" s="191"/>
      <c r="M29" s="191"/>
      <c r="N29" s="191"/>
      <c r="O29" s="191"/>
      <c r="P29" s="191"/>
      <c r="Q29" s="191"/>
      <c r="R29" s="191"/>
      <c r="S29" s="191"/>
    </row>
    <row r="30" spans="2:19" x14ac:dyDescent="0.25">
      <c r="B30" s="3" t="s">
        <v>253</v>
      </c>
      <c r="E30" s="192"/>
      <c r="F30" s="167"/>
      <c r="G30" s="167"/>
      <c r="H30" s="167"/>
      <c r="I30" s="167"/>
      <c r="J30" s="191"/>
      <c r="K30" s="191"/>
      <c r="L30" s="191"/>
      <c r="M30" s="191"/>
      <c r="N30" s="191"/>
      <c r="O30" s="191"/>
      <c r="P30" s="191"/>
      <c r="Q30" s="191"/>
      <c r="R30" s="191"/>
      <c r="S30" s="191"/>
    </row>
    <row r="31" spans="2:19" x14ac:dyDescent="0.25">
      <c r="D31" s="1" t="s">
        <v>10</v>
      </c>
      <c r="E31" s="192"/>
      <c r="F31" s="171">
        <f t="shared" ref="F31:S31" si="2">F21</f>
        <v>897.39750000000004</v>
      </c>
      <c r="G31" s="171">
        <f t="shared" si="2"/>
        <v>902.80190000000005</v>
      </c>
      <c r="H31" s="171">
        <f t="shared" si="2"/>
        <v>959.37860000000001</v>
      </c>
      <c r="I31" s="171">
        <f t="shared" si="2"/>
        <v>939.96029999999996</v>
      </c>
      <c r="J31" s="191">
        <f t="shared" si="2"/>
        <v>1221.4692</v>
      </c>
      <c r="K31" s="191">
        <f t="shared" si="2"/>
        <v>1373.281721123102</v>
      </c>
      <c r="L31" s="191">
        <f t="shared" si="2"/>
        <v>1543.9625375497224</v>
      </c>
      <c r="M31" s="191">
        <f t="shared" si="2"/>
        <v>1735.856729679205</v>
      </c>
      <c r="N31" s="191">
        <f t="shared" si="2"/>
        <v>1951.6008404935449</v>
      </c>
      <c r="O31" s="191">
        <f t="shared" si="2"/>
        <v>2194.1591005145833</v>
      </c>
      <c r="P31" s="191">
        <f t="shared" si="2"/>
        <v>2466.8641550458942</v>
      </c>
      <c r="Q31" s="191">
        <f t="shared" si="2"/>
        <v>2773.4628532740016</v>
      </c>
      <c r="R31" s="191">
        <f t="shared" si="2"/>
        <v>3118.167728351325</v>
      </c>
      <c r="S31" s="191">
        <f t="shared" si="2"/>
        <v>3505.7148757748628</v>
      </c>
    </row>
    <row r="32" spans="2:19" x14ac:dyDescent="0.25">
      <c r="C32" s="271" t="s">
        <v>247</v>
      </c>
      <c r="E32" s="192"/>
      <c r="F32" s="171"/>
      <c r="G32" s="171"/>
      <c r="H32" s="171"/>
      <c r="I32" s="171"/>
      <c r="J32" s="191"/>
      <c r="K32" s="191"/>
      <c r="L32" s="191"/>
      <c r="M32" s="191"/>
      <c r="N32" s="191"/>
      <c r="O32" s="191"/>
      <c r="P32" s="191"/>
      <c r="Q32" s="191"/>
      <c r="R32" s="191"/>
      <c r="S32" s="191"/>
    </row>
    <row r="33" spans="2:19" x14ac:dyDescent="0.25">
      <c r="D33" s="1" t="s">
        <v>203</v>
      </c>
      <c r="E33" s="192"/>
      <c r="F33" s="171">
        <f>'Balance Sheet'!F18-'Balance Sheet'!E18</f>
        <v>5499.7582000000002</v>
      </c>
      <c r="G33" s="171">
        <f>'Balance Sheet'!G18-'Balance Sheet'!F18</f>
        <v>-30159.124099999997</v>
      </c>
      <c r="H33" s="171">
        <f>'Balance Sheet'!H18-'Balance Sheet'!G18</f>
        <v>44579.2379</v>
      </c>
      <c r="I33" s="171">
        <f>'Balance Sheet'!I18-'Balance Sheet'!H18</f>
        <v>4184.6778000000049</v>
      </c>
      <c r="J33" s="191">
        <f>'Balance Sheet'!J18-'Balance Sheet'!I18</f>
        <v>-7550.1271309885196</v>
      </c>
      <c r="K33" s="191">
        <f>'Balance Sheet'!K18-'Balance Sheet'!J18</f>
        <v>6694.8341475190609</v>
      </c>
      <c r="L33" s="191">
        <f>'Balance Sheet'!L18-'Balance Sheet'!K18</f>
        <v>7007.8795167452554</v>
      </c>
      <c r="M33" s="191">
        <f>'Balance Sheet'!M18-'Balance Sheet'!L18</f>
        <v>7209.9527145531538</v>
      </c>
      <c r="N33" s="191">
        <f>'Balance Sheet'!N18-'Balance Sheet'!M18</f>
        <v>7305.8303359688216</v>
      </c>
      <c r="O33" s="191">
        <f>'Balance Sheet'!O18-'Balance Sheet'!N18</f>
        <v>7303.378000157536</v>
      </c>
      <c r="P33" s="191">
        <f>'Balance Sheet'!P18-'Balance Sheet'!O18</f>
        <v>7212.9490200779837</v>
      </c>
      <c r="Q33" s="191">
        <f>'Balance Sheet'!Q18-'Balance Sheet'!P18</f>
        <v>7046.5669382517226</v>
      </c>
      <c r="R33" s="191">
        <f>'Balance Sheet'!R18-'Balance Sheet'!Q18</f>
        <v>6817.0846812181844</v>
      </c>
      <c r="S33" s="191">
        <f>'Balance Sheet'!S18-'Balance Sheet'!R18</f>
        <v>6537.4331122526783</v>
      </c>
    </row>
    <row r="34" spans="2:19" x14ac:dyDescent="0.25">
      <c r="D34" s="1" t="s">
        <v>229</v>
      </c>
      <c r="E34" s="192"/>
      <c r="F34" s="171">
        <f>'Balance Sheet'!F19-'Balance Sheet'!E19</f>
        <v>1770.8557999999903</v>
      </c>
      <c r="G34" s="171">
        <f>'Balance Sheet'!G19-'Balance Sheet'!F19</f>
        <v>1879.4019299999927</v>
      </c>
      <c r="H34" s="171">
        <f>'Balance Sheet'!H19-'Balance Sheet'!G19</f>
        <v>9235.0067600000039</v>
      </c>
      <c r="I34" s="171">
        <f>'Balance Sheet'!I19-'Balance Sheet'!H19</f>
        <v>4141.8631100000057</v>
      </c>
      <c r="J34" s="191">
        <f>'Balance Sheet'!J19-'Balance Sheet'!I19</f>
        <v>11305.340486577945</v>
      </c>
      <c r="K34" s="191">
        <f>'Balance Sheet'!K19-'Balance Sheet'!J19</f>
        <v>11285.133981615072</v>
      </c>
      <c r="L34" s="191">
        <f>'Balance Sheet'!L19-'Balance Sheet'!K19</f>
        <v>11812.818291068936</v>
      </c>
      <c r="M34" s="191">
        <f>'Balance Sheet'!M19-'Balance Sheet'!L19</f>
        <v>12153.442578557922</v>
      </c>
      <c r="N34" s="191">
        <f>'Balance Sheet'!N19-'Balance Sheet'!M19</f>
        <v>12315.058502070402</v>
      </c>
      <c r="O34" s="191">
        <f>'Balance Sheet'!O19-'Balance Sheet'!N19</f>
        <v>12310.924727045014</v>
      </c>
      <c r="P34" s="191">
        <f>'Balance Sheet'!P19-'Balance Sheet'!O19</f>
        <v>12158.493295058521</v>
      </c>
      <c r="Q34" s="191">
        <f>'Balance Sheet'!Q19-'Balance Sheet'!P19</f>
        <v>11878.031666857394</v>
      </c>
      <c r="R34" s="191">
        <f>'Balance Sheet'!R19-'Balance Sheet'!Q19</f>
        <v>11491.205352722871</v>
      </c>
      <c r="S34" s="191">
        <f>'Balance Sheet'!S19-'Balance Sheet'!R19</f>
        <v>11019.811236841138</v>
      </c>
    </row>
    <row r="35" spans="2:19" x14ac:dyDescent="0.25">
      <c r="D35" s="1" t="s">
        <v>231</v>
      </c>
      <c r="E35" s="192"/>
      <c r="F35" s="171">
        <f>'Balance Sheet'!F20-'Balance Sheet'!E20+F13</f>
        <v>397.99400000000014</v>
      </c>
      <c r="G35" s="171">
        <f>'Balance Sheet'!G20-'Balance Sheet'!F20+G13</f>
        <v>94.664900000000031</v>
      </c>
      <c r="H35" s="171">
        <f>'Balance Sheet'!H20-'Balance Sheet'!G20+H13</f>
        <v>79.069699999999955</v>
      </c>
      <c r="I35" s="171">
        <f>'Balance Sheet'!I20-'Balance Sheet'!H20+I13</f>
        <v>384.69169999999997</v>
      </c>
      <c r="J35" s="191">
        <f>'Balance Sheet'!J20-'Balance Sheet'!I20+J13</f>
        <v>254.36988750000026</v>
      </c>
      <c r="K35" s="191">
        <f>'Balance Sheet'!K20-'Balance Sheet'!J20+K13</f>
        <v>255.02878333619344</v>
      </c>
      <c r="L35" s="191">
        <f>'Balance Sheet'!L20-'Balance Sheet'!K20+L13</f>
        <v>247.30463692728839</v>
      </c>
      <c r="M35" s="191">
        <f>'Balance Sheet'!M20-'Balance Sheet'!L20+M13</f>
        <v>259.57233974199346</v>
      </c>
      <c r="N35" s="191">
        <f>'Balance Sheet'!N20-'Balance Sheet'!M20+N13</f>
        <v>250.96112953081527</v>
      </c>
      <c r="O35" s="191">
        <f>'Balance Sheet'!O20-'Balance Sheet'!N20+O13</f>
        <v>264.10280454570722</v>
      </c>
      <c r="P35" s="191">
        <f>'Balance Sheet'!P20-'Balance Sheet'!O20+P13</f>
        <v>254.80394355805157</v>
      </c>
      <c r="Q35" s="191">
        <f>'Balance Sheet'!Q20-'Balance Sheet'!P20+Q13</f>
        <v>268.56410416605405</v>
      </c>
      <c r="R35" s="191">
        <f>'Balance Sheet'!R20-'Balance Sheet'!Q20+R13</f>
        <v>258.75371252944637</v>
      </c>
      <c r="S35" s="191">
        <f>'Balance Sheet'!S20-'Balance Sheet'!R20+S13</f>
        <v>272.91278575376623</v>
      </c>
    </row>
    <row r="36" spans="2:19" x14ac:dyDescent="0.25">
      <c r="D36" s="1" t="s">
        <v>232</v>
      </c>
      <c r="E36" s="261"/>
      <c r="F36" s="171">
        <f>'Balance Sheet'!F21-'Balance Sheet'!E21</f>
        <v>872.32809999999972</v>
      </c>
      <c r="G36" s="171">
        <f>'Balance Sheet'!G21-'Balance Sheet'!F21</f>
        <v>-298.60670000000027</v>
      </c>
      <c r="H36" s="171">
        <f>'Balance Sheet'!H21-'Balance Sheet'!G21</f>
        <v>-313.91829999999936</v>
      </c>
      <c r="I36" s="171">
        <f>'Balance Sheet'!I21-'Balance Sheet'!H21</f>
        <v>-798.32600000000002</v>
      </c>
      <c r="J36" s="191">
        <f>'Balance Sheet'!J21-'Balance Sheet'!I21</f>
        <v>1113.8600224104648</v>
      </c>
      <c r="K36" s="191">
        <f>'Balance Sheet'!K21-'Balance Sheet'!J21</f>
        <v>1189.483396362687</v>
      </c>
      <c r="L36" s="191">
        <f>'Balance Sheet'!L21-'Balance Sheet'!K21</f>
        <v>1245.1027382011671</v>
      </c>
      <c r="M36" s="191">
        <f>'Balance Sheet'!M21-'Balance Sheet'!L21</f>
        <v>1281.0054518974375</v>
      </c>
      <c r="N36" s="191">
        <f>'Balance Sheet'!N21-'Balance Sheet'!M21</f>
        <v>1298.0402038037173</v>
      </c>
      <c r="O36" s="191">
        <f>'Balance Sheet'!O21-'Balance Sheet'!N21</f>
        <v>1297.6044928263382</v>
      </c>
      <c r="P36" s="191">
        <f>'Balance Sheet'!P21-'Balance Sheet'!O21</f>
        <v>1281.5378109661906</v>
      </c>
      <c r="Q36" s="191">
        <f>'Balance Sheet'!Q21-'Balance Sheet'!P21</f>
        <v>1251.9764029576072</v>
      </c>
      <c r="R36" s="191">
        <f>'Balance Sheet'!R21-'Balance Sheet'!Q21</f>
        <v>1211.2038717064206</v>
      </c>
      <c r="S36" s="191">
        <f>'Balance Sheet'!S21-'Balance Sheet'!R21</f>
        <v>1161.5176672805064</v>
      </c>
    </row>
    <row r="37" spans="2:19" s="3" customFormat="1" x14ac:dyDescent="0.25">
      <c r="D37" s="197" t="s">
        <v>255</v>
      </c>
      <c r="E37" s="278"/>
      <c r="F37" s="195">
        <f>F31-SUM(F33:F36)</f>
        <v>-7643.5385999999917</v>
      </c>
      <c r="G37" s="195">
        <f>G31-SUM(G33:G36)</f>
        <v>29386.465870000004</v>
      </c>
      <c r="H37" s="195">
        <f>H31-SUM(H33:H36)</f>
        <v>-52620.017460000003</v>
      </c>
      <c r="I37" s="195">
        <f>I31-SUM(I33:I36)</f>
        <v>-6972.9463100000103</v>
      </c>
      <c r="J37" s="260">
        <f t="shared" ref="J37:S37" si="3">J31-SUM(J33:J36)</f>
        <v>-3901.9740654998909</v>
      </c>
      <c r="K37" s="260">
        <f t="shared" si="3"/>
        <v>-18051.198587709914</v>
      </c>
      <c r="L37" s="260">
        <f t="shared" si="3"/>
        <v>-18769.142645392923</v>
      </c>
      <c r="M37" s="260">
        <f t="shared" si="3"/>
        <v>-19168.116355071299</v>
      </c>
      <c r="N37" s="260">
        <f t="shared" si="3"/>
        <v>-19218.289330880212</v>
      </c>
      <c r="O37" s="260">
        <f t="shared" si="3"/>
        <v>-18981.850924060011</v>
      </c>
      <c r="P37" s="260">
        <f t="shared" si="3"/>
        <v>-18440.919914614853</v>
      </c>
      <c r="Q37" s="260">
        <f t="shared" si="3"/>
        <v>-17671.676258958774</v>
      </c>
      <c r="R37" s="260">
        <f t="shared" si="3"/>
        <v>-16660.0798898256</v>
      </c>
      <c r="S37" s="260">
        <f t="shared" si="3"/>
        <v>-15485.959926353229</v>
      </c>
    </row>
    <row r="38" spans="2:19" x14ac:dyDescent="0.25">
      <c r="E38" s="261"/>
      <c r="F38" s="16"/>
      <c r="G38" s="16"/>
      <c r="H38" s="16"/>
      <c r="I38" s="16"/>
      <c r="J38" s="222"/>
      <c r="K38" s="222"/>
      <c r="L38" s="222"/>
      <c r="M38" s="222"/>
      <c r="N38" s="222"/>
      <c r="O38" s="222"/>
      <c r="P38" s="222"/>
      <c r="Q38" s="222"/>
      <c r="R38" s="222"/>
      <c r="S38" s="222"/>
    </row>
    <row r="39" spans="2:19" x14ac:dyDescent="0.25">
      <c r="B39" s="3" t="s">
        <v>256</v>
      </c>
      <c r="E39" s="192"/>
      <c r="F39" s="167"/>
      <c r="G39" s="167"/>
      <c r="H39" s="167"/>
      <c r="I39" s="167"/>
      <c r="J39" s="191"/>
      <c r="K39" s="191"/>
      <c r="L39" s="191"/>
      <c r="M39" s="191"/>
      <c r="N39" s="191"/>
      <c r="O39" s="191"/>
      <c r="P39" s="191"/>
      <c r="Q39" s="191"/>
      <c r="R39" s="191"/>
      <c r="S39" s="191"/>
    </row>
    <row r="40" spans="2:19" x14ac:dyDescent="0.25">
      <c r="D40" s="1" t="s">
        <v>196</v>
      </c>
      <c r="E40" s="261"/>
      <c r="F40" s="171">
        <f>'Balance Sheet'!F26-'Balance Sheet'!E26</f>
        <v>3351.6149</v>
      </c>
      <c r="G40" s="171">
        <f>'Balance Sheet'!G26-'Balance Sheet'!F26</f>
        <v>2725.1183999999998</v>
      </c>
      <c r="H40" s="171">
        <f>'Balance Sheet'!H26-'Balance Sheet'!G26</f>
        <v>0</v>
      </c>
      <c r="I40" s="171">
        <f>'Balance Sheet'!I26-'Balance Sheet'!H26</f>
        <v>0</v>
      </c>
      <c r="J40" s="191">
        <f>'Balance Sheet'!J26-'Balance Sheet'!I26</f>
        <v>0</v>
      </c>
      <c r="K40" s="191">
        <f>'Balance Sheet'!K26-'Balance Sheet'!J26</f>
        <v>0</v>
      </c>
      <c r="L40" s="191">
        <f>'Balance Sheet'!L26-'Balance Sheet'!K26</f>
        <v>0</v>
      </c>
      <c r="M40" s="191">
        <f>'Balance Sheet'!M26-'Balance Sheet'!L26</f>
        <v>0</v>
      </c>
      <c r="N40" s="191">
        <f>'Balance Sheet'!N26-'Balance Sheet'!M26</f>
        <v>0</v>
      </c>
      <c r="O40" s="191">
        <f>'Balance Sheet'!O26-'Balance Sheet'!N26</f>
        <v>0</v>
      </c>
      <c r="P40" s="191">
        <f>'Balance Sheet'!P26-'Balance Sheet'!O26</f>
        <v>0</v>
      </c>
      <c r="Q40" s="191">
        <f>'Balance Sheet'!Q26-'Balance Sheet'!P26</f>
        <v>0</v>
      </c>
      <c r="R40" s="191">
        <f>'Balance Sheet'!R26-'Balance Sheet'!Q26</f>
        <v>0</v>
      </c>
      <c r="S40" s="191">
        <f>'Balance Sheet'!S26-'Balance Sheet'!R26</f>
        <v>0</v>
      </c>
    </row>
    <row r="41" spans="2:19" x14ac:dyDescent="0.25">
      <c r="D41" s="1" t="s">
        <v>197</v>
      </c>
      <c r="E41" s="19"/>
      <c r="F41" s="171">
        <f>'Balance Sheet'!F27-'Balance Sheet'!E27-('Income Statement'!F26)</f>
        <v>2147.9022000000004</v>
      </c>
      <c r="G41" s="171">
        <f>'Balance Sheet'!G27-'Balance Sheet'!F27-('Income Statement'!G26)</f>
        <v>1883.4022</v>
      </c>
      <c r="H41" s="171">
        <f>'Balance Sheet'!H27-'Balance Sheet'!G27-('Income Statement'!H26)</f>
        <v>-215.11260000000061</v>
      </c>
      <c r="I41" s="171">
        <f>'Balance Sheet'!I27-'Balance Sheet'!H27-('Income Statement'!I26)</f>
        <v>-170.49969999999894</v>
      </c>
      <c r="J41" s="191">
        <f>'Balance Sheet'!J27-'Balance Sheet'!I27-('Income Statement'!J26)</f>
        <v>-1994.8825174031522</v>
      </c>
      <c r="K41" s="191">
        <f>'Balance Sheet'!K27-'Balance Sheet'!J27-('Income Statement'!K26)</f>
        <v>-2285.3058166507999</v>
      </c>
      <c r="L41" s="191">
        <f>'Balance Sheet'!L27-'Balance Sheet'!K27-('Income Statement'!L26)</f>
        <v>-2593.6921801556555</v>
      </c>
      <c r="M41" s="191">
        <f>'Balance Sheet'!M27-'Balance Sheet'!L27-('Income Statement'!M26)</f>
        <v>-2939.1876853674589</v>
      </c>
      <c r="N41" s="191">
        <f>'Balance Sheet'!N27-'Balance Sheet'!M27-('Income Statement'!N26)</f>
        <v>-3302.6324811995664</v>
      </c>
      <c r="O41" s="191">
        <f>'Balance Sheet'!O27-'Balance Sheet'!N27-('Income Statement'!O26)</f>
        <v>-3705.7600868339177</v>
      </c>
      <c r="P41" s="191">
        <f>'Balance Sheet'!P27-'Balance Sheet'!O27-('Income Statement'!P26)</f>
        <v>-4129.0473701351757</v>
      </c>
      <c r="Q41" s="191">
        <f>'Balance Sheet'!Q27-'Balance Sheet'!P27-('Income Statement'!Q26)</f>
        <v>-4596.758681903988</v>
      </c>
      <c r="R41" s="191">
        <f>'Balance Sheet'!R27-'Balance Sheet'!Q27-('Income Statement'!R26)</f>
        <v>-5089.7490892350488</v>
      </c>
      <c r="S41" s="191">
        <f>'Balance Sheet'!S27-'Balance Sheet'!R27-('Income Statement'!S26)</f>
        <v>-5634.7290758341387</v>
      </c>
    </row>
    <row r="42" spans="2:19" x14ac:dyDescent="0.25">
      <c r="D42" s="1" t="s">
        <v>240</v>
      </c>
      <c r="E42" s="19"/>
      <c r="F42" s="171">
        <f>'Balance Sheet'!F34-'Balance Sheet'!E34</f>
        <v>1427.5343000000066</v>
      </c>
      <c r="G42" s="171">
        <f>'Balance Sheet'!G34-'Balance Sheet'!F34</f>
        <v>3030.8067999999985</v>
      </c>
      <c r="H42" s="171">
        <f>'Balance Sheet'!H34-'Balance Sheet'!G34</f>
        <v>5223.7890000000043</v>
      </c>
      <c r="I42" s="171">
        <f>'Balance Sheet'!I34-'Balance Sheet'!H34</f>
        <v>7868.9174999999959</v>
      </c>
      <c r="J42" s="191">
        <f>'Balance Sheet'!J34-'Balance Sheet'!I34</f>
        <v>20408.132560817045</v>
      </c>
      <c r="K42" s="191">
        <f>'Balance Sheet'!K34-'Balance Sheet'!J34</f>
        <v>16483.967829515517</v>
      </c>
      <c r="L42" s="191">
        <f>'Balance Sheet'!L34-'Balance Sheet'!K34</f>
        <v>17254.745668338539</v>
      </c>
      <c r="M42" s="191">
        <f>'Balance Sheet'!M34-'Balance Sheet'!L34</f>
        <v>17752.288702038204</v>
      </c>
      <c r="N42" s="191">
        <f>'Balance Sheet'!N34-'Balance Sheet'!M34</f>
        <v>17988.357825210085</v>
      </c>
      <c r="O42" s="191">
        <f>'Balance Sheet'!O34-'Balance Sheet'!N34</f>
        <v>17982.319703319488</v>
      </c>
      <c r="P42" s="191">
        <f>'Balance Sheet'!P34-'Balance Sheet'!O34</f>
        <v>17759.666181866778</v>
      </c>
      <c r="Q42" s="191">
        <f>'Balance Sheet'!Q34-'Balance Sheet'!P34</f>
        <v>17350.001532407361</v>
      </c>
      <c r="R42" s="191">
        <f>'Balance Sheet'!R34-'Balance Sheet'!Q34</f>
        <v>16784.97212928356</v>
      </c>
      <c r="S42" s="191">
        <f>'Balance Sheet'!S34-'Balance Sheet'!R34</f>
        <v>16096.416242053849</v>
      </c>
    </row>
    <row r="43" spans="2:19" x14ac:dyDescent="0.25">
      <c r="D43" s="1" t="s">
        <v>199</v>
      </c>
      <c r="E43" s="19"/>
      <c r="F43" s="171">
        <f>'Balance Sheet'!F35-'Balance Sheet'!E35</f>
        <v>-427.125</v>
      </c>
      <c r="G43" s="171">
        <f>'Balance Sheet'!G35-'Balance Sheet'!F35</f>
        <v>-149.9381249999999</v>
      </c>
      <c r="H43" s="171">
        <f>'Balance Sheet'!H35-'Balance Sheet'!G35</f>
        <v>4931.0630250000004</v>
      </c>
      <c r="I43" s="171">
        <f>'Balance Sheet'!I35-'Balance Sheet'!H35</f>
        <v>564.35467499999959</v>
      </c>
      <c r="J43" s="191">
        <f>'Balance Sheet'!J35-'Balance Sheet'!I35</f>
        <v>-1725.3097131923096</v>
      </c>
      <c r="K43" s="191">
        <f>'Balance Sheet'!K35-'Balance Sheet'!J35</f>
        <v>913.43512909700439</v>
      </c>
      <c r="L43" s="191">
        <f>'Balance Sheet'!L35-'Balance Sheet'!K35</f>
        <v>956.14666323684651</v>
      </c>
      <c r="M43" s="191">
        <f>'Balance Sheet'!M35-'Balance Sheet'!L35</f>
        <v>983.71728761073064</v>
      </c>
      <c r="N43" s="191">
        <f>'Balance Sheet'!N35-'Balance Sheet'!M35</f>
        <v>996.79871510625526</v>
      </c>
      <c r="O43" s="191">
        <f>'Balance Sheet'!O35-'Balance Sheet'!N35</f>
        <v>996.46412135396713</v>
      </c>
      <c r="P43" s="191">
        <f>'Balance Sheet'!P35-'Balance Sheet'!O35</f>
        <v>984.12609993730985</v>
      </c>
      <c r="Q43" s="191">
        <f>'Balance Sheet'!Q35-'Balance Sheet'!P35</f>
        <v>961.42512855495625</v>
      </c>
      <c r="R43" s="191">
        <f>'Balance Sheet'!R35-'Balance Sheet'!Q35</f>
        <v>930.1148450647288</v>
      </c>
      <c r="S43" s="191">
        <f>'Balance Sheet'!S35-'Balance Sheet'!R35</f>
        <v>891.9595209190411</v>
      </c>
    </row>
    <row r="44" spans="2:19" x14ac:dyDescent="0.25">
      <c r="D44" s="1" t="s">
        <v>200</v>
      </c>
      <c r="E44" s="19"/>
      <c r="F44" s="171">
        <f>'Balance Sheet'!F36-'Balance Sheet'!E36</f>
        <v>1340.3353999999999</v>
      </c>
      <c r="G44" s="171">
        <f>'Balance Sheet'!G36-'Balance Sheet'!F36</f>
        <v>-890.83100000000013</v>
      </c>
      <c r="H44" s="171">
        <f>'Balance Sheet'!H36-'Balance Sheet'!G36</f>
        <v>185.82630000000017</v>
      </c>
      <c r="I44" s="171">
        <f>'Balance Sheet'!I36-'Balance Sheet'!H36</f>
        <v>280.55150000000003</v>
      </c>
      <c r="J44" s="191">
        <f>'Balance Sheet'!J36-'Balance Sheet'!I36</f>
        <v>1002.0903697997392</v>
      </c>
      <c r="K44" s="191">
        <f>'Balance Sheet'!K36-'Balance Sheet'!J36</f>
        <v>643.12106309184401</v>
      </c>
      <c r="L44" s="191">
        <f>'Balance Sheet'!L36-'Balance Sheet'!K36</f>
        <v>673.19291643675933</v>
      </c>
      <c r="M44" s="191">
        <f>'Balance Sheet'!M36-'Balance Sheet'!L36</f>
        <v>692.60452947047997</v>
      </c>
      <c r="N44" s="191">
        <f>'Balance Sheet'!N36-'Balance Sheet'!M36</f>
        <v>701.8147528237223</v>
      </c>
      <c r="O44" s="191">
        <f>'Balance Sheet'!O36-'Balance Sheet'!N36</f>
        <v>701.57917584313418</v>
      </c>
      <c r="P44" s="191">
        <f>'Balance Sheet'!P36-'Balance Sheet'!O36</f>
        <v>692.89236142449499</v>
      </c>
      <c r="Q44" s="191">
        <f>'Balance Sheet'!Q36-'Balance Sheet'!P36</f>
        <v>676.90931853116217</v>
      </c>
      <c r="R44" s="191">
        <f>'Balance Sheet'!R36-'Balance Sheet'!Q36</f>
        <v>654.86472865004907</v>
      </c>
      <c r="S44" s="191">
        <f>'Balance Sheet'!S36-'Balance Sheet'!R36</f>
        <v>628.000760048968</v>
      </c>
    </row>
    <row r="45" spans="2:19" x14ac:dyDescent="0.25">
      <c r="C45" s="271" t="s">
        <v>247</v>
      </c>
      <c r="E45" s="19"/>
      <c r="F45" s="171"/>
      <c r="G45" s="171"/>
      <c r="H45" s="171"/>
      <c r="I45" s="171"/>
      <c r="J45" s="191"/>
      <c r="K45" s="191"/>
      <c r="L45" s="191"/>
      <c r="M45" s="191"/>
      <c r="N45" s="191"/>
      <c r="O45" s="191"/>
      <c r="P45" s="191"/>
      <c r="Q45" s="191"/>
      <c r="R45" s="191"/>
      <c r="S45" s="191"/>
    </row>
    <row r="46" spans="2:19" x14ac:dyDescent="0.25">
      <c r="D46" s="1" t="s">
        <v>306</v>
      </c>
      <c r="E46" s="19"/>
      <c r="F46" s="171">
        <f t="shared" ref="F46:S46" si="4">-F14</f>
        <v>-241.11410000000001</v>
      </c>
      <c r="G46" s="171">
        <f t="shared" si="4"/>
        <v>-247.4659</v>
      </c>
      <c r="H46" s="171">
        <f t="shared" si="4"/>
        <v>-234.2987</v>
      </c>
      <c r="I46" s="171">
        <f t="shared" si="4"/>
        <v>-152.02359999999999</v>
      </c>
      <c r="J46" s="191">
        <f t="shared" si="4"/>
        <v>-249.38120000000001</v>
      </c>
      <c r="K46" s="191">
        <f t="shared" si="4"/>
        <v>-190.66784506718722</v>
      </c>
      <c r="L46" s="191">
        <f t="shared" si="4"/>
        <v>-221.75260656403168</v>
      </c>
      <c r="M46" s="191">
        <f t="shared" si="4"/>
        <v>-254.2908679423771</v>
      </c>
      <c r="N46" s="191">
        <f t="shared" si="4"/>
        <v>-287.76737469325218</v>
      </c>
      <c r="O46" s="191">
        <f t="shared" si="4"/>
        <v>-321.68905049968856</v>
      </c>
      <c r="P46" s="191">
        <f t="shared" si="4"/>
        <v>-355.59933987412018</v>
      </c>
      <c r="Q46" s="191">
        <f t="shared" si="4"/>
        <v>-389.0897587609137</v>
      </c>
      <c r="R46" s="191">
        <f t="shared" si="4"/>
        <v>-421.80764957353006</v>
      </c>
      <c r="S46" s="191">
        <f t="shared" si="4"/>
        <v>-453.46003210461726</v>
      </c>
    </row>
    <row r="47" spans="2:19" s="3" customFormat="1" x14ac:dyDescent="0.25">
      <c r="D47" s="197" t="s">
        <v>52</v>
      </c>
      <c r="E47" s="278"/>
      <c r="F47" s="259">
        <f>SUM(F40:F46)</f>
        <v>7599.1477000000077</v>
      </c>
      <c r="G47" s="259">
        <f t="shared" ref="G47:S47" si="5">SUM(G40:G46)</f>
        <v>6351.0923749999984</v>
      </c>
      <c r="H47" s="259">
        <f t="shared" si="5"/>
        <v>9891.2670250000047</v>
      </c>
      <c r="I47" s="259">
        <f t="shared" si="5"/>
        <v>8391.3003749999971</v>
      </c>
      <c r="J47" s="259">
        <f>SUM(J40:J46)</f>
        <v>17440.649500021322</v>
      </c>
      <c r="K47" s="259">
        <f t="shared" si="5"/>
        <v>15564.550359986379</v>
      </c>
      <c r="L47" s="259">
        <f t="shared" si="5"/>
        <v>16068.640461292456</v>
      </c>
      <c r="M47" s="259">
        <f t="shared" si="5"/>
        <v>16235.13196580958</v>
      </c>
      <c r="N47" s="259">
        <f t="shared" si="5"/>
        <v>16096.571437247247</v>
      </c>
      <c r="O47" s="259">
        <f t="shared" si="5"/>
        <v>15652.913863182985</v>
      </c>
      <c r="P47" s="259">
        <f t="shared" si="5"/>
        <v>14952.037933219286</v>
      </c>
      <c r="Q47" s="259">
        <f t="shared" si="5"/>
        <v>14002.487538828576</v>
      </c>
      <c r="R47" s="259">
        <f t="shared" si="5"/>
        <v>12858.39496418976</v>
      </c>
      <c r="S47" s="259">
        <f t="shared" si="5"/>
        <v>11528.187415083103</v>
      </c>
    </row>
    <row r="48" spans="2:19" x14ac:dyDescent="0.25">
      <c r="E48" s="19"/>
      <c r="F48" s="153"/>
      <c r="G48" s="153"/>
      <c r="H48" s="153"/>
      <c r="I48" s="153"/>
      <c r="J48" s="191"/>
      <c r="K48" s="191"/>
      <c r="L48" s="191"/>
      <c r="M48" s="191"/>
      <c r="N48" s="191"/>
      <c r="O48" s="191"/>
      <c r="P48" s="191"/>
      <c r="Q48" s="191"/>
      <c r="R48" s="191"/>
      <c r="S48" s="191"/>
    </row>
    <row r="49" spans="4:19" s="3" customFormat="1" x14ac:dyDescent="0.25">
      <c r="D49" s="256" t="s">
        <v>257</v>
      </c>
      <c r="E49" s="262"/>
      <c r="F49" s="257">
        <f t="shared" ref="F49:S49" si="6">SUM(F28,F37,F47)</f>
        <v>-537.78389999998581</v>
      </c>
      <c r="G49" s="257">
        <f t="shared" si="6"/>
        <v>-4841.232099999992</v>
      </c>
      <c r="H49" s="257">
        <f t="shared" si="6"/>
        <v>-187.81320000000051</v>
      </c>
      <c r="I49" s="257">
        <f t="shared" si="6"/>
        <v>1804.6739999999891</v>
      </c>
      <c r="J49" s="258">
        <f t="shared" si="6"/>
        <v>17817.838141767323</v>
      </c>
      <c r="K49" s="258">
        <f t="shared" si="6"/>
        <v>1059.3133454921717</v>
      </c>
      <c r="L49" s="258">
        <f t="shared" si="6"/>
        <v>1058.2794881755508</v>
      </c>
      <c r="M49" s="258">
        <f t="shared" si="6"/>
        <v>986.45808756497172</v>
      </c>
      <c r="N49" s="258">
        <f t="shared" si="6"/>
        <v>899.92763053071576</v>
      </c>
      <c r="O49" s="258">
        <f t="shared" si="6"/>
        <v>743.88990418519279</v>
      </c>
      <c r="P49" s="258">
        <f t="shared" si="6"/>
        <v>579.97259092227068</v>
      </c>
      <c r="Q49" s="258">
        <f t="shared" si="6"/>
        <v>350.51849328649587</v>
      </c>
      <c r="R49" s="258">
        <f t="shared" si="6"/>
        <v>120.48751333297696</v>
      </c>
      <c r="S49" s="258">
        <f t="shared" si="6"/>
        <v>-170.65430769317754</v>
      </c>
    </row>
    <row r="50" spans="4:19" x14ac:dyDescent="0.25">
      <c r="D50" s="206" t="s">
        <v>53</v>
      </c>
      <c r="E50" s="19"/>
      <c r="F50" s="153">
        <f>E51</f>
        <v>9488.4014999999999</v>
      </c>
      <c r="G50" s="153">
        <f>F51</f>
        <v>8950.6176000000141</v>
      </c>
      <c r="H50" s="153">
        <f>G51</f>
        <v>4109.3855000000221</v>
      </c>
      <c r="I50" s="153">
        <f>H51</f>
        <v>3921.5723000000216</v>
      </c>
      <c r="J50" s="191">
        <f>I51</f>
        <v>5726.2463000000107</v>
      </c>
      <c r="K50" s="191">
        <f t="shared" ref="K50:S50" si="7">J51</f>
        <v>23544.084441767332</v>
      </c>
      <c r="L50" s="191">
        <f t="shared" si="7"/>
        <v>24603.397787259506</v>
      </c>
      <c r="M50" s="191">
        <f t="shared" si="7"/>
        <v>25661.677275435057</v>
      </c>
      <c r="N50" s="191">
        <f t="shared" si="7"/>
        <v>26648.13536300003</v>
      </c>
      <c r="O50" s="191">
        <f t="shared" si="7"/>
        <v>27548.062993530744</v>
      </c>
      <c r="P50" s="191">
        <f t="shared" si="7"/>
        <v>28291.952897715935</v>
      </c>
      <c r="Q50" s="191">
        <f t="shared" si="7"/>
        <v>28871.925488638204</v>
      </c>
      <c r="R50" s="191">
        <f t="shared" si="7"/>
        <v>29222.443981924698</v>
      </c>
      <c r="S50" s="191">
        <f t="shared" si="7"/>
        <v>29342.931495257675</v>
      </c>
    </row>
    <row r="51" spans="4:19" s="3" customFormat="1" x14ac:dyDescent="0.25">
      <c r="D51" s="197" t="s">
        <v>54</v>
      </c>
      <c r="E51" s="263">
        <f>'Balance Sheet'!E12</f>
        <v>9488.4014999999999</v>
      </c>
      <c r="F51" s="259">
        <f t="shared" ref="F51:S51" si="8">SUM(F49:F50)</f>
        <v>8950.6176000000141</v>
      </c>
      <c r="G51" s="259">
        <f t="shared" si="8"/>
        <v>4109.3855000000221</v>
      </c>
      <c r="H51" s="259">
        <f t="shared" si="8"/>
        <v>3921.5723000000216</v>
      </c>
      <c r="I51" s="259">
        <f t="shared" si="8"/>
        <v>5726.2463000000107</v>
      </c>
      <c r="J51" s="260">
        <f t="shared" si="8"/>
        <v>23544.084441767332</v>
      </c>
      <c r="K51" s="260">
        <f t="shared" si="8"/>
        <v>24603.397787259506</v>
      </c>
      <c r="L51" s="260">
        <f t="shared" si="8"/>
        <v>25661.677275435057</v>
      </c>
      <c r="M51" s="260">
        <f t="shared" si="8"/>
        <v>26648.13536300003</v>
      </c>
      <c r="N51" s="260">
        <f t="shared" si="8"/>
        <v>27548.062993530744</v>
      </c>
      <c r="O51" s="260">
        <f t="shared" si="8"/>
        <v>28291.952897715935</v>
      </c>
      <c r="P51" s="260">
        <f t="shared" si="8"/>
        <v>28871.925488638204</v>
      </c>
      <c r="Q51" s="260">
        <f t="shared" si="8"/>
        <v>29222.443981924698</v>
      </c>
      <c r="R51" s="260">
        <f t="shared" si="8"/>
        <v>29342.931495257675</v>
      </c>
      <c r="S51" s="260">
        <f t="shared" si="8"/>
        <v>29172.277187564498</v>
      </c>
    </row>
    <row r="52" spans="4:19" x14ac:dyDescent="0.25">
      <c r="J52" s="15"/>
      <c r="K52" s="15"/>
      <c r="L52" s="15"/>
      <c r="M52" s="15"/>
      <c r="N52" s="15"/>
      <c r="O52" s="15"/>
      <c r="P52" s="15"/>
      <c r="Q52" s="15"/>
      <c r="R52" s="15"/>
      <c r="S52" s="15"/>
    </row>
    <row r="53" spans="4:19" x14ac:dyDescent="0.25">
      <c r="D53" s="266" t="s">
        <v>299</v>
      </c>
      <c r="E53" s="265">
        <f>E51-'Balance Sheet'!E12</f>
        <v>0</v>
      </c>
      <c r="F53" s="265">
        <f>F51-'Balance Sheet'!F12</f>
        <v>1742.1021000000137</v>
      </c>
      <c r="G53" s="265">
        <f>G51-'Balance Sheet'!G12</f>
        <v>-2029.852899999978</v>
      </c>
      <c r="H53" s="265">
        <f>H51-'Balance Sheet'!H12</f>
        <v>-2303.8284999999787</v>
      </c>
      <c r="I53" s="265">
        <f>I51-'Balance Sheet'!I12</f>
        <v>-1586.2181999999893</v>
      </c>
      <c r="J53" s="265">
        <f>J51-'Balance Sheet'!J12</f>
        <v>-2324.0893921614661</v>
      </c>
      <c r="K53" s="265">
        <f>K51-'Balance Sheet'!K12</f>
        <v>-2515.7371863729859</v>
      </c>
      <c r="L53" s="265">
        <f>L51-'Balance Sheet'!L12</f>
        <v>-2719.5853331562357</v>
      </c>
      <c r="M53" s="265">
        <f>M51-'Balance Sheet'!M12</f>
        <v>-2950.1633001863738</v>
      </c>
      <c r="N53" s="265">
        <f>N51-'Balance Sheet'!N12</f>
        <v>-3193.6765845687696</v>
      </c>
      <c r="O53" s="265">
        <f>O51-'Balance Sheet'!O12</f>
        <v>-3466.5233618337952</v>
      </c>
      <c r="P53" s="265">
        <f>P51-'Balance Sheet'!P12</f>
        <v>-3754.5781565569559</v>
      </c>
      <c r="Q53" s="265">
        <f>Q51-'Balance Sheet'!Q12</f>
        <v>-4076.0326166067753</v>
      </c>
      <c r="R53" s="265">
        <f>R51-'Balance Sheet'!R12</f>
        <v>-4416.9553950169138</v>
      </c>
      <c r="S53" s="265">
        <f>S51-'Balance Sheet'!S12</f>
        <v>-4797.2573309190047</v>
      </c>
    </row>
    <row r="58" spans="4:19" x14ac:dyDescent="0.25">
      <c r="G58" s="171"/>
    </row>
  </sheetData>
  <mergeCells count="1">
    <mergeCell ref="D6:S6"/>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E01E3-018E-4FB9-87A7-2C66926CA337}">
  <dimension ref="D6:AK32"/>
  <sheetViews>
    <sheetView showGridLines="0" topLeftCell="B22" workbookViewId="0">
      <selection activeCell="G32" sqref="G32"/>
    </sheetView>
  </sheetViews>
  <sheetFormatPr defaultRowHeight="14.4" customHeight="1" x14ac:dyDescent="0.25"/>
  <cols>
    <col min="1" max="3" width="1.33203125" style="1" customWidth="1"/>
    <col min="4" max="4" width="35.77734375" style="1" customWidth="1"/>
    <col min="5" max="19" width="9.33203125" style="1" customWidth="1"/>
    <col min="20" max="22" width="8.88671875" style="1"/>
    <col min="23" max="23" width="15.21875" style="1" customWidth="1"/>
    <col min="24" max="25" width="8.88671875" style="1"/>
    <col min="26" max="26" width="14.88671875" style="1" customWidth="1"/>
    <col min="27" max="27" width="12.21875" style="1" customWidth="1"/>
    <col min="28" max="29" width="8.88671875" style="1"/>
    <col min="30" max="30" width="11.88671875" style="1" customWidth="1"/>
    <col min="31" max="36" width="8.88671875" style="1"/>
    <col min="37" max="37" width="15" style="1" customWidth="1"/>
    <col min="38" max="16384" width="8.88671875" style="1"/>
  </cols>
  <sheetData>
    <row r="6" spans="4:37" ht="16.8" customHeight="1" x14ac:dyDescent="0.25">
      <c r="D6" s="425" t="s">
        <v>51</v>
      </c>
      <c r="E6" s="425"/>
      <c r="F6" s="425"/>
      <c r="G6" s="425"/>
      <c r="H6" s="425"/>
      <c r="I6" s="425"/>
      <c r="J6" s="425"/>
      <c r="K6" s="425"/>
      <c r="L6" s="425"/>
      <c r="M6" s="425"/>
      <c r="N6" s="425"/>
      <c r="O6" s="425"/>
      <c r="P6" s="425"/>
      <c r="Q6" s="425"/>
      <c r="R6" s="425"/>
      <c r="S6" s="425"/>
      <c r="U6" s="425" t="s">
        <v>187</v>
      </c>
      <c r="V6" s="425"/>
      <c r="W6" s="425"/>
      <c r="X6" s="425"/>
      <c r="Y6" s="425"/>
      <c r="Z6" s="425"/>
      <c r="AA6" s="425"/>
      <c r="AB6" s="425"/>
      <c r="AC6" s="425"/>
      <c r="AD6" s="425"/>
      <c r="AE6" s="425"/>
      <c r="AF6" s="425"/>
      <c r="AG6" s="425"/>
      <c r="AH6" s="425"/>
      <c r="AI6" s="425"/>
      <c r="AJ6" s="425"/>
      <c r="AK6" s="425"/>
    </row>
    <row r="7" spans="4:37" ht="14.4" customHeight="1" x14ac:dyDescent="0.25">
      <c r="E7" s="17">
        <v>2020</v>
      </c>
      <c r="F7" s="3">
        <f t="shared" ref="F7:S7" si="0">E7+1</f>
        <v>2021</v>
      </c>
      <c r="G7" s="3">
        <f t="shared" si="0"/>
        <v>2022</v>
      </c>
      <c r="H7" s="3">
        <f t="shared" si="0"/>
        <v>2023</v>
      </c>
      <c r="I7" s="3">
        <f t="shared" si="0"/>
        <v>2024</v>
      </c>
      <c r="J7" s="3">
        <f t="shared" si="0"/>
        <v>2025</v>
      </c>
      <c r="K7" s="3">
        <f t="shared" si="0"/>
        <v>2026</v>
      </c>
      <c r="L7" s="3">
        <f t="shared" si="0"/>
        <v>2027</v>
      </c>
      <c r="M7" s="3">
        <f t="shared" si="0"/>
        <v>2028</v>
      </c>
      <c r="N7" s="3">
        <f t="shared" si="0"/>
        <v>2029</v>
      </c>
      <c r="O7" s="3">
        <f t="shared" si="0"/>
        <v>2030</v>
      </c>
      <c r="P7" s="3">
        <f t="shared" si="0"/>
        <v>2031</v>
      </c>
      <c r="Q7" s="3">
        <f t="shared" si="0"/>
        <v>2032</v>
      </c>
      <c r="R7" s="3">
        <f t="shared" si="0"/>
        <v>2033</v>
      </c>
      <c r="S7" s="3">
        <f t="shared" si="0"/>
        <v>2034</v>
      </c>
    </row>
    <row r="8" spans="4:37" ht="14.4" customHeight="1" x14ac:dyDescent="0.25">
      <c r="D8" s="5" t="s">
        <v>0</v>
      </c>
      <c r="E8" s="18" t="s">
        <v>8</v>
      </c>
      <c r="F8" s="7" t="s">
        <v>8</v>
      </c>
      <c r="G8" s="7" t="s">
        <v>8</v>
      </c>
      <c r="H8" s="7" t="s">
        <v>8</v>
      </c>
      <c r="I8" s="7" t="s">
        <v>8</v>
      </c>
      <c r="J8" s="54" t="s">
        <v>9</v>
      </c>
      <c r="K8" s="54" t="s">
        <v>9</v>
      </c>
      <c r="L8" s="54" t="s">
        <v>9</v>
      </c>
      <c r="M8" s="54" t="s">
        <v>9</v>
      </c>
      <c r="N8" s="54" t="s">
        <v>9</v>
      </c>
      <c r="O8" s="54" t="s">
        <v>9</v>
      </c>
      <c r="P8" s="54" t="s">
        <v>9</v>
      </c>
      <c r="Q8" s="54" t="s">
        <v>9</v>
      </c>
      <c r="R8" s="54" t="s">
        <v>9</v>
      </c>
      <c r="S8" s="54" t="s">
        <v>9</v>
      </c>
      <c r="T8" s="67" t="s">
        <v>81</v>
      </c>
    </row>
    <row r="9" spans="4:37" ht="14.4" customHeight="1" x14ac:dyDescent="0.25">
      <c r="J9" s="26"/>
      <c r="K9" s="26"/>
      <c r="L9" s="26"/>
      <c r="M9" s="26"/>
      <c r="N9" s="26"/>
      <c r="O9" s="26"/>
      <c r="P9" s="26"/>
      <c r="Q9" s="26"/>
      <c r="R9" s="26"/>
      <c r="S9" s="26"/>
      <c r="T9" s="393"/>
    </row>
    <row r="10" spans="4:37" ht="14.4" customHeight="1" x14ac:dyDescent="0.25">
      <c r="D10" s="3" t="s">
        <v>65</v>
      </c>
      <c r="J10" s="26"/>
      <c r="K10" s="26"/>
      <c r="L10" s="26"/>
      <c r="M10" s="26"/>
      <c r="N10" s="26"/>
      <c r="O10" s="26"/>
      <c r="P10" s="26"/>
      <c r="Q10" s="26"/>
      <c r="R10" s="26"/>
      <c r="S10" s="26"/>
      <c r="T10" s="394"/>
    </row>
    <row r="11" spans="4:37" ht="41.4" customHeight="1" x14ac:dyDescent="0.25">
      <c r="D11" s="55" t="s">
        <v>66</v>
      </c>
      <c r="E11" s="403">
        <f>'Income Statement'!E19/'Income Statement'!E10</f>
        <v>-0.15541265196163503</v>
      </c>
      <c r="F11" s="403">
        <f>'Income Statement'!F19/'Income Statement'!F10</f>
        <v>-0.40220121833157607</v>
      </c>
      <c r="G11" s="403">
        <f>'Income Statement'!G19/'Income Statement'!G10</f>
        <v>0.13304653709593303</v>
      </c>
      <c r="H11" s="403">
        <f>'Income Statement'!H19/'Income Statement'!H10</f>
        <v>0.15666642757443347</v>
      </c>
      <c r="I11" s="403">
        <f>'Income Statement'!I19/'Income Statement'!I10</f>
        <v>5.1228055700903503E-2</v>
      </c>
      <c r="J11" s="404">
        <f>'Income Statement'!J19/'Income Statement'!J10</f>
        <v>7.7002427263372669E-2</v>
      </c>
      <c r="K11" s="404">
        <f>'Income Statement'!K19/'Income Statement'!K10</f>
        <v>7.7002427263372836E-2</v>
      </c>
      <c r="L11" s="404">
        <f>'Income Statement'!L19/'Income Statement'!L10</f>
        <v>7.7002427263372808E-2</v>
      </c>
      <c r="M11" s="404">
        <f>'Income Statement'!M19/'Income Statement'!M10</f>
        <v>7.7002427263372919E-2</v>
      </c>
      <c r="N11" s="404">
        <f>'Income Statement'!N19/'Income Statement'!N10</f>
        <v>7.7002427263373002E-2</v>
      </c>
      <c r="O11" s="404">
        <f>'Income Statement'!O19/'Income Statement'!O10</f>
        <v>7.7002427263372752E-2</v>
      </c>
      <c r="P11" s="404">
        <f>'Income Statement'!P19/'Income Statement'!P10</f>
        <v>7.7002427263372919E-2</v>
      </c>
      <c r="Q11" s="404">
        <f>'Income Statement'!Q19/'Income Statement'!Q10</f>
        <v>7.7002427263372808E-2</v>
      </c>
      <c r="R11" s="404">
        <f>'Income Statement'!R19/'Income Statement'!R10</f>
        <v>7.7002427263372961E-2</v>
      </c>
      <c r="S11" s="404">
        <f>'Income Statement'!S19/'Income Statement'!S10</f>
        <v>7.7002427263372836E-2</v>
      </c>
      <c r="T11" s="394"/>
      <c r="U11" s="454" t="s">
        <v>361</v>
      </c>
      <c r="V11" s="455"/>
      <c r="W11" s="455"/>
      <c r="X11" s="455"/>
      <c r="Y11" s="455"/>
      <c r="Z11" s="455"/>
      <c r="AA11" s="455"/>
      <c r="AB11" s="455"/>
      <c r="AC11" s="455"/>
      <c r="AD11" s="455"/>
      <c r="AE11" s="455"/>
      <c r="AF11" s="455"/>
      <c r="AG11" s="455"/>
      <c r="AH11" s="455"/>
      <c r="AI11" s="455"/>
      <c r="AJ11" s="455"/>
      <c r="AK11" s="456"/>
    </row>
    <row r="12" spans="4:37" ht="41.4" customHeight="1" x14ac:dyDescent="0.25">
      <c r="D12" s="55" t="s">
        <v>67</v>
      </c>
      <c r="E12" s="403">
        <f>'Income Statement'!E21/'Income Statement'!E10</f>
        <v>-0.16221121713692338</v>
      </c>
      <c r="F12" s="403">
        <f>'Income Statement'!F21/'Income Statement'!F10</f>
        <v>-0.4168462649447815</v>
      </c>
      <c r="G12" s="403">
        <f>'Income Statement'!G21/'Income Statement'!G10</f>
        <v>0.11372662913108922</v>
      </c>
      <c r="H12" s="403">
        <f>'Income Statement'!H21/'Income Statement'!H10</f>
        <v>0.13810806591098509</v>
      </c>
      <c r="I12" s="403">
        <f>'Income Statement'!I21/'Income Statement'!I10</f>
        <v>3.574583187521118E-2</v>
      </c>
      <c r="J12" s="404">
        <f>'Income Statement'!J21/'Income Statement'!J10</f>
        <v>6.311646266360682E-2</v>
      </c>
      <c r="K12" s="404">
        <f>'Income Statement'!K21/'Income Statement'!K10</f>
        <v>6.4353814284756936E-2</v>
      </c>
      <c r="L12" s="404">
        <f>'Income Statement'!L21/'Income Statement'!L10</f>
        <v>6.4760985370728413E-2</v>
      </c>
      <c r="M12" s="404">
        <f>'Income Statement'!M21/'Income Statement'!M10</f>
        <v>6.5748177665805138E-2</v>
      </c>
      <c r="N12" s="404">
        <f>'Income Statement'!N21/'Income Statement'!N10</f>
        <v>6.6028794305841881E-2</v>
      </c>
      <c r="O12" s="404">
        <f>'Income Statement'!O21/'Income Statement'!O10</f>
        <v>6.6808536809190841E-2</v>
      </c>
      <c r="P12" s="404">
        <f>'Income Statement'!P21/'Income Statement'!P10</f>
        <v>6.6986126380868025E-2</v>
      </c>
      <c r="Q12" s="404">
        <f>'Income Statement'!Q21/'Income Statement'!Q10</f>
        <v>6.7607605887905209E-2</v>
      </c>
      <c r="R12" s="404">
        <f>'Income Statement'!R21/'Income Statement'!R10</f>
        <v>6.7708153441168303E-2</v>
      </c>
      <c r="S12" s="404">
        <f>'Income Statement'!S21/'Income Statement'!S10</f>
        <v>6.8211440454081215E-2</v>
      </c>
      <c r="T12" s="394"/>
      <c r="U12" s="451" t="s">
        <v>379</v>
      </c>
      <c r="V12" s="452"/>
      <c r="W12" s="452"/>
      <c r="X12" s="452"/>
      <c r="Y12" s="452"/>
      <c r="Z12" s="452"/>
      <c r="AA12" s="452"/>
      <c r="AB12" s="452"/>
      <c r="AC12" s="452"/>
      <c r="AD12" s="452"/>
      <c r="AE12" s="452"/>
      <c r="AF12" s="452"/>
      <c r="AG12" s="452"/>
      <c r="AH12" s="452"/>
      <c r="AI12" s="452"/>
      <c r="AJ12" s="452"/>
      <c r="AK12" s="453"/>
    </row>
    <row r="13" spans="4:37" ht="46.2" customHeight="1" x14ac:dyDescent="0.25">
      <c r="D13" s="55" t="s">
        <v>68</v>
      </c>
      <c r="E13" s="403">
        <f>'Income Statement'!E24/'Income Statement'!E10</f>
        <v>-7.9446699847548388E-2</v>
      </c>
      <c r="F13" s="403">
        <f>'Income Statement'!F24/'Income Statement'!F10</f>
        <v>-0.32287665594055276</v>
      </c>
      <c r="G13" s="403">
        <f>'Income Statement'!G24/'Income Statement'!G10</f>
        <v>0.21591085891784423</v>
      </c>
      <c r="H13" s="403">
        <f>'Income Statement'!H24/'Income Statement'!H10</f>
        <v>0.23668972223938367</v>
      </c>
      <c r="I13" s="403">
        <f>'Income Statement'!I24/'Income Statement'!I10</f>
        <v>0.13602336919436844</v>
      </c>
      <c r="J13" s="404">
        <f>'Income Statement'!J24/'Income Statement'!J10</f>
        <v>0.16648674052516216</v>
      </c>
      <c r="K13" s="404">
        <f>'Income Statement'!K24/'Income Statement'!K10</f>
        <v>0.16372531595899908</v>
      </c>
      <c r="L13" s="404">
        <f>'Income Statement'!L24/'Income Statement'!L10</f>
        <v>0.16186124021167766</v>
      </c>
      <c r="M13" s="404">
        <f>'Income Statement'!M24/'Income Statement'!M10</f>
        <v>0.16210855056765222</v>
      </c>
      <c r="N13" s="404">
        <f>'Income Statement'!N24/'Income Statement'!N10</f>
        <v>0.16303706717749439</v>
      </c>
      <c r="O13" s="404">
        <f>'Income Statement'!O24/'Income Statement'!O10</f>
        <v>0.16575765664503025</v>
      </c>
      <c r="P13" s="404">
        <f>'Income Statement'!P24/'Income Statement'!P10</f>
        <v>0.16911642085232609</v>
      </c>
      <c r="Q13" s="404">
        <f>'Income Statement'!Q24/'Income Statement'!Q10</f>
        <v>0.17414292435282649</v>
      </c>
      <c r="R13" s="404">
        <f>'Income Statement'!R24/'Income Statement'!R10</f>
        <v>0.17988725271505854</v>
      </c>
      <c r="S13" s="404">
        <f>'Income Statement'!S24/'Income Statement'!S10</f>
        <v>0.18731600684188909</v>
      </c>
      <c r="T13" s="394"/>
      <c r="U13" s="440" t="s">
        <v>380</v>
      </c>
      <c r="V13" s="441"/>
      <c r="W13" s="441"/>
      <c r="X13" s="441"/>
      <c r="Y13" s="441"/>
      <c r="Z13" s="441"/>
      <c r="AA13" s="441"/>
      <c r="AB13" s="441"/>
      <c r="AC13" s="441"/>
      <c r="AD13" s="441"/>
      <c r="AE13" s="441"/>
      <c r="AF13" s="441"/>
      <c r="AG13" s="441"/>
      <c r="AH13" s="441"/>
      <c r="AI13" s="441"/>
      <c r="AJ13" s="441"/>
      <c r="AK13" s="442"/>
    </row>
    <row r="14" spans="4:37" ht="42" customHeight="1" x14ac:dyDescent="0.25">
      <c r="D14" s="55" t="s">
        <v>69</v>
      </c>
      <c r="E14" s="403">
        <f>-'Income Statement'!E25/'Income Statement'!E24</f>
        <v>-0.57275892421581054</v>
      </c>
      <c r="F14" s="403">
        <f>-'Income Statement'!F25/'Income Statement'!F24</f>
        <v>-0.21369776296931414</v>
      </c>
      <c r="G14" s="403">
        <f>-'Income Statement'!G25/'Income Statement'!G24</f>
        <v>0.32179358416829579</v>
      </c>
      <c r="H14" s="403">
        <f>-'Income Statement'!H25/'Income Statement'!H24</f>
        <v>0.30593507668864373</v>
      </c>
      <c r="I14" s="403">
        <f>-'Income Statement'!I25/'Income Statement'!I24</f>
        <v>0.54844786979332982</v>
      </c>
      <c r="J14" s="404">
        <f>-'Income Statement'!J25/'Income Statement'!J24</f>
        <v>0.3</v>
      </c>
      <c r="K14" s="404">
        <f>-'Income Statement'!K25/'Income Statement'!K24</f>
        <v>0.3</v>
      </c>
      <c r="L14" s="404">
        <f>-'Income Statement'!L25/'Income Statement'!L24</f>
        <v>0.3</v>
      </c>
      <c r="M14" s="404">
        <f>-'Income Statement'!M25/'Income Statement'!M24</f>
        <v>0.3</v>
      </c>
      <c r="N14" s="404">
        <f>-'Income Statement'!N25/'Income Statement'!N24</f>
        <v>0.3</v>
      </c>
      <c r="O14" s="404">
        <f>-'Income Statement'!O25/'Income Statement'!O24</f>
        <v>0.3</v>
      </c>
      <c r="P14" s="404">
        <f>-'Income Statement'!P25/'Income Statement'!P24</f>
        <v>0.3</v>
      </c>
      <c r="Q14" s="404">
        <f>-'Income Statement'!Q25/'Income Statement'!Q24</f>
        <v>0.3</v>
      </c>
      <c r="R14" s="404">
        <f>-'Income Statement'!R25/'Income Statement'!R24</f>
        <v>0.3</v>
      </c>
      <c r="S14" s="404">
        <f>-'Income Statement'!S25/'Income Statement'!S24</f>
        <v>0.3</v>
      </c>
      <c r="T14" s="394"/>
      <c r="U14" s="440" t="s">
        <v>362</v>
      </c>
      <c r="V14" s="441"/>
      <c r="W14" s="441"/>
      <c r="X14" s="441"/>
      <c r="Y14" s="441"/>
      <c r="Z14" s="441"/>
      <c r="AA14" s="441"/>
      <c r="AB14" s="441"/>
      <c r="AC14" s="441"/>
      <c r="AD14" s="441"/>
      <c r="AE14" s="441"/>
      <c r="AF14" s="441"/>
      <c r="AG14" s="441"/>
      <c r="AH14" s="441"/>
      <c r="AI14" s="441"/>
      <c r="AJ14" s="441"/>
      <c r="AK14" s="442"/>
    </row>
    <row r="15" spans="4:37" ht="40.799999999999997" customHeight="1" x14ac:dyDescent="0.25">
      <c r="D15" s="55" t="s">
        <v>70</v>
      </c>
      <c r="E15" s="403">
        <f>'Income Statement'!E26/'Income Statement'!E10</f>
        <v>-0.12495050618472661</v>
      </c>
      <c r="F15" s="403">
        <f>'Income Statement'!F26/'Income Statement'!F10</f>
        <v>-0.39187467503006174</v>
      </c>
      <c r="G15" s="403">
        <f>'Income Statement'!G26/'Income Statement'!G10</f>
        <v>0.14643212976581588</v>
      </c>
      <c r="H15" s="403">
        <f>'Income Statement'!H26/'Income Statement'!H10</f>
        <v>0.16427803391466406</v>
      </c>
      <c r="I15" s="403">
        <f>'Income Statement'!I26/'Income Statement'!I10</f>
        <v>6.1421642117605438E-2</v>
      </c>
      <c r="J15" s="404">
        <f>'Income Statement'!J26/'Income Statement'!J10</f>
        <v>0.11654071836761351</v>
      </c>
      <c r="K15" s="404">
        <f>'Income Statement'!K26/'Income Statement'!K10</f>
        <v>0.11460772117129935</v>
      </c>
      <c r="L15" s="404">
        <f>'Income Statement'!L26/'Income Statement'!L10</f>
        <v>0.11330286814817436</v>
      </c>
      <c r="M15" s="404">
        <f>'Income Statement'!M26/'Income Statement'!M10</f>
        <v>0.11347598539735657</v>
      </c>
      <c r="N15" s="404">
        <f>'Income Statement'!N26/'Income Statement'!N10</f>
        <v>0.11412594702424607</v>
      </c>
      <c r="O15" s="404">
        <f>'Income Statement'!O26/'Income Statement'!O10</f>
        <v>0.11603035965152117</v>
      </c>
      <c r="P15" s="404">
        <f>'Income Statement'!P26/'Income Statement'!P10</f>
        <v>0.11838149459662825</v>
      </c>
      <c r="Q15" s="404">
        <f>'Income Statement'!Q26/'Income Statement'!Q10</f>
        <v>0.12190004704697856</v>
      </c>
      <c r="R15" s="404">
        <f>'Income Statement'!R26/'Income Statement'!R10</f>
        <v>0.125921076900541</v>
      </c>
      <c r="S15" s="404">
        <f>'Income Statement'!S26/'Income Statement'!S10</f>
        <v>0.13112120478932235</v>
      </c>
      <c r="T15" s="394"/>
      <c r="U15" s="451" t="s">
        <v>381</v>
      </c>
      <c r="V15" s="452"/>
      <c r="W15" s="452"/>
      <c r="X15" s="452"/>
      <c r="Y15" s="452"/>
      <c r="Z15" s="452"/>
      <c r="AA15" s="452"/>
      <c r="AB15" s="452"/>
      <c r="AC15" s="452"/>
      <c r="AD15" s="452"/>
      <c r="AE15" s="452"/>
      <c r="AF15" s="452"/>
      <c r="AG15" s="452"/>
      <c r="AH15" s="452"/>
      <c r="AI15" s="452"/>
      <c r="AJ15" s="452"/>
      <c r="AK15" s="453"/>
    </row>
    <row r="16" spans="4:37" ht="14.4" customHeight="1" x14ac:dyDescent="0.25">
      <c r="D16" s="55"/>
      <c r="E16" s="55"/>
      <c r="F16" s="55"/>
      <c r="G16" s="55"/>
      <c r="H16" s="55"/>
      <c r="I16" s="55"/>
      <c r="J16" s="405"/>
      <c r="K16" s="405"/>
      <c r="L16" s="405"/>
      <c r="M16" s="405"/>
      <c r="N16" s="405"/>
      <c r="O16" s="405"/>
      <c r="P16" s="405"/>
      <c r="Q16" s="405"/>
      <c r="R16" s="405"/>
      <c r="S16" s="405"/>
      <c r="T16" s="394"/>
      <c r="U16" s="395"/>
      <c r="V16" s="396"/>
      <c r="W16" s="396"/>
      <c r="X16" s="396"/>
      <c r="Y16" s="396"/>
      <c r="Z16" s="396"/>
      <c r="AA16" s="396"/>
      <c r="AB16" s="396"/>
      <c r="AC16" s="396"/>
      <c r="AD16" s="396"/>
      <c r="AE16" s="396"/>
      <c r="AF16" s="396"/>
      <c r="AG16" s="396"/>
      <c r="AH16" s="396"/>
      <c r="AI16" s="396"/>
      <c r="AJ16" s="396"/>
      <c r="AK16" s="397"/>
    </row>
    <row r="17" spans="4:37" ht="14.4" customHeight="1" x14ac:dyDescent="0.25">
      <c r="D17" s="56" t="s">
        <v>71</v>
      </c>
      <c r="E17" s="55"/>
      <c r="F17" s="55"/>
      <c r="G17" s="55"/>
      <c r="H17" s="55"/>
      <c r="I17" s="55"/>
      <c r="J17" s="405"/>
      <c r="K17" s="405"/>
      <c r="L17" s="405"/>
      <c r="M17" s="405"/>
      <c r="N17" s="405"/>
      <c r="O17" s="405"/>
      <c r="P17" s="405"/>
      <c r="Q17" s="405"/>
      <c r="R17" s="405"/>
      <c r="S17" s="405"/>
      <c r="T17" s="394"/>
      <c r="U17" s="398"/>
      <c r="V17" s="399"/>
      <c r="W17" s="399"/>
      <c r="X17" s="399"/>
      <c r="Y17" s="399"/>
      <c r="Z17" s="399"/>
      <c r="AA17" s="399"/>
      <c r="AB17" s="399"/>
      <c r="AC17" s="399"/>
      <c r="AD17" s="399"/>
      <c r="AE17" s="399"/>
      <c r="AF17" s="399"/>
      <c r="AG17" s="399"/>
      <c r="AH17" s="399"/>
      <c r="AI17" s="399"/>
      <c r="AJ17" s="399"/>
      <c r="AK17" s="400"/>
    </row>
    <row r="18" spans="4:37" ht="43.2" customHeight="1" x14ac:dyDescent="0.25">
      <c r="D18" s="55" t="s">
        <v>72</v>
      </c>
      <c r="E18" s="55"/>
      <c r="F18" s="403">
        <f>'Income Statement'!F21/AVERAGE('Balance Sheet'!E23:F23)</f>
        <v>-2.7556846118896756E-2</v>
      </c>
      <c r="G18" s="403">
        <f>'Income Statement'!G21/AVERAGE('Balance Sheet'!F23:G23)</f>
        <v>6.9702833565624331E-3</v>
      </c>
      <c r="H18" s="403">
        <f>'Income Statement'!H21/AVERAGE('Balance Sheet'!G23:H23)</f>
        <v>8.5729405894469889E-3</v>
      </c>
      <c r="I18" s="403">
        <f>'Income Statement'!I21/AVERAGE('Balance Sheet'!H23:I23)</f>
        <v>2.4393224456394367E-3</v>
      </c>
      <c r="J18" s="404">
        <f>'Income Statement'!J21/AVERAGE('Balance Sheet'!I23:J23)</f>
        <v>4.4591949374554827E-3</v>
      </c>
      <c r="K18" s="404">
        <f>'Income Statement'!K21/AVERAGE('Balance Sheet'!J23:K23)</f>
        <v>4.5310478413377805E-3</v>
      </c>
      <c r="L18" s="404">
        <f>'Income Statement'!L21/AVERAGE('Balance Sheet'!K23:L23)</f>
        <v>4.5941495120309156E-3</v>
      </c>
      <c r="M18" s="404">
        <f>'Income Statement'!M21/AVERAGE('Balance Sheet'!L23:M23)</f>
        <v>4.6893777288286066E-3</v>
      </c>
      <c r="N18" s="404">
        <f>'Income Statement'!N21/AVERAGE('Balance Sheet'!M23:N23)</f>
        <v>4.7279511466327868E-3</v>
      </c>
      <c r="O18" s="404">
        <f>'Income Statement'!O21/AVERAGE('Balance Sheet'!N23:O23)</f>
        <v>4.7979911263225684E-3</v>
      </c>
      <c r="P18" s="404">
        <f>'Income Statement'!P21/AVERAGE('Balance Sheet'!O23:P23)</f>
        <v>4.8220571820820415E-3</v>
      </c>
      <c r="Q18" s="404">
        <f>'Income Statement'!Q21/AVERAGE('Balance Sheet'!P23:Q23)</f>
        <v>4.8764798028559323E-3</v>
      </c>
      <c r="R18" s="404">
        <f>'Income Statement'!R21/AVERAGE('Balance Sheet'!Q23:R23)</f>
        <v>4.8926107371312158E-3</v>
      </c>
      <c r="S18" s="404">
        <f>'Income Statement'!S21/AVERAGE('Balance Sheet'!R23:S23)</f>
        <v>4.9377920665792437E-3</v>
      </c>
      <c r="T18" s="394"/>
      <c r="U18" s="451" t="s">
        <v>365</v>
      </c>
      <c r="V18" s="452"/>
      <c r="W18" s="452"/>
      <c r="X18" s="452"/>
      <c r="Y18" s="452"/>
      <c r="Z18" s="452"/>
      <c r="AA18" s="452"/>
      <c r="AB18" s="452"/>
      <c r="AC18" s="452"/>
      <c r="AD18" s="452"/>
      <c r="AE18" s="452"/>
      <c r="AF18" s="452"/>
      <c r="AG18" s="452"/>
      <c r="AH18" s="452"/>
      <c r="AI18" s="452"/>
      <c r="AJ18" s="452"/>
      <c r="AK18" s="453"/>
    </row>
    <row r="19" spans="4:37" ht="31.2" customHeight="1" x14ac:dyDescent="0.25">
      <c r="D19" s="55" t="s">
        <v>73</v>
      </c>
      <c r="E19" s="55"/>
      <c r="F19" s="403">
        <f>'Income Statement'!F24/AVERAGE(SUMPRODUCT('Balance Sheet'!E26:F27))</f>
        <v>-0.16130437361202518</v>
      </c>
      <c r="G19" s="403">
        <f>'Income Statement'!G24/AVERAGE(SUMPRODUCT('Balance Sheet'!F26:G27))</f>
        <v>6.8476340069566086E-2</v>
      </c>
      <c r="H19" s="403">
        <f>'Income Statement'!H24/AVERAGE(SUMPRODUCT('Balance Sheet'!G26:H27))</f>
        <v>6.4967585601094321E-2</v>
      </c>
      <c r="I19" s="403">
        <f>'Income Statement'!I24/AVERAGE(SUMPRODUCT('Balance Sheet'!H26:I27))</f>
        <v>4.3032767513956509E-2</v>
      </c>
      <c r="J19" s="404">
        <f>'Income Statement'!J24/AVERAGE(SUMPRODUCT('Balance Sheet'!I26:J27))</f>
        <v>6.2643811840753419E-2</v>
      </c>
      <c r="K19" s="404">
        <f>'Income Statement'!K24/AVERAGE(SUMPRODUCT('Balance Sheet'!J26:K27))</f>
        <v>7.5163414491273173E-2</v>
      </c>
      <c r="L19" s="404">
        <f>'Income Statement'!L24/AVERAGE(SUMPRODUCT('Balance Sheet'!K26:L27))</f>
        <v>9.0273150158676999E-2</v>
      </c>
      <c r="M19" s="404">
        <f>'Income Statement'!M24/AVERAGE(SUMPRODUCT('Balance Sheet'!L26:M27))</f>
        <v>0.10971110607549929</v>
      </c>
      <c r="N19" s="404">
        <f>'Income Statement'!N24/AVERAGE(SUMPRODUCT('Balance Sheet'!M26:N27))</f>
        <v>0.1342922913467407</v>
      </c>
      <c r="O19" s="404">
        <f>'Income Statement'!O24/AVERAGE(SUMPRODUCT('Balance Sheet'!N26:O27))</f>
        <v>0.16758720672117589</v>
      </c>
      <c r="P19" s="404">
        <f>'Income Statement'!P24/AVERAGE(SUMPRODUCT('Balance Sheet'!O26:P27))</f>
        <v>0.21331971551809151</v>
      </c>
      <c r="Q19" s="404">
        <f>'Income Statement'!Q24/AVERAGE(SUMPRODUCT('Balance Sheet'!P26:Q27))</f>
        <v>0.28195506546038862</v>
      </c>
      <c r="R19" s="404">
        <f>'Income Statement'!R24/AVERAGE(SUMPRODUCT('Balance Sheet'!Q26:R27))</f>
        <v>0.39292102078226893</v>
      </c>
      <c r="S19" s="404">
        <f>'Income Statement'!S24/AVERAGE(SUMPRODUCT('Balance Sheet'!R26:S27))</f>
        <v>0.60656777961300956</v>
      </c>
      <c r="T19" s="394"/>
      <c r="U19" s="451" t="s">
        <v>382</v>
      </c>
      <c r="V19" s="452"/>
      <c r="W19" s="452"/>
      <c r="X19" s="452"/>
      <c r="Y19" s="452"/>
      <c r="Z19" s="452"/>
      <c r="AA19" s="452"/>
      <c r="AB19" s="452"/>
      <c r="AC19" s="452"/>
      <c r="AD19" s="452"/>
      <c r="AE19" s="452"/>
      <c r="AF19" s="452"/>
      <c r="AG19" s="452"/>
      <c r="AH19" s="452"/>
      <c r="AI19" s="452"/>
      <c r="AJ19" s="452"/>
      <c r="AK19" s="453"/>
    </row>
    <row r="20" spans="4:37" ht="46.2" customHeight="1" x14ac:dyDescent="0.25">
      <c r="D20" s="55" t="s">
        <v>74</v>
      </c>
      <c r="E20" s="406">
        <f>-'Income Statement'!E25/'Income Statement'!E24</f>
        <v>-0.57275892421581054</v>
      </c>
      <c r="F20" s="406">
        <f>-'Income Statement'!F25/'Income Statement'!F24</f>
        <v>-0.21369776296931414</v>
      </c>
      <c r="G20" s="406">
        <f>-'Income Statement'!G25/'Income Statement'!G24</f>
        <v>0.32179358416829579</v>
      </c>
      <c r="H20" s="406">
        <f>-'Income Statement'!H25/'Income Statement'!H24</f>
        <v>0.30593507668864373</v>
      </c>
      <c r="I20" s="406">
        <f>-'Income Statement'!I25/'Income Statement'!I24</f>
        <v>0.54844786979332982</v>
      </c>
      <c r="J20" s="407">
        <f>-'Income Statement'!J25/'Income Statement'!J24</f>
        <v>0.3</v>
      </c>
      <c r="K20" s="407">
        <f>-'Income Statement'!K25/'Income Statement'!K24</f>
        <v>0.3</v>
      </c>
      <c r="L20" s="407">
        <f>-'Income Statement'!L25/'Income Statement'!L24</f>
        <v>0.3</v>
      </c>
      <c r="M20" s="407">
        <f>-'Income Statement'!M25/'Income Statement'!M24</f>
        <v>0.3</v>
      </c>
      <c r="N20" s="407">
        <f>-'Income Statement'!N25/'Income Statement'!N24</f>
        <v>0.3</v>
      </c>
      <c r="O20" s="407">
        <f>-'Income Statement'!O25/'Income Statement'!O24</f>
        <v>0.3</v>
      </c>
      <c r="P20" s="407">
        <f>-'Income Statement'!P25/'Income Statement'!P24</f>
        <v>0.3</v>
      </c>
      <c r="Q20" s="407">
        <f>-'Income Statement'!Q25/'Income Statement'!Q24</f>
        <v>0.3</v>
      </c>
      <c r="R20" s="407">
        <f>-'Income Statement'!R25/'Income Statement'!R24</f>
        <v>0.3</v>
      </c>
      <c r="S20" s="407">
        <f>-'Income Statement'!S25/'Income Statement'!S24</f>
        <v>0.3</v>
      </c>
      <c r="T20" s="394"/>
      <c r="U20" s="451" t="s">
        <v>363</v>
      </c>
      <c r="V20" s="452"/>
      <c r="W20" s="452"/>
      <c r="X20" s="452"/>
      <c r="Y20" s="452"/>
      <c r="Z20" s="452"/>
      <c r="AA20" s="452"/>
      <c r="AB20" s="452"/>
      <c r="AC20" s="452"/>
      <c r="AD20" s="452"/>
      <c r="AE20" s="452"/>
      <c r="AF20" s="452"/>
      <c r="AG20" s="452"/>
      <c r="AH20" s="452"/>
      <c r="AI20" s="452"/>
      <c r="AJ20" s="452"/>
      <c r="AK20" s="453"/>
    </row>
    <row r="21" spans="4:37" ht="43.2" customHeight="1" x14ac:dyDescent="0.25">
      <c r="D21" s="55" t="s">
        <v>75</v>
      </c>
      <c r="E21" s="55"/>
      <c r="F21" s="403">
        <f>'Income Statement'!F26/AVERAGE(SUMPRODUCT('Balance Sheet'!E26:F27))</f>
        <v>-0.19577475741008141</v>
      </c>
      <c r="G21" s="403">
        <f>'Income Statement'!G26/AVERAGE(SUMPRODUCT('Balance Sheet'!F26:G27))</f>
        <v>4.6441093167853324E-2</v>
      </c>
      <c r="H21" s="403">
        <f>'Income Statement'!H26/AVERAGE(SUMPRODUCT('Balance Sheet'!G26:H27))</f>
        <v>4.5091722317947502E-2</v>
      </c>
      <c r="I21" s="403">
        <f>'Income Statement'!I26/AVERAGE(SUMPRODUCT('Balance Sheet'!H26:I27))</f>
        <v>1.9431537839615459E-2</v>
      </c>
      <c r="J21" s="404">
        <f>'Income Statement'!J26/AVERAGE(SUMPRODUCT('Balance Sheet'!I26:J27))</f>
        <v>4.3850668288527392E-2</v>
      </c>
      <c r="K21" s="404">
        <f>'Income Statement'!K26/AVERAGE(SUMPRODUCT('Balance Sheet'!J26:K27))</f>
        <v>5.2614390143891215E-2</v>
      </c>
      <c r="L21" s="404">
        <f>'Income Statement'!L26/AVERAGE(SUMPRODUCT('Balance Sheet'!K26:L27))</f>
        <v>6.31912051110739E-2</v>
      </c>
      <c r="M21" s="404">
        <f>'Income Statement'!M26/AVERAGE(SUMPRODUCT('Balance Sheet'!L26:M27))</f>
        <v>7.6797774252849504E-2</v>
      </c>
      <c r="N21" s="404">
        <f>'Income Statement'!N26/AVERAGE(SUMPRODUCT('Balance Sheet'!M26:N27))</f>
        <v>9.4004603942718479E-2</v>
      </c>
      <c r="O21" s="404">
        <f>'Income Statement'!O26/AVERAGE(SUMPRODUCT('Balance Sheet'!N26:O27))</f>
        <v>0.11731104470482312</v>
      </c>
      <c r="P21" s="404">
        <f>'Income Statement'!P26/AVERAGE(SUMPRODUCT('Balance Sheet'!O26:P27))</f>
        <v>0.14932380086266406</v>
      </c>
      <c r="Q21" s="404">
        <f>'Income Statement'!Q26/AVERAGE(SUMPRODUCT('Balance Sheet'!P26:Q27))</f>
        <v>0.19736854582227206</v>
      </c>
      <c r="R21" s="404">
        <f>'Income Statement'!R26/AVERAGE(SUMPRODUCT('Balance Sheet'!Q26:R27))</f>
        <v>0.27504471454758828</v>
      </c>
      <c r="S21" s="404">
        <f>'Income Statement'!S26/AVERAGE(SUMPRODUCT('Balance Sheet'!R26:S27))</f>
        <v>0.42459744572910668</v>
      </c>
      <c r="T21" s="394"/>
      <c r="U21" s="454" t="s">
        <v>383</v>
      </c>
      <c r="V21" s="455"/>
      <c r="W21" s="455"/>
      <c r="X21" s="455"/>
      <c r="Y21" s="455"/>
      <c r="Z21" s="455"/>
      <c r="AA21" s="455"/>
      <c r="AB21" s="455"/>
      <c r="AC21" s="455"/>
      <c r="AD21" s="455"/>
      <c r="AE21" s="455"/>
      <c r="AF21" s="455"/>
      <c r="AG21" s="455"/>
      <c r="AH21" s="455"/>
      <c r="AI21" s="455"/>
      <c r="AJ21" s="455"/>
      <c r="AK21" s="456"/>
    </row>
    <row r="22" spans="4:37" ht="45.6" customHeight="1" x14ac:dyDescent="0.25">
      <c r="D22" s="55" t="s">
        <v>76</v>
      </c>
      <c r="E22" s="406">
        <f>('Income Statement'!E26+'Income Statement'!E28)/'Income Statement'!E26</f>
        <v>1</v>
      </c>
      <c r="F22" s="406">
        <f>('Income Statement'!E26+'Income Statement'!E28)/'Income Statement'!E26</f>
        <v>1</v>
      </c>
      <c r="G22" s="406">
        <f>('Income Statement'!F26+'Income Statement'!F28)/'Income Statement'!F26</f>
        <v>1</v>
      </c>
      <c r="H22" s="406">
        <f>('Income Statement'!G26+'Income Statement'!G28)/'Income Statement'!G26</f>
        <v>1</v>
      </c>
      <c r="I22" s="406">
        <f>('Income Statement'!H26+'Income Statement'!H28)/'Income Statement'!H26</f>
        <v>1.1600202341119039</v>
      </c>
      <c r="J22" s="407">
        <f>('Income Statement'!I26+'Income Statement'!I28)/'Income Statement'!I26</f>
        <v>1.5463875157682843</v>
      </c>
      <c r="K22" s="407">
        <f>('Income Statement'!J26+'Income Statement'!J28)/'Income Statement'!J26</f>
        <v>1.3532038749400941</v>
      </c>
      <c r="L22" s="407">
        <f>('Income Statement'!K26+'Income Statement'!K28)/'Income Statement'!K26</f>
        <v>1.3532038749400941</v>
      </c>
      <c r="M22" s="407">
        <f>('Income Statement'!L26+'Income Statement'!L28)/'Income Statement'!L26</f>
        <v>1.3532038749400941</v>
      </c>
      <c r="N22" s="407">
        <f>('Income Statement'!M26+'Income Statement'!M28)/'Income Statement'!M26</f>
        <v>1.3532038749400941</v>
      </c>
      <c r="O22" s="407">
        <f>('Income Statement'!N26+'Income Statement'!N28)/'Income Statement'!N26</f>
        <v>1.3532038749400941</v>
      </c>
      <c r="P22" s="407">
        <f>('Income Statement'!O26+'Income Statement'!O28)/'Income Statement'!O26</f>
        <v>1.3532038749400941</v>
      </c>
      <c r="Q22" s="407">
        <f>('Income Statement'!P26+'Income Statement'!P28)/'Income Statement'!P26</f>
        <v>1.3532038749400941</v>
      </c>
      <c r="R22" s="407">
        <f>('Income Statement'!Q26+'Income Statement'!Q28)/'Income Statement'!Q26</f>
        <v>1.3532038749400943</v>
      </c>
      <c r="S22" s="407">
        <f>('Income Statement'!R26+'Income Statement'!R28)/'Income Statement'!R26</f>
        <v>1.3532038749400941</v>
      </c>
      <c r="T22" s="394"/>
      <c r="U22" s="451" t="s">
        <v>366</v>
      </c>
      <c r="V22" s="452"/>
      <c r="W22" s="452"/>
      <c r="X22" s="452"/>
      <c r="Y22" s="452"/>
      <c r="Z22" s="452"/>
      <c r="AA22" s="452"/>
      <c r="AB22" s="452"/>
      <c r="AC22" s="452"/>
      <c r="AD22" s="452"/>
      <c r="AE22" s="452"/>
      <c r="AF22" s="452"/>
      <c r="AG22" s="452"/>
      <c r="AH22" s="452"/>
      <c r="AI22" s="452"/>
      <c r="AJ22" s="452"/>
      <c r="AK22" s="453"/>
    </row>
    <row r="23" spans="4:37" ht="14.4" customHeight="1" x14ac:dyDescent="0.25">
      <c r="D23" s="55"/>
      <c r="E23" s="55"/>
      <c r="F23" s="55"/>
      <c r="G23" s="55"/>
      <c r="H23" s="55"/>
      <c r="I23" s="55"/>
      <c r="J23" s="405"/>
      <c r="K23" s="405"/>
      <c r="L23" s="405"/>
      <c r="M23" s="405"/>
      <c r="N23" s="405"/>
      <c r="O23" s="405"/>
      <c r="P23" s="405"/>
      <c r="Q23" s="405"/>
      <c r="R23" s="405"/>
      <c r="S23" s="405"/>
      <c r="T23" s="394"/>
      <c r="U23" s="395"/>
      <c r="V23" s="396"/>
      <c r="W23" s="396"/>
      <c r="X23" s="396"/>
      <c r="Y23" s="396"/>
      <c r="Z23" s="396"/>
      <c r="AA23" s="396"/>
      <c r="AB23" s="396"/>
      <c r="AC23" s="396"/>
      <c r="AD23" s="396"/>
      <c r="AE23" s="396"/>
      <c r="AF23" s="396"/>
      <c r="AG23" s="396"/>
      <c r="AH23" s="396"/>
      <c r="AI23" s="396"/>
      <c r="AJ23" s="396"/>
      <c r="AK23" s="397"/>
    </row>
    <row r="24" spans="4:37" ht="14.4" customHeight="1" x14ac:dyDescent="0.25">
      <c r="D24" s="56" t="s">
        <v>79</v>
      </c>
      <c r="E24" s="55"/>
      <c r="F24" s="55"/>
      <c r="G24" s="55"/>
      <c r="H24" s="55"/>
      <c r="I24" s="55"/>
      <c r="J24" s="405"/>
      <c r="K24" s="405"/>
      <c r="L24" s="405"/>
      <c r="M24" s="405"/>
      <c r="N24" s="405"/>
      <c r="O24" s="405"/>
      <c r="P24" s="405"/>
      <c r="Q24" s="405"/>
      <c r="R24" s="405"/>
      <c r="S24" s="405"/>
      <c r="T24" s="394"/>
      <c r="U24" s="398"/>
      <c r="V24" s="399"/>
      <c r="W24" s="399"/>
      <c r="X24" s="399"/>
      <c r="Y24" s="399"/>
      <c r="Z24" s="399"/>
      <c r="AA24" s="399"/>
      <c r="AB24" s="399"/>
      <c r="AC24" s="399"/>
      <c r="AD24" s="399"/>
      <c r="AE24" s="399"/>
      <c r="AF24" s="399"/>
      <c r="AG24" s="399"/>
      <c r="AH24" s="399"/>
      <c r="AI24" s="399"/>
      <c r="AJ24" s="399"/>
      <c r="AK24" s="400"/>
    </row>
    <row r="25" spans="4:37" ht="45.6" customHeight="1" x14ac:dyDescent="0.25">
      <c r="D25" s="55" t="s">
        <v>77</v>
      </c>
      <c r="E25" s="406">
        <f>'Balance Sheet'!E23/SUM('Balance Sheet'!E26:E27)</f>
        <v>17.958661584683036</v>
      </c>
      <c r="F25" s="406">
        <f>'Balance Sheet'!F23/SUM('Balance Sheet'!F26:F27)</f>
        <v>13.210773529605792</v>
      </c>
      <c r="G25" s="406">
        <f>'Balance Sheet'!G23/SUM('Balance Sheet'!G26:G27)</f>
        <v>8.6411459081167976</v>
      </c>
      <c r="H25" s="406">
        <f>'Balance Sheet'!H23/SUM('Balance Sheet'!H26:H27)</f>
        <v>9.0316348202481862</v>
      </c>
      <c r="I25" s="406">
        <f>'Balance Sheet'!I23/SUM('Balance Sheet'!I26:I27)</f>
        <v>9.5057275480437902</v>
      </c>
      <c r="J25" s="407">
        <f>'Balance Sheet'!J23/SUM('Balance Sheet'!J26:J27)</f>
        <v>11.848441192983188</v>
      </c>
      <c r="K25" s="407">
        <f>'Balance Sheet'!K23/SUM('Balance Sheet'!K26:K27)</f>
        <v>14.29691750060973</v>
      </c>
      <c r="L25" s="407">
        <f>'Balance Sheet'!L23/SUM('Balance Sheet'!L26:L27)</f>
        <v>17.243589072354883</v>
      </c>
      <c r="M25" s="407">
        <f>'Balance Sheet'!M23/SUM('Balance Sheet'!M26:M27)</f>
        <v>20.850288412469691</v>
      </c>
      <c r="N25" s="407">
        <f>'Balance Sheet'!N23/SUM('Balance Sheet'!N26:N27)</f>
        <v>25.375567659165984</v>
      </c>
      <c r="O25" s="407">
        <f>'Balance Sheet'!O23/SUM('Balance Sheet'!O26:O27)</f>
        <v>31.280443144248697</v>
      </c>
      <c r="P25" s="407">
        <f>'Balance Sheet'!P23/SUM('Balance Sheet'!P26:P27)</f>
        <v>39.409450830507801</v>
      </c>
      <c r="Q25" s="407">
        <f>'Balance Sheet'!Q23/SUM('Balance Sheet'!Q26:Q27)</f>
        <v>51.553866678719864</v>
      </c>
      <c r="R25" s="407">
        <f>'Balance Sheet'!R23/SUM('Balance Sheet'!R26:R27)</f>
        <v>72.101020532926768</v>
      </c>
      <c r="S25" s="407">
        <f>'Balance Sheet'!S23/SUM('Balance Sheet'!S26:S27)</f>
        <v>115.7286201566132</v>
      </c>
      <c r="T25" s="394"/>
      <c r="U25" s="440" t="s">
        <v>384</v>
      </c>
      <c r="V25" s="441"/>
      <c r="W25" s="441"/>
      <c r="X25" s="441"/>
      <c r="Y25" s="441"/>
      <c r="Z25" s="441"/>
      <c r="AA25" s="441"/>
      <c r="AB25" s="441"/>
      <c r="AC25" s="441"/>
      <c r="AD25" s="441"/>
      <c r="AE25" s="441"/>
      <c r="AF25" s="441"/>
      <c r="AG25" s="441"/>
      <c r="AH25" s="441"/>
      <c r="AI25" s="441"/>
      <c r="AJ25" s="441"/>
      <c r="AK25" s="442"/>
    </row>
    <row r="26" spans="4:37" ht="42" customHeight="1" x14ac:dyDescent="0.25">
      <c r="D26" s="55" t="s">
        <v>78</v>
      </c>
      <c r="E26" s="406">
        <f>('Balance Sheet'!E31+'Balance Sheet'!E35)/SUM('Balance Sheet'!E26:E27)</f>
        <v>0.57412827759515439</v>
      </c>
      <c r="F26" s="406">
        <f>('Balance Sheet'!F31+'Balance Sheet'!F35)/SUM('Balance Sheet'!F26:F27)</f>
        <v>0.31610014862942776</v>
      </c>
      <c r="G26" s="406">
        <f>('Balance Sheet'!G31+'Balance Sheet'!G35)/SUM('Balance Sheet'!G26:G27)</f>
        <v>0.17441325612192488</v>
      </c>
      <c r="H26" s="406">
        <f>('Balance Sheet'!H31+'Balance Sheet'!H35)/SUM('Balance Sheet'!H26:H27)</f>
        <v>0.59690764015867115</v>
      </c>
      <c r="I26" s="406">
        <f>('Balance Sheet'!I31+'Balance Sheet'!I35)/SUM('Balance Sheet'!I26:I27)</f>
        <v>0.62902127374068018</v>
      </c>
      <c r="J26" s="407">
        <f>('Balance Sheet'!J31+'Balance Sheet'!J35)/SUM('Balance Sheet'!J26:J27)</f>
        <v>0.50232152321023671</v>
      </c>
      <c r="K26" s="407">
        <f>('Balance Sheet'!K31+'Balance Sheet'!K35)/SUM('Balance Sheet'!K26:K27)</f>
        <v>0.61569470987475594</v>
      </c>
      <c r="L26" s="407">
        <f>('Balance Sheet'!L31+'Balance Sheet'!L35)/SUM('Balance Sheet'!L26:L27)</f>
        <v>0.75213611431143312</v>
      </c>
      <c r="M26" s="407">
        <f>('Balance Sheet'!M31+'Balance Sheet'!M35)/SUM('Balance Sheet'!M26:M27)</f>
        <v>0.919139158717449</v>
      </c>
      <c r="N26" s="407">
        <f>('Balance Sheet'!N31+'Balance Sheet'!N35)/SUM('Balance Sheet'!N26:N27)</f>
        <v>1.1286757293376073</v>
      </c>
      <c r="O26" s="407">
        <f>('Balance Sheet'!O31+'Balance Sheet'!O35)/SUM('Balance Sheet'!O26:O27)</f>
        <v>1.4020925267621116</v>
      </c>
      <c r="P26" s="407">
        <f>('Balance Sheet'!P31+'Balance Sheet'!P35)/SUM('Balance Sheet'!P26:P27)</f>
        <v>1.7784945784956401</v>
      </c>
      <c r="Q26" s="407">
        <f>('Balance Sheet'!Q31+'Balance Sheet'!Q35)/SUM('Balance Sheet'!Q26:Q27)</f>
        <v>2.3408243509350375</v>
      </c>
      <c r="R26" s="407">
        <f>('Balance Sheet'!R31+'Balance Sheet'!R35)/SUM('Balance Sheet'!R26:R27)</f>
        <v>3.2922308652973165</v>
      </c>
      <c r="S26" s="407">
        <f>('Balance Sheet'!S31+'Balance Sheet'!S35)/SUM('Balance Sheet'!S26:S27)</f>
        <v>5.3123443458544397</v>
      </c>
      <c r="T26" s="394"/>
      <c r="U26" s="451" t="s">
        <v>385</v>
      </c>
      <c r="V26" s="452"/>
      <c r="W26" s="452"/>
      <c r="X26" s="452"/>
      <c r="Y26" s="452"/>
      <c r="Z26" s="452"/>
      <c r="AA26" s="452"/>
      <c r="AB26" s="452"/>
      <c r="AC26" s="452"/>
      <c r="AD26" s="452"/>
      <c r="AE26" s="452"/>
      <c r="AF26" s="452"/>
      <c r="AG26" s="452"/>
      <c r="AH26" s="452"/>
      <c r="AI26" s="452"/>
      <c r="AJ26" s="452"/>
      <c r="AK26" s="453"/>
    </row>
    <row r="27" spans="4:37" ht="14.4" customHeight="1" x14ac:dyDescent="0.25">
      <c r="D27" s="55"/>
      <c r="E27" s="55"/>
      <c r="F27" s="55"/>
      <c r="G27" s="55"/>
      <c r="H27" s="55"/>
      <c r="I27" s="55"/>
      <c r="J27" s="405"/>
      <c r="K27" s="405"/>
      <c r="L27" s="405"/>
      <c r="M27" s="405"/>
      <c r="N27" s="405"/>
      <c r="O27" s="405"/>
      <c r="P27" s="405"/>
      <c r="Q27" s="405"/>
      <c r="R27" s="405"/>
      <c r="S27" s="405"/>
      <c r="T27" s="394"/>
      <c r="U27" s="395"/>
      <c r="V27" s="396"/>
      <c r="W27" s="396"/>
      <c r="X27" s="396"/>
      <c r="Y27" s="396"/>
      <c r="Z27" s="396"/>
      <c r="AA27" s="396"/>
      <c r="AB27" s="396"/>
      <c r="AC27" s="396"/>
      <c r="AD27" s="396"/>
      <c r="AE27" s="396"/>
      <c r="AF27" s="396"/>
      <c r="AG27" s="396"/>
      <c r="AH27" s="396"/>
      <c r="AI27" s="396"/>
      <c r="AJ27" s="396"/>
      <c r="AK27" s="397"/>
    </row>
    <row r="28" spans="4:37" ht="14.4" customHeight="1" x14ac:dyDescent="0.25">
      <c r="D28" s="56" t="s">
        <v>80</v>
      </c>
      <c r="E28" s="55"/>
      <c r="F28" s="55"/>
      <c r="G28" s="55"/>
      <c r="H28" s="55"/>
      <c r="I28" s="55"/>
      <c r="J28" s="405"/>
      <c r="K28" s="405"/>
      <c r="L28" s="405"/>
      <c r="M28" s="405"/>
      <c r="N28" s="405"/>
      <c r="O28" s="405"/>
      <c r="P28" s="405"/>
      <c r="Q28" s="405"/>
      <c r="R28" s="405"/>
      <c r="S28" s="405"/>
      <c r="T28" s="394"/>
      <c r="U28" s="398"/>
      <c r="V28" s="399"/>
      <c r="W28" s="399"/>
      <c r="X28" s="399"/>
      <c r="Y28" s="399"/>
      <c r="Z28" s="399"/>
      <c r="AA28" s="399"/>
      <c r="AB28" s="399"/>
      <c r="AC28" s="399"/>
      <c r="AD28" s="399"/>
      <c r="AE28" s="399"/>
      <c r="AF28" s="399"/>
      <c r="AG28" s="399"/>
      <c r="AH28" s="399"/>
      <c r="AI28" s="399"/>
      <c r="AJ28" s="399"/>
      <c r="AK28" s="400"/>
    </row>
    <row r="29" spans="4:37" ht="39.6" customHeight="1" x14ac:dyDescent="0.25">
      <c r="D29" s="55" t="s">
        <v>347</v>
      </c>
      <c r="E29" s="55"/>
      <c r="F29" s="406">
        <f>'Income Statement'!F10/AVERAGE('Balance Sheet'!E20:F20)</f>
        <v>4.9359928899312431</v>
      </c>
      <c r="G29" s="406">
        <f>'Income Statement'!G10/AVERAGE('Balance Sheet'!F20:G20)</f>
        <v>4.4876740925450687</v>
      </c>
      <c r="H29" s="406">
        <f>'Income Statement'!H10/AVERAGE('Balance Sheet'!G20:H20)</f>
        <v>5.1618188360278907</v>
      </c>
      <c r="I29" s="406">
        <f>'Income Statement'!I10/AVERAGE('Balance Sheet'!H20:I20)</f>
        <v>5.9196140162572402</v>
      </c>
      <c r="J29" s="407">
        <f>'Income Statement'!J10/AVERAGE('Balance Sheet'!I20:J20)</f>
        <v>6.3280048882232727</v>
      </c>
      <c r="K29" s="407">
        <f>'Income Statement'!K10/AVERAGE('Balance Sheet'!J20:K20)</f>
        <v>6.9730993293840662</v>
      </c>
      <c r="L29" s="407">
        <f>'Income Statement'!L10/AVERAGE('Balance Sheet'!K20:L20)</f>
        <v>7.6453503990332869</v>
      </c>
      <c r="M29" s="407">
        <f>'Income Statement'!M10/AVERAGE('Balance Sheet'!L20:M20)</f>
        <v>8.3348572575280109</v>
      </c>
      <c r="N29" s="407">
        <f>'Income Statement'!N10/AVERAGE('Balance Sheet'!M20:N20)</f>
        <v>9.0351209026389832</v>
      </c>
      <c r="O29" s="407">
        <f>'Income Statement'!O10/AVERAGE('Balance Sheet'!N20:O20)</f>
        <v>9.7392583817590239</v>
      </c>
      <c r="P29" s="407">
        <f>'Income Statement'!P10/AVERAGE('Balance Sheet'!O20:P20)</f>
        <v>10.442987725550816</v>
      </c>
      <c r="Q29" s="407">
        <f>'Income Statement'!Q10/AVERAGE('Balance Sheet'!P20:Q20)</f>
        <v>11.141661551726145</v>
      </c>
      <c r="R29" s="407">
        <f>'Income Statement'!R10/AVERAGE('Balance Sheet'!Q20:R20)</f>
        <v>11.832675006588858</v>
      </c>
      <c r="S29" s="407">
        <f>'Income Statement'!S10/AVERAGE('Balance Sheet'!R20:S20)</f>
        <v>12.513173986635191</v>
      </c>
      <c r="T29" s="394"/>
      <c r="U29" s="440" t="s">
        <v>386</v>
      </c>
      <c r="V29" s="441"/>
      <c r="W29" s="441"/>
      <c r="X29" s="441"/>
      <c r="Y29" s="441"/>
      <c r="Z29" s="441"/>
      <c r="AA29" s="441"/>
      <c r="AB29" s="441"/>
      <c r="AC29" s="441"/>
      <c r="AD29" s="441"/>
      <c r="AE29" s="441"/>
      <c r="AF29" s="441"/>
      <c r="AG29" s="441"/>
      <c r="AH29" s="441"/>
      <c r="AI29" s="441"/>
      <c r="AJ29" s="441"/>
      <c r="AK29" s="442"/>
    </row>
    <row r="30" spans="4:37" ht="33" customHeight="1" x14ac:dyDescent="0.25">
      <c r="D30" s="55" t="s">
        <v>348</v>
      </c>
      <c r="E30" s="406">
        <f>'Income Statement'!E26/'Balance Sheet'!E35</f>
        <v>-0.4111558799271724</v>
      </c>
      <c r="F30" s="406">
        <f>'Income Statement'!F26/'Balance Sheet'!F35</f>
        <v>-1.3783991980480796</v>
      </c>
      <c r="G30" s="406">
        <f>'Income Statement'!G26/'Balance Sheet'!G35</f>
        <v>0.56694537060434957</v>
      </c>
      <c r="H30" s="406">
        <f>'Income Statement'!H26/'Balance Sheet'!H35</f>
        <v>0.19412647417037387</v>
      </c>
      <c r="I30" s="406">
        <f>'Income Statement'!I26/'Balance Sheet'!I35</f>
        <v>8.125114031717233E-2</v>
      </c>
      <c r="J30" s="407">
        <f>'Income Statement'!J26/'Balance Sheet'!J35</f>
        <v>0.23796733617267535</v>
      </c>
      <c r="K30" s="407">
        <f>'Income Statement'!K26/'Balance Sheet'!K35</f>
        <v>0.23402030203663074</v>
      </c>
      <c r="L30" s="407">
        <f>'Income Statement'!L26/'Balance Sheet'!L35</f>
        <v>0.23135589081316085</v>
      </c>
      <c r="M30" s="407">
        <f>'Income Statement'!M26/'Balance Sheet'!M35</f>
        <v>0.23170938314794709</v>
      </c>
      <c r="N30" s="407">
        <f>'Income Statement'!N26/'Balance Sheet'!N35</f>
        <v>0.23303655565153047</v>
      </c>
      <c r="O30" s="407">
        <f>'Income Statement'!O26/'Balance Sheet'!O35</f>
        <v>0.23692522225865342</v>
      </c>
      <c r="P30" s="407">
        <f>'Income Statement'!P26/'Balance Sheet'!P35</f>
        <v>0.24172606206560199</v>
      </c>
      <c r="Q30" s="407">
        <f>'Income Statement'!Q26/'Balance Sheet'!Q35</f>
        <v>0.24891068015893261</v>
      </c>
      <c r="R30" s="407">
        <f>'Income Statement'!R26/'Balance Sheet'!R35</f>
        <v>0.25712131912122826</v>
      </c>
      <c r="S30" s="407">
        <f>'Income Statement'!S26/'Balance Sheet'!S35</f>
        <v>0.26773958712904272</v>
      </c>
      <c r="T30" s="394"/>
      <c r="U30" s="451" t="s">
        <v>364</v>
      </c>
      <c r="V30" s="452"/>
      <c r="W30" s="452"/>
      <c r="X30" s="452"/>
      <c r="Y30" s="452"/>
      <c r="Z30" s="452"/>
      <c r="AA30" s="452"/>
      <c r="AB30" s="452"/>
      <c r="AC30" s="452"/>
      <c r="AD30" s="452"/>
      <c r="AE30" s="452"/>
      <c r="AF30" s="452"/>
      <c r="AG30" s="452"/>
      <c r="AH30" s="452"/>
      <c r="AI30" s="452"/>
      <c r="AJ30" s="452"/>
      <c r="AK30" s="453"/>
    </row>
    <row r="31" spans="4:37" ht="27" customHeight="1" x14ac:dyDescent="0.25">
      <c r="D31" s="55" t="s">
        <v>349</v>
      </c>
      <c r="E31" s="406"/>
      <c r="F31" s="406">
        <f>('Income Statement'!F10-'Income Statement'!F12-'Income Statement'!F14-'Income Statement'!F22)/AVERAGE(SUMPRODUCT('Balance Sheet'!E13:F19))</f>
        <v>1.5562281863123093E-2</v>
      </c>
      <c r="G31" s="406">
        <f>('Income Statement'!G10-'Income Statement'!G12-'Income Statement'!G14-'Income Statement'!G22)/AVERAGE(SUMPRODUCT('Balance Sheet'!F13:G19))</f>
        <v>1.5587727553246361E-2</v>
      </c>
      <c r="H31" s="406">
        <f>('Income Statement'!H10-'Income Statement'!H12-'Income Statement'!H14-'Income Statement'!H22)/AVERAGE(SUMPRODUCT('Balance Sheet'!G13:H19))</f>
        <v>1.4388213005438272E-2</v>
      </c>
      <c r="I31" s="406">
        <f>('Income Statement'!I10-'Income Statement'!I12-'Income Statement'!I14-'Income Statement'!I22)/AVERAGE(SUMPRODUCT('Balance Sheet'!H13:I19))</f>
        <v>1.3141837295577526E-2</v>
      </c>
      <c r="J31" s="407">
        <f>('Income Statement'!J10-'Income Statement'!J12-'Income Statement'!J14-'Income Statement'!J22)/AVERAGE(SUMPRODUCT('Balance Sheet'!I13:J19))</f>
        <v>1.5457858170051315E-2</v>
      </c>
      <c r="K31" s="407">
        <f>('Income Statement'!K10-'Income Statement'!K12-'Income Statement'!K14-'Income Statement'!K22)/AVERAGE(SUMPRODUCT('Balance Sheet'!J13:K19))</f>
        <v>1.6106805792939348E-2</v>
      </c>
      <c r="L31" s="407">
        <f>('Income Statement'!L10-'Income Statement'!L12-'Income Statement'!L14-'Income Statement'!L22)/AVERAGE(SUMPRODUCT('Balance Sheet'!K13:L19))</f>
        <v>1.600264788413425E-2</v>
      </c>
      <c r="M31" s="407">
        <f>('Income Statement'!M10-'Income Statement'!M12-'Income Statement'!M14-'Income Statement'!M22)/AVERAGE(SUMPRODUCT('Balance Sheet'!L13:M19))</f>
        <v>1.5904663200150878E-2</v>
      </c>
      <c r="N31" s="407">
        <f>('Income Statement'!N10-'Income Statement'!N12-'Income Statement'!N14-'Income Statement'!N22)/AVERAGE(SUMPRODUCT('Balance Sheet'!M13:N19))</f>
        <v>1.5813914249431613E-2</v>
      </c>
      <c r="O31" s="407">
        <f>('Income Statement'!O10-'Income Statement'!O12-'Income Statement'!O14-'Income Statement'!O22)/AVERAGE(SUMPRODUCT('Balance Sheet'!N13:O19))</f>
        <v>1.5730650320732453E-2</v>
      </c>
      <c r="P31" s="407">
        <f>('Income Statement'!P10-'Income Statement'!P12-'Income Statement'!P14-'Income Statement'!P22)/AVERAGE(SUMPRODUCT('Balance Sheet'!O13:P19))</f>
        <v>1.565471722137084E-2</v>
      </c>
      <c r="Q31" s="407">
        <f>('Income Statement'!Q10-'Income Statement'!Q12-'Income Statement'!Q14-'Income Statement'!Q22)/AVERAGE(SUMPRODUCT('Balance Sheet'!P13:Q19))</f>
        <v>1.5585761930939293E-2</v>
      </c>
      <c r="R31" s="407">
        <f>('Income Statement'!R10-'Income Statement'!R12-'Income Statement'!R14-'Income Statement'!R22)/AVERAGE(SUMPRODUCT('Balance Sheet'!Q13:R19))</f>
        <v>1.5523338506949379E-2</v>
      </c>
      <c r="S31" s="407">
        <f>('Income Statement'!S10-'Income Statement'!S12-'Income Statement'!S14-'Income Statement'!S22)/AVERAGE(SUMPRODUCT('Balance Sheet'!R13:S19))</f>
        <v>1.546696470865723E-2</v>
      </c>
      <c r="T31" s="394"/>
      <c r="U31" s="451" t="s">
        <v>450</v>
      </c>
      <c r="V31" s="452"/>
      <c r="W31" s="452"/>
      <c r="X31" s="452"/>
      <c r="Y31" s="452"/>
      <c r="Z31" s="452"/>
      <c r="AA31" s="452"/>
      <c r="AB31" s="452"/>
      <c r="AC31" s="452"/>
      <c r="AD31" s="452"/>
      <c r="AE31" s="452"/>
      <c r="AF31" s="452"/>
      <c r="AG31" s="452"/>
      <c r="AH31" s="452"/>
      <c r="AI31" s="452"/>
      <c r="AJ31" s="452"/>
      <c r="AK31" s="453"/>
    </row>
    <row r="32" spans="4:37" ht="42.6" customHeight="1" x14ac:dyDescent="0.25">
      <c r="D32" s="55" t="s">
        <v>350</v>
      </c>
      <c r="E32" s="406">
        <f>-'Income Statement'!E21/'Income Statement'!E22</f>
        <v>-5.3346448009469416</v>
      </c>
      <c r="F32" s="406">
        <f>-'Income Statement'!F21/'Income Statement'!F22</f>
        <v>-11.747275596354893</v>
      </c>
      <c r="G32" s="406">
        <f>-'Income Statement'!G21/'Income Statement'!G22</f>
        <v>3.444246916436156</v>
      </c>
      <c r="H32" s="406">
        <f>-'Income Statement'!H21/'Income Statement'!H22</f>
        <v>7.2611138994208826</v>
      </c>
      <c r="I32" s="406">
        <f>-'Income Statement'!I21/'Income Statement'!I22</f>
        <v>1.3895162185441381</v>
      </c>
      <c r="J32" s="407">
        <f>-'Income Statement'!J21/'Income Statement'!J22</f>
        <v>3.7871497625635775</v>
      </c>
      <c r="K32" s="407">
        <f>-'Income Statement'!K21/'Income Statement'!K22</f>
        <v>3.8613940357767578</v>
      </c>
      <c r="L32" s="407">
        <f>-'Income Statement'!L21/'Income Statement'!L22</f>
        <v>3.8858253460321848</v>
      </c>
      <c r="M32" s="407">
        <f>-'Income Statement'!M21/'Income Statement'!M22</f>
        <v>3.9450594175901923</v>
      </c>
      <c r="N32" s="407">
        <f>-'Income Statement'!N21/'Income Statement'!N22</f>
        <v>3.9618971362587851</v>
      </c>
      <c r="O32" s="407">
        <f>-'Income Statement'!O21/'Income Statement'!O22</f>
        <v>4.0086836878460854</v>
      </c>
      <c r="P32" s="407">
        <f>-'Income Statement'!P21/'Income Statement'!P22</f>
        <v>4.0193395179707165</v>
      </c>
      <c r="Q32" s="407">
        <f>-'Income Statement'!Q21/'Income Statement'!Q22</f>
        <v>4.0566298835613575</v>
      </c>
      <c r="R32" s="407">
        <f>-'Income Statement'!R21/'Income Statement'!R22</f>
        <v>4.0626629948352937</v>
      </c>
      <c r="S32" s="407">
        <f>-'Income Statement'!S21/'Income Statement'!S22</f>
        <v>4.0928615074105776</v>
      </c>
      <c r="T32" s="394"/>
      <c r="U32" s="451" t="s">
        <v>387</v>
      </c>
      <c r="V32" s="452"/>
      <c r="W32" s="452"/>
      <c r="X32" s="452"/>
      <c r="Y32" s="452"/>
      <c r="Z32" s="452"/>
      <c r="AA32" s="452"/>
      <c r="AB32" s="452"/>
      <c r="AC32" s="452"/>
      <c r="AD32" s="452"/>
      <c r="AE32" s="452"/>
      <c r="AF32" s="452"/>
      <c r="AG32" s="452"/>
      <c r="AH32" s="452"/>
      <c r="AI32" s="452"/>
      <c r="AJ32" s="452"/>
      <c r="AK32" s="453"/>
    </row>
  </sheetData>
  <mergeCells count="18">
    <mergeCell ref="D6:S6"/>
    <mergeCell ref="U6:AK6"/>
    <mergeCell ref="U11:AK11"/>
    <mergeCell ref="U12:AK12"/>
    <mergeCell ref="U13:AK13"/>
    <mergeCell ref="U14:AK14"/>
    <mergeCell ref="U15:AK15"/>
    <mergeCell ref="U18:AK18"/>
    <mergeCell ref="U19:AK19"/>
    <mergeCell ref="U20:AK20"/>
    <mergeCell ref="U30:AK30"/>
    <mergeCell ref="U31:AK31"/>
    <mergeCell ref="U32:AK32"/>
    <mergeCell ref="U21:AK21"/>
    <mergeCell ref="U22:AK22"/>
    <mergeCell ref="U25:AK25"/>
    <mergeCell ref="U26:AK26"/>
    <mergeCell ref="U29:AK29"/>
  </mergeCells>
  <pageMargins left="0.7" right="0.7" top="0.75" bottom="0.75" header="0.3" footer="0.3"/>
  <drawing r:id="rId1"/>
  <extLst>
    <ext xmlns:x14="http://schemas.microsoft.com/office/spreadsheetml/2009/9/main" uri="{05C60535-1F16-4fd2-B633-F4F36F0B64E0}">
      <x14:sparklineGroups xmlns:xm="http://schemas.microsoft.com/office/excel/2006/main">
        <x14:sparklineGroup manualMax="0" manualMin="0" displayEmptyCellsAs="gap" markers="1" high="1" low="1" first="1" last="1" negative="1" xr2:uid="{C5B3CE2D-03E7-40CF-8F13-DF744A99B39D}">
          <x14:colorSeries rgb="FF376092"/>
          <x14:colorNegative rgb="FFD00000"/>
          <x14:colorAxis rgb="FF000000"/>
          <x14:colorMarkers rgb="FFD00000"/>
          <x14:colorFirst rgb="FFD00000"/>
          <x14:colorLast rgb="FFD00000"/>
          <x14:colorHigh rgb="FFD00000"/>
          <x14:colorLow rgb="FFD00000"/>
          <x14:sparklines>
            <x14:sparkline>
              <xm:f>'Ratio Analysis'!E24:S24</xm:f>
              <xm:sqref>T24</xm:sqref>
            </x14:sparkline>
            <x14:sparkline>
              <xm:f>'Ratio Analysis'!E25:S25</xm:f>
              <xm:sqref>T25</xm:sqref>
            </x14:sparkline>
            <x14:sparkline>
              <xm:f>'Ratio Analysis'!E26:S26</xm:f>
              <xm:sqref>T26</xm:sqref>
            </x14:sparkline>
          </x14:sparklines>
        </x14:sparklineGroup>
        <x14:sparklineGroup manualMax="0" manualMin="0" displayEmptyCellsAs="gap" markers="1" high="1" low="1" first="1" last="1" negative="1" xr2:uid="{D9E75065-3617-46CE-A7CC-619CAC14AC9A}">
          <x14:colorSeries rgb="FF376092"/>
          <x14:colorNegative rgb="FFD00000"/>
          <x14:colorAxis rgb="FF000000"/>
          <x14:colorMarkers rgb="FFD00000"/>
          <x14:colorFirst rgb="FFD00000"/>
          <x14:colorLast rgb="FFD00000"/>
          <x14:colorHigh rgb="FFD00000"/>
          <x14:colorLow rgb="FFD00000"/>
          <x14:sparklines>
            <x14:sparkline>
              <xm:f>'Ratio Analysis'!F29:S29</xm:f>
              <xm:sqref>T29</xm:sqref>
            </x14:sparkline>
            <x14:sparkline>
              <xm:f>'Ratio Analysis'!F30:S30</xm:f>
              <xm:sqref>T30</xm:sqref>
            </x14:sparkline>
            <x14:sparkline>
              <xm:f>'Ratio Analysis'!F31:S31</xm:f>
              <xm:sqref>T31</xm:sqref>
            </x14:sparkline>
            <x14:sparkline>
              <xm:f>'Ratio Analysis'!F32:S32</xm:f>
              <xm:sqref>T32</xm:sqref>
            </x14:sparkline>
          </x14:sparklines>
        </x14:sparklineGroup>
        <x14:sparklineGroup manualMax="0" manualMin="0" displayEmptyCellsAs="gap" markers="1" high="1" low="1" first="1" last="1" negative="1" xr2:uid="{5E0FBE40-BB16-49F0-A20A-CEFDBA549891}">
          <x14:colorSeries rgb="FF376092"/>
          <x14:colorNegative rgb="FFD00000"/>
          <x14:colorAxis rgb="FF000000"/>
          <x14:colorMarkers rgb="FFD00000"/>
          <x14:colorFirst rgb="FFD00000"/>
          <x14:colorLast rgb="FFD00000"/>
          <x14:colorHigh rgb="FFD00000"/>
          <x14:colorLow rgb="FFD00000"/>
          <x14:sparklines>
            <x14:sparkline>
              <xm:f>'Ratio Analysis'!F18:S18</xm:f>
              <xm:sqref>T18</xm:sqref>
            </x14:sparkline>
            <x14:sparkline>
              <xm:f>'Ratio Analysis'!F19:S19</xm:f>
              <xm:sqref>T19</xm:sqref>
            </x14:sparkline>
            <x14:sparkline>
              <xm:f>'Ratio Analysis'!F20:S20</xm:f>
              <xm:sqref>T20</xm:sqref>
            </x14:sparkline>
            <x14:sparkline>
              <xm:f>'Ratio Analysis'!F21:S21</xm:f>
              <xm:sqref>T21</xm:sqref>
            </x14:sparkline>
            <x14:sparkline>
              <xm:f>'Ratio Analysis'!F22:S22</xm:f>
              <xm:sqref>T22</xm:sqref>
            </x14:sparkline>
          </x14:sparklines>
        </x14:sparklineGroup>
        <x14:sparklineGroup manualMax="0" manualMin="0" displayEmptyCellsAs="gap" markers="1" high="1" low="1" first="1" last="1" negative="1" xr2:uid="{9AA7EBFC-0ACE-4839-A20D-B1E3C5430B25}">
          <x14:colorSeries rgb="FF376092"/>
          <x14:colorNegative rgb="FFD00000"/>
          <x14:colorAxis rgb="FF000000"/>
          <x14:colorMarkers rgb="FFD00000"/>
          <x14:colorFirst rgb="FFD00000"/>
          <x14:colorLast rgb="FFD00000"/>
          <x14:colorHigh rgb="FFD00000"/>
          <x14:colorLow rgb="FFD00000"/>
          <x14:sparklines>
            <x14:sparkline>
              <xm:f>'Ratio Analysis'!E11:S11</xm:f>
              <xm:sqref>T11</xm:sqref>
            </x14:sparkline>
            <x14:sparkline>
              <xm:f>'Ratio Analysis'!E12:S12</xm:f>
              <xm:sqref>T12</xm:sqref>
            </x14:sparkline>
            <x14:sparkline>
              <xm:f>'Ratio Analysis'!E13:S13</xm:f>
              <xm:sqref>T13</xm:sqref>
            </x14:sparkline>
            <x14:sparkline>
              <xm:f>'Ratio Analysis'!E14:S14</xm:f>
              <xm:sqref>T14</xm:sqref>
            </x14:sparkline>
            <x14:sparkline>
              <xm:f>'Ratio Analysis'!E15:S15</xm:f>
              <xm:sqref>T15</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ED05C-1796-4913-82FB-2FAEEADA230B}">
  <dimension ref="D5:U70"/>
  <sheetViews>
    <sheetView showGridLines="0" topLeftCell="A66" workbookViewId="0">
      <selection activeCell="U37" sqref="U37"/>
    </sheetView>
  </sheetViews>
  <sheetFormatPr defaultRowHeight="14.4" customHeight="1" x14ac:dyDescent="0.25"/>
  <cols>
    <col min="1" max="3" width="1.33203125" style="1" customWidth="1"/>
    <col min="4" max="4" width="30.77734375" style="1" customWidth="1"/>
    <col min="5" max="5" width="13.44140625" style="1" bestFit="1" customWidth="1"/>
    <col min="6" max="10" width="12.109375" style="1" bestFit="1" customWidth="1"/>
    <col min="11" max="11" width="12.21875" style="1" bestFit="1" customWidth="1"/>
    <col min="12" max="19" width="12.6640625" style="1" bestFit="1" customWidth="1"/>
    <col min="20" max="20" width="14" style="1" bestFit="1" customWidth="1"/>
    <col min="21" max="21" width="11.21875" style="1" bestFit="1" customWidth="1"/>
    <col min="22" max="16384" width="8.88671875" style="1"/>
  </cols>
  <sheetData>
    <row r="5" spans="4:20" ht="14.4" customHeight="1" x14ac:dyDescent="0.25">
      <c r="Q5" s="66" t="s">
        <v>64</v>
      </c>
    </row>
    <row r="6" spans="4:20" ht="16.8" customHeight="1" x14ac:dyDescent="0.25">
      <c r="D6" s="425" t="s">
        <v>82</v>
      </c>
      <c r="E6" s="425"/>
      <c r="F6" s="425"/>
      <c r="G6" s="425"/>
      <c r="H6" s="425"/>
      <c r="I6" s="425"/>
      <c r="J6" s="425"/>
      <c r="K6" s="425"/>
      <c r="L6" s="425"/>
      <c r="M6" s="425"/>
      <c r="N6" s="425"/>
      <c r="O6" s="425"/>
      <c r="P6" s="425"/>
      <c r="Q6" s="425"/>
      <c r="R6" s="425"/>
      <c r="S6" s="425"/>
      <c r="T6" s="425"/>
    </row>
    <row r="8" spans="4:20" ht="14.4" customHeight="1" x14ac:dyDescent="0.25">
      <c r="D8" s="269" t="s">
        <v>23</v>
      </c>
      <c r="E8" s="125"/>
    </row>
    <row r="9" spans="4:20" ht="14.4" customHeight="1" x14ac:dyDescent="0.25">
      <c r="D9" s="55" t="s">
        <v>83</v>
      </c>
      <c r="E9" s="69">
        <v>45730</v>
      </c>
    </row>
    <row r="10" spans="4:20" ht="14.4" customHeight="1" x14ac:dyDescent="0.25">
      <c r="D10" s="55" t="s">
        <v>84</v>
      </c>
      <c r="E10" s="70">
        <v>45747</v>
      </c>
    </row>
    <row r="11" spans="4:20" ht="14.4" customHeight="1" x14ac:dyDescent="0.25">
      <c r="D11" s="55" t="s">
        <v>85</v>
      </c>
      <c r="E11" s="74">
        <f>WACC!$E$37</f>
        <v>0.3</v>
      </c>
    </row>
    <row r="12" spans="4:20" ht="14.4" customHeight="1" x14ac:dyDescent="0.25">
      <c r="D12" s="55" t="s">
        <v>86</v>
      </c>
      <c r="E12" s="124">
        <f>'Comps Data'!L16</f>
        <v>17.47</v>
      </c>
    </row>
    <row r="13" spans="4:20" ht="14.4" customHeight="1" x14ac:dyDescent="0.25">
      <c r="D13" s="55" t="s">
        <v>87</v>
      </c>
      <c r="E13" s="74">
        <f>Assumptions!D29</f>
        <v>6.4000000000000001E-2</v>
      </c>
    </row>
    <row r="14" spans="4:20" ht="14.4" customHeight="1" x14ac:dyDescent="0.25">
      <c r="D14" s="55" t="s">
        <v>88</v>
      </c>
      <c r="E14" s="121">
        <f>WACC!$E$47</f>
        <v>0.19301617886834152</v>
      </c>
    </row>
    <row r="15" spans="4:20" ht="14.4" customHeight="1" x14ac:dyDescent="0.25">
      <c r="D15" s="55" t="s">
        <v>89</v>
      </c>
      <c r="E15" s="75">
        <f>'Comps Data'!H16</f>
        <v>709.56</v>
      </c>
    </row>
    <row r="16" spans="4:20" ht="14.4" customHeight="1" x14ac:dyDescent="0.25">
      <c r="D16" s="55" t="s">
        <v>90</v>
      </c>
      <c r="E16" s="76">
        <v>31.9</v>
      </c>
    </row>
    <row r="18" spans="4:21" ht="14.4" customHeight="1" x14ac:dyDescent="0.25">
      <c r="F18" s="3">
        <v>2020</v>
      </c>
      <c r="G18" s="3">
        <f t="shared" ref="G18:T18" si="0">F18+1</f>
        <v>2021</v>
      </c>
      <c r="H18" s="3">
        <f t="shared" si="0"/>
        <v>2022</v>
      </c>
      <c r="I18" s="3">
        <f t="shared" si="0"/>
        <v>2023</v>
      </c>
      <c r="J18" s="3">
        <f t="shared" si="0"/>
        <v>2024</v>
      </c>
      <c r="K18" s="126">
        <f t="shared" si="0"/>
        <v>2025</v>
      </c>
      <c r="L18" s="126">
        <f t="shared" si="0"/>
        <v>2026</v>
      </c>
      <c r="M18" s="126">
        <f t="shared" si="0"/>
        <v>2027</v>
      </c>
      <c r="N18" s="126">
        <f t="shared" si="0"/>
        <v>2028</v>
      </c>
      <c r="O18" s="126">
        <f t="shared" si="0"/>
        <v>2029</v>
      </c>
      <c r="P18" s="126">
        <f t="shared" si="0"/>
        <v>2030</v>
      </c>
      <c r="Q18" s="126">
        <f t="shared" si="0"/>
        <v>2031</v>
      </c>
      <c r="R18" s="126">
        <f t="shared" si="0"/>
        <v>2032</v>
      </c>
      <c r="S18" s="126">
        <f t="shared" si="0"/>
        <v>2033</v>
      </c>
      <c r="T18" s="126">
        <f t="shared" si="0"/>
        <v>2034</v>
      </c>
      <c r="U18" s="26"/>
    </row>
    <row r="19" spans="4:21" ht="14.4" customHeight="1" x14ac:dyDescent="0.25">
      <c r="D19" s="48" t="s">
        <v>91</v>
      </c>
      <c r="F19" s="25" t="s">
        <v>8</v>
      </c>
      <c r="G19" s="25" t="s">
        <v>8</v>
      </c>
      <c r="H19" s="25" t="s">
        <v>8</v>
      </c>
      <c r="I19" s="25" t="s">
        <v>8</v>
      </c>
      <c r="J19" s="25" t="s">
        <v>8</v>
      </c>
      <c r="K19" s="67" t="s">
        <v>9</v>
      </c>
      <c r="L19" s="67" t="s">
        <v>9</v>
      </c>
      <c r="M19" s="67" t="s">
        <v>9</v>
      </c>
      <c r="N19" s="67" t="s">
        <v>9</v>
      </c>
      <c r="O19" s="67" t="s">
        <v>9</v>
      </c>
      <c r="P19" s="67" t="s">
        <v>9</v>
      </c>
      <c r="Q19" s="67" t="s">
        <v>9</v>
      </c>
      <c r="R19" s="67" t="s">
        <v>9</v>
      </c>
      <c r="S19" s="67" t="s">
        <v>9</v>
      </c>
      <c r="T19" s="67" t="s">
        <v>9</v>
      </c>
      <c r="U19" s="127" t="s">
        <v>101</v>
      </c>
    </row>
    <row r="20" spans="4:21" ht="14.4" customHeight="1" x14ac:dyDescent="0.25">
      <c r="D20" s="68" t="s">
        <v>57</v>
      </c>
      <c r="E20" s="60"/>
      <c r="F20" s="71">
        <v>43921</v>
      </c>
      <c r="G20" s="71">
        <f>F20+365</f>
        <v>44286</v>
      </c>
      <c r="H20" s="71">
        <f>G20+365</f>
        <v>44651</v>
      </c>
      <c r="I20" s="71">
        <f>H20+365</f>
        <v>45016</v>
      </c>
      <c r="J20" s="71">
        <v>45382</v>
      </c>
      <c r="K20" s="128">
        <v>45747</v>
      </c>
      <c r="L20" s="128">
        <v>46112</v>
      </c>
      <c r="M20" s="128">
        <v>46477</v>
      </c>
      <c r="N20" s="128">
        <v>46843</v>
      </c>
      <c r="O20" s="128">
        <v>47208</v>
      </c>
      <c r="P20" s="128">
        <v>47573</v>
      </c>
      <c r="Q20" s="128">
        <v>47938</v>
      </c>
      <c r="R20" s="128">
        <v>48304</v>
      </c>
      <c r="S20" s="128">
        <v>48669</v>
      </c>
      <c r="T20" s="128">
        <v>49034</v>
      </c>
      <c r="U20" s="329">
        <f>T20</f>
        <v>49034</v>
      </c>
    </row>
    <row r="21" spans="4:21" ht="14.4" customHeight="1" x14ac:dyDescent="0.25">
      <c r="D21" s="68" t="s">
        <v>92</v>
      </c>
      <c r="F21" s="14">
        <v>1</v>
      </c>
      <c r="G21" s="14">
        <f>F21+1</f>
        <v>2</v>
      </c>
      <c r="H21" s="14">
        <f>G21+1</f>
        <v>3</v>
      </c>
      <c r="I21" s="14">
        <f>H21+1</f>
        <v>4</v>
      </c>
      <c r="J21" s="14">
        <f>I21+1</f>
        <v>5</v>
      </c>
      <c r="K21" s="129">
        <v>0</v>
      </c>
      <c r="L21" s="26">
        <f t="shared" ref="L21:T21" si="1">K21+1</f>
        <v>1</v>
      </c>
      <c r="M21" s="26">
        <f t="shared" si="1"/>
        <v>2</v>
      </c>
      <c r="N21" s="26">
        <f t="shared" si="1"/>
        <v>3</v>
      </c>
      <c r="O21" s="26">
        <f t="shared" si="1"/>
        <v>4</v>
      </c>
      <c r="P21" s="26">
        <f t="shared" si="1"/>
        <v>5</v>
      </c>
      <c r="Q21" s="26">
        <f t="shared" si="1"/>
        <v>6</v>
      </c>
      <c r="R21" s="26">
        <f t="shared" si="1"/>
        <v>7</v>
      </c>
      <c r="S21" s="26">
        <f t="shared" si="1"/>
        <v>8</v>
      </c>
      <c r="T21" s="26">
        <f t="shared" si="1"/>
        <v>9</v>
      </c>
      <c r="U21" s="26"/>
    </row>
    <row r="22" spans="4:21" ht="14.4" customHeight="1" x14ac:dyDescent="0.25">
      <c r="D22" s="68" t="s">
        <v>93</v>
      </c>
      <c r="F22" s="73">
        <f>YEARFRAC(F20,G20)</f>
        <v>1</v>
      </c>
      <c r="G22" s="73">
        <f>YEARFRAC(G20,H20)</f>
        <v>1</v>
      </c>
      <c r="H22" s="73">
        <f>YEARFRAC(H20,I20)</f>
        <v>1</v>
      </c>
      <c r="I22" s="73">
        <f>YEARFRAC(I20,J20)</f>
        <v>1</v>
      </c>
      <c r="J22" s="73">
        <f>YEARFRAC(J20,K20)</f>
        <v>1</v>
      </c>
      <c r="K22" s="130">
        <f>YEARFRAC(E9,K20)</f>
        <v>4.7222222222222221E-2</v>
      </c>
      <c r="L22" s="130">
        <f t="shared" ref="L22:T22" si="2">YEARFRAC(K20,L20)</f>
        <v>1</v>
      </c>
      <c r="M22" s="130">
        <f t="shared" si="2"/>
        <v>1</v>
      </c>
      <c r="N22" s="130">
        <f t="shared" si="2"/>
        <v>1</v>
      </c>
      <c r="O22" s="130">
        <f t="shared" si="2"/>
        <v>1</v>
      </c>
      <c r="P22" s="130">
        <f t="shared" si="2"/>
        <v>1</v>
      </c>
      <c r="Q22" s="130">
        <f t="shared" si="2"/>
        <v>1</v>
      </c>
      <c r="R22" s="130">
        <f t="shared" si="2"/>
        <v>1</v>
      </c>
      <c r="S22" s="130">
        <f t="shared" si="2"/>
        <v>1</v>
      </c>
      <c r="T22" s="130">
        <f t="shared" si="2"/>
        <v>1</v>
      </c>
      <c r="U22" s="131">
        <v>1</v>
      </c>
    </row>
    <row r="23" spans="4:21" ht="14.4" customHeight="1" x14ac:dyDescent="0.25">
      <c r="D23" s="55"/>
      <c r="K23" s="26"/>
      <c r="L23" s="26"/>
      <c r="M23" s="26"/>
      <c r="N23" s="26"/>
      <c r="O23" s="26"/>
      <c r="P23" s="26"/>
      <c r="Q23" s="26"/>
      <c r="R23" s="26"/>
      <c r="S23" s="26"/>
      <c r="T23" s="26"/>
      <c r="U23" s="26"/>
    </row>
    <row r="24" spans="4:21" ht="14.4" customHeight="1" x14ac:dyDescent="0.25">
      <c r="D24" s="55" t="s">
        <v>40</v>
      </c>
      <c r="F24" s="11">
        <f>'Income Statement'!E21</f>
        <v>-1286.258080000001</v>
      </c>
      <c r="G24" s="11">
        <f>'Income Statement'!F21</f>
        <v>-2907.0501280000003</v>
      </c>
      <c r="H24" s="11">
        <f>'Income Statement'!G21</f>
        <v>806.982575</v>
      </c>
      <c r="I24" s="11">
        <f>'Income Statement'!H21</f>
        <v>1103.8606750000004</v>
      </c>
      <c r="J24" s="11">
        <f>'Income Statement'!I21</f>
        <v>346.51922199999944</v>
      </c>
      <c r="K24" s="38">
        <f>'Income Statement'!J21</f>
        <v>722.08768417470708</v>
      </c>
      <c r="L24" s="38">
        <f>'Income Statement'!K21</f>
        <v>856.27419240430186</v>
      </c>
      <c r="M24" s="38">
        <f>'Income Statement'!L21</f>
        <v>988.12989991501206</v>
      </c>
      <c r="N24" s="38">
        <f>'Income Statement'!M21</f>
        <v>1135.2593916088201</v>
      </c>
      <c r="O24" s="38">
        <f>'Income Statement'!N21</f>
        <v>1274.4989279405238</v>
      </c>
      <c r="P24" s="38">
        <f>'Income Statement'!O21</f>
        <v>1425.4852731622216</v>
      </c>
      <c r="Q24" s="38">
        <f>'Income Statement'!P21</f>
        <v>1563.8838434254333</v>
      </c>
      <c r="R24" s="38">
        <f>'Income Statement'!Q21</f>
        <v>1711.1175163747591</v>
      </c>
      <c r="S24" s="38">
        <f>'Income Statement'!R21</f>
        <v>1842.2552920682526</v>
      </c>
      <c r="T24" s="38">
        <f>'Income Statement'!S21</f>
        <v>1980.1835557079648</v>
      </c>
      <c r="U24" s="26"/>
    </row>
    <row r="25" spans="4:21" ht="14.4" customHeight="1" x14ac:dyDescent="0.25">
      <c r="D25" s="55" t="s">
        <v>94</v>
      </c>
      <c r="F25" s="15">
        <f t="shared" ref="F25:T25" si="3">F24*$E$11</f>
        <v>-385.8774240000003</v>
      </c>
      <c r="G25" s="15">
        <f t="shared" si="3"/>
        <v>-872.11503840000012</v>
      </c>
      <c r="H25" s="15">
        <f t="shared" si="3"/>
        <v>242.09477249999998</v>
      </c>
      <c r="I25" s="15">
        <f t="shared" si="3"/>
        <v>331.15820250000007</v>
      </c>
      <c r="J25" s="15">
        <f t="shared" si="3"/>
        <v>103.95576659999983</v>
      </c>
      <c r="K25" s="37">
        <f t="shared" si="3"/>
        <v>216.62630525241212</v>
      </c>
      <c r="L25" s="37">
        <f t="shared" si="3"/>
        <v>256.88225772129056</v>
      </c>
      <c r="M25" s="37">
        <f t="shared" si="3"/>
        <v>296.43896997450361</v>
      </c>
      <c r="N25" s="37">
        <f t="shared" si="3"/>
        <v>340.57781748264603</v>
      </c>
      <c r="O25" s="37">
        <f t="shared" si="3"/>
        <v>382.34967838215715</v>
      </c>
      <c r="P25" s="37">
        <f t="shared" si="3"/>
        <v>427.64558194866646</v>
      </c>
      <c r="Q25" s="37">
        <f t="shared" si="3"/>
        <v>469.16515302762997</v>
      </c>
      <c r="R25" s="37">
        <f t="shared" si="3"/>
        <v>513.33525491242767</v>
      </c>
      <c r="S25" s="37">
        <f t="shared" si="3"/>
        <v>552.67658762047574</v>
      </c>
      <c r="T25" s="37">
        <f t="shared" si="3"/>
        <v>594.05506671238948</v>
      </c>
      <c r="U25" s="26"/>
    </row>
    <row r="26" spans="4:21" s="3" customFormat="1" ht="14.4" customHeight="1" x14ac:dyDescent="0.25">
      <c r="D26" s="8" t="s">
        <v>100</v>
      </c>
      <c r="E26" s="8"/>
      <c r="F26" s="10">
        <f t="shared" ref="F26:T26" si="4">SUM(F24:F25)</f>
        <v>-1672.1355040000012</v>
      </c>
      <c r="G26" s="10">
        <f t="shared" si="4"/>
        <v>-3779.1651664000005</v>
      </c>
      <c r="H26" s="10">
        <f t="shared" si="4"/>
        <v>1049.0773475000001</v>
      </c>
      <c r="I26" s="10">
        <f t="shared" si="4"/>
        <v>1435.0188775000004</v>
      </c>
      <c r="J26" s="10">
        <f t="shared" si="4"/>
        <v>450.47498859999928</v>
      </c>
      <c r="K26" s="132">
        <f t="shared" si="4"/>
        <v>938.71398942711926</v>
      </c>
      <c r="L26" s="132">
        <f t="shared" si="4"/>
        <v>1113.1564501255925</v>
      </c>
      <c r="M26" s="132">
        <f t="shared" si="4"/>
        <v>1284.5688698895156</v>
      </c>
      <c r="N26" s="132">
        <f t="shared" si="4"/>
        <v>1475.8372090914661</v>
      </c>
      <c r="O26" s="132">
        <f t="shared" si="4"/>
        <v>1656.848606322681</v>
      </c>
      <c r="P26" s="132">
        <f t="shared" si="4"/>
        <v>1853.130855110888</v>
      </c>
      <c r="Q26" s="132">
        <f t="shared" si="4"/>
        <v>2033.0489964530632</v>
      </c>
      <c r="R26" s="132">
        <f t="shared" si="4"/>
        <v>2224.4527712871868</v>
      </c>
      <c r="S26" s="132">
        <f t="shared" si="4"/>
        <v>2394.9318796887283</v>
      </c>
      <c r="T26" s="132">
        <f t="shared" si="4"/>
        <v>2574.2386224203542</v>
      </c>
      <c r="U26" s="330"/>
    </row>
    <row r="27" spans="4:21" ht="14.4" customHeight="1" x14ac:dyDescent="0.25">
      <c r="D27" s="55" t="s">
        <v>95</v>
      </c>
      <c r="F27" s="11">
        <f>-'Income Statement'!E20</f>
        <v>53.909399999999998</v>
      </c>
      <c r="G27" s="11">
        <f>-'Income Statement'!F20</f>
        <v>102.13330000000001</v>
      </c>
      <c r="H27" s="11">
        <f>-'Income Statement'!G20</f>
        <v>137.09039999999999</v>
      </c>
      <c r="I27" s="11">
        <f>-'Income Statement'!H20</f>
        <v>148.33199999999999</v>
      </c>
      <c r="J27" s="11">
        <f>-'Income Statement'!I20</f>
        <v>150.08430000000001</v>
      </c>
      <c r="K27" s="38">
        <f>-'Income Statement'!J20</f>
        <v>158.86321250000003</v>
      </c>
      <c r="L27" s="38">
        <f>-'Income Statement'!K20</f>
        <v>168.29897316380655</v>
      </c>
      <c r="M27" s="38">
        <f>-'Income Statement'!L20</f>
        <v>186.78120295651854</v>
      </c>
      <c r="N27" s="38">
        <f>-'Income Statement'!M20</f>
        <v>194.32466426812496</v>
      </c>
      <c r="O27" s="38">
        <f>-'Income Statement'!N20</f>
        <v>211.81491479617745</v>
      </c>
      <c r="P27" s="38">
        <f>-'Income Statement'!O20</f>
        <v>217.50574720963215</v>
      </c>
      <c r="Q27" s="38">
        <f>-'Income Statement'!P20</f>
        <v>233.84440879553841</v>
      </c>
      <c r="R27" s="38">
        <f>-'Income Statement'!Q20</f>
        <v>237.77862279916212</v>
      </c>
      <c r="S27" s="38">
        <f>-'Income Statement'!R20</f>
        <v>252.88572003024203</v>
      </c>
      <c r="T27" s="38">
        <f>-'Income Statement'!S20</f>
        <v>255.20304808580471</v>
      </c>
      <c r="U27" s="26"/>
    </row>
    <row r="28" spans="4:21" ht="14.4" customHeight="1" x14ac:dyDescent="0.25">
      <c r="D28" s="55" t="s">
        <v>96</v>
      </c>
      <c r="G28" s="15">
        <f>-'Working Sheet'!F10</f>
        <v>-446.21790000000016</v>
      </c>
      <c r="H28" s="11">
        <f>-'Working Sheet'!G10</f>
        <v>-129.62200000000001</v>
      </c>
      <c r="I28" s="11">
        <f>-'Working Sheet'!H10</f>
        <v>-90.31129999999996</v>
      </c>
      <c r="J28" s="11">
        <f>-'Working Sheet'!I10</f>
        <v>-386.44399999999996</v>
      </c>
      <c r="K28" s="38">
        <f>-'Working Sheet'!J10</f>
        <v>-263.14880000000005</v>
      </c>
      <c r="L28" s="38">
        <f>-'Working Sheet'!K10</f>
        <v>-264.46454400000005</v>
      </c>
      <c r="M28" s="38">
        <f>-'Working Sheet'!L10</f>
        <v>-265.78686672000003</v>
      </c>
      <c r="N28" s="38">
        <f>-'Working Sheet'!M10</f>
        <v>-267.11580105360002</v>
      </c>
      <c r="O28" s="38">
        <f>-'Working Sheet'!N10</f>
        <v>-268.45138005886798</v>
      </c>
      <c r="P28" s="38">
        <f>-'Working Sheet'!O10</f>
        <v>-269.79363695916231</v>
      </c>
      <c r="Q28" s="38">
        <f>-'Working Sheet'!P10</f>
        <v>-271.14260514395812</v>
      </c>
      <c r="R28" s="38">
        <f>-'Working Sheet'!Q10</f>
        <v>-272.49831816967787</v>
      </c>
      <c r="S28" s="38">
        <f>-'Working Sheet'!R10</f>
        <v>-273.86080976052625</v>
      </c>
      <c r="T28" s="38">
        <f>-'Working Sheet'!S10</f>
        <v>-275.23011380932883</v>
      </c>
      <c r="U28" s="38"/>
    </row>
    <row r="29" spans="4:21" ht="14.4" customHeight="1" x14ac:dyDescent="0.25">
      <c r="D29" s="55" t="s">
        <v>97</v>
      </c>
      <c r="G29" s="11">
        <f>SUM('Cash Flow Statement'!F17:F18)-SUM('Cash Flow Statement'!F25,'Cash Flow Statement'!F27)</f>
        <v>3070.698699999999</v>
      </c>
      <c r="H29" s="11">
        <f>SUM('Cash Flow Statement'!G17:G18)-SUM('Cash Flow Statement'!G25,'Cash Flow Statement'!G27)</f>
        <v>3124.5373550000018</v>
      </c>
      <c r="I29" s="11">
        <f>SUM('Cash Flow Statement'!H17:H18)-SUM('Cash Flow Statement'!H25,'Cash Flow Statement'!H27)</f>
        <v>68.179634999998598</v>
      </c>
      <c r="J29" s="11">
        <f>SUM('Cash Flow Statement'!I17:I18)-SUM('Cash Flow Statement'!I25,'Cash Flow Statement'!I27)</f>
        <v>288.95423500000106</v>
      </c>
      <c r="K29" s="38">
        <f>SUM('Cash Flow Statement'!J17:J18)-SUM('Cash Flow Statement'!J25,'Cash Flow Statement'!J27)</f>
        <v>4683.0768090810743</v>
      </c>
      <c r="L29" s="38">
        <f>SUM('Cash Flow Statement'!K17:K18)-SUM('Cash Flow Statement'!K25,'Cash Flow Statement'!K27)</f>
        <v>3425.7909446398753</v>
      </c>
      <c r="M29" s="38">
        <f>SUM('Cash Flow Statement'!L17:L18)-SUM('Cash Flow Statement'!L25,'Cash Flow Statement'!L27)</f>
        <v>3585.9783320382667</v>
      </c>
      <c r="N29" s="38">
        <f>SUM('Cash Flow Statement'!M17:M18)-SUM('Cash Flow Statement'!M25,'Cash Flow Statement'!M27)</f>
        <v>3689.3805248261342</v>
      </c>
      <c r="O29" s="38">
        <f>SUM('Cash Flow Statement'!N17:N18)-SUM('Cash Flow Statement'!N25,'Cash Flow Statement'!N27)</f>
        <v>3738.441738293428</v>
      </c>
      <c r="P29" s="38">
        <f>SUM('Cash Flow Statement'!O17:O18)-SUM('Cash Flow Statement'!O25,'Cash Flow Statement'!O27)</f>
        <v>3737.1868618274166</v>
      </c>
      <c r="Q29" s="38">
        <f>SUM('Cash Flow Statement'!P17:P18)-SUM('Cash Flow Statement'!P25,'Cash Flow Statement'!P27)</f>
        <v>3690.9137541949622</v>
      </c>
      <c r="R29" s="38">
        <f>SUM('Cash Flow Statement'!Q17:Q18)-SUM('Cash Flow Statement'!Q25,'Cash Flow Statement'!Q27)</f>
        <v>3605.7749416850384</v>
      </c>
      <c r="S29" s="38">
        <f>SUM('Cash Flow Statement'!R17:R18)-SUM('Cash Flow Statement'!R25,'Cash Flow Statement'!R27)</f>
        <v>3488.3473518779865</v>
      </c>
      <c r="T29" s="38">
        <f>SUM('Cash Flow Statement'!S17:S18)-SUM('Cash Flow Statement'!S25,'Cash Flow Statement'!S27)</f>
        <v>3345.2477930978393</v>
      </c>
      <c r="U29" s="38"/>
    </row>
    <row r="30" spans="4:21" s="3" customFormat="1" ht="14.4" customHeight="1" x14ac:dyDescent="0.25">
      <c r="D30" s="331" t="s">
        <v>98</v>
      </c>
      <c r="E30" s="8"/>
      <c r="F30" s="10">
        <f t="shared" ref="F30:T30" si="5">SUM(F26:F29)</f>
        <v>-1618.2261040000012</v>
      </c>
      <c r="G30" s="10">
        <f>SUM(G26:G29)</f>
        <v>-1052.5510664000021</v>
      </c>
      <c r="H30" s="10">
        <f t="shared" si="5"/>
        <v>4181.0831025000016</v>
      </c>
      <c r="I30" s="10">
        <f t="shared" si="5"/>
        <v>1561.2192124999992</v>
      </c>
      <c r="J30" s="10">
        <f t="shared" si="5"/>
        <v>503.06952360000037</v>
      </c>
      <c r="K30" s="132">
        <f t="shared" si="5"/>
        <v>5517.5052110081933</v>
      </c>
      <c r="L30" s="132">
        <f t="shared" si="5"/>
        <v>4442.7818239292747</v>
      </c>
      <c r="M30" s="132">
        <f t="shared" si="5"/>
        <v>4791.5415381643006</v>
      </c>
      <c r="N30" s="132">
        <f t="shared" si="5"/>
        <v>5092.4265971321256</v>
      </c>
      <c r="O30" s="132">
        <f t="shared" si="5"/>
        <v>5338.6538793534182</v>
      </c>
      <c r="P30" s="132">
        <f t="shared" si="5"/>
        <v>5538.0298271887741</v>
      </c>
      <c r="Q30" s="132">
        <f t="shared" si="5"/>
        <v>5686.6645542996057</v>
      </c>
      <c r="R30" s="132">
        <f t="shared" si="5"/>
        <v>5795.5080176017091</v>
      </c>
      <c r="S30" s="132">
        <f t="shared" si="5"/>
        <v>5862.3041418364301</v>
      </c>
      <c r="T30" s="132">
        <f t="shared" si="5"/>
        <v>5899.4593497946698</v>
      </c>
      <c r="U30" s="132">
        <f>U38</f>
        <v>64109.380042327444</v>
      </c>
    </row>
    <row r="31" spans="4:21" ht="6" customHeight="1" x14ac:dyDescent="0.25">
      <c r="D31" s="55"/>
      <c r="F31" s="11"/>
      <c r="G31" s="11"/>
      <c r="H31" s="11"/>
      <c r="I31" s="11"/>
      <c r="J31" s="11"/>
      <c r="K31" s="38"/>
      <c r="L31" s="38"/>
      <c r="M31" s="38"/>
      <c r="N31" s="38"/>
      <c r="O31" s="38"/>
      <c r="P31" s="38"/>
      <c r="Q31" s="38"/>
      <c r="R31" s="38"/>
      <c r="S31" s="38"/>
      <c r="T31" s="38"/>
      <c r="U31" s="133"/>
    </row>
    <row r="32" spans="4:21" ht="14.4" customHeight="1" x14ac:dyDescent="0.25">
      <c r="D32" s="56" t="s">
        <v>99</v>
      </c>
      <c r="F32" s="12">
        <f t="shared" ref="F32:T32" si="6">F30*F22</f>
        <v>-1618.2261040000012</v>
      </c>
      <c r="G32" s="12">
        <f t="shared" si="6"/>
        <v>-1052.5510664000021</v>
      </c>
      <c r="H32" s="12">
        <f t="shared" si="6"/>
        <v>4181.0831025000016</v>
      </c>
      <c r="I32" s="12">
        <f t="shared" si="6"/>
        <v>1561.2192124999992</v>
      </c>
      <c r="J32" s="12">
        <f t="shared" si="6"/>
        <v>503.06952360000037</v>
      </c>
      <c r="K32" s="133">
        <f t="shared" si="6"/>
        <v>260.54885718649803</v>
      </c>
      <c r="L32" s="133">
        <f t="shared" si="6"/>
        <v>4442.7818239292747</v>
      </c>
      <c r="M32" s="133">
        <f t="shared" si="6"/>
        <v>4791.5415381643006</v>
      </c>
      <c r="N32" s="133">
        <f t="shared" si="6"/>
        <v>5092.4265971321256</v>
      </c>
      <c r="O32" s="133">
        <f t="shared" si="6"/>
        <v>5338.6538793534182</v>
      </c>
      <c r="P32" s="133">
        <f t="shared" si="6"/>
        <v>5538.0298271887741</v>
      </c>
      <c r="Q32" s="133">
        <f t="shared" si="6"/>
        <v>5686.6645542996057</v>
      </c>
      <c r="R32" s="133">
        <f t="shared" si="6"/>
        <v>5795.5080176017091</v>
      </c>
      <c r="S32" s="133">
        <f t="shared" si="6"/>
        <v>5862.3041418364301</v>
      </c>
      <c r="T32" s="133">
        <f t="shared" si="6"/>
        <v>5899.4593497946698</v>
      </c>
      <c r="U32" s="133">
        <f>U38</f>
        <v>64109.380042327444</v>
      </c>
    </row>
    <row r="35" spans="4:21" ht="14.4" customHeight="1" thickBot="1" x14ac:dyDescent="0.3">
      <c r="D35" s="458" t="s">
        <v>102</v>
      </c>
      <c r="E35" s="458"/>
      <c r="F35" s="81"/>
      <c r="G35" s="81"/>
      <c r="H35" s="458" t="s">
        <v>103</v>
      </c>
      <c r="I35" s="458"/>
      <c r="J35" s="458"/>
      <c r="K35" s="458"/>
      <c r="L35" s="81"/>
      <c r="M35" s="81"/>
      <c r="N35" s="458" t="s">
        <v>104</v>
      </c>
      <c r="O35" s="458"/>
      <c r="P35" s="458"/>
      <c r="S35" s="459" t="s">
        <v>178</v>
      </c>
      <c r="T35" s="459"/>
      <c r="U35" s="459"/>
    </row>
    <row r="36" spans="4:21" ht="14.4" customHeight="1" x14ac:dyDescent="0.25">
      <c r="D36" s="55" t="s">
        <v>105</v>
      </c>
      <c r="E36" s="78">
        <f>XNPV(E14,K30:U30,K20:U20)</f>
        <v>39898.149816625366</v>
      </c>
      <c r="F36" s="55"/>
      <c r="G36" s="55"/>
      <c r="H36" s="55" t="s">
        <v>106</v>
      </c>
      <c r="I36" s="55"/>
      <c r="J36" s="55"/>
      <c r="K36" s="78">
        <f>E15*E16</f>
        <v>22634.963999999996</v>
      </c>
      <c r="L36" s="55"/>
      <c r="M36" s="55"/>
      <c r="N36" s="55" t="s">
        <v>90</v>
      </c>
      <c r="O36" s="55"/>
      <c r="P36" s="365">
        <f>E16</f>
        <v>31.9</v>
      </c>
      <c r="S36" s="55" t="s">
        <v>145</v>
      </c>
      <c r="U36" s="11">
        <f>(T24+T26)*E12</f>
        <v>79565.755451901743</v>
      </c>
    </row>
    <row r="37" spans="4:21" ht="14.4" customHeight="1" x14ac:dyDescent="0.25">
      <c r="D37" s="55" t="s">
        <v>107</v>
      </c>
      <c r="E37" s="78">
        <f>'Balance Sheet'!I12</f>
        <v>7312.4645</v>
      </c>
      <c r="F37" s="55"/>
      <c r="G37" s="55"/>
      <c r="H37" s="55" t="s">
        <v>108</v>
      </c>
      <c r="I37" s="55"/>
      <c r="J37" s="55"/>
      <c r="K37" s="78">
        <f>-E38</f>
        <v>2442.7140250000002</v>
      </c>
      <c r="L37" s="55"/>
      <c r="M37" s="55"/>
      <c r="N37" s="55" t="s">
        <v>109</v>
      </c>
      <c r="O37" s="55"/>
      <c r="P37" s="366">
        <f>E41</f>
        <v>63.092480257660199</v>
      </c>
      <c r="S37" s="55" t="s">
        <v>179</v>
      </c>
      <c r="U37" s="11">
        <f>T30*(1+E13)/(E14-E13)</f>
        <v>48653.004632753145</v>
      </c>
    </row>
    <row r="38" spans="4:21" ht="14.4" customHeight="1" x14ac:dyDescent="0.25">
      <c r="D38" s="55" t="s">
        <v>110</v>
      </c>
      <c r="E38" s="79">
        <f>-'Balance Sheet'!I31</f>
        <v>-2442.7140250000002</v>
      </c>
      <c r="F38" s="55"/>
      <c r="G38" s="55"/>
      <c r="H38" s="55" t="s">
        <v>112</v>
      </c>
      <c r="I38" s="55"/>
      <c r="J38" s="55"/>
      <c r="K38" s="79">
        <f>-E37</f>
        <v>-7312.4645</v>
      </c>
      <c r="L38" s="55"/>
      <c r="M38" s="55"/>
      <c r="N38" s="136" t="s">
        <v>111</v>
      </c>
      <c r="O38" s="134"/>
      <c r="P38" s="135">
        <f>P37/P36-1</f>
        <v>0.97782069773229474</v>
      </c>
      <c r="S38" s="139" t="s">
        <v>152</v>
      </c>
      <c r="T38" s="60"/>
      <c r="U38" s="10">
        <f>AVERAGE(U36:U37)</f>
        <v>64109.380042327444</v>
      </c>
    </row>
    <row r="39" spans="4:21" ht="14.4" customHeight="1" x14ac:dyDescent="0.25">
      <c r="D39" s="136" t="s">
        <v>113</v>
      </c>
      <c r="E39" s="138">
        <f>SUM(E36:E38)</f>
        <v>44767.900291625367</v>
      </c>
      <c r="F39" s="55"/>
      <c r="G39" s="55"/>
      <c r="H39" s="136" t="s">
        <v>105</v>
      </c>
      <c r="I39" s="136"/>
      <c r="J39" s="136"/>
      <c r="K39" s="137">
        <f>SUM(K36:K38)</f>
        <v>17765.213524999999</v>
      </c>
      <c r="L39" s="55"/>
      <c r="M39" s="55"/>
      <c r="N39" s="55"/>
      <c r="O39" s="55"/>
      <c r="P39" s="55"/>
    </row>
    <row r="40" spans="4:21" ht="14.4" customHeight="1" x14ac:dyDescent="0.25">
      <c r="F40" s="55"/>
      <c r="G40" s="55"/>
      <c r="H40" s="55"/>
      <c r="I40" s="55"/>
      <c r="J40" s="55"/>
      <c r="K40" s="55"/>
      <c r="L40" s="55"/>
      <c r="M40" s="55"/>
      <c r="N40" s="55"/>
      <c r="O40" s="55"/>
      <c r="P40" s="55"/>
    </row>
    <row r="41" spans="4:21" ht="14.4" customHeight="1" x14ac:dyDescent="0.25">
      <c r="D41" s="56" t="s">
        <v>114</v>
      </c>
      <c r="E41" s="328">
        <f>E39/E15</f>
        <v>63.092480257660199</v>
      </c>
      <c r="F41" s="55"/>
      <c r="G41" s="55"/>
      <c r="H41" s="56" t="s">
        <v>114</v>
      </c>
      <c r="I41" s="56"/>
      <c r="J41" s="56"/>
      <c r="K41" s="328">
        <f>K36/E15</f>
        <v>31.9</v>
      </c>
      <c r="L41" s="55"/>
      <c r="M41" s="55"/>
      <c r="N41" s="55"/>
      <c r="O41" s="55"/>
      <c r="P41" s="55"/>
    </row>
    <row r="42" spans="4:21" ht="14.4" customHeight="1" x14ac:dyDescent="0.25">
      <c r="F42" s="55"/>
      <c r="G42" s="55"/>
      <c r="L42" s="55"/>
      <c r="M42" s="55"/>
      <c r="N42" s="55"/>
      <c r="O42" s="55"/>
      <c r="P42" s="55"/>
    </row>
    <row r="46" spans="4:21" ht="16.8" customHeight="1" x14ac:dyDescent="0.25">
      <c r="D46" s="425" t="s">
        <v>115</v>
      </c>
      <c r="E46" s="425"/>
      <c r="F46" s="425"/>
      <c r="G46" s="425"/>
      <c r="H46" s="425"/>
      <c r="I46" s="425"/>
      <c r="J46" s="425"/>
      <c r="K46" s="425"/>
      <c r="L46" s="425"/>
      <c r="M46" s="425"/>
      <c r="N46" s="425"/>
      <c r="O46" s="425"/>
      <c r="P46" s="425"/>
      <c r="Q46" s="425"/>
      <c r="R46" s="425"/>
      <c r="S46" s="425"/>
      <c r="T46" s="425"/>
      <c r="U46" s="425"/>
    </row>
    <row r="49" spans="4:13" ht="14.4" customHeight="1" x14ac:dyDescent="0.25">
      <c r="D49" s="26"/>
      <c r="E49" s="26"/>
      <c r="F49" s="26"/>
      <c r="H49" s="457" t="s">
        <v>116</v>
      </c>
      <c r="I49" s="457"/>
      <c r="J49" s="457"/>
      <c r="K49" s="457"/>
      <c r="L49" s="457"/>
      <c r="M49" s="457"/>
    </row>
    <row r="50" spans="4:13" ht="14.4" customHeight="1" x14ac:dyDescent="0.25">
      <c r="D50" s="26"/>
      <c r="E50" s="26"/>
      <c r="F50" s="26"/>
    </row>
    <row r="51" spans="4:13" ht="14.4" customHeight="1" x14ac:dyDescent="0.25">
      <c r="D51" s="26"/>
      <c r="E51" s="26"/>
      <c r="F51" s="26"/>
      <c r="G51" s="334">
        <f>E41</f>
        <v>63.092480257660199</v>
      </c>
      <c r="H51" s="332">
        <v>13.47</v>
      </c>
      <c r="I51" s="333">
        <v>15.47</v>
      </c>
      <c r="J51" s="333">
        <v>17.47</v>
      </c>
      <c r="K51" s="333">
        <v>19.47</v>
      </c>
      <c r="L51" s="333">
        <v>21.47</v>
      </c>
      <c r="M51" s="333">
        <v>23.47</v>
      </c>
    </row>
    <row r="52" spans="4:13" ht="14.4" customHeight="1" x14ac:dyDescent="0.25">
      <c r="D52" s="26"/>
      <c r="E52" s="26"/>
      <c r="F52" s="26"/>
      <c r="G52" s="411">
        <v>0.27262818615634499</v>
      </c>
      <c r="H52" s="336">
        <f t="dataTable" ref="H52:M58" dt2D="1" dtr="1" r1="E12" r2="E14"/>
        <v>45.301363063308543</v>
      </c>
      <c r="I52" s="337">
        <v>46.033439812296606</v>
      </c>
      <c r="J52" s="337">
        <v>46.76551656128467</v>
      </c>
      <c r="K52" s="337">
        <v>47.497593310272727</v>
      </c>
      <c r="L52" s="337">
        <v>48.229670059260791</v>
      </c>
      <c r="M52" s="337">
        <v>48.96174680824884</v>
      </c>
    </row>
    <row r="53" spans="4:13" ht="14.4" customHeight="1" x14ac:dyDescent="0.25">
      <c r="D53" s="26"/>
      <c r="E53" s="26"/>
      <c r="F53" s="26"/>
      <c r="G53" s="411">
        <v>0.25262818615634502</v>
      </c>
      <c r="H53" s="336">
        <v>48.159048955384485</v>
      </c>
      <c r="I53" s="337">
        <v>49.003371781354993</v>
      </c>
      <c r="J53" s="337">
        <v>49.847694607325479</v>
      </c>
      <c r="K53" s="337">
        <v>50.692017433295987</v>
      </c>
      <c r="L53" s="337">
        <v>51.536340259266488</v>
      </c>
      <c r="M53" s="337">
        <v>52.380663085236989</v>
      </c>
    </row>
    <row r="54" spans="4:13" ht="14.4" customHeight="1" x14ac:dyDescent="0.25">
      <c r="D54" s="26"/>
      <c r="E54" s="26"/>
      <c r="F54" s="26"/>
      <c r="G54" s="411">
        <v>0.23262818615634501</v>
      </c>
      <c r="H54" s="336">
        <v>51.537271551138268</v>
      </c>
      <c r="I54" s="337">
        <v>52.51328904278899</v>
      </c>
      <c r="J54" s="337">
        <v>53.48930653443972</v>
      </c>
      <c r="K54" s="338">
        <v>54.46532402609045</v>
      </c>
      <c r="L54" s="337">
        <v>55.441341517741172</v>
      </c>
      <c r="M54" s="337">
        <v>56.417359009391902</v>
      </c>
    </row>
    <row r="55" spans="4:13" ht="14.4" customHeight="1" x14ac:dyDescent="0.25">
      <c r="D55" s="26"/>
      <c r="E55" s="26"/>
      <c r="F55" s="26"/>
      <c r="G55" s="411">
        <v>0.21262818615634499</v>
      </c>
      <c r="H55" s="336">
        <v>55.596315491657634</v>
      </c>
      <c r="I55" s="337">
        <v>56.72724738211334</v>
      </c>
      <c r="J55" s="337">
        <v>57.858179272569025</v>
      </c>
      <c r="K55" s="337">
        <v>58.989111163024717</v>
      </c>
      <c r="L55" s="337">
        <v>60.120043053480416</v>
      </c>
      <c r="M55" s="337">
        <v>61.250974943936122</v>
      </c>
    </row>
    <row r="56" spans="4:13" ht="14.4" customHeight="1" x14ac:dyDescent="0.25">
      <c r="D56" s="26"/>
      <c r="E56" s="26"/>
      <c r="F56" s="26"/>
      <c r="G56" s="411">
        <v>0.19302818615634501</v>
      </c>
      <c r="H56" s="336">
        <v>60.469543445884241</v>
      </c>
      <c r="I56" s="337">
        <v>61.779231354197627</v>
      </c>
      <c r="J56" s="342">
        <v>63.08891926251102</v>
      </c>
      <c r="K56" s="337">
        <v>64.398607170824405</v>
      </c>
      <c r="L56" s="337">
        <v>65.708295079137798</v>
      </c>
      <c r="M56" s="337">
        <v>67.017982987451177</v>
      </c>
    </row>
    <row r="57" spans="4:13" ht="14.4" customHeight="1" x14ac:dyDescent="0.25">
      <c r="D57" s="26"/>
      <c r="E57" s="26"/>
      <c r="F57" s="26"/>
      <c r="G57" s="411">
        <v>0.17262818615634501</v>
      </c>
      <c r="H57" s="339">
        <v>66.890436340297455</v>
      </c>
      <c r="I57" s="102">
        <v>68.420192599743615</v>
      </c>
      <c r="J57" s="102">
        <v>69.94994885918976</v>
      </c>
      <c r="K57" s="102">
        <v>71.47970511863592</v>
      </c>
      <c r="L57" s="102">
        <v>73.009461378082065</v>
      </c>
      <c r="M57" s="102">
        <v>74.539217637528211</v>
      </c>
    </row>
    <row r="58" spans="4:13" ht="14.4" customHeight="1" x14ac:dyDescent="0.25">
      <c r="D58" s="26"/>
      <c r="E58" s="26"/>
      <c r="F58" s="26"/>
      <c r="G58" s="411">
        <v>0.15262818615634499</v>
      </c>
      <c r="H58" s="339">
        <v>75.250964236646411</v>
      </c>
      <c r="I58" s="102">
        <v>77.03705291507822</v>
      </c>
      <c r="J58" s="102">
        <v>78.82314159351003</v>
      </c>
      <c r="K58" s="102">
        <v>80.609230271941826</v>
      </c>
      <c r="L58" s="102">
        <v>82.395318950373635</v>
      </c>
      <c r="M58" s="102">
        <v>84.181407628805431</v>
      </c>
    </row>
    <row r="59" spans="4:13" ht="14.4" customHeight="1" x14ac:dyDescent="0.25">
      <c r="D59" s="26"/>
      <c r="E59" s="26"/>
      <c r="F59" s="26"/>
    </row>
    <row r="60" spans="4:13" ht="14.4" customHeight="1" x14ac:dyDescent="0.25">
      <c r="D60" s="26"/>
      <c r="E60" s="26"/>
      <c r="F60" s="26"/>
    </row>
    <row r="61" spans="4:13" ht="14.4" customHeight="1" x14ac:dyDescent="0.25">
      <c r="D61" s="26"/>
      <c r="E61" s="26"/>
      <c r="F61" s="26"/>
      <c r="H61" s="425" t="s">
        <v>87</v>
      </c>
      <c r="I61" s="425"/>
      <c r="J61" s="425"/>
      <c r="K61" s="425"/>
      <c r="L61" s="425"/>
      <c r="M61" s="425"/>
    </row>
    <row r="62" spans="4:13" ht="14.4" customHeight="1" x14ac:dyDescent="0.25">
      <c r="D62" s="26"/>
      <c r="E62" s="26"/>
      <c r="F62" s="26"/>
    </row>
    <row r="63" spans="4:13" ht="14.4" customHeight="1" x14ac:dyDescent="0.25">
      <c r="D63" s="26"/>
      <c r="E63" s="26"/>
      <c r="F63" s="26"/>
      <c r="G63" s="334">
        <f>K41</f>
        <v>31.9</v>
      </c>
      <c r="H63" s="340">
        <v>4.3999999999999997E-2</v>
      </c>
      <c r="I63" s="341">
        <v>5.3999999999999999E-2</v>
      </c>
      <c r="J63" s="341">
        <v>6.4000000000000001E-2</v>
      </c>
      <c r="K63" s="341">
        <v>7.3999999999999996E-2</v>
      </c>
      <c r="L63" s="341">
        <v>8.4000000000000005E-2</v>
      </c>
      <c r="M63" s="341">
        <v>9.4E-2</v>
      </c>
    </row>
    <row r="64" spans="4:13" ht="14.4" customHeight="1" x14ac:dyDescent="0.25">
      <c r="D64" s="26"/>
      <c r="E64" s="26"/>
      <c r="F64" s="26"/>
      <c r="G64" s="411">
        <v>0.27262818615634499</v>
      </c>
      <c r="H64" s="335">
        <f t="dataTable" ref="H64:M70" dt2D="1" dtr="1" r1="E13" r2="E14"/>
        <v>31.9</v>
      </c>
      <c r="I64" s="72">
        <v>31.9</v>
      </c>
      <c r="J64" s="72">
        <v>31.9</v>
      </c>
      <c r="K64" s="72">
        <v>31.9</v>
      </c>
      <c r="L64" s="72">
        <v>31.9</v>
      </c>
      <c r="M64" s="72">
        <v>31.9</v>
      </c>
    </row>
    <row r="65" spans="4:13" ht="14.4" customHeight="1" x14ac:dyDescent="0.25">
      <c r="D65" s="26"/>
      <c r="E65" s="26"/>
      <c r="F65" s="26"/>
      <c r="G65" s="411">
        <v>0.25262818615634502</v>
      </c>
      <c r="H65" s="335">
        <v>31.9</v>
      </c>
      <c r="I65" s="72">
        <v>31.9</v>
      </c>
      <c r="J65" s="72">
        <v>31.9</v>
      </c>
      <c r="K65" s="72">
        <v>31.9</v>
      </c>
      <c r="L65" s="72">
        <v>31.9</v>
      </c>
      <c r="M65" s="72">
        <v>31.9</v>
      </c>
    </row>
    <row r="66" spans="4:13" ht="14.4" customHeight="1" x14ac:dyDescent="0.25">
      <c r="D66" s="26"/>
      <c r="E66" s="26"/>
      <c r="F66" s="26"/>
      <c r="G66" s="411">
        <v>0.23262818615634501</v>
      </c>
      <c r="H66" s="335">
        <v>31.9</v>
      </c>
      <c r="I66" s="72">
        <v>31.9</v>
      </c>
      <c r="J66" s="72">
        <v>31.9</v>
      </c>
      <c r="K66" s="72">
        <v>31.9</v>
      </c>
      <c r="L66" s="72">
        <v>31.9</v>
      </c>
      <c r="M66" s="72">
        <v>31.9</v>
      </c>
    </row>
    <row r="67" spans="4:13" ht="14.4" customHeight="1" x14ac:dyDescent="0.25">
      <c r="D67" s="26"/>
      <c r="E67" s="26"/>
      <c r="F67" s="26"/>
      <c r="G67" s="411">
        <v>0.21262818615634499</v>
      </c>
      <c r="H67" s="335">
        <v>31.9</v>
      </c>
      <c r="I67" s="72">
        <v>31.9</v>
      </c>
      <c r="J67" s="72">
        <v>31.9</v>
      </c>
      <c r="K67" s="72">
        <v>31.9</v>
      </c>
      <c r="L67" s="72">
        <v>31.9</v>
      </c>
      <c r="M67" s="72">
        <v>31.9</v>
      </c>
    </row>
    <row r="68" spans="4:13" ht="14.4" customHeight="1" x14ac:dyDescent="0.25">
      <c r="D68" s="26"/>
      <c r="E68" s="26"/>
      <c r="F68" s="26"/>
      <c r="G68" s="411">
        <v>0.19302818615634501</v>
      </c>
      <c r="H68" s="335">
        <v>31.9</v>
      </c>
      <c r="I68" s="72">
        <v>31.9</v>
      </c>
      <c r="J68" s="343">
        <v>31.9</v>
      </c>
      <c r="K68" s="72">
        <v>31.9</v>
      </c>
      <c r="L68" s="72">
        <v>31.9</v>
      </c>
      <c r="M68" s="72">
        <v>31.9</v>
      </c>
    </row>
    <row r="69" spans="4:13" ht="14.4" customHeight="1" x14ac:dyDescent="0.25">
      <c r="D69" s="26"/>
      <c r="E69" s="26"/>
      <c r="F69" s="26"/>
      <c r="G69" s="411">
        <v>0.17262818615634501</v>
      </c>
      <c r="H69" s="335">
        <v>31.9</v>
      </c>
      <c r="I69" s="72">
        <v>31.9</v>
      </c>
      <c r="J69" s="72">
        <v>31.9</v>
      </c>
      <c r="K69" s="72">
        <v>31.9</v>
      </c>
      <c r="L69" s="72">
        <v>31.9</v>
      </c>
      <c r="M69" s="72">
        <v>31.9</v>
      </c>
    </row>
    <row r="70" spans="4:13" ht="14.4" customHeight="1" x14ac:dyDescent="0.25">
      <c r="D70" s="26"/>
      <c r="E70" s="26"/>
      <c r="F70" s="26"/>
      <c r="G70" s="411">
        <v>0.15262818615634499</v>
      </c>
      <c r="H70" s="335">
        <v>31.9</v>
      </c>
      <c r="I70" s="72">
        <v>31.9</v>
      </c>
      <c r="J70" s="72">
        <v>31.9</v>
      </c>
      <c r="K70" s="72">
        <v>31.9</v>
      </c>
      <c r="L70" s="72">
        <v>31.9</v>
      </c>
      <c r="M70" s="72">
        <v>31.9</v>
      </c>
    </row>
  </sheetData>
  <mergeCells count="8">
    <mergeCell ref="D46:U46"/>
    <mergeCell ref="H49:M49"/>
    <mergeCell ref="H61:M61"/>
    <mergeCell ref="D6:T6"/>
    <mergeCell ref="D35:E35"/>
    <mergeCell ref="H35:K35"/>
    <mergeCell ref="N35:P35"/>
    <mergeCell ref="S35:U3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426D8-9F96-485A-9BAF-791FEE4180FC}">
  <dimension ref="D5:AC543"/>
  <sheetViews>
    <sheetView showGridLines="0" topLeftCell="A16" workbookViewId="0">
      <selection activeCell="N13" sqref="N13"/>
    </sheetView>
  </sheetViews>
  <sheetFormatPr defaultColWidth="10.77734375" defaultRowHeight="13.8" x14ac:dyDescent="0.25"/>
  <cols>
    <col min="1" max="3" width="1.33203125" style="1" customWidth="1"/>
    <col min="4" max="4" width="14.21875" style="1" customWidth="1"/>
    <col min="5" max="5" width="10.77734375" style="1"/>
    <col min="6" max="6" width="10.77734375" style="1" customWidth="1"/>
    <col min="7" max="11" width="10.77734375" style="1"/>
    <col min="12" max="12" width="15.6640625" style="1" bestFit="1" customWidth="1"/>
    <col min="13" max="13" width="10.77734375" style="1"/>
    <col min="14" max="14" width="13.44140625" style="1" bestFit="1" customWidth="1"/>
    <col min="15" max="16384" width="10.77734375" style="1"/>
  </cols>
  <sheetData>
    <row r="5" spans="4:29" ht="15" customHeight="1" x14ac:dyDescent="0.25"/>
    <row r="6" spans="4:29" ht="16.8" customHeight="1" x14ac:dyDescent="0.25">
      <c r="D6" s="425" t="s">
        <v>118</v>
      </c>
      <c r="E6" s="425"/>
      <c r="F6" s="425"/>
      <c r="G6" s="425"/>
      <c r="H6" s="425"/>
      <c r="I6" s="425"/>
      <c r="J6" s="425"/>
      <c r="K6" s="425"/>
    </row>
    <row r="8" spans="4:29" x14ac:dyDescent="0.25">
      <c r="F8" s="218" t="s">
        <v>259</v>
      </c>
    </row>
    <row r="9" spans="4:29" ht="16.8" customHeight="1" x14ac:dyDescent="0.25">
      <c r="D9" s="217" t="s">
        <v>57</v>
      </c>
      <c r="E9" s="217"/>
      <c r="F9" s="217" t="s">
        <v>260</v>
      </c>
      <c r="G9" s="216" t="s">
        <v>258</v>
      </c>
      <c r="H9" s="217"/>
      <c r="I9" s="217" t="s">
        <v>188</v>
      </c>
      <c r="J9" s="217"/>
      <c r="K9" s="217"/>
      <c r="L9" s="208"/>
      <c r="N9" s="416" t="s">
        <v>117</v>
      </c>
      <c r="O9" s="417">
        <f>SLOPE(G11:G274,J11:J274)</f>
        <v>1.528715851128996</v>
      </c>
      <c r="P9" s="208"/>
      <c r="R9" s="208"/>
      <c r="S9" s="207"/>
      <c r="T9" s="208"/>
      <c r="V9" s="208"/>
      <c r="X9" s="208"/>
    </row>
    <row r="10" spans="4:29" ht="16.8" customHeight="1" x14ac:dyDescent="0.25">
      <c r="D10" s="210">
        <v>45866</v>
      </c>
      <c r="E10" s="217"/>
      <c r="F10" s="212">
        <v>28.6</v>
      </c>
      <c r="G10" s="216"/>
      <c r="H10" s="217"/>
      <c r="I10" s="412">
        <v>24565.35</v>
      </c>
      <c r="J10" s="217"/>
      <c r="K10" s="217"/>
      <c r="L10" s="208"/>
      <c r="N10" s="420"/>
      <c r="O10" s="421"/>
      <c r="P10" s="208"/>
      <c r="R10" s="208"/>
      <c r="S10" s="207"/>
      <c r="T10" s="208"/>
      <c r="V10" s="208"/>
      <c r="X10" s="208"/>
    </row>
    <row r="11" spans="4:29" ht="16.8" customHeight="1" x14ac:dyDescent="0.3">
      <c r="D11" s="210">
        <v>45859</v>
      </c>
      <c r="E11" s="217"/>
      <c r="F11" s="212">
        <v>32.270000000000003</v>
      </c>
      <c r="G11" s="215">
        <f t="shared" ref="G11:G12" si="0">F11/F10-1</f>
        <v>0.12832167832167829</v>
      </c>
      <c r="H11" s="217"/>
      <c r="I11" s="412">
        <v>24837</v>
      </c>
      <c r="J11" s="28">
        <f t="shared" ref="J11:J12" si="1">I11/I10-1</f>
        <v>1.1058258889045103E-2</v>
      </c>
      <c r="K11" s="217"/>
      <c r="L11" s="418" t="s">
        <v>261</v>
      </c>
      <c r="M11"/>
      <c r="N11"/>
      <c r="O11"/>
      <c r="P11"/>
      <c r="Q11"/>
      <c r="R11"/>
      <c r="S11"/>
      <c r="T11"/>
      <c r="U11" s="537"/>
      <c r="V11" s="208"/>
      <c r="X11" s="208"/>
    </row>
    <row r="12" spans="4:29" ht="16.8" customHeight="1" thickBot="1" x14ac:dyDescent="0.35">
      <c r="D12" s="210">
        <v>45852</v>
      </c>
      <c r="E12" s="83"/>
      <c r="F12" s="212">
        <v>32.81</v>
      </c>
      <c r="G12" s="215">
        <f t="shared" si="0"/>
        <v>1.6733808490858371E-2</v>
      </c>
      <c r="H12" s="83"/>
      <c r="I12" s="412">
        <v>24968.400000000001</v>
      </c>
      <c r="J12" s="28">
        <f t="shared" si="1"/>
        <v>5.2904940210170004E-3</v>
      </c>
      <c r="K12" s="83"/>
      <c r="L12"/>
      <c r="M12"/>
      <c r="N12"/>
      <c r="O12"/>
      <c r="P12"/>
      <c r="Q12"/>
      <c r="R12"/>
      <c r="S12"/>
      <c r="T12"/>
      <c r="U12" s="537"/>
      <c r="W12" s="65"/>
    </row>
    <row r="13" spans="4:29" ht="14.4" x14ac:dyDescent="0.3">
      <c r="D13" s="210">
        <v>45845</v>
      </c>
      <c r="F13" s="213">
        <v>32.049999999999997</v>
      </c>
      <c r="G13" s="215">
        <f>F13/F12-1</f>
        <v>-2.3163669612923043E-2</v>
      </c>
      <c r="I13" s="412">
        <v>25149.85</v>
      </c>
      <c r="J13" s="28">
        <f>I13/I12-1</f>
        <v>7.267185722753533E-3</v>
      </c>
      <c r="L13" s="543" t="s">
        <v>262</v>
      </c>
      <c r="M13" s="543"/>
      <c r="N13"/>
      <c r="O13"/>
      <c r="P13"/>
      <c r="Q13"/>
      <c r="R13"/>
      <c r="S13"/>
      <c r="T13"/>
      <c r="U13" s="538"/>
      <c r="W13" s="65"/>
    </row>
    <row r="14" spans="4:29" ht="14.4" x14ac:dyDescent="0.3">
      <c r="D14" s="210">
        <v>45838</v>
      </c>
      <c r="E14" s="208"/>
      <c r="F14" s="213">
        <v>32.92</v>
      </c>
      <c r="G14" s="215">
        <f t="shared" ref="G14:G77" si="2">F14/F13-1</f>
        <v>2.7145085803432334E-2</v>
      </c>
      <c r="H14" s="208"/>
      <c r="I14" s="412">
        <v>25461</v>
      </c>
      <c r="J14" s="28">
        <f t="shared" ref="J14:J77" si="3">I14/I13-1</f>
        <v>1.2371843172026997E-2</v>
      </c>
      <c r="K14" s="207"/>
      <c r="L14" s="540" t="s">
        <v>263</v>
      </c>
      <c r="M14" s="540">
        <v>0.41702660826902765</v>
      </c>
      <c r="N14"/>
      <c r="O14"/>
      <c r="P14"/>
      <c r="Q14"/>
      <c r="R14"/>
      <c r="S14"/>
      <c r="T14"/>
      <c r="U14" s="538"/>
      <c r="W14" s="65"/>
      <c r="Y14" s="207"/>
    </row>
    <row r="15" spans="4:29" ht="14.4" x14ac:dyDescent="0.3">
      <c r="D15" s="210">
        <v>45831</v>
      </c>
      <c r="E15" s="208"/>
      <c r="F15" s="213">
        <v>32.1</v>
      </c>
      <c r="G15" s="215">
        <f t="shared" si="2"/>
        <v>-2.4908869987849358E-2</v>
      </c>
      <c r="H15" s="208"/>
      <c r="I15" s="412">
        <v>25637.8</v>
      </c>
      <c r="J15" s="28">
        <f t="shared" si="3"/>
        <v>6.9439534975059836E-3</v>
      </c>
      <c r="K15" s="207"/>
      <c r="L15" s="540" t="s">
        <v>264</v>
      </c>
      <c r="M15" s="540">
        <v>0.17391119200436905</v>
      </c>
      <c r="N15"/>
      <c r="O15"/>
      <c r="P15"/>
      <c r="Q15"/>
      <c r="R15"/>
      <c r="S15"/>
      <c r="T15"/>
      <c r="U15" s="538"/>
      <c r="W15" s="65"/>
      <c r="AA15" s="81"/>
      <c r="AB15" s="81"/>
      <c r="AC15" s="61"/>
    </row>
    <row r="16" spans="4:29" ht="14.4" x14ac:dyDescent="0.3">
      <c r="D16" s="210">
        <v>45824</v>
      </c>
      <c r="F16" s="212">
        <v>29.54</v>
      </c>
      <c r="G16" s="215">
        <f t="shared" si="2"/>
        <v>-7.9750778816199408E-2</v>
      </c>
      <c r="I16" s="412">
        <v>25112.400000000001</v>
      </c>
      <c r="J16" s="28">
        <f t="shared" si="3"/>
        <v>-2.0493178041797622E-2</v>
      </c>
      <c r="K16" s="65"/>
      <c r="L16" s="540" t="s">
        <v>265</v>
      </c>
      <c r="M16" s="540">
        <v>0.17075818128682849</v>
      </c>
      <c r="N16"/>
      <c r="O16"/>
      <c r="P16"/>
      <c r="Q16"/>
      <c r="R16"/>
      <c r="S16"/>
      <c r="T16"/>
      <c r="U16" s="538"/>
      <c r="W16" s="65"/>
    </row>
    <row r="17" spans="4:29" ht="14.4" x14ac:dyDescent="0.3">
      <c r="D17" s="210">
        <v>45817</v>
      </c>
      <c r="F17" s="212">
        <v>31.43</v>
      </c>
      <c r="G17" s="215">
        <f t="shared" si="2"/>
        <v>6.3981042654028375E-2</v>
      </c>
      <c r="I17" s="412">
        <v>24718.6</v>
      </c>
      <c r="J17" s="28">
        <f t="shared" si="3"/>
        <v>-1.568149599401103E-2</v>
      </c>
      <c r="K17" s="65"/>
      <c r="L17" s="540" t="s">
        <v>266</v>
      </c>
      <c r="M17" s="540">
        <v>6.5810594673874789E-2</v>
      </c>
      <c r="N17"/>
      <c r="O17"/>
      <c r="P17"/>
      <c r="Q17"/>
      <c r="R17"/>
      <c r="S17"/>
      <c r="T17"/>
      <c r="U17" s="538"/>
      <c r="W17" s="65"/>
      <c r="Y17" s="28"/>
      <c r="AC17" s="101"/>
    </row>
    <row r="18" spans="4:29" ht="15" thickBot="1" x14ac:dyDescent="0.35">
      <c r="D18" s="210">
        <v>45810</v>
      </c>
      <c r="F18" s="214">
        <v>32.72</v>
      </c>
      <c r="G18" s="215">
        <f t="shared" si="2"/>
        <v>4.1043588927776042E-2</v>
      </c>
      <c r="I18" s="412">
        <v>25003.05</v>
      </c>
      <c r="J18" s="28">
        <f t="shared" si="3"/>
        <v>1.1507528743537332E-2</v>
      </c>
      <c r="K18" s="65"/>
      <c r="L18" s="541" t="s">
        <v>267</v>
      </c>
      <c r="M18" s="541">
        <v>264</v>
      </c>
      <c r="N18"/>
      <c r="O18"/>
      <c r="P18"/>
      <c r="Q18"/>
      <c r="R18"/>
      <c r="S18"/>
      <c r="T18"/>
      <c r="U18" s="538"/>
      <c r="W18" s="65"/>
      <c r="Y18" s="28"/>
      <c r="AC18" s="101"/>
    </row>
    <row r="19" spans="4:29" ht="14.4" x14ac:dyDescent="0.3">
      <c r="D19" s="210">
        <v>45803</v>
      </c>
      <c r="F19" s="214">
        <v>31.99</v>
      </c>
      <c r="G19" s="215">
        <f t="shared" si="2"/>
        <v>-2.2310513447432734E-2</v>
      </c>
      <c r="I19" s="412">
        <v>24750.7</v>
      </c>
      <c r="J19" s="28">
        <f t="shared" si="3"/>
        <v>-1.0092768682220754E-2</v>
      </c>
      <c r="K19" s="65"/>
      <c r="L19"/>
      <c r="M19"/>
      <c r="N19"/>
      <c r="O19"/>
      <c r="P19"/>
      <c r="Q19"/>
      <c r="R19"/>
      <c r="S19"/>
      <c r="T19"/>
      <c r="U19" s="538"/>
      <c r="W19" s="65"/>
      <c r="Y19" s="28"/>
      <c r="AC19" s="101"/>
    </row>
    <row r="20" spans="4:29" ht="15" thickBot="1" x14ac:dyDescent="0.35">
      <c r="D20" s="210">
        <v>45796</v>
      </c>
      <c r="F20" s="214">
        <v>30.65</v>
      </c>
      <c r="G20" s="215">
        <f t="shared" si="2"/>
        <v>-4.1888090028133762E-2</v>
      </c>
      <c r="I20" s="412">
        <v>24853.15</v>
      </c>
      <c r="J20" s="28">
        <f t="shared" si="3"/>
        <v>4.139276868937003E-3</v>
      </c>
      <c r="K20" s="65"/>
      <c r="L20" t="s">
        <v>268</v>
      </c>
      <c r="M20"/>
      <c r="N20"/>
      <c r="O20"/>
      <c r="P20"/>
      <c r="Q20"/>
      <c r="R20"/>
      <c r="S20"/>
      <c r="T20"/>
      <c r="U20" s="538"/>
      <c r="W20" s="65"/>
      <c r="Y20" s="28"/>
      <c r="AC20" s="101"/>
    </row>
    <row r="21" spans="4:29" ht="14.4" x14ac:dyDescent="0.3">
      <c r="D21" s="210">
        <v>45789</v>
      </c>
      <c r="F21" s="214">
        <v>30.22</v>
      </c>
      <c r="G21" s="215">
        <f t="shared" si="2"/>
        <v>-1.4029363784665572E-2</v>
      </c>
      <c r="I21" s="412">
        <v>25019.8</v>
      </c>
      <c r="J21" s="28">
        <f t="shared" si="3"/>
        <v>6.705387445856914E-3</v>
      </c>
      <c r="K21" s="65"/>
      <c r="L21" s="542"/>
      <c r="M21" s="542" t="s">
        <v>272</v>
      </c>
      <c r="N21" s="542" t="s">
        <v>273</v>
      </c>
      <c r="O21" s="542" t="s">
        <v>274</v>
      </c>
      <c r="P21" s="542" t="s">
        <v>275</v>
      </c>
      <c r="Q21" s="542" t="s">
        <v>276</v>
      </c>
      <c r="R21"/>
      <c r="S21"/>
      <c r="T21"/>
      <c r="U21" s="538"/>
      <c r="W21" s="65"/>
      <c r="Y21" s="28"/>
    </row>
    <row r="22" spans="4:29" ht="14.4" x14ac:dyDescent="0.3">
      <c r="D22" s="210">
        <v>45782</v>
      </c>
      <c r="F22" s="214">
        <v>27.57</v>
      </c>
      <c r="G22" s="215">
        <f t="shared" si="2"/>
        <v>-8.7690271343481063E-2</v>
      </c>
      <c r="I22" s="412">
        <v>24008</v>
      </c>
      <c r="J22" s="28">
        <f t="shared" si="3"/>
        <v>-4.0439971542538311E-2</v>
      </c>
      <c r="K22" s="65"/>
      <c r="L22" s="540" t="s">
        <v>269</v>
      </c>
      <c r="M22" s="540">
        <v>1</v>
      </c>
      <c r="N22" s="540">
        <v>0.23888765932177103</v>
      </c>
      <c r="O22" s="540">
        <v>0.23888765932177103</v>
      </c>
      <c r="P22" s="540">
        <v>55.157183905807955</v>
      </c>
      <c r="Q22" s="540">
        <v>1.5675487992412769E-12</v>
      </c>
      <c r="R22"/>
      <c r="S22"/>
      <c r="T22"/>
      <c r="U22" s="538"/>
      <c r="W22" s="65"/>
      <c r="Y22" s="28"/>
    </row>
    <row r="23" spans="4:29" ht="14.4" x14ac:dyDescent="0.3">
      <c r="D23" s="210">
        <v>45775</v>
      </c>
      <c r="F23" s="214">
        <v>29.46</v>
      </c>
      <c r="G23" s="215">
        <f t="shared" si="2"/>
        <v>6.8552774755168633E-2</v>
      </c>
      <c r="I23" s="412">
        <v>24346.7</v>
      </c>
      <c r="J23" s="28">
        <f t="shared" si="3"/>
        <v>1.4107797400866318E-2</v>
      </c>
      <c r="K23" s="65"/>
      <c r="L23" s="540" t="s">
        <v>270</v>
      </c>
      <c r="M23" s="540">
        <v>262</v>
      </c>
      <c r="N23" s="540">
        <v>1.1347310052882078</v>
      </c>
      <c r="O23" s="540">
        <v>4.3310343713290371E-3</v>
      </c>
      <c r="P23" s="540"/>
      <c r="Q23" s="540"/>
      <c r="R23"/>
      <c r="S23"/>
      <c r="T23"/>
      <c r="U23" s="538"/>
      <c r="W23" s="65"/>
      <c r="Y23" s="28"/>
    </row>
    <row r="24" spans="4:29" ht="15" thickBot="1" x14ac:dyDescent="0.35">
      <c r="D24" s="210">
        <v>45768</v>
      </c>
      <c r="F24" s="214">
        <v>28.88</v>
      </c>
      <c r="G24" s="215">
        <f t="shared" si="2"/>
        <v>-1.9687712152070658E-2</v>
      </c>
      <c r="I24" s="412">
        <v>24039.35</v>
      </c>
      <c r="J24" s="28">
        <f t="shared" si="3"/>
        <v>-1.2623887426222113E-2</v>
      </c>
      <c r="K24" s="65"/>
      <c r="L24" s="541" t="s">
        <v>6</v>
      </c>
      <c r="M24" s="541">
        <v>263</v>
      </c>
      <c r="N24" s="541">
        <v>1.3736186646099788</v>
      </c>
      <c r="O24" s="541"/>
      <c r="P24" s="541"/>
      <c r="Q24" s="541"/>
      <c r="R24"/>
      <c r="S24"/>
      <c r="T24"/>
      <c r="U24" s="538"/>
      <c r="W24" s="65"/>
      <c r="Y24" s="28"/>
    </row>
    <row r="25" spans="4:29" ht="15" thickBot="1" x14ac:dyDescent="0.35">
      <c r="D25" s="210">
        <v>45761</v>
      </c>
      <c r="F25" s="214">
        <v>28.1</v>
      </c>
      <c r="G25" s="215">
        <f t="shared" si="2"/>
        <v>-2.7008310249307388E-2</v>
      </c>
      <c r="I25" s="412">
        <v>23851.65</v>
      </c>
      <c r="J25" s="28">
        <f t="shared" si="3"/>
        <v>-7.8080314151587338E-3</v>
      </c>
      <c r="K25" s="65"/>
      <c r="L25"/>
      <c r="M25"/>
      <c r="N25"/>
      <c r="O25"/>
      <c r="P25"/>
      <c r="Q25"/>
      <c r="R25"/>
      <c r="S25"/>
      <c r="T25"/>
      <c r="U25" s="538"/>
      <c r="W25" s="65"/>
      <c r="Y25" s="28"/>
    </row>
    <row r="26" spans="4:29" ht="14.4" x14ac:dyDescent="0.3">
      <c r="D26" s="210">
        <v>45754</v>
      </c>
      <c r="F26" s="214">
        <v>27.01</v>
      </c>
      <c r="G26" s="215">
        <f t="shared" si="2"/>
        <v>-3.8790035587188632E-2</v>
      </c>
      <c r="I26" s="412">
        <v>22828.55</v>
      </c>
      <c r="J26" s="28">
        <f t="shared" si="3"/>
        <v>-4.2894307102443685E-2</v>
      </c>
      <c r="K26" s="65"/>
      <c r="L26" s="542"/>
      <c r="M26" s="542" t="s">
        <v>277</v>
      </c>
      <c r="N26" s="542" t="s">
        <v>266</v>
      </c>
      <c r="O26" s="542" t="s">
        <v>278</v>
      </c>
      <c r="P26" s="542" t="s">
        <v>279</v>
      </c>
      <c r="Q26" s="542" t="s">
        <v>280</v>
      </c>
      <c r="R26" s="542" t="s">
        <v>281</v>
      </c>
      <c r="S26" s="542" t="s">
        <v>282</v>
      </c>
      <c r="T26" s="542" t="s">
        <v>283</v>
      </c>
      <c r="U26" s="538"/>
      <c r="W26" s="65"/>
      <c r="Y26" s="28"/>
    </row>
    <row r="27" spans="4:29" ht="14.4" x14ac:dyDescent="0.3">
      <c r="D27" s="210">
        <v>45747</v>
      </c>
      <c r="F27" s="214">
        <v>28.03</v>
      </c>
      <c r="G27" s="215">
        <f t="shared" si="2"/>
        <v>3.7763791188448748E-2</v>
      </c>
      <c r="I27" s="412">
        <v>22904.45</v>
      </c>
      <c r="J27" s="28">
        <f t="shared" si="3"/>
        <v>3.3247840971064591E-3</v>
      </c>
      <c r="K27" s="65"/>
      <c r="L27" s="540" t="s">
        <v>271</v>
      </c>
      <c r="M27" s="540">
        <v>4.151179044444623E-3</v>
      </c>
      <c r="N27" s="540">
        <v>4.0948747989325452E-3</v>
      </c>
      <c r="O27" s="540">
        <v>1.0137499308957518</v>
      </c>
      <c r="P27" s="540">
        <v>0.31163735250089658</v>
      </c>
      <c r="Q27" s="540">
        <v>-3.9118739611526711E-3</v>
      </c>
      <c r="R27" s="540">
        <v>1.2214232050041917E-2</v>
      </c>
      <c r="S27" s="540">
        <v>-3.9118739611526711E-3</v>
      </c>
      <c r="T27" s="540">
        <v>1.2214232050041917E-2</v>
      </c>
      <c r="U27" s="538"/>
      <c r="W27" s="65"/>
      <c r="Y27" s="28"/>
    </row>
    <row r="28" spans="4:29" ht="15" thickBot="1" x14ac:dyDescent="0.35">
      <c r="D28" s="210">
        <v>45740</v>
      </c>
      <c r="F28" s="214">
        <v>43.58</v>
      </c>
      <c r="G28" s="215">
        <f t="shared" si="2"/>
        <v>0.5547627541919371</v>
      </c>
      <c r="I28" s="412">
        <v>23519.35</v>
      </c>
      <c r="J28" s="28">
        <f t="shared" si="3"/>
        <v>2.6846311524616251E-2</v>
      </c>
      <c r="K28" s="65"/>
      <c r="L28" s="541" t="s">
        <v>284</v>
      </c>
      <c r="M28" s="541">
        <v>1.5287158511289971</v>
      </c>
      <c r="N28" s="541">
        <v>0.2058380819488437</v>
      </c>
      <c r="O28" s="541">
        <v>7.4267882631597981</v>
      </c>
      <c r="P28" s="541">
        <v>1.5675487992411353E-12</v>
      </c>
      <c r="Q28" s="541">
        <v>1.1234083760978548</v>
      </c>
      <c r="R28" s="541">
        <v>1.9340233261601394</v>
      </c>
      <c r="S28" s="541">
        <v>1.1234083760978548</v>
      </c>
      <c r="T28" s="541">
        <v>1.9340233261601394</v>
      </c>
      <c r="U28" s="538"/>
      <c r="W28" s="65"/>
      <c r="Y28" s="28"/>
    </row>
    <row r="29" spans="4:29" ht="14.4" x14ac:dyDescent="0.3">
      <c r="D29" s="210">
        <v>45733</v>
      </c>
      <c r="F29" s="214">
        <v>43.43</v>
      </c>
      <c r="G29" s="215">
        <f t="shared" si="2"/>
        <v>-3.4419458467186415E-3</v>
      </c>
      <c r="I29" s="412">
        <v>23350.400000000001</v>
      </c>
      <c r="J29" s="28">
        <f t="shared" si="3"/>
        <v>-7.1834468214468927E-3</v>
      </c>
      <c r="K29" s="65"/>
      <c r="L29"/>
      <c r="M29"/>
      <c r="N29"/>
      <c r="O29"/>
      <c r="P29"/>
      <c r="Q29"/>
      <c r="R29"/>
      <c r="S29"/>
      <c r="T29"/>
      <c r="U29" s="538"/>
      <c r="W29" s="65"/>
      <c r="Y29" s="28"/>
    </row>
    <row r="30" spans="4:29" ht="14.4" x14ac:dyDescent="0.3">
      <c r="D30" s="210">
        <v>45726</v>
      </c>
      <c r="F30" s="214">
        <v>39.11</v>
      </c>
      <c r="G30" s="215">
        <f t="shared" si="2"/>
        <v>-9.9470412157494859E-2</v>
      </c>
      <c r="I30" s="412">
        <v>22397.200000000001</v>
      </c>
      <c r="J30" s="28">
        <f t="shared" si="3"/>
        <v>-4.0821570508428162E-2</v>
      </c>
      <c r="K30" s="65"/>
      <c r="L30"/>
      <c r="M30"/>
      <c r="N30"/>
      <c r="O30"/>
      <c r="P30"/>
      <c r="Q30"/>
      <c r="R30"/>
      <c r="S30"/>
      <c r="T30"/>
      <c r="U30" s="538"/>
      <c r="W30" s="65"/>
      <c r="Y30" s="28"/>
    </row>
    <row r="31" spans="4:29" ht="14.4" x14ac:dyDescent="0.3">
      <c r="D31" s="210">
        <v>45719</v>
      </c>
      <c r="F31" s="214">
        <v>41.65</v>
      </c>
      <c r="G31" s="215">
        <f t="shared" si="2"/>
        <v>6.4945026847353704E-2</v>
      </c>
      <c r="I31" s="412">
        <v>22552.5</v>
      </c>
      <c r="J31" s="28">
        <f t="shared" si="3"/>
        <v>6.9339024520922443E-3</v>
      </c>
      <c r="K31" s="65"/>
      <c r="L31"/>
      <c r="M31"/>
      <c r="N31"/>
      <c r="O31"/>
      <c r="P31"/>
      <c r="Q31"/>
      <c r="R31"/>
      <c r="S31"/>
      <c r="T31"/>
      <c r="U31" s="538"/>
      <c r="W31" s="65"/>
      <c r="Y31" s="28"/>
    </row>
    <row r="32" spans="4:29" ht="14.4" x14ac:dyDescent="0.3">
      <c r="D32" s="210">
        <v>45712</v>
      </c>
      <c r="F32" s="214">
        <v>40.24</v>
      </c>
      <c r="G32" s="215">
        <f t="shared" si="2"/>
        <v>-3.3853541416566491E-2</v>
      </c>
      <c r="I32" s="412">
        <v>22124.7</v>
      </c>
      <c r="J32" s="28">
        <f t="shared" si="3"/>
        <v>-1.8969072164948475E-2</v>
      </c>
      <c r="K32" s="65"/>
      <c r="L32" s="537"/>
      <c r="M32" s="538"/>
      <c r="N32" s="537"/>
      <c r="O32" s="539"/>
      <c r="P32" s="536"/>
      <c r="Q32" s="536"/>
      <c r="R32" s="536"/>
      <c r="S32" s="536"/>
      <c r="T32" s="536"/>
      <c r="U32" s="538"/>
      <c r="W32" s="65"/>
      <c r="Y32" s="28"/>
    </row>
    <row r="33" spans="4:25" ht="14.4" x14ac:dyDescent="0.3">
      <c r="D33" s="210">
        <v>45705</v>
      </c>
      <c r="F33" s="214">
        <v>43.53</v>
      </c>
      <c r="G33" s="215">
        <f t="shared" si="2"/>
        <v>8.1759443339960214E-2</v>
      </c>
      <c r="I33" s="412">
        <v>22795.9</v>
      </c>
      <c r="J33" s="28">
        <f t="shared" si="3"/>
        <v>3.0337134514818231E-2</v>
      </c>
      <c r="K33" s="65"/>
      <c r="L33" s="537"/>
      <c r="M33" s="538"/>
      <c r="N33" s="537"/>
      <c r="O33" s="539"/>
      <c r="P33" s="536"/>
      <c r="Q33" s="536"/>
      <c r="R33" s="536"/>
      <c r="S33" s="536"/>
      <c r="T33" s="536"/>
      <c r="U33" s="538"/>
      <c r="W33" s="65"/>
      <c r="Y33" s="28"/>
    </row>
    <row r="34" spans="4:25" x14ac:dyDescent="0.25">
      <c r="D34" s="210">
        <v>45698</v>
      </c>
      <c r="F34" s="214">
        <v>43.34</v>
      </c>
      <c r="G34" s="215">
        <f t="shared" si="2"/>
        <v>-4.3648058810015211E-3</v>
      </c>
      <c r="I34" s="412">
        <v>22929.25</v>
      </c>
      <c r="J34" s="28">
        <f t="shared" si="3"/>
        <v>5.8497361367613188E-3</v>
      </c>
      <c r="K34" s="65"/>
      <c r="L34" s="537"/>
      <c r="M34" s="538"/>
      <c r="N34" s="537"/>
      <c r="O34" s="539"/>
      <c r="P34" s="537"/>
      <c r="Q34" s="538"/>
      <c r="R34" s="537"/>
      <c r="S34" s="539"/>
      <c r="T34" s="537"/>
      <c r="U34" s="538"/>
      <c r="W34" s="65"/>
      <c r="Y34" s="28"/>
    </row>
    <row r="35" spans="4:25" x14ac:dyDescent="0.25">
      <c r="D35" s="210">
        <v>45691</v>
      </c>
      <c r="F35" s="214">
        <v>46.89</v>
      </c>
      <c r="G35" s="215">
        <f t="shared" si="2"/>
        <v>8.1910475311490538E-2</v>
      </c>
      <c r="I35" s="412">
        <v>23559.95</v>
      </c>
      <c r="J35" s="28">
        <f t="shared" si="3"/>
        <v>2.7506351058146361E-2</v>
      </c>
      <c r="K35" s="65"/>
      <c r="L35" s="537"/>
      <c r="M35" s="538"/>
      <c r="N35" s="537"/>
      <c r="O35" s="539"/>
      <c r="P35" s="537"/>
      <c r="Q35" s="538"/>
      <c r="R35" s="537"/>
      <c r="S35" s="539"/>
      <c r="T35" s="537"/>
      <c r="U35" s="538"/>
      <c r="W35" s="65"/>
      <c r="Y35" s="28"/>
    </row>
    <row r="36" spans="4:25" x14ac:dyDescent="0.25">
      <c r="D36" s="210">
        <v>45684</v>
      </c>
      <c r="F36" s="214">
        <v>47.94</v>
      </c>
      <c r="G36" s="215">
        <f t="shared" si="2"/>
        <v>2.2392834293026187E-2</v>
      </c>
      <c r="I36" s="412">
        <v>23508.400000000001</v>
      </c>
      <c r="J36" s="28">
        <f t="shared" si="3"/>
        <v>-2.188035203809835E-3</v>
      </c>
      <c r="K36" s="65"/>
      <c r="L36" s="537"/>
      <c r="M36" s="538"/>
      <c r="N36" s="537"/>
      <c r="O36" s="539"/>
      <c r="P36" s="537"/>
      <c r="Q36" s="538"/>
      <c r="R36" s="537"/>
      <c r="S36" s="539"/>
      <c r="T36" s="537"/>
      <c r="U36" s="538"/>
      <c r="W36" s="65"/>
      <c r="Y36" s="28"/>
    </row>
    <row r="37" spans="4:25" x14ac:dyDescent="0.25">
      <c r="D37" s="210">
        <v>45677</v>
      </c>
      <c r="F37" s="214">
        <v>45.88</v>
      </c>
      <c r="G37" s="215">
        <f t="shared" si="2"/>
        <v>-4.2970379641218082E-2</v>
      </c>
      <c r="I37" s="412">
        <v>23092.2</v>
      </c>
      <c r="J37" s="28">
        <f t="shared" si="3"/>
        <v>-1.7704309948784247E-2</v>
      </c>
      <c r="K37" s="65"/>
      <c r="L37" s="537"/>
      <c r="M37" s="538"/>
      <c r="N37" s="537"/>
      <c r="O37" s="539"/>
      <c r="P37" s="537"/>
      <c r="Q37" s="538"/>
      <c r="R37" s="537"/>
      <c r="S37" s="539"/>
      <c r="T37" s="537"/>
      <c r="U37" s="538"/>
      <c r="W37" s="65"/>
      <c r="Y37" s="28"/>
    </row>
    <row r="38" spans="4:25" x14ac:dyDescent="0.25">
      <c r="D38" s="210">
        <v>45670</v>
      </c>
      <c r="F38" s="214">
        <v>49.2</v>
      </c>
      <c r="G38" s="215">
        <f t="shared" si="2"/>
        <v>7.2362685265911164E-2</v>
      </c>
      <c r="I38" s="412">
        <v>23203.200000000001</v>
      </c>
      <c r="J38" s="28">
        <f t="shared" si="3"/>
        <v>4.8068178865590117E-3</v>
      </c>
      <c r="K38" s="65"/>
      <c r="L38" s="537"/>
      <c r="M38" s="538"/>
      <c r="N38" s="537"/>
      <c r="O38" s="539"/>
      <c r="P38" s="537"/>
      <c r="Q38" s="538"/>
      <c r="R38" s="537"/>
      <c r="S38" s="539"/>
      <c r="T38" s="537"/>
      <c r="U38" s="538"/>
      <c r="W38" s="65"/>
      <c r="Y38" s="28"/>
    </row>
    <row r="39" spans="4:25" x14ac:dyDescent="0.25">
      <c r="D39" s="210">
        <v>45663</v>
      </c>
      <c r="F39" s="214">
        <v>44.42</v>
      </c>
      <c r="G39" s="215">
        <f t="shared" si="2"/>
        <v>-9.7154471544715459E-2</v>
      </c>
      <c r="I39" s="412">
        <v>23431.5</v>
      </c>
      <c r="J39" s="28">
        <f t="shared" si="3"/>
        <v>9.8391601158460684E-3</v>
      </c>
      <c r="K39" s="65"/>
      <c r="L39" s="537"/>
      <c r="M39" s="538"/>
      <c r="N39" s="537"/>
      <c r="O39" s="539"/>
      <c r="P39" s="537"/>
      <c r="Q39" s="538"/>
      <c r="R39" s="537"/>
      <c r="S39" s="539"/>
      <c r="T39" s="537"/>
      <c r="U39" s="538"/>
      <c r="W39" s="65"/>
      <c r="Y39" s="28"/>
    </row>
    <row r="40" spans="4:25" x14ac:dyDescent="0.25">
      <c r="D40" s="210">
        <v>45656</v>
      </c>
      <c r="F40" s="214">
        <v>49.25</v>
      </c>
      <c r="G40" s="215">
        <f t="shared" si="2"/>
        <v>0.10873480414227821</v>
      </c>
      <c r="I40" s="412">
        <v>24004.75</v>
      </c>
      <c r="J40" s="28">
        <f t="shared" si="3"/>
        <v>2.4464929688666981E-2</v>
      </c>
      <c r="K40" s="65"/>
      <c r="L40" s="537"/>
      <c r="M40" s="538"/>
      <c r="N40" s="537"/>
      <c r="O40" s="539"/>
      <c r="P40" s="537"/>
      <c r="Q40" s="538"/>
      <c r="R40" s="537"/>
      <c r="S40" s="539"/>
      <c r="T40" s="537"/>
      <c r="U40" s="538"/>
      <c r="W40" s="65"/>
      <c r="Y40" s="28"/>
    </row>
    <row r="41" spans="4:25" x14ac:dyDescent="0.25">
      <c r="D41" s="210">
        <v>45649</v>
      </c>
      <c r="F41" s="214">
        <v>47.69</v>
      </c>
      <c r="G41" s="215">
        <f t="shared" si="2"/>
        <v>-3.1675126903553341E-2</v>
      </c>
      <c r="I41" s="412">
        <v>23813.4</v>
      </c>
      <c r="J41" s="28">
        <f t="shared" si="3"/>
        <v>-7.9713390058216982E-3</v>
      </c>
      <c r="K41" s="65"/>
      <c r="L41" s="537"/>
      <c r="M41" s="538"/>
      <c r="N41" s="537"/>
      <c r="O41" s="539"/>
      <c r="P41" s="537"/>
      <c r="Q41" s="538"/>
      <c r="R41" s="537"/>
      <c r="S41" s="539"/>
      <c r="T41" s="537"/>
      <c r="U41" s="538"/>
      <c r="W41" s="65"/>
      <c r="Y41" s="28"/>
    </row>
    <row r="42" spans="4:25" x14ac:dyDescent="0.25">
      <c r="D42" s="210">
        <v>45642</v>
      </c>
      <c r="F42" s="214">
        <v>48.73</v>
      </c>
      <c r="G42" s="215">
        <f t="shared" si="2"/>
        <v>2.1807506814845778E-2</v>
      </c>
      <c r="I42" s="412">
        <v>23587.5</v>
      </c>
      <c r="J42" s="28">
        <f t="shared" si="3"/>
        <v>-9.4862556375822082E-3</v>
      </c>
      <c r="K42" s="65"/>
      <c r="L42" s="537"/>
      <c r="M42" s="538"/>
      <c r="N42" s="537"/>
      <c r="O42" s="539"/>
      <c r="P42" s="537"/>
      <c r="Q42" s="538"/>
      <c r="R42" s="537"/>
      <c r="S42" s="539"/>
      <c r="T42" s="537"/>
      <c r="U42" s="538"/>
      <c r="W42" s="65"/>
      <c r="Y42" s="28"/>
    </row>
    <row r="43" spans="4:25" x14ac:dyDescent="0.25">
      <c r="D43" s="210">
        <v>45635</v>
      </c>
      <c r="F43" s="214">
        <v>51.99</v>
      </c>
      <c r="G43" s="215">
        <f t="shared" si="2"/>
        <v>6.689924071413933E-2</v>
      </c>
      <c r="I43" s="412">
        <v>24768.3</v>
      </c>
      <c r="J43" s="28">
        <f t="shared" si="3"/>
        <v>5.0060413354531041E-2</v>
      </c>
      <c r="K43" s="65"/>
      <c r="L43" s="537"/>
      <c r="M43" s="538"/>
      <c r="N43" s="537"/>
      <c r="O43" s="539"/>
      <c r="P43" s="537"/>
      <c r="Q43" s="538"/>
      <c r="R43" s="537"/>
      <c r="S43" s="539"/>
      <c r="T43" s="537"/>
      <c r="U43" s="538"/>
      <c r="W43" s="65"/>
      <c r="Y43" s="28"/>
    </row>
    <row r="44" spans="4:25" x14ac:dyDescent="0.25">
      <c r="D44" s="210">
        <v>45628</v>
      </c>
      <c r="F44" s="214">
        <v>54.03</v>
      </c>
      <c r="G44" s="215">
        <f t="shared" si="2"/>
        <v>3.9238315060588613E-2</v>
      </c>
      <c r="I44" s="412">
        <v>24677.8</v>
      </c>
      <c r="J44" s="28">
        <f t="shared" si="3"/>
        <v>-3.653864011660013E-3</v>
      </c>
      <c r="K44" s="65"/>
      <c r="M44" s="28"/>
      <c r="O44" s="65"/>
      <c r="Q44" s="28"/>
      <c r="S44" s="65"/>
      <c r="U44" s="28"/>
      <c r="W44" s="65"/>
      <c r="Y44" s="28"/>
    </row>
    <row r="45" spans="4:25" x14ac:dyDescent="0.25">
      <c r="D45" s="210">
        <v>45621</v>
      </c>
      <c r="F45" s="214">
        <v>50.02</v>
      </c>
      <c r="G45" s="215">
        <f t="shared" si="2"/>
        <v>-7.4218027022024735E-2</v>
      </c>
      <c r="I45" s="412">
        <v>24131.1</v>
      </c>
      <c r="J45" s="28">
        <f t="shared" si="3"/>
        <v>-2.2153514494809179E-2</v>
      </c>
      <c r="K45" s="65"/>
      <c r="M45" s="28"/>
      <c r="O45" s="65"/>
      <c r="Q45" s="28"/>
      <c r="S45" s="65"/>
      <c r="U45" s="28"/>
      <c r="W45" s="65"/>
      <c r="Y45" s="28"/>
    </row>
    <row r="46" spans="4:25" x14ac:dyDescent="0.25">
      <c r="D46" s="210">
        <v>45614</v>
      </c>
      <c r="F46" s="214">
        <v>46.99</v>
      </c>
      <c r="G46" s="215">
        <f t="shared" si="2"/>
        <v>-6.0575769692123194E-2</v>
      </c>
      <c r="I46" s="412">
        <v>23907.25</v>
      </c>
      <c r="J46" s="28">
        <f t="shared" si="3"/>
        <v>-9.2764109385812255E-3</v>
      </c>
      <c r="K46" s="65"/>
      <c r="M46" s="28"/>
      <c r="O46" s="65"/>
      <c r="Q46" s="28"/>
      <c r="S46" s="65"/>
      <c r="U46" s="28"/>
      <c r="W46" s="65"/>
      <c r="Y46" s="28"/>
    </row>
    <row r="47" spans="4:25" x14ac:dyDescent="0.25">
      <c r="D47" s="210">
        <v>45607</v>
      </c>
      <c r="F47" s="214">
        <v>47.43</v>
      </c>
      <c r="G47" s="215">
        <f t="shared" si="2"/>
        <v>9.3636944030643932E-3</v>
      </c>
      <c r="I47" s="412">
        <v>23532.7</v>
      </c>
      <c r="J47" s="28">
        <f t="shared" si="3"/>
        <v>-1.5666795637306663E-2</v>
      </c>
      <c r="K47" s="65"/>
      <c r="M47" s="28"/>
      <c r="O47" s="65"/>
      <c r="Q47" s="28"/>
      <c r="S47" s="65"/>
      <c r="U47" s="28"/>
      <c r="W47" s="65"/>
      <c r="Y47" s="28"/>
    </row>
    <row r="48" spans="4:25" x14ac:dyDescent="0.25">
      <c r="D48" s="210">
        <v>45600</v>
      </c>
      <c r="F48" s="214">
        <v>52.18</v>
      </c>
      <c r="G48" s="215">
        <f t="shared" si="2"/>
        <v>0.10014758591608697</v>
      </c>
      <c r="I48" s="412">
        <v>24148.2</v>
      </c>
      <c r="J48" s="28">
        <f t="shared" si="3"/>
        <v>2.6155094825498049E-2</v>
      </c>
      <c r="K48" s="65"/>
      <c r="M48" s="28"/>
      <c r="O48" s="65"/>
      <c r="Q48" s="28"/>
      <c r="S48" s="65"/>
      <c r="U48" s="28"/>
      <c r="W48" s="65"/>
      <c r="Y48" s="28"/>
    </row>
    <row r="49" spans="4:25" x14ac:dyDescent="0.25">
      <c r="D49" s="210">
        <v>45593</v>
      </c>
      <c r="F49" s="214">
        <v>53.69</v>
      </c>
      <c r="G49" s="215">
        <f t="shared" si="2"/>
        <v>2.8938290532771083E-2</v>
      </c>
      <c r="I49" s="412">
        <v>24304.35</v>
      </c>
      <c r="J49" s="28">
        <f t="shared" si="3"/>
        <v>6.4663204710908584E-3</v>
      </c>
      <c r="K49" s="65"/>
      <c r="M49" s="28"/>
      <c r="O49" s="65"/>
      <c r="Q49" s="28"/>
      <c r="S49" s="65"/>
      <c r="U49" s="28"/>
      <c r="W49" s="65"/>
      <c r="Y49" s="28"/>
    </row>
    <row r="50" spans="4:25" x14ac:dyDescent="0.25">
      <c r="D50" s="210">
        <v>45586</v>
      </c>
      <c r="F50" s="214">
        <v>47.64</v>
      </c>
      <c r="G50" s="215">
        <f t="shared" si="2"/>
        <v>-0.11268392624324819</v>
      </c>
      <c r="I50" s="412">
        <v>24180.799999999999</v>
      </c>
      <c r="J50" s="28">
        <f t="shared" si="3"/>
        <v>-5.0834521392261189E-3</v>
      </c>
      <c r="K50" s="65"/>
      <c r="M50" s="28"/>
      <c r="O50" s="65"/>
      <c r="Q50" s="28"/>
      <c r="S50" s="65"/>
      <c r="U50" s="28"/>
      <c r="W50" s="65"/>
      <c r="Y50" s="28"/>
    </row>
    <row r="51" spans="4:25" x14ac:dyDescent="0.25">
      <c r="D51" s="210">
        <v>45579</v>
      </c>
      <c r="F51" s="214">
        <v>52.99</v>
      </c>
      <c r="G51" s="215">
        <f t="shared" si="2"/>
        <v>0.11230058774139384</v>
      </c>
      <c r="I51" s="412">
        <v>24854.05</v>
      </c>
      <c r="J51" s="28">
        <f t="shared" si="3"/>
        <v>2.7842337722490562E-2</v>
      </c>
      <c r="K51" s="65"/>
      <c r="M51" s="28"/>
      <c r="O51" s="65"/>
      <c r="Q51" s="28"/>
      <c r="S51" s="65"/>
      <c r="U51" s="28"/>
      <c r="W51" s="65"/>
      <c r="Y51" s="28"/>
    </row>
    <row r="52" spans="4:25" x14ac:dyDescent="0.25">
      <c r="D52" s="210">
        <v>45572</v>
      </c>
      <c r="F52" s="214">
        <v>52.16</v>
      </c>
      <c r="G52" s="215">
        <f t="shared" si="2"/>
        <v>-1.5663332704283883E-2</v>
      </c>
      <c r="I52" s="412">
        <v>24964.25</v>
      </c>
      <c r="J52" s="28">
        <f t="shared" si="3"/>
        <v>4.4338850207512603E-3</v>
      </c>
      <c r="K52" s="65"/>
      <c r="M52" s="28"/>
      <c r="O52" s="65"/>
      <c r="Q52" s="28"/>
      <c r="S52" s="65"/>
      <c r="U52" s="28"/>
      <c r="W52" s="65"/>
      <c r="Y52" s="28"/>
    </row>
    <row r="53" spans="4:25" x14ac:dyDescent="0.25">
      <c r="D53" s="210">
        <v>45565</v>
      </c>
      <c r="F53" s="214">
        <v>52.94</v>
      </c>
      <c r="G53" s="215">
        <f t="shared" si="2"/>
        <v>1.4953987730061291E-2</v>
      </c>
      <c r="I53" s="412">
        <v>25014.6</v>
      </c>
      <c r="J53" s="28">
        <f t="shared" si="3"/>
        <v>2.0168841443264363E-3</v>
      </c>
      <c r="K53" s="65"/>
      <c r="M53" s="28"/>
      <c r="O53" s="65"/>
      <c r="Q53" s="28"/>
      <c r="S53" s="65"/>
      <c r="U53" s="28"/>
      <c r="W53" s="65"/>
      <c r="Y53" s="28"/>
    </row>
    <row r="54" spans="4:25" x14ac:dyDescent="0.25">
      <c r="D54" s="210">
        <v>45558</v>
      </c>
      <c r="F54" s="214">
        <v>55.95</v>
      </c>
      <c r="G54" s="215">
        <f t="shared" si="2"/>
        <v>5.6856819040423279E-2</v>
      </c>
      <c r="I54" s="412">
        <v>26178.95</v>
      </c>
      <c r="J54" s="28">
        <f t="shared" si="3"/>
        <v>4.6546816659071233E-2</v>
      </c>
      <c r="K54" s="65"/>
      <c r="M54" s="28"/>
      <c r="O54" s="65"/>
      <c r="Q54" s="28"/>
      <c r="S54" s="65"/>
      <c r="U54" s="28"/>
      <c r="W54" s="65"/>
      <c r="Y54" s="28"/>
    </row>
    <row r="55" spans="4:25" x14ac:dyDescent="0.25">
      <c r="D55" s="210">
        <v>45551</v>
      </c>
      <c r="F55" s="214">
        <v>54.32</v>
      </c>
      <c r="G55" s="215">
        <f t="shared" si="2"/>
        <v>-2.9133154602323574E-2</v>
      </c>
      <c r="I55" s="412">
        <v>25790.95</v>
      </c>
      <c r="J55" s="28">
        <f t="shared" si="3"/>
        <v>-1.4821068071866894E-2</v>
      </c>
      <c r="K55" s="65"/>
      <c r="M55" s="28"/>
      <c r="O55" s="65"/>
      <c r="Q55" s="28"/>
      <c r="S55" s="65"/>
      <c r="U55" s="28"/>
      <c r="W55" s="65"/>
      <c r="Y55" s="28"/>
    </row>
    <row r="56" spans="4:25" x14ac:dyDescent="0.25">
      <c r="D56" s="210">
        <v>45544</v>
      </c>
      <c r="F56" s="214">
        <v>56.49</v>
      </c>
      <c r="G56" s="215">
        <f t="shared" si="2"/>
        <v>3.9948453608247503E-2</v>
      </c>
      <c r="I56" s="412">
        <v>25356.5</v>
      </c>
      <c r="J56" s="28">
        <f t="shared" si="3"/>
        <v>-1.684505611464493E-2</v>
      </c>
      <c r="K56" s="65"/>
      <c r="M56" s="28"/>
      <c r="O56" s="65"/>
      <c r="Q56" s="28"/>
      <c r="S56" s="65"/>
      <c r="U56" s="28"/>
      <c r="W56" s="65"/>
      <c r="Y56" s="28"/>
    </row>
    <row r="57" spans="4:25" x14ac:dyDescent="0.25">
      <c r="D57" s="210">
        <v>45537</v>
      </c>
      <c r="F57" s="214">
        <v>56.86</v>
      </c>
      <c r="G57" s="215">
        <f t="shared" si="2"/>
        <v>6.5498318286421053E-3</v>
      </c>
      <c r="I57" s="412">
        <v>24852.15</v>
      </c>
      <c r="J57" s="28">
        <f t="shared" si="3"/>
        <v>-1.9890363417664036E-2</v>
      </c>
      <c r="K57" s="65"/>
      <c r="M57" s="28"/>
      <c r="O57" s="65"/>
      <c r="Q57" s="28"/>
      <c r="S57" s="65"/>
      <c r="U57" s="28"/>
      <c r="W57" s="65"/>
      <c r="Y57" s="28"/>
    </row>
    <row r="58" spans="4:25" x14ac:dyDescent="0.25">
      <c r="D58" s="210">
        <v>45530</v>
      </c>
      <c r="F58" s="214">
        <v>59.56</v>
      </c>
      <c r="G58" s="215">
        <f t="shared" si="2"/>
        <v>4.7485051002462253E-2</v>
      </c>
      <c r="I58" s="412">
        <v>25235.9</v>
      </c>
      <c r="J58" s="28">
        <f t="shared" si="3"/>
        <v>1.544131996628062E-2</v>
      </c>
      <c r="K58" s="65"/>
      <c r="M58" s="28"/>
      <c r="O58" s="65"/>
      <c r="Q58" s="28"/>
      <c r="S58" s="65"/>
      <c r="U58" s="28"/>
      <c r="W58" s="65"/>
      <c r="Y58" s="28"/>
    </row>
    <row r="59" spans="4:25" x14ac:dyDescent="0.25">
      <c r="D59" s="210">
        <v>45523</v>
      </c>
      <c r="F59" s="214">
        <v>60.41</v>
      </c>
      <c r="G59" s="215">
        <f t="shared" si="2"/>
        <v>1.4271323035594197E-2</v>
      </c>
      <c r="I59" s="412">
        <v>24823.15</v>
      </c>
      <c r="J59" s="28">
        <f t="shared" si="3"/>
        <v>-1.6355667917530181E-2</v>
      </c>
      <c r="K59" s="65"/>
      <c r="M59" s="28"/>
      <c r="O59" s="65"/>
      <c r="Q59" s="28"/>
      <c r="S59" s="65"/>
      <c r="U59" s="28"/>
      <c r="W59" s="65"/>
      <c r="Y59" s="28"/>
    </row>
    <row r="60" spans="4:25" x14ac:dyDescent="0.25">
      <c r="D60" s="210">
        <v>45516</v>
      </c>
      <c r="F60" s="214">
        <v>58.18</v>
      </c>
      <c r="G60" s="215">
        <f t="shared" si="2"/>
        <v>-3.6914418142691585E-2</v>
      </c>
      <c r="I60" s="412">
        <v>24541.15</v>
      </c>
      <c r="J60" s="28">
        <f t="shared" si="3"/>
        <v>-1.1360363209342861E-2</v>
      </c>
      <c r="K60" s="65"/>
      <c r="M60" s="28"/>
      <c r="O60" s="65"/>
      <c r="Q60" s="28"/>
      <c r="S60" s="65"/>
      <c r="U60" s="28"/>
      <c r="W60" s="65"/>
      <c r="Y60" s="28"/>
    </row>
    <row r="61" spans="4:25" x14ac:dyDescent="0.25">
      <c r="D61" s="210">
        <v>45509</v>
      </c>
      <c r="F61" s="214">
        <v>60.53</v>
      </c>
      <c r="G61" s="215">
        <f t="shared" si="2"/>
        <v>4.0391887246476577E-2</v>
      </c>
      <c r="I61" s="412">
        <v>24367.5</v>
      </c>
      <c r="J61" s="28">
        <f t="shared" si="3"/>
        <v>-7.0758705276647849E-3</v>
      </c>
      <c r="K61" s="65"/>
      <c r="M61" s="28"/>
      <c r="O61" s="65"/>
      <c r="Q61" s="28"/>
      <c r="S61" s="65"/>
      <c r="U61" s="28"/>
      <c r="W61" s="65"/>
      <c r="Y61" s="28"/>
    </row>
    <row r="62" spans="4:25" x14ac:dyDescent="0.25">
      <c r="D62" s="210">
        <v>45502</v>
      </c>
      <c r="F62" s="214">
        <v>66.540000000000006</v>
      </c>
      <c r="G62" s="215">
        <f t="shared" si="2"/>
        <v>9.9289608458615675E-2</v>
      </c>
      <c r="I62" s="412">
        <v>24717.7</v>
      </c>
      <c r="J62" s="28">
        <f t="shared" si="3"/>
        <v>1.4371601518415877E-2</v>
      </c>
      <c r="K62" s="65"/>
      <c r="M62" s="28"/>
      <c r="O62" s="65"/>
      <c r="Q62" s="28"/>
      <c r="S62" s="65"/>
      <c r="U62" s="28"/>
      <c r="W62" s="65"/>
      <c r="Y62" s="28"/>
    </row>
    <row r="63" spans="4:25" x14ac:dyDescent="0.25">
      <c r="D63" s="210">
        <v>45495</v>
      </c>
      <c r="F63" s="214">
        <v>68.44</v>
      </c>
      <c r="G63" s="215">
        <f t="shared" si="2"/>
        <v>2.8554253080853575E-2</v>
      </c>
      <c r="I63" s="412">
        <v>24834.85</v>
      </c>
      <c r="J63" s="28">
        <f t="shared" si="3"/>
        <v>4.7395186445340354E-3</v>
      </c>
      <c r="K63" s="65"/>
      <c r="M63" s="28"/>
      <c r="O63" s="65"/>
      <c r="Q63" s="28"/>
      <c r="S63" s="65"/>
      <c r="U63" s="28"/>
      <c r="W63" s="65"/>
      <c r="Y63" s="28"/>
    </row>
    <row r="64" spans="4:25" x14ac:dyDescent="0.25">
      <c r="D64" s="210">
        <v>45488</v>
      </c>
      <c r="F64" s="214">
        <v>63.18</v>
      </c>
      <c r="G64" s="215">
        <f t="shared" si="2"/>
        <v>-7.6855639976621815E-2</v>
      </c>
      <c r="I64" s="412">
        <v>24530.9</v>
      </c>
      <c r="J64" s="28">
        <f t="shared" si="3"/>
        <v>-1.2238849842056476E-2</v>
      </c>
      <c r="K64" s="65"/>
      <c r="M64" s="28"/>
      <c r="O64" s="65"/>
      <c r="Q64" s="28"/>
      <c r="S64" s="65"/>
      <c r="U64" s="28"/>
      <c r="W64" s="65"/>
      <c r="Y64" s="28"/>
    </row>
    <row r="65" spans="4:25" x14ac:dyDescent="0.25">
      <c r="D65" s="210">
        <v>45481</v>
      </c>
      <c r="F65" s="214">
        <v>59.07</v>
      </c>
      <c r="G65" s="215">
        <f t="shared" si="2"/>
        <v>-6.5052231718898401E-2</v>
      </c>
      <c r="I65" s="412">
        <v>24502.15</v>
      </c>
      <c r="J65" s="28">
        <f t="shared" si="3"/>
        <v>-1.1719912436967128E-3</v>
      </c>
      <c r="K65" s="65"/>
      <c r="M65" s="28"/>
      <c r="O65" s="65"/>
      <c r="Q65" s="28"/>
      <c r="S65" s="65"/>
      <c r="U65" s="28"/>
      <c r="W65" s="65"/>
      <c r="Y65" s="28"/>
    </row>
    <row r="66" spans="4:25" x14ac:dyDescent="0.25">
      <c r="D66" s="210">
        <v>45474</v>
      </c>
      <c r="F66" s="214">
        <v>58.91</v>
      </c>
      <c r="G66" s="215">
        <f t="shared" si="2"/>
        <v>-2.7086507533435888E-3</v>
      </c>
      <c r="I66" s="412">
        <v>24323.85</v>
      </c>
      <c r="J66" s="28">
        <f t="shared" si="3"/>
        <v>-7.2769124342150215E-3</v>
      </c>
      <c r="K66" s="65"/>
      <c r="M66" s="28"/>
      <c r="O66" s="65"/>
      <c r="Q66" s="28"/>
      <c r="S66" s="65"/>
      <c r="U66" s="28"/>
      <c r="W66" s="65"/>
      <c r="Y66" s="28"/>
    </row>
    <row r="67" spans="4:25" x14ac:dyDescent="0.25">
      <c r="D67" s="210">
        <v>45467</v>
      </c>
      <c r="F67" s="214">
        <v>59.44</v>
      </c>
      <c r="G67" s="215">
        <f t="shared" si="2"/>
        <v>8.9967747411305865E-3</v>
      </c>
      <c r="I67" s="412">
        <v>24010.6</v>
      </c>
      <c r="J67" s="28">
        <f t="shared" si="3"/>
        <v>-1.2878306682535867E-2</v>
      </c>
      <c r="K67" s="65"/>
      <c r="M67" s="28"/>
      <c r="O67" s="65"/>
      <c r="Q67" s="28"/>
      <c r="S67" s="65"/>
      <c r="U67" s="28"/>
      <c r="W67" s="65"/>
      <c r="Y67" s="28"/>
    </row>
    <row r="68" spans="4:25" x14ac:dyDescent="0.25">
      <c r="D68" s="210">
        <v>45460</v>
      </c>
      <c r="F68" s="214">
        <v>60.89</v>
      </c>
      <c r="G68" s="215">
        <f t="shared" si="2"/>
        <v>2.439434724091516E-2</v>
      </c>
      <c r="I68" s="412">
        <v>23501.1</v>
      </c>
      <c r="J68" s="28">
        <f t="shared" si="3"/>
        <v>-2.1219794590722429E-2</v>
      </c>
      <c r="K68" s="65"/>
      <c r="M68" s="28"/>
      <c r="O68" s="65"/>
      <c r="Q68" s="28"/>
      <c r="S68" s="65"/>
      <c r="U68" s="28"/>
      <c r="W68" s="65"/>
      <c r="Y68" s="28"/>
    </row>
    <row r="69" spans="4:25" x14ac:dyDescent="0.25">
      <c r="D69" s="210">
        <v>45453</v>
      </c>
      <c r="F69" s="214">
        <v>62.97</v>
      </c>
      <c r="G69" s="215">
        <f t="shared" si="2"/>
        <v>3.4159960584660753E-2</v>
      </c>
      <c r="I69" s="412">
        <v>23465.599999999999</v>
      </c>
      <c r="J69" s="28">
        <f t="shared" si="3"/>
        <v>-1.5105675904532045E-3</v>
      </c>
      <c r="K69" s="65"/>
      <c r="M69" s="28"/>
      <c r="O69" s="65"/>
      <c r="Q69" s="28"/>
      <c r="S69" s="65"/>
      <c r="U69" s="28"/>
      <c r="W69" s="65"/>
      <c r="Y69" s="28"/>
    </row>
    <row r="70" spans="4:25" x14ac:dyDescent="0.25">
      <c r="D70" s="210">
        <v>45446</v>
      </c>
      <c r="F70" s="214">
        <v>60.16</v>
      </c>
      <c r="G70" s="215">
        <f t="shared" si="2"/>
        <v>-4.4624424329045564E-2</v>
      </c>
      <c r="I70" s="412">
        <v>23290.15</v>
      </c>
      <c r="J70" s="28">
        <f t="shared" si="3"/>
        <v>-7.4769023591980677E-3</v>
      </c>
      <c r="K70" s="65"/>
      <c r="M70" s="28"/>
      <c r="O70" s="65"/>
      <c r="Q70" s="28"/>
      <c r="S70" s="65"/>
      <c r="U70" s="28"/>
      <c r="W70" s="65"/>
      <c r="Y70" s="28"/>
    </row>
    <row r="71" spans="4:25" x14ac:dyDescent="0.25">
      <c r="D71" s="210">
        <v>45439</v>
      </c>
      <c r="F71" s="214">
        <v>60.85</v>
      </c>
      <c r="G71" s="215">
        <f t="shared" si="2"/>
        <v>1.1469414893617191E-2</v>
      </c>
      <c r="I71" s="412">
        <v>22530.7</v>
      </c>
      <c r="J71" s="28">
        <f t="shared" si="3"/>
        <v>-3.2608205614820029E-2</v>
      </c>
      <c r="K71" s="65"/>
      <c r="M71" s="28"/>
      <c r="O71" s="65"/>
      <c r="Q71" s="28"/>
      <c r="S71" s="65"/>
      <c r="U71" s="28"/>
      <c r="W71" s="65"/>
      <c r="Y71" s="28"/>
    </row>
    <row r="72" spans="4:25" x14ac:dyDescent="0.25">
      <c r="D72" s="210">
        <v>45432</v>
      </c>
      <c r="F72" s="214">
        <v>61.4</v>
      </c>
      <c r="G72" s="215">
        <f t="shared" si="2"/>
        <v>9.0386195562859317E-3</v>
      </c>
      <c r="I72" s="412">
        <v>22957.1</v>
      </c>
      <c r="J72" s="28">
        <f t="shared" si="3"/>
        <v>1.8925288606212787E-2</v>
      </c>
      <c r="K72" s="65"/>
      <c r="M72" s="28"/>
      <c r="O72" s="65"/>
      <c r="Q72" s="28"/>
      <c r="S72" s="65"/>
      <c r="U72" s="28"/>
      <c r="W72" s="65"/>
      <c r="Y72" s="28"/>
    </row>
    <row r="73" spans="4:25" x14ac:dyDescent="0.25">
      <c r="D73" s="210">
        <v>45425</v>
      </c>
      <c r="F73" s="214">
        <v>60.7</v>
      </c>
      <c r="G73" s="215">
        <f t="shared" si="2"/>
        <v>-1.140065146579794E-2</v>
      </c>
      <c r="I73" s="412">
        <v>22466.1</v>
      </c>
      <c r="J73" s="28">
        <f t="shared" si="3"/>
        <v>-2.1387718832082458E-2</v>
      </c>
      <c r="K73" s="65"/>
      <c r="M73" s="28"/>
      <c r="O73" s="65"/>
      <c r="Q73" s="28"/>
      <c r="S73" s="65"/>
      <c r="U73" s="28"/>
      <c r="W73" s="65"/>
      <c r="Y73" s="28"/>
    </row>
    <row r="74" spans="4:25" x14ac:dyDescent="0.25">
      <c r="D74" s="210">
        <v>45418</v>
      </c>
      <c r="F74" s="214">
        <v>56.92</v>
      </c>
      <c r="G74" s="215">
        <f t="shared" si="2"/>
        <v>-6.2273476112026382E-2</v>
      </c>
      <c r="I74" s="412">
        <v>22055.200000000001</v>
      </c>
      <c r="J74" s="28">
        <f t="shared" si="3"/>
        <v>-1.8289778822314418E-2</v>
      </c>
      <c r="K74" s="65"/>
      <c r="M74" s="28"/>
      <c r="O74" s="65"/>
      <c r="Q74" s="28"/>
      <c r="S74" s="65"/>
      <c r="U74" s="28"/>
      <c r="W74" s="65"/>
      <c r="Y74" s="28"/>
    </row>
    <row r="75" spans="4:25" x14ac:dyDescent="0.25">
      <c r="D75" s="210">
        <v>45411</v>
      </c>
      <c r="F75" s="214">
        <v>60.6</v>
      </c>
      <c r="G75" s="215">
        <f t="shared" si="2"/>
        <v>6.4652143359100522E-2</v>
      </c>
      <c r="I75" s="412">
        <v>22475.85</v>
      </c>
      <c r="J75" s="28">
        <f t="shared" si="3"/>
        <v>1.9072599659037293E-2</v>
      </c>
      <c r="K75" s="65"/>
      <c r="M75" s="28"/>
      <c r="O75" s="65"/>
      <c r="Q75" s="28"/>
      <c r="S75" s="65"/>
      <c r="U75" s="28"/>
      <c r="W75" s="65"/>
      <c r="Y75" s="28"/>
    </row>
    <row r="76" spans="4:25" x14ac:dyDescent="0.25">
      <c r="D76" s="210">
        <v>45404</v>
      </c>
      <c r="F76" s="214">
        <v>61.8</v>
      </c>
      <c r="G76" s="215">
        <f t="shared" si="2"/>
        <v>1.980198019801982E-2</v>
      </c>
      <c r="I76" s="412">
        <v>22419.95</v>
      </c>
      <c r="J76" s="28">
        <f t="shared" si="3"/>
        <v>-2.4871139467471659E-3</v>
      </c>
      <c r="K76" s="65"/>
      <c r="M76" s="28"/>
      <c r="O76" s="65"/>
      <c r="Q76" s="28"/>
      <c r="S76" s="65"/>
      <c r="U76" s="28"/>
      <c r="W76" s="65"/>
      <c r="Y76" s="28"/>
    </row>
    <row r="77" spans="4:25" x14ac:dyDescent="0.25">
      <c r="D77" s="210">
        <v>45397</v>
      </c>
      <c r="F77" s="214">
        <v>58.66</v>
      </c>
      <c r="G77" s="215">
        <f t="shared" si="2"/>
        <v>-5.0809061488673146E-2</v>
      </c>
      <c r="I77" s="412">
        <v>22147</v>
      </c>
      <c r="J77" s="28">
        <f t="shared" si="3"/>
        <v>-1.2174425009868428E-2</v>
      </c>
      <c r="K77" s="65"/>
      <c r="M77" s="28"/>
      <c r="O77" s="65"/>
      <c r="Q77" s="28"/>
      <c r="S77" s="65"/>
      <c r="U77" s="28"/>
      <c r="W77" s="65"/>
      <c r="Y77" s="28"/>
    </row>
    <row r="78" spans="4:25" x14ac:dyDescent="0.25">
      <c r="D78" s="210">
        <v>45390</v>
      </c>
      <c r="F78" s="214">
        <v>60.45</v>
      </c>
      <c r="G78" s="215">
        <f t="shared" ref="G78:G141" si="4">F78/F77-1</f>
        <v>3.0514831230821882E-2</v>
      </c>
      <c r="I78" s="412">
        <v>22519.4</v>
      </c>
      <c r="J78" s="28">
        <f t="shared" ref="J78:J141" si="5">I78/I77-1</f>
        <v>1.6814918499119536E-2</v>
      </c>
      <c r="K78" s="65"/>
      <c r="M78" s="28"/>
      <c r="O78" s="65"/>
      <c r="Q78" s="28"/>
      <c r="S78" s="65"/>
      <c r="U78" s="28"/>
      <c r="W78" s="65"/>
      <c r="Y78" s="28"/>
    </row>
    <row r="79" spans="4:25" x14ac:dyDescent="0.25">
      <c r="D79" s="210">
        <v>45383</v>
      </c>
      <c r="F79" s="214">
        <v>64.39</v>
      </c>
      <c r="G79" s="215">
        <f t="shared" si="4"/>
        <v>6.5177832919768308E-2</v>
      </c>
      <c r="I79" s="412">
        <v>22513.7</v>
      </c>
      <c r="J79" s="28">
        <f t="shared" si="5"/>
        <v>-2.5311509187642134E-4</v>
      </c>
      <c r="K79" s="65"/>
      <c r="M79" s="28"/>
      <c r="O79" s="65"/>
      <c r="Q79" s="28"/>
      <c r="S79" s="65"/>
      <c r="U79" s="28"/>
      <c r="W79" s="65"/>
      <c r="Y79" s="28"/>
    </row>
    <row r="80" spans="4:25" x14ac:dyDescent="0.25">
      <c r="D80" s="210">
        <v>45376</v>
      </c>
      <c r="F80" s="214">
        <v>59.56</v>
      </c>
      <c r="G80" s="215">
        <f t="shared" si="4"/>
        <v>-7.501164777139302E-2</v>
      </c>
      <c r="I80" s="412">
        <v>22326.9</v>
      </c>
      <c r="J80" s="28">
        <f t="shared" si="5"/>
        <v>-8.2971701674979803E-3</v>
      </c>
      <c r="K80" s="65"/>
      <c r="M80" s="28"/>
      <c r="O80" s="65"/>
      <c r="Q80" s="28"/>
      <c r="S80" s="65"/>
      <c r="U80" s="28"/>
      <c r="W80" s="65"/>
      <c r="Y80" s="28"/>
    </row>
    <row r="81" spans="4:25" x14ac:dyDescent="0.25">
      <c r="D81" s="210">
        <v>45369</v>
      </c>
      <c r="F81" s="214">
        <v>59.26</v>
      </c>
      <c r="G81" s="215">
        <f t="shared" si="4"/>
        <v>-5.0369375419745399E-3</v>
      </c>
      <c r="I81" s="412">
        <v>22096.75</v>
      </c>
      <c r="J81" s="28">
        <f t="shared" si="5"/>
        <v>-1.0308193255669229E-2</v>
      </c>
      <c r="K81" s="65"/>
      <c r="M81" s="28"/>
      <c r="O81" s="65"/>
      <c r="Q81" s="28"/>
      <c r="S81" s="65"/>
      <c r="U81" s="28"/>
      <c r="W81" s="65"/>
      <c r="Y81" s="28"/>
    </row>
    <row r="82" spans="4:25" x14ac:dyDescent="0.25">
      <c r="D82" s="210">
        <v>45362</v>
      </c>
      <c r="F82" s="214">
        <v>58.16</v>
      </c>
      <c r="G82" s="215">
        <f t="shared" si="4"/>
        <v>-1.8562267971650392E-2</v>
      </c>
      <c r="I82" s="412">
        <v>22023.35</v>
      </c>
      <c r="J82" s="28">
        <f t="shared" si="5"/>
        <v>-3.3217554617761547E-3</v>
      </c>
      <c r="K82" s="65"/>
      <c r="M82" s="28"/>
      <c r="O82" s="65"/>
      <c r="Q82" s="28"/>
      <c r="S82" s="65"/>
      <c r="U82" s="28"/>
      <c r="W82" s="65"/>
      <c r="Y82" s="28"/>
    </row>
    <row r="83" spans="4:25" x14ac:dyDescent="0.25">
      <c r="D83" s="210">
        <v>45355</v>
      </c>
      <c r="F83" s="214">
        <v>64.290000000000006</v>
      </c>
      <c r="G83" s="215">
        <f t="shared" si="4"/>
        <v>0.10539889958734538</v>
      </c>
      <c r="I83" s="412">
        <v>22493.55</v>
      </c>
      <c r="J83" s="28">
        <f t="shared" si="5"/>
        <v>2.1350067087886337E-2</v>
      </c>
      <c r="K83" s="65"/>
      <c r="M83" s="28"/>
      <c r="O83" s="65"/>
      <c r="Q83" s="28"/>
      <c r="S83" s="65"/>
      <c r="U83" s="28"/>
      <c r="W83" s="65"/>
      <c r="Y83" s="28"/>
    </row>
    <row r="84" spans="4:25" x14ac:dyDescent="0.25">
      <c r="D84" s="210">
        <v>45348</v>
      </c>
      <c r="F84" s="214">
        <v>64.09</v>
      </c>
      <c r="G84" s="215">
        <f t="shared" si="4"/>
        <v>-3.1109037175299781E-3</v>
      </c>
      <c r="I84" s="412">
        <v>22338.75</v>
      </c>
      <c r="J84" s="28">
        <f t="shared" si="5"/>
        <v>-6.8819728322118134E-3</v>
      </c>
      <c r="K84" s="65"/>
      <c r="M84" s="28"/>
      <c r="O84" s="65"/>
      <c r="Q84" s="28"/>
      <c r="S84" s="65"/>
      <c r="U84" s="28"/>
      <c r="W84" s="65"/>
      <c r="Y84" s="28"/>
    </row>
    <row r="85" spans="4:25" x14ac:dyDescent="0.25">
      <c r="D85" s="210">
        <v>45341</v>
      </c>
      <c r="F85" s="214">
        <v>65.44</v>
      </c>
      <c r="G85" s="215">
        <f t="shared" si="4"/>
        <v>2.1064128569199481E-2</v>
      </c>
      <c r="I85" s="412">
        <v>22212.7</v>
      </c>
      <c r="J85" s="28">
        <f t="shared" si="5"/>
        <v>-5.6426612948351496E-3</v>
      </c>
      <c r="K85" s="65"/>
      <c r="M85" s="28"/>
      <c r="O85" s="65"/>
      <c r="Q85" s="28"/>
      <c r="S85" s="65"/>
      <c r="U85" s="28"/>
      <c r="W85" s="65"/>
      <c r="Y85" s="28"/>
    </row>
    <row r="86" spans="4:25" x14ac:dyDescent="0.25">
      <c r="D86" s="210">
        <v>45334</v>
      </c>
      <c r="F86" s="214">
        <v>67.28</v>
      </c>
      <c r="G86" s="215">
        <f t="shared" si="4"/>
        <v>2.8117359413202925E-2</v>
      </c>
      <c r="I86" s="412">
        <v>22040.7</v>
      </c>
      <c r="J86" s="28">
        <f t="shared" si="5"/>
        <v>-7.7433180117680855E-3</v>
      </c>
      <c r="K86" s="65"/>
      <c r="M86" s="28"/>
      <c r="O86" s="65"/>
      <c r="Q86" s="28"/>
      <c r="S86" s="65"/>
      <c r="U86" s="28"/>
      <c r="W86" s="65"/>
      <c r="Y86" s="28"/>
    </row>
    <row r="87" spans="4:25" x14ac:dyDescent="0.25">
      <c r="D87" s="210">
        <v>45327</v>
      </c>
      <c r="F87" s="214">
        <v>66.39</v>
      </c>
      <c r="G87" s="215">
        <f t="shared" si="4"/>
        <v>-1.322829964328176E-2</v>
      </c>
      <c r="I87" s="412">
        <v>21782.5</v>
      </c>
      <c r="J87" s="28">
        <f t="shared" si="5"/>
        <v>-1.1714691457167858E-2</v>
      </c>
      <c r="K87" s="65"/>
      <c r="M87" s="28"/>
      <c r="O87" s="65"/>
      <c r="Q87" s="28"/>
      <c r="S87" s="65"/>
      <c r="U87" s="28"/>
      <c r="W87" s="65"/>
      <c r="Y87" s="28"/>
    </row>
    <row r="88" spans="4:25" x14ac:dyDescent="0.25">
      <c r="D88" s="210">
        <v>45320</v>
      </c>
      <c r="F88" s="214">
        <v>64.89</v>
      </c>
      <c r="G88" s="215">
        <f t="shared" si="4"/>
        <v>-2.2593764121102589E-2</v>
      </c>
      <c r="I88" s="412">
        <v>21853.8</v>
      </c>
      <c r="J88" s="28">
        <f t="shared" si="5"/>
        <v>3.273269826695735E-3</v>
      </c>
      <c r="K88" s="65"/>
      <c r="M88" s="28"/>
      <c r="O88" s="65"/>
      <c r="Q88" s="28"/>
      <c r="S88" s="65"/>
      <c r="U88" s="28"/>
      <c r="W88" s="65"/>
      <c r="Y88" s="28"/>
    </row>
    <row r="89" spans="4:25" x14ac:dyDescent="0.25">
      <c r="D89" s="210">
        <v>45313</v>
      </c>
      <c r="F89" s="214">
        <v>46.25</v>
      </c>
      <c r="G89" s="215">
        <f t="shared" si="4"/>
        <v>-0.28725535521652024</v>
      </c>
      <c r="I89" s="412">
        <v>21352.6</v>
      </c>
      <c r="J89" s="28">
        <f t="shared" si="5"/>
        <v>-2.2934226541837188E-2</v>
      </c>
      <c r="K89" s="65"/>
      <c r="M89" s="28"/>
      <c r="O89" s="65"/>
      <c r="Q89" s="28"/>
      <c r="S89" s="65"/>
      <c r="U89" s="28"/>
      <c r="W89" s="65"/>
      <c r="Y89" s="28"/>
    </row>
    <row r="90" spans="4:25" x14ac:dyDescent="0.25">
      <c r="D90" s="210">
        <v>45306</v>
      </c>
      <c r="F90" s="214">
        <v>45.65</v>
      </c>
      <c r="G90" s="215">
        <f t="shared" si="4"/>
        <v>-1.2972972972972951E-2</v>
      </c>
      <c r="I90" s="412">
        <v>21622.400000000001</v>
      </c>
      <c r="J90" s="28">
        <f t="shared" si="5"/>
        <v>1.2635463596939234E-2</v>
      </c>
      <c r="K90" s="65"/>
      <c r="M90" s="28"/>
      <c r="O90" s="65"/>
      <c r="Q90" s="28"/>
      <c r="S90" s="65"/>
      <c r="U90" s="28"/>
      <c r="W90" s="65"/>
      <c r="Y90" s="28"/>
    </row>
    <row r="91" spans="4:25" x14ac:dyDescent="0.25">
      <c r="D91" s="210">
        <v>45299</v>
      </c>
      <c r="F91" s="214">
        <v>44.46</v>
      </c>
      <c r="G91" s="215">
        <f t="shared" si="4"/>
        <v>-2.6067907995618755E-2</v>
      </c>
      <c r="I91" s="412">
        <v>21894.55</v>
      </c>
      <c r="J91" s="28">
        <f t="shared" si="5"/>
        <v>1.2586484386561958E-2</v>
      </c>
      <c r="K91" s="65"/>
      <c r="M91" s="28"/>
      <c r="O91" s="65"/>
      <c r="Q91" s="28"/>
      <c r="S91" s="65"/>
      <c r="U91" s="28"/>
      <c r="W91" s="65"/>
      <c r="Y91" s="28"/>
    </row>
    <row r="92" spans="4:25" x14ac:dyDescent="0.25">
      <c r="D92" s="210">
        <v>45292</v>
      </c>
      <c r="F92" s="214">
        <v>44.16</v>
      </c>
      <c r="G92" s="215">
        <f t="shared" si="4"/>
        <v>-6.7476383265857587E-3</v>
      </c>
      <c r="I92" s="412">
        <v>21710.799999999999</v>
      </c>
      <c r="J92" s="28">
        <f t="shared" si="5"/>
        <v>-8.3924995033010097E-3</v>
      </c>
      <c r="K92" s="65"/>
      <c r="M92" s="28"/>
      <c r="O92" s="65"/>
      <c r="Q92" s="28"/>
      <c r="S92" s="65"/>
      <c r="U92" s="28"/>
      <c r="W92" s="65"/>
      <c r="Y92" s="28"/>
    </row>
    <row r="93" spans="4:25" x14ac:dyDescent="0.25">
      <c r="D93" s="210">
        <v>45285</v>
      </c>
      <c r="F93" s="214">
        <v>43.01</v>
      </c>
      <c r="G93" s="215">
        <f t="shared" si="4"/>
        <v>-2.604166666666663E-2</v>
      </c>
      <c r="I93" s="412">
        <v>21731.4</v>
      </c>
      <c r="J93" s="28">
        <f t="shared" si="5"/>
        <v>9.4883652375776784E-4</v>
      </c>
      <c r="K93" s="65"/>
      <c r="M93" s="28"/>
      <c r="O93" s="65"/>
      <c r="Q93" s="28"/>
      <c r="S93" s="65"/>
      <c r="U93" s="28"/>
      <c r="W93" s="65"/>
      <c r="Y93" s="28"/>
    </row>
    <row r="94" spans="4:25" x14ac:dyDescent="0.25">
      <c r="D94" s="210">
        <v>45278</v>
      </c>
      <c r="F94" s="214">
        <v>42.96</v>
      </c>
      <c r="G94" s="215">
        <f t="shared" si="4"/>
        <v>-1.1625203441059107E-3</v>
      </c>
      <c r="I94" s="412">
        <v>21349.4</v>
      </c>
      <c r="J94" s="28">
        <f t="shared" si="5"/>
        <v>-1.7578250825993735E-2</v>
      </c>
      <c r="K94" s="65"/>
      <c r="M94" s="28"/>
      <c r="O94" s="65"/>
      <c r="Q94" s="28"/>
      <c r="S94" s="65"/>
      <c r="U94" s="28"/>
      <c r="W94" s="65"/>
      <c r="Y94" s="28"/>
    </row>
    <row r="95" spans="4:25" x14ac:dyDescent="0.25">
      <c r="D95" s="210">
        <v>45271</v>
      </c>
      <c r="F95" s="214">
        <v>46.4</v>
      </c>
      <c r="G95" s="215">
        <f t="shared" si="4"/>
        <v>8.0074487895716917E-2</v>
      </c>
      <c r="I95" s="412">
        <v>21456.65</v>
      </c>
      <c r="J95" s="28">
        <f t="shared" si="5"/>
        <v>5.023560381087977E-3</v>
      </c>
      <c r="K95" s="65"/>
      <c r="M95" s="28"/>
      <c r="O95" s="65"/>
      <c r="Q95" s="28"/>
      <c r="S95" s="65"/>
      <c r="U95" s="28"/>
      <c r="W95" s="65"/>
      <c r="Y95" s="28"/>
    </row>
    <row r="96" spans="4:25" x14ac:dyDescent="0.25">
      <c r="D96" s="210">
        <v>45264</v>
      </c>
      <c r="F96" s="214">
        <v>43.06</v>
      </c>
      <c r="G96" s="215">
        <f t="shared" si="4"/>
        <v>-7.1982758620689591E-2</v>
      </c>
      <c r="I96" s="412">
        <v>20969.400000000001</v>
      </c>
      <c r="J96" s="28">
        <f t="shared" si="5"/>
        <v>-2.2708577527246754E-2</v>
      </c>
      <c r="K96" s="65"/>
      <c r="M96" s="28"/>
      <c r="O96" s="65"/>
      <c r="Q96" s="28"/>
      <c r="S96" s="65"/>
      <c r="U96" s="28"/>
      <c r="W96" s="65"/>
      <c r="Y96" s="28"/>
    </row>
    <row r="97" spans="4:25" x14ac:dyDescent="0.25">
      <c r="D97" s="210">
        <v>45257</v>
      </c>
      <c r="F97" s="214">
        <v>40.82</v>
      </c>
      <c r="G97" s="215">
        <f t="shared" si="4"/>
        <v>-5.2020436600092923E-2</v>
      </c>
      <c r="I97" s="412">
        <v>20267.900000000001</v>
      </c>
      <c r="J97" s="28">
        <f t="shared" si="5"/>
        <v>-3.3453508445639879E-2</v>
      </c>
      <c r="K97" s="65"/>
      <c r="M97" s="28"/>
      <c r="O97" s="65"/>
      <c r="Q97" s="28"/>
      <c r="S97" s="65"/>
      <c r="U97" s="28"/>
      <c r="W97" s="65"/>
      <c r="Y97" s="28"/>
    </row>
    <row r="98" spans="4:25" x14ac:dyDescent="0.25">
      <c r="D98" s="210">
        <v>45250</v>
      </c>
      <c r="F98" s="214">
        <v>40.57</v>
      </c>
      <c r="G98" s="215">
        <f t="shared" si="4"/>
        <v>-6.124448799608051E-3</v>
      </c>
      <c r="I98" s="412">
        <v>19794.7</v>
      </c>
      <c r="J98" s="28">
        <f t="shared" si="5"/>
        <v>-2.3347263406667706E-2</v>
      </c>
      <c r="K98" s="65"/>
      <c r="M98" s="28"/>
      <c r="O98" s="65"/>
      <c r="Q98" s="28"/>
      <c r="S98" s="65"/>
      <c r="U98" s="28"/>
      <c r="W98" s="65"/>
      <c r="Y98" s="28"/>
    </row>
    <row r="99" spans="4:25" x14ac:dyDescent="0.25">
      <c r="D99" s="210">
        <v>45243</v>
      </c>
      <c r="F99" s="214">
        <v>42.06</v>
      </c>
      <c r="G99" s="215">
        <f t="shared" si="4"/>
        <v>3.6726645304412164E-2</v>
      </c>
      <c r="I99" s="412">
        <v>19731.8</v>
      </c>
      <c r="J99" s="28">
        <f t="shared" si="5"/>
        <v>-3.1776182513502116E-3</v>
      </c>
      <c r="K99" s="65"/>
      <c r="M99" s="28"/>
      <c r="O99" s="65"/>
      <c r="Q99" s="28"/>
      <c r="S99" s="65"/>
      <c r="U99" s="28"/>
      <c r="W99" s="65"/>
      <c r="Y99" s="28"/>
    </row>
    <row r="100" spans="4:25" x14ac:dyDescent="0.25">
      <c r="D100" s="210">
        <v>45236</v>
      </c>
      <c r="F100" s="214">
        <v>39.97</v>
      </c>
      <c r="G100" s="215">
        <f t="shared" si="4"/>
        <v>-4.9690917736566864E-2</v>
      </c>
      <c r="I100" s="412">
        <v>19425.349999999999</v>
      </c>
      <c r="J100" s="28">
        <f t="shared" si="5"/>
        <v>-1.5530767593427863E-2</v>
      </c>
      <c r="K100" s="65"/>
      <c r="M100" s="28"/>
      <c r="O100" s="65"/>
      <c r="Q100" s="28"/>
      <c r="S100" s="65"/>
      <c r="U100" s="28"/>
      <c r="W100" s="65"/>
      <c r="Y100" s="28"/>
    </row>
    <row r="101" spans="4:25" x14ac:dyDescent="0.25">
      <c r="D101" s="210">
        <v>45229</v>
      </c>
      <c r="F101" s="214">
        <v>40.369999999999997</v>
      </c>
      <c r="G101" s="215">
        <f t="shared" si="4"/>
        <v>1.0007505629221924E-2</v>
      </c>
      <c r="I101" s="412">
        <v>19230.599999999999</v>
      </c>
      <c r="J101" s="28">
        <f t="shared" si="5"/>
        <v>-1.0025559385030358E-2</v>
      </c>
      <c r="K101" s="65"/>
      <c r="M101" s="28"/>
      <c r="O101" s="65"/>
      <c r="Q101" s="28"/>
      <c r="S101" s="65"/>
      <c r="U101" s="28"/>
      <c r="W101" s="65"/>
      <c r="Y101" s="28"/>
    </row>
    <row r="102" spans="4:25" x14ac:dyDescent="0.25">
      <c r="D102" s="210">
        <v>45222</v>
      </c>
      <c r="F102" s="214">
        <v>39.520000000000003</v>
      </c>
      <c r="G102" s="215">
        <f t="shared" si="4"/>
        <v>-2.1055239038890172E-2</v>
      </c>
      <c r="I102" s="412">
        <v>19047.25</v>
      </c>
      <c r="J102" s="28">
        <f t="shared" si="5"/>
        <v>-9.5342839016983039E-3</v>
      </c>
      <c r="K102" s="65"/>
      <c r="M102" s="28"/>
      <c r="O102" s="65"/>
      <c r="Q102" s="28"/>
      <c r="S102" s="65"/>
      <c r="U102" s="28"/>
      <c r="W102" s="65"/>
      <c r="Y102" s="28"/>
    </row>
    <row r="103" spans="4:25" x14ac:dyDescent="0.25">
      <c r="D103" s="210">
        <v>45215</v>
      </c>
      <c r="F103" s="214">
        <v>40.270000000000003</v>
      </c>
      <c r="G103" s="215">
        <f t="shared" si="4"/>
        <v>1.8977732793522328E-2</v>
      </c>
      <c r="I103" s="412">
        <v>19542.650000000001</v>
      </c>
      <c r="J103" s="28">
        <f t="shared" si="5"/>
        <v>2.6009003924451157E-2</v>
      </c>
      <c r="K103" s="65"/>
      <c r="M103" s="28"/>
      <c r="O103" s="65"/>
      <c r="Q103" s="28"/>
      <c r="S103" s="65"/>
      <c r="U103" s="28"/>
      <c r="W103" s="65"/>
      <c r="Y103" s="28"/>
    </row>
    <row r="104" spans="4:25" x14ac:dyDescent="0.25">
      <c r="D104" s="210">
        <v>45208</v>
      </c>
      <c r="F104" s="214">
        <v>43.01</v>
      </c>
      <c r="G104" s="215">
        <f t="shared" si="4"/>
        <v>6.8040725105537492E-2</v>
      </c>
      <c r="I104" s="412">
        <v>19751.05</v>
      </c>
      <c r="J104" s="28">
        <f t="shared" si="5"/>
        <v>1.0663855720692839E-2</v>
      </c>
      <c r="K104" s="65"/>
      <c r="M104" s="28"/>
      <c r="O104" s="65"/>
      <c r="Q104" s="28"/>
      <c r="S104" s="65"/>
      <c r="U104" s="28"/>
      <c r="W104" s="65"/>
      <c r="Y104" s="28"/>
    </row>
    <row r="105" spans="4:25" x14ac:dyDescent="0.25">
      <c r="D105" s="210">
        <v>45201</v>
      </c>
      <c r="F105" s="214">
        <v>45.25</v>
      </c>
      <c r="G105" s="215">
        <f t="shared" si="4"/>
        <v>5.2080911415949727E-2</v>
      </c>
      <c r="I105" s="412">
        <v>19653.5</v>
      </c>
      <c r="J105" s="28">
        <f t="shared" si="5"/>
        <v>-4.9389779277556611E-3</v>
      </c>
      <c r="K105" s="65"/>
      <c r="M105" s="28"/>
      <c r="O105" s="65"/>
      <c r="Q105" s="28"/>
      <c r="S105" s="65"/>
      <c r="U105" s="28"/>
      <c r="W105" s="65"/>
      <c r="Y105" s="28"/>
    </row>
    <row r="106" spans="4:25" x14ac:dyDescent="0.25">
      <c r="D106" s="210">
        <v>45194</v>
      </c>
      <c r="F106" s="214">
        <v>46.25</v>
      </c>
      <c r="G106" s="215">
        <f t="shared" si="4"/>
        <v>2.2099447513812098E-2</v>
      </c>
      <c r="I106" s="412">
        <v>19638.3</v>
      </c>
      <c r="J106" s="28">
        <f t="shared" si="5"/>
        <v>-7.7339914010232658E-4</v>
      </c>
      <c r="K106" s="65"/>
      <c r="M106" s="28"/>
      <c r="O106" s="65"/>
      <c r="Q106" s="28"/>
      <c r="S106" s="65"/>
      <c r="U106" s="28"/>
      <c r="W106" s="65"/>
      <c r="Y106" s="28"/>
    </row>
    <row r="107" spans="4:25" x14ac:dyDescent="0.25">
      <c r="D107" s="210">
        <v>45187</v>
      </c>
      <c r="F107" s="214">
        <v>46.1</v>
      </c>
      <c r="G107" s="215">
        <f t="shared" si="4"/>
        <v>-3.2432432432432101E-3</v>
      </c>
      <c r="I107" s="412">
        <v>19674.25</v>
      </c>
      <c r="J107" s="28">
        <f t="shared" si="5"/>
        <v>1.8306065188942178E-3</v>
      </c>
      <c r="K107" s="65"/>
      <c r="M107" s="28"/>
      <c r="O107" s="65"/>
      <c r="Q107" s="28"/>
      <c r="S107" s="65"/>
      <c r="U107" s="28"/>
      <c r="W107" s="65"/>
      <c r="Y107" s="28"/>
    </row>
    <row r="108" spans="4:25" x14ac:dyDescent="0.25">
      <c r="D108" s="210">
        <v>45180</v>
      </c>
      <c r="F108" s="214">
        <v>44.51</v>
      </c>
      <c r="G108" s="215">
        <f t="shared" si="4"/>
        <v>-3.4490238611713742E-2</v>
      </c>
      <c r="I108" s="412">
        <v>20192.349999999999</v>
      </c>
      <c r="J108" s="28">
        <f t="shared" si="5"/>
        <v>2.6333913618054039E-2</v>
      </c>
      <c r="K108" s="65"/>
      <c r="M108" s="28"/>
      <c r="O108" s="65"/>
      <c r="Q108" s="28"/>
      <c r="S108" s="65"/>
      <c r="U108" s="28"/>
      <c r="W108" s="65"/>
      <c r="Y108" s="28"/>
    </row>
    <row r="109" spans="4:25" x14ac:dyDescent="0.25">
      <c r="D109" s="210">
        <v>45173</v>
      </c>
      <c r="F109" s="214">
        <v>39.619999999999997</v>
      </c>
      <c r="G109" s="215">
        <f t="shared" si="4"/>
        <v>-0.10986295214558528</v>
      </c>
      <c r="I109" s="412">
        <v>19819.95</v>
      </c>
      <c r="J109" s="28">
        <f t="shared" si="5"/>
        <v>-1.8442628024969765E-2</v>
      </c>
      <c r="K109" s="65"/>
      <c r="M109" s="28"/>
      <c r="O109" s="65"/>
      <c r="Q109" s="28"/>
      <c r="S109" s="65"/>
      <c r="U109" s="28"/>
      <c r="W109" s="65"/>
      <c r="Y109" s="28"/>
    </row>
    <row r="110" spans="4:25" x14ac:dyDescent="0.25">
      <c r="D110" s="210">
        <v>45166</v>
      </c>
      <c r="F110" s="214">
        <v>34.69</v>
      </c>
      <c r="G110" s="215">
        <f t="shared" si="4"/>
        <v>-0.12443210499747603</v>
      </c>
      <c r="I110" s="412">
        <v>19435.3</v>
      </c>
      <c r="J110" s="28">
        <f t="shared" si="5"/>
        <v>-1.940721343898455E-2</v>
      </c>
      <c r="K110" s="65"/>
      <c r="M110" s="28"/>
      <c r="O110" s="65"/>
      <c r="Q110" s="28"/>
      <c r="S110" s="65"/>
      <c r="U110" s="28"/>
      <c r="W110" s="65"/>
      <c r="Y110" s="28"/>
    </row>
    <row r="111" spans="4:25" x14ac:dyDescent="0.25">
      <c r="D111" s="210">
        <v>45159</v>
      </c>
      <c r="F111" s="214">
        <v>34.99</v>
      </c>
      <c r="G111" s="215">
        <f t="shared" si="4"/>
        <v>8.6480253675411678E-3</v>
      </c>
      <c r="I111" s="412">
        <v>19265.8</v>
      </c>
      <c r="J111" s="28">
        <f t="shared" si="5"/>
        <v>-8.7212443337638668E-3</v>
      </c>
      <c r="K111" s="65"/>
      <c r="M111" s="28"/>
      <c r="O111" s="65"/>
      <c r="Q111" s="28"/>
      <c r="S111" s="65"/>
      <c r="U111" s="28"/>
      <c r="W111" s="65"/>
      <c r="Y111" s="28"/>
    </row>
    <row r="112" spans="4:25" x14ac:dyDescent="0.25">
      <c r="D112" s="210">
        <v>45152</v>
      </c>
      <c r="F112" s="214">
        <v>35.49</v>
      </c>
      <c r="G112" s="215">
        <f t="shared" si="4"/>
        <v>1.4289797084881428E-2</v>
      </c>
      <c r="I112" s="412">
        <v>19310.150000000001</v>
      </c>
      <c r="J112" s="28">
        <f t="shared" si="5"/>
        <v>2.3020066646597392E-3</v>
      </c>
      <c r="K112" s="65"/>
      <c r="M112" s="28"/>
      <c r="O112" s="65"/>
      <c r="Q112" s="28"/>
      <c r="S112" s="65"/>
      <c r="U112" s="28"/>
      <c r="W112" s="65"/>
      <c r="Y112" s="28"/>
    </row>
    <row r="113" spans="4:25" x14ac:dyDescent="0.25">
      <c r="D113" s="210">
        <v>45145</v>
      </c>
      <c r="F113" s="214">
        <v>33.19</v>
      </c>
      <c r="G113" s="215">
        <f t="shared" si="4"/>
        <v>-6.4806987883911038E-2</v>
      </c>
      <c r="I113" s="412">
        <v>19428.3</v>
      </c>
      <c r="J113" s="28">
        <f t="shared" si="5"/>
        <v>6.1185438745943177E-3</v>
      </c>
      <c r="K113" s="65"/>
      <c r="M113" s="28"/>
      <c r="O113" s="65"/>
      <c r="Q113" s="28"/>
      <c r="S113" s="65"/>
      <c r="U113" s="28"/>
      <c r="W113" s="65"/>
      <c r="Y113" s="28"/>
    </row>
    <row r="114" spans="4:25" x14ac:dyDescent="0.25">
      <c r="D114" s="210">
        <v>45138</v>
      </c>
      <c r="F114" s="214">
        <v>32.89</v>
      </c>
      <c r="G114" s="215">
        <f t="shared" si="4"/>
        <v>-9.0388671286530942E-3</v>
      </c>
      <c r="I114" s="412">
        <v>19517</v>
      </c>
      <c r="J114" s="28">
        <f t="shared" si="5"/>
        <v>4.5655049592605579E-3</v>
      </c>
      <c r="K114" s="65"/>
      <c r="M114" s="28"/>
      <c r="O114" s="65"/>
      <c r="Q114" s="28"/>
      <c r="S114" s="65"/>
      <c r="U114" s="28"/>
      <c r="W114" s="65"/>
      <c r="Y114" s="28"/>
    </row>
    <row r="115" spans="4:25" x14ac:dyDescent="0.25">
      <c r="D115" s="210">
        <v>45131</v>
      </c>
      <c r="F115" s="214">
        <v>32.99</v>
      </c>
      <c r="G115" s="215">
        <f t="shared" si="4"/>
        <v>3.0404378230466378E-3</v>
      </c>
      <c r="I115" s="412">
        <v>19646.05</v>
      </c>
      <c r="J115" s="28">
        <f t="shared" si="5"/>
        <v>6.6121842496285055E-3</v>
      </c>
      <c r="K115" s="65"/>
      <c r="M115" s="28"/>
      <c r="O115" s="65"/>
      <c r="Q115" s="28"/>
      <c r="S115" s="65"/>
      <c r="U115" s="28"/>
      <c r="W115" s="65"/>
      <c r="Y115" s="28"/>
    </row>
    <row r="116" spans="4:25" x14ac:dyDescent="0.25">
      <c r="D116" s="210">
        <v>45124</v>
      </c>
      <c r="F116" s="214">
        <v>33.69</v>
      </c>
      <c r="G116" s="215">
        <f t="shared" si="4"/>
        <v>2.1218551076083614E-2</v>
      </c>
      <c r="I116" s="412">
        <v>19745</v>
      </c>
      <c r="J116" s="28">
        <f t="shared" si="5"/>
        <v>5.0366358631888097E-3</v>
      </c>
      <c r="K116" s="65"/>
      <c r="M116" s="28"/>
      <c r="O116" s="65"/>
      <c r="Q116" s="28"/>
      <c r="S116" s="65"/>
      <c r="U116" s="28"/>
      <c r="W116" s="65"/>
      <c r="Y116" s="28"/>
    </row>
    <row r="117" spans="4:25" x14ac:dyDescent="0.25">
      <c r="D117" s="210">
        <v>45117</v>
      </c>
      <c r="F117" s="214">
        <v>32.89</v>
      </c>
      <c r="G117" s="215">
        <f t="shared" si="4"/>
        <v>-2.3745918670228461E-2</v>
      </c>
      <c r="I117" s="412">
        <v>19564.5</v>
      </c>
      <c r="J117" s="28">
        <f t="shared" si="5"/>
        <v>-9.1415548240060263E-3</v>
      </c>
      <c r="K117" s="65"/>
      <c r="M117" s="28"/>
      <c r="O117" s="65"/>
      <c r="Q117" s="28"/>
      <c r="S117" s="65"/>
      <c r="U117" s="28"/>
      <c r="W117" s="65"/>
      <c r="Y117" s="28"/>
    </row>
    <row r="118" spans="4:25" x14ac:dyDescent="0.25">
      <c r="D118" s="210">
        <v>45110</v>
      </c>
      <c r="F118" s="214">
        <v>32.46</v>
      </c>
      <c r="G118" s="215">
        <f t="shared" si="4"/>
        <v>-1.3073882639100032E-2</v>
      </c>
      <c r="I118" s="412">
        <v>19331.8</v>
      </c>
      <c r="J118" s="28">
        <f t="shared" si="5"/>
        <v>-1.1893991668583404E-2</v>
      </c>
      <c r="K118" s="65"/>
      <c r="M118" s="28"/>
      <c r="O118" s="65"/>
      <c r="Q118" s="28"/>
      <c r="S118" s="65"/>
      <c r="U118" s="28"/>
      <c r="W118" s="65"/>
      <c r="Y118" s="28"/>
    </row>
    <row r="119" spans="4:25" x14ac:dyDescent="0.25">
      <c r="D119" s="210">
        <v>45103</v>
      </c>
      <c r="F119" s="214">
        <v>31.38</v>
      </c>
      <c r="G119" s="215">
        <f t="shared" si="4"/>
        <v>-3.3271719038817094E-2</v>
      </c>
      <c r="I119" s="412">
        <v>19189.05</v>
      </c>
      <c r="J119" s="28">
        <f t="shared" si="5"/>
        <v>-7.3842063336058139E-3</v>
      </c>
      <c r="K119" s="65"/>
      <c r="M119" s="28"/>
      <c r="O119" s="65"/>
      <c r="Q119" s="28"/>
      <c r="S119" s="65"/>
      <c r="U119" s="28"/>
      <c r="W119" s="65"/>
      <c r="Y119" s="28"/>
    </row>
    <row r="120" spans="4:25" x14ac:dyDescent="0.25">
      <c r="D120" s="210">
        <v>45096</v>
      </c>
      <c r="F120" s="214">
        <v>29.36</v>
      </c>
      <c r="G120" s="215">
        <f t="shared" si="4"/>
        <v>-6.4372211599745044E-2</v>
      </c>
      <c r="I120" s="412">
        <v>18665.5</v>
      </c>
      <c r="J120" s="28">
        <f t="shared" si="5"/>
        <v>-2.7283789452838936E-2</v>
      </c>
      <c r="K120" s="65"/>
      <c r="M120" s="28"/>
      <c r="O120" s="65"/>
      <c r="Q120" s="28"/>
      <c r="S120" s="65"/>
      <c r="U120" s="28"/>
      <c r="W120" s="65"/>
      <c r="Y120" s="28"/>
    </row>
    <row r="121" spans="4:25" x14ac:dyDescent="0.25">
      <c r="D121" s="210">
        <v>45089</v>
      </c>
      <c r="F121" s="214">
        <v>30.49</v>
      </c>
      <c r="G121" s="215">
        <f t="shared" si="4"/>
        <v>3.84877384196185E-2</v>
      </c>
      <c r="I121" s="412">
        <v>18826</v>
      </c>
      <c r="J121" s="28">
        <f t="shared" si="5"/>
        <v>8.598751707695973E-3</v>
      </c>
      <c r="K121" s="65"/>
      <c r="M121" s="28"/>
      <c r="O121" s="65"/>
      <c r="Q121" s="28"/>
      <c r="S121" s="65"/>
      <c r="U121" s="28"/>
      <c r="W121" s="65"/>
      <c r="Y121" s="28"/>
    </row>
    <row r="122" spans="4:25" x14ac:dyDescent="0.25">
      <c r="D122" s="210">
        <v>45082</v>
      </c>
      <c r="F122" s="214">
        <v>31.48</v>
      </c>
      <c r="G122" s="215">
        <f t="shared" si="4"/>
        <v>3.2469662184322789E-2</v>
      </c>
      <c r="I122" s="412">
        <v>18563.400000000001</v>
      </c>
      <c r="J122" s="28">
        <f t="shared" si="5"/>
        <v>-1.3948794220758454E-2</v>
      </c>
      <c r="K122" s="65"/>
      <c r="M122" s="28"/>
      <c r="O122" s="65"/>
      <c r="Q122" s="28"/>
      <c r="S122" s="65"/>
      <c r="U122" s="28"/>
      <c r="W122" s="65"/>
      <c r="Y122" s="28"/>
    </row>
    <row r="123" spans="4:25" x14ac:dyDescent="0.25">
      <c r="D123" s="210">
        <v>45075</v>
      </c>
      <c r="F123" s="214">
        <v>32.61</v>
      </c>
      <c r="G123" s="215">
        <f t="shared" si="4"/>
        <v>3.5895806861499402E-2</v>
      </c>
      <c r="I123" s="412">
        <v>18534.099999999999</v>
      </c>
      <c r="J123" s="28">
        <f t="shared" si="5"/>
        <v>-1.5783746511954799E-3</v>
      </c>
      <c r="K123" s="65"/>
      <c r="M123" s="28"/>
      <c r="O123" s="65"/>
      <c r="Q123" s="28"/>
      <c r="S123" s="65"/>
      <c r="U123" s="28"/>
      <c r="W123" s="65"/>
      <c r="Y123" s="28"/>
    </row>
    <row r="124" spans="4:25" x14ac:dyDescent="0.25">
      <c r="D124" s="210">
        <v>45068</v>
      </c>
      <c r="F124" s="214">
        <v>32.06</v>
      </c>
      <c r="G124" s="215">
        <f t="shared" si="4"/>
        <v>-1.6865992026985466E-2</v>
      </c>
      <c r="I124" s="412">
        <v>18499.349999999999</v>
      </c>
      <c r="J124" s="28">
        <f t="shared" si="5"/>
        <v>-1.874922440258775E-3</v>
      </c>
      <c r="K124" s="65"/>
      <c r="M124" s="28"/>
      <c r="O124" s="65"/>
      <c r="Q124" s="28"/>
      <c r="S124" s="65"/>
      <c r="U124" s="28"/>
      <c r="W124" s="65"/>
      <c r="Y124" s="28"/>
    </row>
    <row r="125" spans="4:25" x14ac:dyDescent="0.25">
      <c r="D125" s="210">
        <v>45061</v>
      </c>
      <c r="F125" s="214">
        <v>30.49</v>
      </c>
      <c r="G125" s="215">
        <f t="shared" si="4"/>
        <v>-4.8970679975046894E-2</v>
      </c>
      <c r="I125" s="412">
        <v>18203.400000000001</v>
      </c>
      <c r="J125" s="28">
        <f t="shared" si="5"/>
        <v>-1.599785938424847E-2</v>
      </c>
      <c r="K125" s="65"/>
      <c r="M125" s="28"/>
      <c r="O125" s="65"/>
      <c r="Q125" s="28"/>
      <c r="S125" s="65"/>
      <c r="U125" s="28"/>
      <c r="W125" s="65"/>
      <c r="Y125" s="28"/>
    </row>
    <row r="126" spans="4:25" x14ac:dyDescent="0.25">
      <c r="D126" s="210">
        <v>45054</v>
      </c>
      <c r="F126" s="214">
        <v>31.33</v>
      </c>
      <c r="G126" s="215">
        <f t="shared" si="4"/>
        <v>2.7550016398819377E-2</v>
      </c>
      <c r="I126" s="412">
        <v>18314.8</v>
      </c>
      <c r="J126" s="28">
        <f t="shared" si="5"/>
        <v>6.1197358735181062E-3</v>
      </c>
      <c r="K126" s="65"/>
      <c r="M126" s="28"/>
      <c r="O126" s="65"/>
      <c r="Q126" s="28"/>
      <c r="S126" s="65"/>
      <c r="U126" s="28"/>
      <c r="W126" s="65"/>
      <c r="Y126" s="28"/>
    </row>
    <row r="127" spans="4:25" x14ac:dyDescent="0.25">
      <c r="D127" s="210">
        <v>45047</v>
      </c>
      <c r="F127" s="214">
        <v>32.65</v>
      </c>
      <c r="G127" s="215">
        <f t="shared" si="4"/>
        <v>4.213214171720403E-2</v>
      </c>
      <c r="I127" s="412">
        <v>18069</v>
      </c>
      <c r="J127" s="28">
        <f t="shared" si="5"/>
        <v>-1.3420839976412524E-2</v>
      </c>
      <c r="K127" s="65"/>
      <c r="M127" s="28"/>
      <c r="O127" s="65"/>
      <c r="Q127" s="28"/>
      <c r="S127" s="65"/>
      <c r="U127" s="28"/>
      <c r="W127" s="65"/>
      <c r="Y127" s="28"/>
    </row>
    <row r="128" spans="4:25" x14ac:dyDescent="0.25">
      <c r="D128" s="210">
        <v>45040</v>
      </c>
      <c r="F128" s="214">
        <v>35.35</v>
      </c>
      <c r="G128" s="215">
        <f t="shared" si="4"/>
        <v>8.2695252679938935E-2</v>
      </c>
      <c r="I128" s="412">
        <v>18065</v>
      </c>
      <c r="J128" s="28">
        <f t="shared" si="5"/>
        <v>-2.2137362333274346E-4</v>
      </c>
      <c r="K128" s="65"/>
      <c r="M128" s="28"/>
      <c r="O128" s="65"/>
      <c r="Q128" s="28"/>
      <c r="S128" s="65"/>
      <c r="U128" s="28"/>
      <c r="W128" s="65"/>
      <c r="Y128" s="28"/>
    </row>
    <row r="129" spans="4:25" x14ac:dyDescent="0.25">
      <c r="D129" s="210">
        <v>45033</v>
      </c>
      <c r="F129" s="214">
        <v>30.1</v>
      </c>
      <c r="G129" s="215">
        <f t="shared" si="4"/>
        <v>-0.14851485148514854</v>
      </c>
      <c r="I129" s="412">
        <v>17624.05</v>
      </c>
      <c r="J129" s="28">
        <f t="shared" si="5"/>
        <v>-2.4409078328259115E-2</v>
      </c>
      <c r="K129" s="65"/>
      <c r="M129" s="28"/>
      <c r="O129" s="65"/>
      <c r="Q129" s="28"/>
      <c r="S129" s="65"/>
      <c r="U129" s="28"/>
      <c r="W129" s="65"/>
      <c r="Y129" s="28"/>
    </row>
    <row r="130" spans="4:25" x14ac:dyDescent="0.25">
      <c r="D130" s="210">
        <v>45026</v>
      </c>
      <c r="F130" s="214">
        <v>27.3</v>
      </c>
      <c r="G130" s="215">
        <f t="shared" si="4"/>
        <v>-9.3023255813953543E-2</v>
      </c>
      <c r="I130" s="412">
        <v>17828</v>
      </c>
      <c r="J130" s="28">
        <f t="shared" si="5"/>
        <v>1.15722549584234E-2</v>
      </c>
      <c r="K130" s="65"/>
      <c r="M130" s="28"/>
      <c r="O130" s="65"/>
      <c r="Q130" s="28"/>
      <c r="S130" s="65"/>
      <c r="U130" s="28"/>
      <c r="W130" s="65"/>
      <c r="Y130" s="28"/>
    </row>
    <row r="131" spans="4:25" x14ac:dyDescent="0.25">
      <c r="D131" s="210">
        <v>45019</v>
      </c>
      <c r="F131" s="214">
        <v>25.78</v>
      </c>
      <c r="G131" s="215">
        <f t="shared" si="4"/>
        <v>-5.5677655677655702E-2</v>
      </c>
      <c r="I131" s="412">
        <v>17599.150000000001</v>
      </c>
      <c r="J131" s="28">
        <f t="shared" si="5"/>
        <v>-1.2836549248373297E-2</v>
      </c>
      <c r="K131" s="65"/>
      <c r="M131" s="28"/>
      <c r="O131" s="65"/>
      <c r="Q131" s="28"/>
      <c r="S131" s="65"/>
      <c r="U131" s="28"/>
      <c r="W131" s="65"/>
      <c r="Y131" s="28"/>
    </row>
    <row r="132" spans="4:25" x14ac:dyDescent="0.25">
      <c r="D132" s="210">
        <v>45012</v>
      </c>
      <c r="F132" s="214">
        <v>25.19</v>
      </c>
      <c r="G132" s="215">
        <f t="shared" si="4"/>
        <v>-2.2885958107059734E-2</v>
      </c>
      <c r="I132" s="412">
        <v>17359.75</v>
      </c>
      <c r="J132" s="28">
        <f t="shared" si="5"/>
        <v>-1.3602929686945209E-2</v>
      </c>
      <c r="K132" s="65"/>
      <c r="M132" s="28"/>
      <c r="O132" s="65"/>
      <c r="Q132" s="28"/>
      <c r="S132" s="65"/>
      <c r="U132" s="28"/>
      <c r="W132" s="65"/>
      <c r="Y132" s="28"/>
    </row>
    <row r="133" spans="4:25" x14ac:dyDescent="0.25">
      <c r="D133" s="210">
        <v>45005</v>
      </c>
      <c r="F133" s="214">
        <v>24.11</v>
      </c>
      <c r="G133" s="215">
        <f t="shared" si="4"/>
        <v>-4.2874156411274345E-2</v>
      </c>
      <c r="I133" s="412">
        <v>16945.05</v>
      </c>
      <c r="J133" s="28">
        <f t="shared" si="5"/>
        <v>-2.388859286568068E-2</v>
      </c>
      <c r="K133" s="65"/>
      <c r="M133" s="28"/>
      <c r="O133" s="65"/>
      <c r="Q133" s="28"/>
      <c r="S133" s="65"/>
      <c r="U133" s="28"/>
      <c r="W133" s="65"/>
      <c r="Y133" s="28"/>
    </row>
    <row r="134" spans="4:25" x14ac:dyDescent="0.25">
      <c r="D134" s="210">
        <v>44998</v>
      </c>
      <c r="F134" s="214">
        <v>25.39</v>
      </c>
      <c r="G134" s="215">
        <f t="shared" si="4"/>
        <v>5.3090004147656522E-2</v>
      </c>
      <c r="I134" s="412">
        <v>17100.05</v>
      </c>
      <c r="J134" s="28">
        <f t="shared" si="5"/>
        <v>9.1472140831687643E-3</v>
      </c>
      <c r="K134" s="65"/>
      <c r="M134" s="28"/>
      <c r="O134" s="65"/>
      <c r="Q134" s="28"/>
      <c r="S134" s="65"/>
      <c r="U134" s="28"/>
      <c r="W134" s="65"/>
      <c r="Y134" s="28"/>
    </row>
    <row r="135" spans="4:25" x14ac:dyDescent="0.25">
      <c r="D135" s="210">
        <v>44991</v>
      </c>
      <c r="F135" s="214">
        <v>27.06</v>
      </c>
      <c r="G135" s="215">
        <f t="shared" si="4"/>
        <v>6.5773926742812128E-2</v>
      </c>
      <c r="I135" s="412">
        <v>17412.900000000001</v>
      </c>
      <c r="J135" s="28">
        <f t="shared" si="5"/>
        <v>1.829526814249105E-2</v>
      </c>
      <c r="K135" s="65"/>
      <c r="M135" s="28"/>
      <c r="O135" s="65"/>
      <c r="Q135" s="28"/>
      <c r="S135" s="65"/>
      <c r="U135" s="28"/>
      <c r="W135" s="65"/>
      <c r="Y135" s="28"/>
    </row>
    <row r="136" spans="4:25" x14ac:dyDescent="0.25">
      <c r="D136" s="210">
        <v>44984</v>
      </c>
      <c r="F136" s="214">
        <v>27.74</v>
      </c>
      <c r="G136" s="215">
        <f t="shared" si="4"/>
        <v>2.512934220251295E-2</v>
      </c>
      <c r="I136" s="412">
        <v>17594.349999999999</v>
      </c>
      <c r="J136" s="28">
        <f t="shared" si="5"/>
        <v>1.0420435424311592E-2</v>
      </c>
      <c r="K136" s="65"/>
      <c r="M136" s="28"/>
      <c r="O136" s="65"/>
      <c r="Q136" s="28"/>
      <c r="S136" s="65"/>
      <c r="U136" s="28"/>
      <c r="W136" s="65"/>
      <c r="Y136" s="28"/>
    </row>
    <row r="137" spans="4:25" x14ac:dyDescent="0.25">
      <c r="D137" s="210">
        <v>44977</v>
      </c>
      <c r="F137" s="214">
        <v>24.99</v>
      </c>
      <c r="G137" s="215">
        <f t="shared" si="4"/>
        <v>-9.9134823359769308E-2</v>
      </c>
      <c r="I137" s="412">
        <v>17465.8</v>
      </c>
      <c r="J137" s="28">
        <f t="shared" si="5"/>
        <v>-7.3063227683887177E-3</v>
      </c>
      <c r="K137" s="65"/>
      <c r="M137" s="28"/>
      <c r="O137" s="65"/>
      <c r="Q137" s="28"/>
      <c r="S137" s="65"/>
      <c r="U137" s="28"/>
      <c r="W137" s="65"/>
      <c r="Y137" s="28"/>
    </row>
    <row r="138" spans="4:25" x14ac:dyDescent="0.25">
      <c r="D138" s="210">
        <v>44970</v>
      </c>
      <c r="F138" s="214">
        <v>26.76</v>
      </c>
      <c r="G138" s="215">
        <f t="shared" si="4"/>
        <v>7.0828331332533079E-2</v>
      </c>
      <c r="I138" s="412">
        <v>17944.2</v>
      </c>
      <c r="J138" s="28">
        <f t="shared" si="5"/>
        <v>2.7390672056247123E-2</v>
      </c>
      <c r="K138" s="65"/>
      <c r="M138" s="28"/>
      <c r="O138" s="65"/>
      <c r="Q138" s="28"/>
      <c r="S138" s="65"/>
      <c r="U138" s="28"/>
      <c r="W138" s="65"/>
      <c r="Y138" s="28"/>
    </row>
    <row r="139" spans="4:25" x14ac:dyDescent="0.25">
      <c r="D139" s="210">
        <v>44963</v>
      </c>
      <c r="F139" s="214">
        <v>28.73</v>
      </c>
      <c r="G139" s="215">
        <f t="shared" si="4"/>
        <v>7.3617339312406438E-2</v>
      </c>
      <c r="I139" s="412">
        <v>17856.5</v>
      </c>
      <c r="J139" s="28">
        <f t="shared" si="5"/>
        <v>-4.8873730787664105E-3</v>
      </c>
      <c r="K139" s="65"/>
      <c r="M139" s="28"/>
      <c r="O139" s="65"/>
      <c r="Q139" s="28"/>
      <c r="S139" s="65"/>
      <c r="U139" s="28"/>
      <c r="W139" s="65"/>
      <c r="Y139" s="28"/>
    </row>
    <row r="140" spans="4:25" x14ac:dyDescent="0.25">
      <c r="D140" s="210">
        <v>44956</v>
      </c>
      <c r="F140" s="214">
        <v>27.94</v>
      </c>
      <c r="G140" s="215">
        <f t="shared" si="4"/>
        <v>-2.7497389488339685E-2</v>
      </c>
      <c r="I140" s="412">
        <v>17854.05</v>
      </c>
      <c r="J140" s="28">
        <f t="shared" si="5"/>
        <v>-1.3720493937785516E-4</v>
      </c>
      <c r="K140" s="65"/>
      <c r="M140" s="28"/>
      <c r="O140" s="65"/>
      <c r="Q140" s="28"/>
      <c r="S140" s="65"/>
      <c r="U140" s="28"/>
      <c r="W140" s="65"/>
      <c r="Y140" s="28"/>
    </row>
    <row r="141" spans="4:25" x14ac:dyDescent="0.25">
      <c r="D141" s="210">
        <v>44949</v>
      </c>
      <c r="F141" s="214">
        <v>27.84</v>
      </c>
      <c r="G141" s="215">
        <f t="shared" si="4"/>
        <v>-3.5790980672870676E-3</v>
      </c>
      <c r="I141" s="412">
        <v>17604.349999999999</v>
      </c>
      <c r="J141" s="28">
        <f t="shared" si="5"/>
        <v>-1.3985622309784063E-2</v>
      </c>
      <c r="K141" s="65"/>
      <c r="M141" s="28"/>
      <c r="O141" s="65"/>
      <c r="Q141" s="28"/>
      <c r="S141" s="65"/>
      <c r="U141" s="28"/>
      <c r="W141" s="65"/>
      <c r="Y141" s="28"/>
    </row>
    <row r="142" spans="4:25" x14ac:dyDescent="0.25">
      <c r="D142" s="210">
        <v>44942</v>
      </c>
      <c r="F142" s="214">
        <v>31.38</v>
      </c>
      <c r="G142" s="215">
        <f t="shared" ref="G142:G205" si="6">F142/F141-1</f>
        <v>0.12715517241379315</v>
      </c>
      <c r="I142" s="412">
        <v>18027.650000000001</v>
      </c>
      <c r="J142" s="28">
        <f t="shared" ref="J142:J205" si="7">I142/I141-1</f>
        <v>2.4045193375501039E-2</v>
      </c>
      <c r="K142" s="65"/>
      <c r="M142" s="28"/>
      <c r="O142" s="65"/>
      <c r="Q142" s="28"/>
      <c r="S142" s="65"/>
      <c r="U142" s="28"/>
      <c r="W142" s="65"/>
      <c r="Y142" s="28"/>
    </row>
    <row r="143" spans="4:25" x14ac:dyDescent="0.25">
      <c r="D143" s="210">
        <v>44935</v>
      </c>
      <c r="F143" s="214">
        <v>30.94</v>
      </c>
      <c r="G143" s="215">
        <f t="shared" si="6"/>
        <v>-1.4021669853409691E-2</v>
      </c>
      <c r="I143" s="412">
        <v>17956.599999999999</v>
      </c>
      <c r="J143" s="28">
        <f t="shared" si="7"/>
        <v>-3.9411681500363116E-3</v>
      </c>
      <c r="K143" s="65"/>
      <c r="M143" s="28"/>
      <c r="O143" s="65"/>
      <c r="Q143" s="28"/>
      <c r="S143" s="65"/>
      <c r="U143" s="28"/>
      <c r="W143" s="65"/>
      <c r="Y143" s="28"/>
    </row>
    <row r="144" spans="4:25" x14ac:dyDescent="0.25">
      <c r="D144" s="210">
        <v>44928</v>
      </c>
      <c r="F144" s="214">
        <v>31.33</v>
      </c>
      <c r="G144" s="215">
        <f t="shared" si="6"/>
        <v>1.2605042016806678E-2</v>
      </c>
      <c r="I144" s="412">
        <v>17859.45</v>
      </c>
      <c r="J144" s="28">
        <f t="shared" si="7"/>
        <v>-5.4102669770444978E-3</v>
      </c>
      <c r="K144" s="65"/>
      <c r="M144" s="28"/>
      <c r="O144" s="65"/>
      <c r="Q144" s="28"/>
      <c r="S144" s="65"/>
      <c r="U144" s="28"/>
      <c r="W144" s="65"/>
      <c r="Y144" s="28"/>
    </row>
    <row r="145" spans="4:25" x14ac:dyDescent="0.25">
      <c r="D145" s="210">
        <v>44921</v>
      </c>
      <c r="F145" s="214">
        <v>33.15</v>
      </c>
      <c r="G145" s="215">
        <f t="shared" si="6"/>
        <v>5.8091286307053958E-2</v>
      </c>
      <c r="I145" s="412">
        <v>18105.3</v>
      </c>
      <c r="J145" s="28">
        <f t="shared" si="7"/>
        <v>1.3765821455867799E-2</v>
      </c>
      <c r="K145" s="65"/>
      <c r="M145" s="28"/>
      <c r="O145" s="65"/>
      <c r="Q145" s="28"/>
      <c r="S145" s="65"/>
      <c r="U145" s="28"/>
      <c r="W145" s="65"/>
      <c r="Y145" s="28"/>
    </row>
    <row r="146" spans="4:25" x14ac:dyDescent="0.25">
      <c r="D146" s="210">
        <v>44914</v>
      </c>
      <c r="F146" s="214">
        <v>30.89</v>
      </c>
      <c r="G146" s="215">
        <f t="shared" si="6"/>
        <v>-6.8174962292609331E-2</v>
      </c>
      <c r="I146" s="412">
        <v>17806.8</v>
      </c>
      <c r="J146" s="28">
        <f t="shared" si="7"/>
        <v>-1.6486885055757128E-2</v>
      </c>
      <c r="K146" s="65"/>
      <c r="M146" s="28"/>
      <c r="O146" s="65"/>
      <c r="Q146" s="28"/>
      <c r="S146" s="65"/>
      <c r="U146" s="28"/>
      <c r="W146" s="65"/>
      <c r="Y146" s="28"/>
    </row>
    <row r="147" spans="4:25" x14ac:dyDescent="0.25">
      <c r="D147" s="210">
        <v>44907</v>
      </c>
      <c r="F147" s="214">
        <v>39.770000000000003</v>
      </c>
      <c r="G147" s="215">
        <f t="shared" si="6"/>
        <v>0.28747167368080295</v>
      </c>
      <c r="I147" s="412">
        <v>18269</v>
      </c>
      <c r="J147" s="28">
        <f t="shared" si="7"/>
        <v>2.5956376215827692E-2</v>
      </c>
      <c r="K147" s="65"/>
      <c r="M147" s="28"/>
      <c r="O147" s="65"/>
      <c r="Q147" s="28"/>
      <c r="S147" s="65"/>
      <c r="U147" s="28"/>
      <c r="W147" s="65"/>
      <c r="Y147" s="28"/>
    </row>
    <row r="148" spans="4:25" x14ac:dyDescent="0.25">
      <c r="D148" s="210">
        <v>44900</v>
      </c>
      <c r="F148" s="214">
        <v>33.19</v>
      </c>
      <c r="G148" s="215">
        <f t="shared" si="6"/>
        <v>-0.16545134523510197</v>
      </c>
      <c r="I148" s="412">
        <v>18496.599999999999</v>
      </c>
      <c r="J148" s="28">
        <f t="shared" si="7"/>
        <v>1.2458262630685724E-2</v>
      </c>
      <c r="K148" s="65"/>
      <c r="M148" s="28"/>
      <c r="O148" s="65"/>
      <c r="Q148" s="28"/>
      <c r="S148" s="65"/>
      <c r="U148" s="28"/>
      <c r="W148" s="65"/>
      <c r="Y148" s="28"/>
    </row>
    <row r="149" spans="4:25" x14ac:dyDescent="0.25">
      <c r="D149" s="210">
        <v>44893</v>
      </c>
      <c r="F149" s="214">
        <v>22.83</v>
      </c>
      <c r="G149" s="215">
        <f t="shared" si="6"/>
        <v>-0.31214221150949084</v>
      </c>
      <c r="I149" s="412">
        <v>18696.099999999999</v>
      </c>
      <c r="J149" s="28">
        <f t="shared" si="7"/>
        <v>1.0785766032676225E-2</v>
      </c>
      <c r="K149" s="65"/>
      <c r="M149" s="28"/>
      <c r="O149" s="65"/>
      <c r="Q149" s="28"/>
      <c r="S149" s="65"/>
      <c r="U149" s="28"/>
      <c r="W149" s="65"/>
      <c r="Y149" s="28"/>
    </row>
    <row r="150" spans="4:25" x14ac:dyDescent="0.25">
      <c r="D150" s="210">
        <v>44886</v>
      </c>
      <c r="F150" s="214">
        <v>20.92</v>
      </c>
      <c r="G150" s="215">
        <f t="shared" si="6"/>
        <v>-8.3661848445028331E-2</v>
      </c>
      <c r="I150" s="412">
        <v>18512.75</v>
      </c>
      <c r="J150" s="28">
        <f t="shared" si="7"/>
        <v>-9.8068581147938705E-3</v>
      </c>
      <c r="K150" s="65"/>
      <c r="M150" s="28"/>
      <c r="O150" s="65"/>
      <c r="Q150" s="28"/>
      <c r="S150" s="65"/>
      <c r="U150" s="28"/>
      <c r="W150" s="65"/>
      <c r="Y150" s="28"/>
    </row>
    <row r="151" spans="4:25" x14ac:dyDescent="0.25">
      <c r="D151" s="210">
        <v>44879</v>
      </c>
      <c r="F151" s="214">
        <v>18.510000000000002</v>
      </c>
      <c r="G151" s="215">
        <f t="shared" si="6"/>
        <v>-0.11520076481835562</v>
      </c>
      <c r="I151" s="412">
        <v>18307.650000000001</v>
      </c>
      <c r="J151" s="28">
        <f t="shared" si="7"/>
        <v>-1.1078851062105821E-2</v>
      </c>
      <c r="K151" s="65"/>
      <c r="M151" s="28"/>
      <c r="O151" s="65"/>
      <c r="Q151" s="28"/>
      <c r="S151" s="65"/>
      <c r="U151" s="28"/>
      <c r="W151" s="65"/>
      <c r="Y151" s="28"/>
    </row>
    <row r="152" spans="4:25" x14ac:dyDescent="0.25">
      <c r="D152" s="210">
        <v>44872</v>
      </c>
      <c r="F152" s="214">
        <v>18.07</v>
      </c>
      <c r="G152" s="215">
        <f t="shared" si="6"/>
        <v>-2.3770934629929852E-2</v>
      </c>
      <c r="I152" s="412">
        <v>18349.7</v>
      </c>
      <c r="J152" s="28">
        <f t="shared" si="7"/>
        <v>2.296854047351804E-3</v>
      </c>
      <c r="K152" s="65"/>
      <c r="M152" s="28"/>
      <c r="O152" s="65"/>
      <c r="Q152" s="28"/>
      <c r="S152" s="65"/>
      <c r="U152" s="28"/>
      <c r="W152" s="65"/>
      <c r="Y152" s="28"/>
    </row>
    <row r="153" spans="4:25" x14ac:dyDescent="0.25">
      <c r="D153" s="210">
        <v>44865</v>
      </c>
      <c r="F153" s="214">
        <v>18.32</v>
      </c>
      <c r="G153" s="215">
        <f t="shared" si="6"/>
        <v>1.3835085777531786E-2</v>
      </c>
      <c r="I153" s="412">
        <v>18117.150000000001</v>
      </c>
      <c r="J153" s="28">
        <f t="shared" si="7"/>
        <v>-1.2673231714959932E-2</v>
      </c>
      <c r="K153" s="65"/>
      <c r="M153" s="28"/>
      <c r="O153" s="65"/>
      <c r="Q153" s="28"/>
      <c r="S153" s="65"/>
      <c r="U153" s="28"/>
      <c r="W153" s="65"/>
      <c r="Y153" s="28"/>
    </row>
    <row r="154" spans="4:25" x14ac:dyDescent="0.25">
      <c r="D154" s="210">
        <v>44858</v>
      </c>
      <c r="F154" s="214">
        <v>16.16</v>
      </c>
      <c r="G154" s="215">
        <f t="shared" si="6"/>
        <v>-0.11790393013100442</v>
      </c>
      <c r="I154" s="412">
        <v>17786.8</v>
      </c>
      <c r="J154" s="28">
        <f t="shared" si="7"/>
        <v>-1.8234104149935426E-2</v>
      </c>
      <c r="K154" s="65"/>
      <c r="M154" s="28"/>
      <c r="O154" s="65"/>
      <c r="Q154" s="28"/>
      <c r="S154" s="65"/>
      <c r="U154" s="28"/>
      <c r="W154" s="65"/>
      <c r="Y154" s="28"/>
    </row>
    <row r="155" spans="4:25" x14ac:dyDescent="0.25">
      <c r="D155" s="210">
        <v>44851</v>
      </c>
      <c r="F155" s="214">
        <v>15.52</v>
      </c>
      <c r="G155" s="215">
        <f t="shared" si="6"/>
        <v>-3.9603960396039639E-2</v>
      </c>
      <c r="I155" s="412">
        <v>17576.3</v>
      </c>
      <c r="J155" s="28">
        <f t="shared" si="7"/>
        <v>-1.1834618930892549E-2</v>
      </c>
      <c r="K155" s="65"/>
      <c r="M155" s="28"/>
      <c r="O155" s="65"/>
      <c r="Q155" s="28"/>
      <c r="S155" s="65"/>
      <c r="U155" s="28"/>
      <c r="W155" s="65"/>
      <c r="Y155" s="28"/>
    </row>
    <row r="156" spans="4:25" x14ac:dyDescent="0.25">
      <c r="D156" s="210">
        <v>44844</v>
      </c>
      <c r="F156" s="214">
        <v>14.78</v>
      </c>
      <c r="G156" s="215">
        <f t="shared" si="6"/>
        <v>-4.7680412371134073E-2</v>
      </c>
      <c r="I156" s="412">
        <v>17185.7</v>
      </c>
      <c r="J156" s="28">
        <f t="shared" si="7"/>
        <v>-2.2223107252379526E-2</v>
      </c>
      <c r="K156" s="65"/>
      <c r="M156" s="28"/>
      <c r="O156" s="65"/>
      <c r="Q156" s="28"/>
      <c r="S156" s="65"/>
      <c r="U156" s="28"/>
      <c r="W156" s="65"/>
      <c r="Y156" s="28"/>
    </row>
    <row r="157" spans="4:25" x14ac:dyDescent="0.25">
      <c r="D157" s="210">
        <v>44837</v>
      </c>
      <c r="F157" s="214">
        <v>15.32</v>
      </c>
      <c r="G157" s="215">
        <f t="shared" si="6"/>
        <v>3.6535859269282822E-2</v>
      </c>
      <c r="I157" s="412">
        <v>17314.650000000001</v>
      </c>
      <c r="J157" s="28">
        <f t="shared" si="7"/>
        <v>7.5033312579644296E-3</v>
      </c>
      <c r="K157" s="65"/>
      <c r="M157" s="28"/>
      <c r="O157" s="65"/>
      <c r="Q157" s="28"/>
      <c r="S157" s="65"/>
      <c r="U157" s="28"/>
      <c r="W157" s="65"/>
      <c r="Y157" s="28"/>
    </row>
    <row r="158" spans="4:25" x14ac:dyDescent="0.25">
      <c r="D158" s="210">
        <v>44830</v>
      </c>
      <c r="F158" s="214">
        <v>15.37</v>
      </c>
      <c r="G158" s="215">
        <f t="shared" si="6"/>
        <v>3.2637075718013886E-3</v>
      </c>
      <c r="I158" s="412">
        <v>17094.349999999999</v>
      </c>
      <c r="J158" s="28">
        <f t="shared" si="7"/>
        <v>-1.2723329665918937E-2</v>
      </c>
      <c r="K158" s="65"/>
      <c r="M158" s="28"/>
      <c r="O158" s="65"/>
      <c r="Q158" s="28"/>
      <c r="S158" s="65"/>
      <c r="U158" s="28"/>
      <c r="W158" s="65"/>
      <c r="Y158" s="28"/>
    </row>
    <row r="159" spans="4:25" x14ac:dyDescent="0.25">
      <c r="D159" s="210">
        <v>44823</v>
      </c>
      <c r="F159" s="214">
        <v>15.47</v>
      </c>
      <c r="G159" s="215">
        <f t="shared" si="6"/>
        <v>6.5061808718283043E-3</v>
      </c>
      <c r="I159" s="412">
        <v>17327.349999999999</v>
      </c>
      <c r="J159" s="28">
        <f t="shared" si="7"/>
        <v>1.3630234551182063E-2</v>
      </c>
      <c r="K159" s="65"/>
      <c r="M159" s="28"/>
      <c r="O159" s="65"/>
      <c r="Q159" s="28"/>
      <c r="S159" s="65"/>
      <c r="U159" s="28"/>
      <c r="W159" s="65"/>
      <c r="Y159" s="28"/>
    </row>
    <row r="160" spans="4:25" x14ac:dyDescent="0.25">
      <c r="D160" s="210">
        <v>44816</v>
      </c>
      <c r="F160" s="214">
        <v>15.62</v>
      </c>
      <c r="G160" s="215">
        <f t="shared" si="6"/>
        <v>9.6961861667743676E-3</v>
      </c>
      <c r="I160" s="412">
        <v>17530.849999999999</v>
      </c>
      <c r="J160" s="28">
        <f t="shared" si="7"/>
        <v>1.1744438705283855E-2</v>
      </c>
      <c r="K160" s="65"/>
      <c r="M160" s="28"/>
      <c r="O160" s="65"/>
      <c r="Q160" s="28"/>
      <c r="S160" s="65"/>
      <c r="U160" s="28"/>
      <c r="W160" s="65"/>
      <c r="Y160" s="28"/>
    </row>
    <row r="161" spans="4:25" x14ac:dyDescent="0.25">
      <c r="D161" s="210">
        <v>44809</v>
      </c>
      <c r="F161" s="214">
        <v>15.66</v>
      </c>
      <c r="G161" s="215">
        <f t="shared" si="6"/>
        <v>2.5608194622279701E-3</v>
      </c>
      <c r="I161" s="412">
        <v>17833.349999999999</v>
      </c>
      <c r="J161" s="28">
        <f t="shared" si="7"/>
        <v>1.7255295664500014E-2</v>
      </c>
      <c r="K161" s="65"/>
      <c r="M161" s="28"/>
      <c r="O161" s="65"/>
      <c r="Q161" s="28"/>
      <c r="S161" s="65"/>
      <c r="U161" s="28"/>
      <c r="W161" s="65"/>
      <c r="Y161" s="28"/>
    </row>
    <row r="162" spans="4:25" x14ac:dyDescent="0.25">
      <c r="D162" s="210">
        <v>44802</v>
      </c>
      <c r="F162" s="214">
        <v>15.27</v>
      </c>
      <c r="G162" s="215">
        <f t="shared" si="6"/>
        <v>-2.4904214559386961E-2</v>
      </c>
      <c r="I162" s="412">
        <v>17539.45</v>
      </c>
      <c r="J162" s="28">
        <f t="shared" si="7"/>
        <v>-1.6480358429571407E-2</v>
      </c>
      <c r="K162" s="65"/>
      <c r="M162" s="28"/>
      <c r="O162" s="65"/>
      <c r="Q162" s="28"/>
      <c r="S162" s="65"/>
      <c r="U162" s="28"/>
      <c r="W162" s="65"/>
      <c r="Y162" s="28"/>
    </row>
    <row r="163" spans="4:25" x14ac:dyDescent="0.25">
      <c r="D163" s="210">
        <v>44795</v>
      </c>
      <c r="F163" s="214">
        <v>15.32</v>
      </c>
      <c r="G163" s="215">
        <f t="shared" si="6"/>
        <v>3.2743942370661028E-3</v>
      </c>
      <c r="I163" s="412">
        <v>17558.900000000001</v>
      </c>
      <c r="J163" s="28">
        <f t="shared" si="7"/>
        <v>1.1089287292360694E-3</v>
      </c>
      <c r="K163" s="65"/>
      <c r="M163" s="28"/>
      <c r="O163" s="65"/>
      <c r="Q163" s="28"/>
      <c r="S163" s="65"/>
      <c r="U163" s="28"/>
      <c r="W163" s="65"/>
      <c r="Y163" s="28"/>
    </row>
    <row r="164" spans="4:25" x14ac:dyDescent="0.25">
      <c r="D164" s="210">
        <v>44788</v>
      </c>
      <c r="F164" s="214">
        <v>14.83</v>
      </c>
      <c r="G164" s="215">
        <f t="shared" si="6"/>
        <v>-3.1984334203655318E-2</v>
      </c>
      <c r="I164" s="412">
        <v>17758.45</v>
      </c>
      <c r="J164" s="28">
        <f t="shared" si="7"/>
        <v>1.1364607122313908E-2</v>
      </c>
      <c r="K164" s="65"/>
      <c r="M164" s="28"/>
      <c r="O164" s="65"/>
      <c r="Q164" s="28"/>
      <c r="S164" s="65"/>
      <c r="U164" s="28"/>
      <c r="W164" s="65"/>
      <c r="Y164" s="28"/>
    </row>
    <row r="165" spans="4:25" x14ac:dyDescent="0.25">
      <c r="D165" s="210">
        <v>44781</v>
      </c>
      <c r="F165" s="214">
        <v>14.88</v>
      </c>
      <c r="G165" s="215">
        <f t="shared" si="6"/>
        <v>3.3715441672286239E-3</v>
      </c>
      <c r="I165" s="412">
        <v>17698.150000000001</v>
      </c>
      <c r="J165" s="28">
        <f t="shared" si="7"/>
        <v>-3.3955666175820021E-3</v>
      </c>
      <c r="K165" s="65"/>
      <c r="M165" s="28"/>
      <c r="O165" s="65"/>
      <c r="Q165" s="28"/>
      <c r="S165" s="65"/>
      <c r="U165" s="28"/>
      <c r="W165" s="65"/>
      <c r="Y165" s="28"/>
    </row>
    <row r="166" spans="4:25" x14ac:dyDescent="0.25">
      <c r="D166" s="210">
        <v>44774</v>
      </c>
      <c r="F166" s="214">
        <v>14.93</v>
      </c>
      <c r="G166" s="215">
        <f t="shared" si="6"/>
        <v>3.3602150537632713E-3</v>
      </c>
      <c r="I166" s="412">
        <v>17397.5</v>
      </c>
      <c r="J166" s="28">
        <f t="shared" si="7"/>
        <v>-1.6987651251684555E-2</v>
      </c>
      <c r="K166" s="65"/>
      <c r="M166" s="28"/>
      <c r="O166" s="65"/>
      <c r="Q166" s="28"/>
      <c r="S166" s="65"/>
      <c r="U166" s="28"/>
      <c r="W166" s="65"/>
      <c r="Y166" s="28"/>
    </row>
    <row r="167" spans="4:25" x14ac:dyDescent="0.25">
      <c r="D167" s="210">
        <v>44767</v>
      </c>
      <c r="F167" s="214">
        <v>14.68</v>
      </c>
      <c r="G167" s="215">
        <f t="shared" si="6"/>
        <v>-1.6744809109176195E-2</v>
      </c>
      <c r="I167" s="412">
        <v>17158.25</v>
      </c>
      <c r="J167" s="28">
        <f t="shared" si="7"/>
        <v>-1.3751975858600329E-2</v>
      </c>
      <c r="K167" s="65"/>
      <c r="M167" s="28"/>
      <c r="O167" s="65"/>
      <c r="Q167" s="28"/>
      <c r="S167" s="65"/>
      <c r="U167" s="28"/>
      <c r="W167" s="65"/>
      <c r="Y167" s="28"/>
    </row>
    <row r="168" spans="4:25" x14ac:dyDescent="0.25">
      <c r="D168" s="210">
        <v>44760</v>
      </c>
      <c r="F168" s="214">
        <v>14.73</v>
      </c>
      <c r="G168" s="215">
        <f t="shared" si="6"/>
        <v>3.4059945504087974E-3</v>
      </c>
      <c r="I168" s="412">
        <v>16719.45</v>
      </c>
      <c r="J168" s="28">
        <f t="shared" si="7"/>
        <v>-2.5573703611965093E-2</v>
      </c>
      <c r="K168" s="65"/>
      <c r="M168" s="28"/>
      <c r="O168" s="65"/>
      <c r="Q168" s="28"/>
      <c r="S168" s="65"/>
      <c r="U168" s="28"/>
      <c r="W168" s="65"/>
      <c r="Y168" s="28"/>
    </row>
    <row r="169" spans="4:25" x14ac:dyDescent="0.25">
      <c r="D169" s="210">
        <v>44753</v>
      </c>
      <c r="F169" s="214">
        <v>14.19</v>
      </c>
      <c r="G169" s="215">
        <f t="shared" si="6"/>
        <v>-3.6659877800407359E-2</v>
      </c>
      <c r="I169" s="412">
        <v>16049.2</v>
      </c>
      <c r="J169" s="28">
        <f t="shared" si="7"/>
        <v>-4.0088041173603206E-2</v>
      </c>
      <c r="K169" s="65"/>
      <c r="M169" s="28"/>
      <c r="O169" s="65"/>
      <c r="Q169" s="28"/>
      <c r="S169" s="65"/>
      <c r="U169" s="28"/>
      <c r="W169" s="65"/>
      <c r="Y169" s="28"/>
    </row>
    <row r="170" spans="4:25" x14ac:dyDescent="0.25">
      <c r="D170" s="210">
        <v>44746</v>
      </c>
      <c r="F170" s="214">
        <v>14.03</v>
      </c>
      <c r="G170" s="215">
        <f t="shared" si="6"/>
        <v>-1.1275546159267069E-2</v>
      </c>
      <c r="I170" s="412">
        <v>16220.6</v>
      </c>
      <c r="J170" s="28">
        <f t="shared" si="7"/>
        <v>1.0679660045360473E-2</v>
      </c>
      <c r="K170" s="65"/>
      <c r="M170" s="28"/>
      <c r="O170" s="65"/>
      <c r="Q170" s="28"/>
      <c r="S170" s="65"/>
      <c r="U170" s="28"/>
      <c r="W170" s="65"/>
      <c r="Y170" s="28"/>
    </row>
    <row r="171" spans="4:25" x14ac:dyDescent="0.25">
      <c r="D171" s="210">
        <v>44739</v>
      </c>
      <c r="F171" s="214">
        <v>13.69</v>
      </c>
      <c r="G171" s="215">
        <f t="shared" si="6"/>
        <v>-2.4233784746970799E-2</v>
      </c>
      <c r="I171" s="412">
        <v>15752.05</v>
      </c>
      <c r="J171" s="28">
        <f t="shared" si="7"/>
        <v>-2.8886107788861137E-2</v>
      </c>
      <c r="K171" s="65"/>
      <c r="M171" s="28"/>
      <c r="O171" s="65"/>
      <c r="Q171" s="28"/>
      <c r="S171" s="65"/>
      <c r="U171" s="28"/>
      <c r="W171" s="65"/>
      <c r="Y171" s="28"/>
    </row>
    <row r="172" spans="4:25" x14ac:dyDescent="0.25">
      <c r="D172" s="210">
        <v>44732</v>
      </c>
      <c r="F172" s="214">
        <v>14.03</v>
      </c>
      <c r="G172" s="215">
        <f t="shared" si="6"/>
        <v>2.4835646457268101E-2</v>
      </c>
      <c r="I172" s="412">
        <v>15699.25</v>
      </c>
      <c r="J172" s="28">
        <f t="shared" si="7"/>
        <v>-3.3519446675194242E-3</v>
      </c>
      <c r="K172" s="65"/>
      <c r="M172" s="28"/>
      <c r="O172" s="65"/>
      <c r="Q172" s="28"/>
      <c r="S172" s="65"/>
      <c r="U172" s="28"/>
      <c r="W172" s="65"/>
      <c r="Y172" s="28"/>
    </row>
    <row r="173" spans="4:25" x14ac:dyDescent="0.25">
      <c r="D173" s="210">
        <v>44725</v>
      </c>
      <c r="F173" s="214">
        <v>12.87</v>
      </c>
      <c r="G173" s="215">
        <f t="shared" si="6"/>
        <v>-8.2679971489664994E-2</v>
      </c>
      <c r="I173" s="412">
        <v>15293.5</v>
      </c>
      <c r="J173" s="28">
        <f t="shared" si="7"/>
        <v>-2.5845183687118856E-2</v>
      </c>
      <c r="K173" s="65"/>
      <c r="M173" s="28"/>
      <c r="O173" s="65"/>
      <c r="Q173" s="28"/>
      <c r="S173" s="65"/>
      <c r="U173" s="28"/>
      <c r="W173" s="65"/>
      <c r="Y173" s="28"/>
    </row>
    <row r="174" spans="4:25" x14ac:dyDescent="0.25">
      <c r="D174" s="210">
        <v>44718</v>
      </c>
      <c r="F174" s="214">
        <v>14.36</v>
      </c>
      <c r="G174" s="215">
        <f t="shared" si="6"/>
        <v>0.11577311577311589</v>
      </c>
      <c r="I174" s="412">
        <v>16201.8</v>
      </c>
      <c r="J174" s="28">
        <f t="shared" si="7"/>
        <v>5.9391244646418428E-2</v>
      </c>
      <c r="K174" s="65"/>
      <c r="M174" s="28"/>
      <c r="O174" s="65"/>
      <c r="Q174" s="28"/>
      <c r="S174" s="65"/>
      <c r="U174" s="28"/>
      <c r="W174" s="65"/>
      <c r="Y174" s="28"/>
    </row>
    <row r="175" spans="4:25" x14ac:dyDescent="0.25">
      <c r="D175" s="210">
        <v>44711</v>
      </c>
      <c r="F175" s="214">
        <v>14.65</v>
      </c>
      <c r="G175" s="215">
        <f t="shared" si="6"/>
        <v>2.0194986072423537E-2</v>
      </c>
      <c r="I175" s="412">
        <v>16584.3</v>
      </c>
      <c r="J175" s="28">
        <f t="shared" si="7"/>
        <v>2.3608487945783851E-2</v>
      </c>
      <c r="K175" s="65"/>
      <c r="M175" s="28"/>
      <c r="O175" s="65"/>
      <c r="Q175" s="28"/>
      <c r="S175" s="65"/>
      <c r="U175" s="28"/>
      <c r="W175" s="65"/>
      <c r="Y175" s="28"/>
    </row>
    <row r="176" spans="4:25" x14ac:dyDescent="0.25">
      <c r="D176" s="210">
        <v>44704</v>
      </c>
      <c r="F176" s="214">
        <v>14.75</v>
      </c>
      <c r="G176" s="215">
        <f t="shared" si="6"/>
        <v>6.8259385665527805E-3</v>
      </c>
      <c r="I176" s="412">
        <v>16352.45</v>
      </c>
      <c r="J176" s="28">
        <f t="shared" si="7"/>
        <v>-1.3980089602817047E-2</v>
      </c>
      <c r="K176" s="65"/>
      <c r="M176" s="28"/>
      <c r="O176" s="65"/>
      <c r="Q176" s="28"/>
      <c r="S176" s="65"/>
      <c r="U176" s="28"/>
      <c r="W176" s="65"/>
      <c r="Y176" s="28"/>
    </row>
    <row r="177" spans="4:25" x14ac:dyDescent="0.25">
      <c r="D177" s="210">
        <v>44697</v>
      </c>
      <c r="F177" s="214">
        <v>14.94</v>
      </c>
      <c r="G177" s="215">
        <f t="shared" si="6"/>
        <v>1.2881355932203409E-2</v>
      </c>
      <c r="I177" s="412">
        <v>16266.15</v>
      </c>
      <c r="J177" s="28">
        <f t="shared" si="7"/>
        <v>-5.2774966442338256E-3</v>
      </c>
      <c r="K177" s="65"/>
      <c r="M177" s="28"/>
      <c r="O177" s="65"/>
      <c r="Q177" s="28"/>
      <c r="S177" s="65"/>
      <c r="U177" s="28"/>
      <c r="W177" s="65"/>
      <c r="Y177" s="28"/>
    </row>
    <row r="178" spans="4:25" x14ac:dyDescent="0.25">
      <c r="D178" s="210">
        <v>44690</v>
      </c>
      <c r="F178" s="214">
        <v>14.03</v>
      </c>
      <c r="G178" s="215">
        <f t="shared" si="6"/>
        <v>-6.0910307898259686E-2</v>
      </c>
      <c r="I178" s="412">
        <v>15782.15</v>
      </c>
      <c r="J178" s="28">
        <f t="shared" si="7"/>
        <v>-2.975504344912594E-2</v>
      </c>
      <c r="K178" s="65"/>
      <c r="M178" s="28"/>
      <c r="O178" s="65"/>
      <c r="Q178" s="28"/>
      <c r="S178" s="65"/>
      <c r="U178" s="28"/>
      <c r="W178" s="65"/>
      <c r="Y178" s="28"/>
    </row>
    <row r="179" spans="4:25" x14ac:dyDescent="0.25">
      <c r="D179" s="210">
        <v>44683</v>
      </c>
      <c r="F179" s="214">
        <v>14.99</v>
      </c>
      <c r="G179" s="215">
        <f t="shared" si="6"/>
        <v>6.8424803991447014E-2</v>
      </c>
      <c r="I179" s="412">
        <v>16411.25</v>
      </c>
      <c r="J179" s="28">
        <f t="shared" si="7"/>
        <v>3.9861489087354984E-2</v>
      </c>
      <c r="K179" s="65"/>
      <c r="M179" s="28"/>
      <c r="O179" s="65"/>
      <c r="Q179" s="28"/>
      <c r="S179" s="65"/>
      <c r="U179" s="28"/>
      <c r="W179" s="65"/>
      <c r="Y179" s="28"/>
    </row>
    <row r="180" spans="4:25" x14ac:dyDescent="0.25">
      <c r="D180" s="210">
        <v>44676</v>
      </c>
      <c r="F180" s="214">
        <v>15.32</v>
      </c>
      <c r="G180" s="215">
        <f t="shared" si="6"/>
        <v>2.2014676450967219E-2</v>
      </c>
      <c r="I180" s="412">
        <v>17102.55</v>
      </c>
      <c r="J180" s="28">
        <f t="shared" si="7"/>
        <v>4.2123543301089139E-2</v>
      </c>
      <c r="K180" s="65"/>
      <c r="M180" s="28"/>
      <c r="O180" s="65"/>
      <c r="Q180" s="28"/>
      <c r="S180" s="65"/>
      <c r="U180" s="28"/>
      <c r="W180" s="65"/>
      <c r="Y180" s="28"/>
    </row>
    <row r="181" spans="4:25" x14ac:dyDescent="0.25">
      <c r="D181" s="210">
        <v>44669</v>
      </c>
      <c r="F181" s="214">
        <v>15.9</v>
      </c>
      <c r="G181" s="215">
        <f t="shared" si="6"/>
        <v>3.7859007832898195E-2</v>
      </c>
      <c r="I181" s="412">
        <v>17171.95</v>
      </c>
      <c r="J181" s="28">
        <f t="shared" si="7"/>
        <v>4.0578744105412845E-3</v>
      </c>
      <c r="K181" s="65"/>
      <c r="M181" s="28"/>
      <c r="O181" s="65"/>
      <c r="Q181" s="28"/>
      <c r="S181" s="65"/>
      <c r="U181" s="28"/>
      <c r="W181" s="65"/>
      <c r="Y181" s="28"/>
    </row>
    <row r="182" spans="4:25" x14ac:dyDescent="0.25">
      <c r="D182" s="210">
        <v>44662</v>
      </c>
      <c r="F182" s="214">
        <v>16.38</v>
      </c>
      <c r="G182" s="215">
        <f t="shared" si="6"/>
        <v>3.0188679245283012E-2</v>
      </c>
      <c r="I182" s="412">
        <v>17475.650000000001</v>
      </c>
      <c r="J182" s="28">
        <f t="shared" si="7"/>
        <v>1.7685819024630289E-2</v>
      </c>
      <c r="K182" s="65"/>
      <c r="M182" s="28"/>
      <c r="O182" s="65"/>
      <c r="Q182" s="28"/>
      <c r="S182" s="65"/>
      <c r="U182" s="28"/>
      <c r="W182" s="65"/>
      <c r="Y182" s="28"/>
    </row>
    <row r="183" spans="4:25" x14ac:dyDescent="0.25">
      <c r="D183" s="210">
        <v>44655</v>
      </c>
      <c r="F183" s="214">
        <v>16.48</v>
      </c>
      <c r="G183" s="215">
        <f t="shared" si="6"/>
        <v>6.1050061050060833E-3</v>
      </c>
      <c r="I183" s="412">
        <v>17784.349999999999</v>
      </c>
      <c r="J183" s="28">
        <f t="shared" si="7"/>
        <v>1.7664578999922576E-2</v>
      </c>
      <c r="K183" s="65"/>
      <c r="M183" s="28"/>
      <c r="O183" s="65"/>
      <c r="Q183" s="28"/>
      <c r="S183" s="65"/>
      <c r="U183" s="28"/>
      <c r="W183" s="65"/>
      <c r="Y183" s="28"/>
    </row>
    <row r="184" spans="4:25" x14ac:dyDescent="0.25">
      <c r="D184" s="210">
        <v>44648</v>
      </c>
      <c r="F184" s="214">
        <v>15.23</v>
      </c>
      <c r="G184" s="215">
        <f t="shared" si="6"/>
        <v>-7.5849514563106846E-2</v>
      </c>
      <c r="I184" s="412">
        <v>17670.45</v>
      </c>
      <c r="J184" s="28">
        <f t="shared" si="7"/>
        <v>-6.4045073336949088E-3</v>
      </c>
      <c r="K184" s="65"/>
      <c r="M184" s="28"/>
      <c r="O184" s="65"/>
      <c r="Q184" s="28"/>
      <c r="S184" s="65"/>
      <c r="U184" s="28"/>
      <c r="W184" s="65"/>
      <c r="Y184" s="28"/>
    </row>
    <row r="185" spans="4:25" x14ac:dyDescent="0.25">
      <c r="D185" s="210">
        <v>44641</v>
      </c>
      <c r="F185" s="214">
        <v>15.08</v>
      </c>
      <c r="G185" s="215">
        <f t="shared" si="6"/>
        <v>-9.848982271831952E-3</v>
      </c>
      <c r="I185" s="412">
        <v>17153</v>
      </c>
      <c r="J185" s="28">
        <f t="shared" si="7"/>
        <v>-2.928335158414197E-2</v>
      </c>
      <c r="K185" s="65"/>
      <c r="M185" s="28"/>
      <c r="O185" s="65"/>
      <c r="Q185" s="28"/>
      <c r="S185" s="65"/>
      <c r="U185" s="28"/>
      <c r="W185" s="65"/>
      <c r="Y185" s="28"/>
    </row>
    <row r="186" spans="4:25" x14ac:dyDescent="0.25">
      <c r="D186" s="210">
        <v>44634</v>
      </c>
      <c r="F186" s="214">
        <v>15.52</v>
      </c>
      <c r="G186" s="215">
        <f t="shared" si="6"/>
        <v>2.917771883289122E-2</v>
      </c>
      <c r="I186" s="412">
        <v>17287.05</v>
      </c>
      <c r="J186" s="28">
        <f t="shared" si="7"/>
        <v>7.8149594823062607E-3</v>
      </c>
      <c r="K186" s="65"/>
      <c r="M186" s="28"/>
      <c r="O186" s="65"/>
      <c r="Q186" s="28"/>
      <c r="S186" s="65"/>
      <c r="U186" s="28"/>
      <c r="W186" s="65"/>
      <c r="Y186" s="28"/>
    </row>
    <row r="187" spans="4:25" x14ac:dyDescent="0.25">
      <c r="D187" s="210">
        <v>44627</v>
      </c>
      <c r="F187" s="214">
        <v>15.18</v>
      </c>
      <c r="G187" s="215">
        <f t="shared" si="6"/>
        <v>-2.1907216494845394E-2</v>
      </c>
      <c r="I187" s="412">
        <v>16630.45</v>
      </c>
      <c r="J187" s="28">
        <f t="shared" si="7"/>
        <v>-3.7982188979611808E-2</v>
      </c>
      <c r="K187" s="65"/>
      <c r="M187" s="28"/>
      <c r="O187" s="65"/>
      <c r="Q187" s="28"/>
      <c r="S187" s="65"/>
      <c r="U187" s="28"/>
      <c r="W187" s="65"/>
      <c r="Y187" s="28"/>
    </row>
    <row r="188" spans="4:25" x14ac:dyDescent="0.25">
      <c r="D188" s="210">
        <v>44620</v>
      </c>
      <c r="F188" s="214">
        <v>14.8</v>
      </c>
      <c r="G188" s="215">
        <f t="shared" si="6"/>
        <v>-2.5032938076416267E-2</v>
      </c>
      <c r="I188" s="412">
        <v>16245.35</v>
      </c>
      <c r="J188" s="28">
        <f t="shared" si="7"/>
        <v>-2.3156318680492727E-2</v>
      </c>
      <c r="K188" s="65"/>
      <c r="M188" s="28"/>
      <c r="O188" s="65"/>
      <c r="Q188" s="28"/>
      <c r="S188" s="65"/>
      <c r="U188" s="28"/>
      <c r="W188" s="65"/>
      <c r="Y188" s="28"/>
    </row>
    <row r="189" spans="4:25" x14ac:dyDescent="0.25">
      <c r="D189" s="210">
        <v>44613</v>
      </c>
      <c r="F189" s="214">
        <v>14.7</v>
      </c>
      <c r="G189" s="215">
        <f t="shared" si="6"/>
        <v>-6.7567567567567988E-3</v>
      </c>
      <c r="I189" s="412">
        <v>16658.400000000001</v>
      </c>
      <c r="J189" s="28">
        <f t="shared" si="7"/>
        <v>2.5425737210955868E-2</v>
      </c>
      <c r="K189" s="65"/>
      <c r="M189" s="28"/>
      <c r="O189" s="65"/>
      <c r="Q189" s="28"/>
      <c r="S189" s="65"/>
      <c r="U189" s="28"/>
      <c r="W189" s="65"/>
      <c r="Y189" s="28"/>
    </row>
    <row r="190" spans="4:25" x14ac:dyDescent="0.25">
      <c r="D190" s="210">
        <v>44606</v>
      </c>
      <c r="F190" s="214">
        <v>15.76</v>
      </c>
      <c r="G190" s="215">
        <f t="shared" si="6"/>
        <v>7.210884353741509E-2</v>
      </c>
      <c r="I190" s="412">
        <v>17276.3</v>
      </c>
      <c r="J190" s="28">
        <f t="shared" si="7"/>
        <v>3.7092397829323165E-2</v>
      </c>
      <c r="K190" s="65"/>
      <c r="M190" s="28"/>
      <c r="O190" s="65"/>
      <c r="Q190" s="28"/>
      <c r="S190" s="65"/>
      <c r="U190" s="28"/>
      <c r="W190" s="65"/>
      <c r="Y190" s="28"/>
    </row>
    <row r="191" spans="4:25" x14ac:dyDescent="0.25">
      <c r="D191" s="210">
        <v>44599</v>
      </c>
      <c r="F191" s="214">
        <v>15.85</v>
      </c>
      <c r="G191" s="215">
        <f t="shared" si="6"/>
        <v>5.7106598984770773E-3</v>
      </c>
      <c r="I191" s="412">
        <v>17374.75</v>
      </c>
      <c r="J191" s="28">
        <f t="shared" si="7"/>
        <v>5.6985581403425911E-3</v>
      </c>
      <c r="K191" s="65"/>
      <c r="M191" s="28"/>
      <c r="O191" s="65"/>
      <c r="Q191" s="28"/>
      <c r="S191" s="65"/>
      <c r="U191" s="28"/>
      <c r="W191" s="65"/>
      <c r="Y191" s="28"/>
    </row>
    <row r="192" spans="4:25" x14ac:dyDescent="0.25">
      <c r="D192" s="210">
        <v>44592</v>
      </c>
      <c r="F192" s="214">
        <v>16.72</v>
      </c>
      <c r="G192" s="215">
        <f t="shared" si="6"/>
        <v>5.4889589905362746E-2</v>
      </c>
      <c r="I192" s="412">
        <v>17516.3</v>
      </c>
      <c r="J192" s="28">
        <f t="shared" si="7"/>
        <v>8.1468798112203089E-3</v>
      </c>
      <c r="K192" s="65"/>
      <c r="M192" s="28"/>
      <c r="O192" s="65"/>
      <c r="Q192" s="28"/>
      <c r="S192" s="65"/>
      <c r="U192" s="28"/>
      <c r="W192" s="65"/>
      <c r="Y192" s="28"/>
    </row>
    <row r="193" spans="4:25" x14ac:dyDescent="0.25">
      <c r="D193" s="210">
        <v>44585</v>
      </c>
      <c r="F193" s="214">
        <v>16.57</v>
      </c>
      <c r="G193" s="215">
        <f t="shared" si="6"/>
        <v>-8.97129186602863E-3</v>
      </c>
      <c r="I193" s="412">
        <v>17101.95</v>
      </c>
      <c r="J193" s="28">
        <f t="shared" si="7"/>
        <v>-2.3655109812003583E-2</v>
      </c>
      <c r="K193" s="65"/>
      <c r="M193" s="28"/>
      <c r="O193" s="65"/>
      <c r="Q193" s="28"/>
      <c r="S193" s="65"/>
      <c r="U193" s="28"/>
      <c r="W193" s="65"/>
      <c r="Y193" s="28"/>
    </row>
    <row r="194" spans="4:25" x14ac:dyDescent="0.25">
      <c r="D194" s="210">
        <v>44578</v>
      </c>
      <c r="F194" s="214">
        <v>16.190000000000001</v>
      </c>
      <c r="G194" s="215">
        <f t="shared" si="6"/>
        <v>-2.2933011466505726E-2</v>
      </c>
      <c r="I194" s="412">
        <v>17617.150000000001</v>
      </c>
      <c r="J194" s="28">
        <f t="shared" si="7"/>
        <v>3.0125219638696299E-2</v>
      </c>
      <c r="K194" s="65"/>
      <c r="M194" s="28"/>
      <c r="O194" s="65"/>
      <c r="Q194" s="28"/>
      <c r="S194" s="65"/>
      <c r="U194" s="28"/>
      <c r="W194" s="65"/>
      <c r="Y194" s="28"/>
    </row>
    <row r="195" spans="4:25" x14ac:dyDescent="0.25">
      <c r="D195" s="210">
        <v>44571</v>
      </c>
      <c r="F195" s="214">
        <v>16.190000000000001</v>
      </c>
      <c r="G195" s="215">
        <f t="shared" si="6"/>
        <v>0</v>
      </c>
      <c r="I195" s="412">
        <v>18255.75</v>
      </c>
      <c r="J195" s="28">
        <f t="shared" si="7"/>
        <v>3.6248768955250865E-2</v>
      </c>
      <c r="K195" s="65"/>
      <c r="M195" s="28"/>
      <c r="O195" s="65"/>
      <c r="Q195" s="28"/>
      <c r="S195" s="65"/>
      <c r="U195" s="28"/>
      <c r="W195" s="65"/>
      <c r="Y195" s="28"/>
    </row>
    <row r="196" spans="4:25" x14ac:dyDescent="0.25">
      <c r="D196" s="210">
        <v>44564</v>
      </c>
      <c r="F196" s="214">
        <v>15.95</v>
      </c>
      <c r="G196" s="215">
        <f t="shared" si="6"/>
        <v>-1.4823965410747486E-2</v>
      </c>
      <c r="I196" s="412">
        <v>17812.7</v>
      </c>
      <c r="J196" s="28">
        <f t="shared" si="7"/>
        <v>-2.4269065910740406E-2</v>
      </c>
      <c r="K196" s="65"/>
      <c r="M196" s="28"/>
      <c r="O196" s="65"/>
      <c r="Q196" s="28"/>
      <c r="S196" s="65"/>
      <c r="U196" s="28"/>
      <c r="W196" s="65"/>
      <c r="Y196" s="28"/>
    </row>
    <row r="197" spans="4:25" x14ac:dyDescent="0.25">
      <c r="D197" s="210">
        <v>44557</v>
      </c>
      <c r="F197" s="214">
        <v>15.47</v>
      </c>
      <c r="G197" s="215">
        <f t="shared" si="6"/>
        <v>-3.0094043887147204E-2</v>
      </c>
      <c r="I197" s="412">
        <v>17354.05</v>
      </c>
      <c r="J197" s="28">
        <f t="shared" si="7"/>
        <v>-2.5748482824052621E-2</v>
      </c>
      <c r="K197" s="65"/>
      <c r="M197" s="28"/>
      <c r="O197" s="65"/>
      <c r="Q197" s="28"/>
      <c r="S197" s="65"/>
      <c r="U197" s="28"/>
      <c r="W197" s="65"/>
      <c r="Y197" s="28"/>
    </row>
    <row r="198" spans="4:25" x14ac:dyDescent="0.25">
      <c r="D198" s="210">
        <v>44550</v>
      </c>
      <c r="F198" s="214">
        <v>15.28</v>
      </c>
      <c r="G198" s="215">
        <f t="shared" si="6"/>
        <v>-1.2281835811247643E-2</v>
      </c>
      <c r="I198" s="412">
        <v>17003.75</v>
      </c>
      <c r="J198" s="28">
        <f t="shared" si="7"/>
        <v>-2.0185489842428628E-2</v>
      </c>
      <c r="K198" s="65"/>
      <c r="M198" s="28"/>
      <c r="O198" s="65"/>
      <c r="Q198" s="28"/>
      <c r="S198" s="65"/>
      <c r="U198" s="28"/>
      <c r="W198" s="65"/>
      <c r="Y198" s="28"/>
    </row>
    <row r="199" spans="4:25" x14ac:dyDescent="0.25">
      <c r="D199" s="210">
        <v>44543</v>
      </c>
      <c r="F199" s="214">
        <v>15.56</v>
      </c>
      <c r="G199" s="215">
        <f t="shared" si="6"/>
        <v>1.832460732984309E-2</v>
      </c>
      <c r="I199" s="412">
        <v>16985.2</v>
      </c>
      <c r="J199" s="28">
        <f t="shared" si="7"/>
        <v>-1.0909358229801436E-3</v>
      </c>
      <c r="K199" s="65"/>
      <c r="M199" s="28"/>
      <c r="O199" s="65"/>
      <c r="Q199" s="28"/>
      <c r="S199" s="65"/>
      <c r="U199" s="28"/>
      <c r="W199" s="65"/>
      <c r="Y199" s="28"/>
    </row>
    <row r="200" spans="4:25" x14ac:dyDescent="0.25">
      <c r="D200" s="210">
        <v>44536</v>
      </c>
      <c r="F200" s="214">
        <v>16.62</v>
      </c>
      <c r="G200" s="215">
        <f t="shared" si="6"/>
        <v>6.8123393316195324E-2</v>
      </c>
      <c r="I200" s="412">
        <v>17511.3</v>
      </c>
      <c r="J200" s="28">
        <f t="shared" si="7"/>
        <v>3.0974024444810677E-2</v>
      </c>
      <c r="K200" s="65"/>
      <c r="M200" s="28"/>
      <c r="O200" s="65"/>
      <c r="Q200" s="28"/>
      <c r="S200" s="65"/>
      <c r="U200" s="28"/>
      <c r="W200" s="65"/>
      <c r="Y200" s="28"/>
    </row>
    <row r="201" spans="4:25" x14ac:dyDescent="0.25">
      <c r="D201" s="210">
        <v>44529</v>
      </c>
      <c r="F201" s="214">
        <v>15.47</v>
      </c>
      <c r="G201" s="215">
        <f t="shared" si="6"/>
        <v>-6.9193742478941056E-2</v>
      </c>
      <c r="I201" s="412">
        <v>17196.7</v>
      </c>
      <c r="J201" s="28">
        <f t="shared" si="7"/>
        <v>-1.7965542249861466E-2</v>
      </c>
      <c r="K201" s="65"/>
      <c r="M201" s="28"/>
      <c r="O201" s="65"/>
      <c r="Q201" s="28"/>
      <c r="S201" s="65"/>
      <c r="U201" s="28"/>
      <c r="W201" s="65"/>
      <c r="Y201" s="28"/>
    </row>
    <row r="202" spans="4:25" x14ac:dyDescent="0.25">
      <c r="D202" s="210">
        <v>44522</v>
      </c>
      <c r="F202" s="214">
        <v>15.32</v>
      </c>
      <c r="G202" s="215">
        <f t="shared" si="6"/>
        <v>-9.6961861667744786E-3</v>
      </c>
      <c r="I202" s="412">
        <v>17026.45</v>
      </c>
      <c r="J202" s="28">
        <f t="shared" si="7"/>
        <v>-9.900155262346888E-3</v>
      </c>
      <c r="K202" s="65"/>
      <c r="M202" s="28"/>
      <c r="O202" s="65"/>
      <c r="Q202" s="28"/>
      <c r="S202" s="65"/>
      <c r="U202" s="28"/>
      <c r="W202" s="65"/>
      <c r="Y202" s="28"/>
    </row>
    <row r="203" spans="4:25" x14ac:dyDescent="0.25">
      <c r="D203" s="210">
        <v>44515</v>
      </c>
      <c r="F203" s="214">
        <v>16.329999999999998</v>
      </c>
      <c r="G203" s="215">
        <f t="shared" si="6"/>
        <v>6.5926892950391558E-2</v>
      </c>
      <c r="I203" s="412">
        <v>17764.8</v>
      </c>
      <c r="J203" s="28">
        <f t="shared" si="7"/>
        <v>4.3364882286090145E-2</v>
      </c>
      <c r="K203" s="65"/>
      <c r="M203" s="28"/>
      <c r="O203" s="65"/>
      <c r="Q203" s="28"/>
      <c r="S203" s="65"/>
      <c r="U203" s="28"/>
      <c r="W203" s="65"/>
      <c r="Y203" s="28"/>
    </row>
    <row r="204" spans="4:25" x14ac:dyDescent="0.25">
      <c r="D204" s="210">
        <v>44508</v>
      </c>
      <c r="F204" s="214">
        <v>16.91</v>
      </c>
      <c r="G204" s="215">
        <f t="shared" si="6"/>
        <v>3.5517452541335093E-2</v>
      </c>
      <c r="I204" s="412">
        <v>18102.75</v>
      </c>
      <c r="J204" s="28">
        <f t="shared" si="7"/>
        <v>1.9023574709537971E-2</v>
      </c>
      <c r="K204" s="65"/>
      <c r="M204" s="28"/>
      <c r="O204" s="65"/>
      <c r="Q204" s="28"/>
      <c r="S204" s="65"/>
      <c r="U204" s="28"/>
      <c r="W204" s="65"/>
      <c r="Y204" s="28"/>
    </row>
    <row r="205" spans="4:25" x14ac:dyDescent="0.25">
      <c r="D205" s="210">
        <v>44501</v>
      </c>
      <c r="F205" s="214">
        <v>17.39</v>
      </c>
      <c r="G205" s="215">
        <f t="shared" si="6"/>
        <v>2.8385570668243654E-2</v>
      </c>
      <c r="I205" s="412">
        <v>17916.8</v>
      </c>
      <c r="J205" s="28">
        <f t="shared" si="7"/>
        <v>-1.0271920012152935E-2</v>
      </c>
      <c r="K205" s="65"/>
      <c r="M205" s="28"/>
      <c r="O205" s="65"/>
      <c r="Q205" s="28"/>
      <c r="S205" s="65"/>
      <c r="U205" s="28"/>
      <c r="W205" s="65"/>
      <c r="Y205" s="28"/>
    </row>
    <row r="206" spans="4:25" x14ac:dyDescent="0.25">
      <c r="D206" s="210">
        <v>44494</v>
      </c>
      <c r="F206" s="214">
        <v>17.100000000000001</v>
      </c>
      <c r="G206" s="215">
        <f t="shared" ref="G206:G269" si="8">F206/F205-1</f>
        <v>-1.6676250718803853E-2</v>
      </c>
      <c r="I206" s="412">
        <v>17671.650000000001</v>
      </c>
      <c r="J206" s="28">
        <f t="shared" ref="J206:J269" si="9">I206/I205-1</f>
        <v>-1.3682688873012938E-2</v>
      </c>
      <c r="K206" s="65"/>
      <c r="M206" s="28"/>
      <c r="O206" s="65"/>
      <c r="Q206" s="28"/>
      <c r="S206" s="65"/>
      <c r="U206" s="28"/>
      <c r="W206" s="65"/>
      <c r="Y206" s="28"/>
    </row>
    <row r="207" spans="4:25" x14ac:dyDescent="0.25">
      <c r="D207" s="210">
        <v>44487</v>
      </c>
      <c r="F207" s="214">
        <v>17.29</v>
      </c>
      <c r="G207" s="215">
        <f t="shared" si="8"/>
        <v>1.1111111111111072E-2</v>
      </c>
      <c r="I207" s="412">
        <v>18114.900000000001</v>
      </c>
      <c r="J207" s="28">
        <f t="shared" si="9"/>
        <v>2.5082547470100414E-2</v>
      </c>
      <c r="K207" s="65"/>
      <c r="M207" s="28"/>
      <c r="O207" s="65"/>
      <c r="Q207" s="28"/>
      <c r="S207" s="65"/>
      <c r="U207" s="28"/>
      <c r="W207" s="65"/>
      <c r="Y207" s="28"/>
    </row>
    <row r="208" spans="4:25" x14ac:dyDescent="0.25">
      <c r="D208" s="210">
        <v>44480</v>
      </c>
      <c r="F208" s="214">
        <v>17.82</v>
      </c>
      <c r="G208" s="215">
        <f t="shared" si="8"/>
        <v>3.0653556969346463E-2</v>
      </c>
      <c r="I208" s="412">
        <v>18338.55</v>
      </c>
      <c r="J208" s="28">
        <f t="shared" si="9"/>
        <v>1.2346190152857428E-2</v>
      </c>
      <c r="K208" s="65"/>
      <c r="M208" s="28"/>
      <c r="O208" s="65"/>
      <c r="Q208" s="28"/>
      <c r="S208" s="65"/>
      <c r="U208" s="28"/>
      <c r="W208" s="65"/>
      <c r="Y208" s="28"/>
    </row>
    <row r="209" spans="4:25" x14ac:dyDescent="0.25">
      <c r="D209" s="210">
        <v>44473</v>
      </c>
      <c r="F209" s="214">
        <v>17.68</v>
      </c>
      <c r="G209" s="215">
        <f t="shared" si="8"/>
        <v>-7.8563411896745983E-3</v>
      </c>
      <c r="I209" s="412">
        <v>17895.2</v>
      </c>
      <c r="J209" s="28">
        <f t="shared" si="9"/>
        <v>-2.4175848145027712E-2</v>
      </c>
      <c r="K209" s="65"/>
      <c r="M209" s="28"/>
      <c r="O209" s="65"/>
      <c r="Q209" s="28"/>
      <c r="S209" s="65"/>
      <c r="U209" s="28"/>
      <c r="W209" s="65"/>
      <c r="Y209" s="28"/>
    </row>
    <row r="210" spans="4:25" x14ac:dyDescent="0.25">
      <c r="D210" s="210">
        <v>44466</v>
      </c>
      <c r="F210" s="214">
        <v>16.86</v>
      </c>
      <c r="G210" s="215">
        <f t="shared" si="8"/>
        <v>-4.6380090497737614E-2</v>
      </c>
      <c r="I210" s="412">
        <v>17532.05</v>
      </c>
      <c r="J210" s="28">
        <f t="shared" si="9"/>
        <v>-2.0293151236085771E-2</v>
      </c>
      <c r="K210" s="65"/>
      <c r="M210" s="28"/>
      <c r="O210" s="65"/>
      <c r="Q210" s="28"/>
      <c r="S210" s="65"/>
      <c r="U210" s="28"/>
      <c r="W210" s="65"/>
      <c r="Y210" s="28"/>
    </row>
    <row r="211" spans="4:25" x14ac:dyDescent="0.25">
      <c r="D211" s="210">
        <v>44459</v>
      </c>
      <c r="F211" s="214">
        <v>16.14</v>
      </c>
      <c r="G211" s="215">
        <f t="shared" si="8"/>
        <v>-4.2704626334519546E-2</v>
      </c>
      <c r="I211" s="412">
        <v>17853.2</v>
      </c>
      <c r="J211" s="28">
        <f t="shared" si="9"/>
        <v>1.8317880681380849E-2</v>
      </c>
      <c r="K211" s="65"/>
      <c r="M211" s="28"/>
      <c r="O211" s="65"/>
      <c r="Q211" s="28"/>
      <c r="S211" s="65"/>
      <c r="U211" s="28"/>
      <c r="W211" s="65"/>
      <c r="Y211" s="28"/>
    </row>
    <row r="212" spans="4:25" x14ac:dyDescent="0.25">
      <c r="D212" s="210">
        <v>44452</v>
      </c>
      <c r="F212" s="214">
        <v>17.149999999999999</v>
      </c>
      <c r="G212" s="215">
        <f t="shared" si="8"/>
        <v>6.2577447335811609E-2</v>
      </c>
      <c r="I212" s="412">
        <v>17585.150000000001</v>
      </c>
      <c r="J212" s="28">
        <f t="shared" si="9"/>
        <v>-1.5014115116617655E-2</v>
      </c>
      <c r="K212" s="65"/>
      <c r="M212" s="28"/>
      <c r="O212" s="65"/>
      <c r="Q212" s="28"/>
      <c r="S212" s="65"/>
      <c r="U212" s="28"/>
      <c r="W212" s="65"/>
      <c r="Y212" s="28"/>
    </row>
    <row r="213" spans="4:25" x14ac:dyDescent="0.25">
      <c r="D213" s="210">
        <v>44445</v>
      </c>
      <c r="F213" s="214">
        <v>16.09</v>
      </c>
      <c r="G213" s="215">
        <f t="shared" si="8"/>
        <v>-6.1807580174927046E-2</v>
      </c>
      <c r="I213" s="412">
        <v>17369.25</v>
      </c>
      <c r="J213" s="28">
        <f t="shared" si="9"/>
        <v>-1.2277404514604684E-2</v>
      </c>
      <c r="K213" s="65"/>
      <c r="M213" s="28"/>
      <c r="O213" s="65"/>
      <c r="Q213" s="28"/>
      <c r="S213" s="65"/>
      <c r="U213" s="28"/>
      <c r="W213" s="65"/>
      <c r="Y213" s="28"/>
    </row>
    <row r="214" spans="4:25" x14ac:dyDescent="0.25">
      <c r="D214" s="210">
        <v>44438</v>
      </c>
      <c r="F214" s="214">
        <v>16.48</v>
      </c>
      <c r="G214" s="215">
        <f t="shared" si="8"/>
        <v>2.4238657551274079E-2</v>
      </c>
      <c r="I214" s="412">
        <v>17323.599999999999</v>
      </c>
      <c r="J214" s="28">
        <f t="shared" si="9"/>
        <v>-2.6282078961383792E-3</v>
      </c>
      <c r="K214" s="65"/>
      <c r="M214" s="28"/>
      <c r="O214" s="65"/>
      <c r="Q214" s="28"/>
      <c r="S214" s="65"/>
      <c r="U214" s="28"/>
      <c r="W214" s="65"/>
      <c r="Y214" s="28"/>
    </row>
    <row r="215" spans="4:25" x14ac:dyDescent="0.25">
      <c r="D215" s="210">
        <v>44431</v>
      </c>
      <c r="F215" s="214">
        <v>15.85</v>
      </c>
      <c r="G215" s="215">
        <f t="shared" si="8"/>
        <v>-3.8228155339805836E-2</v>
      </c>
      <c r="I215" s="412">
        <v>16705.2</v>
      </c>
      <c r="J215" s="28">
        <f t="shared" si="9"/>
        <v>-3.5696968297582399E-2</v>
      </c>
      <c r="K215" s="65"/>
      <c r="M215" s="28"/>
      <c r="O215" s="65"/>
      <c r="Q215" s="28"/>
      <c r="S215" s="65"/>
      <c r="U215" s="28"/>
      <c r="W215" s="65"/>
      <c r="Y215" s="28"/>
    </row>
    <row r="216" spans="4:25" x14ac:dyDescent="0.25">
      <c r="D216" s="210">
        <v>44424</v>
      </c>
      <c r="F216" s="214">
        <v>15.8</v>
      </c>
      <c r="G216" s="215">
        <f t="shared" si="8"/>
        <v>-3.154574132492094E-3</v>
      </c>
      <c r="I216" s="412">
        <v>16450.5</v>
      </c>
      <c r="J216" s="28">
        <f t="shared" si="9"/>
        <v>-1.5246749515121061E-2</v>
      </c>
      <c r="K216" s="65"/>
      <c r="M216" s="28"/>
      <c r="O216" s="65"/>
      <c r="Q216" s="28"/>
      <c r="S216" s="65"/>
      <c r="U216" s="28"/>
      <c r="W216" s="65"/>
      <c r="Y216" s="28"/>
    </row>
    <row r="217" spans="4:25" x14ac:dyDescent="0.25">
      <c r="D217" s="210">
        <v>44417</v>
      </c>
      <c r="F217" s="214">
        <v>16.86</v>
      </c>
      <c r="G217" s="215">
        <f t="shared" si="8"/>
        <v>6.7088607594936622E-2</v>
      </c>
      <c r="I217" s="412">
        <v>16529.099999999999</v>
      </c>
      <c r="J217" s="28">
        <f t="shared" si="9"/>
        <v>4.7779702744596975E-3</v>
      </c>
      <c r="K217" s="65"/>
      <c r="M217" s="28"/>
      <c r="O217" s="65"/>
      <c r="Q217" s="28"/>
      <c r="S217" s="65"/>
      <c r="U217" s="28"/>
      <c r="W217" s="65"/>
      <c r="Y217" s="28"/>
    </row>
    <row r="218" spans="4:25" x14ac:dyDescent="0.25">
      <c r="D218" s="210">
        <v>44410</v>
      </c>
      <c r="F218" s="214">
        <v>17.68</v>
      </c>
      <c r="G218" s="215">
        <f t="shared" si="8"/>
        <v>4.8635824436536135E-2</v>
      </c>
      <c r="I218" s="412">
        <v>16238.2</v>
      </c>
      <c r="J218" s="28">
        <f t="shared" si="9"/>
        <v>-1.7599264327761266E-2</v>
      </c>
      <c r="K218" s="65"/>
      <c r="M218" s="28"/>
      <c r="O218" s="65"/>
      <c r="Q218" s="28"/>
      <c r="S218" s="65"/>
      <c r="U218" s="28"/>
      <c r="W218" s="65"/>
      <c r="Y218" s="28"/>
    </row>
    <row r="219" spans="4:25" x14ac:dyDescent="0.25">
      <c r="D219" s="210">
        <v>44403</v>
      </c>
      <c r="F219" s="214">
        <v>19.170000000000002</v>
      </c>
      <c r="G219" s="215">
        <f t="shared" si="8"/>
        <v>8.4276018099547656E-2</v>
      </c>
      <c r="I219" s="412">
        <v>15763.05</v>
      </c>
      <c r="J219" s="28">
        <f t="shared" si="9"/>
        <v>-2.9261248167900433E-2</v>
      </c>
      <c r="K219" s="65"/>
      <c r="M219" s="28"/>
      <c r="O219" s="65"/>
      <c r="Q219" s="28"/>
      <c r="S219" s="65"/>
      <c r="U219" s="28"/>
      <c r="W219" s="65"/>
      <c r="Y219" s="28"/>
    </row>
    <row r="220" spans="4:25" x14ac:dyDescent="0.25">
      <c r="D220" s="210">
        <v>44396</v>
      </c>
      <c r="F220" s="214">
        <v>18.78</v>
      </c>
      <c r="G220" s="215">
        <f t="shared" si="8"/>
        <v>-2.0344287949921824E-2</v>
      </c>
      <c r="I220" s="412">
        <v>15856.05</v>
      </c>
      <c r="J220" s="28">
        <f t="shared" si="9"/>
        <v>5.899873438198755E-3</v>
      </c>
      <c r="K220" s="65"/>
      <c r="M220" s="28"/>
      <c r="O220" s="65"/>
      <c r="Q220" s="28"/>
      <c r="S220" s="65"/>
      <c r="U220" s="28"/>
      <c r="W220" s="65"/>
      <c r="Y220" s="28"/>
    </row>
    <row r="221" spans="4:25" x14ac:dyDescent="0.25">
      <c r="D221" s="210">
        <v>44389</v>
      </c>
      <c r="F221" s="214">
        <v>19.170000000000002</v>
      </c>
      <c r="G221" s="215">
        <f t="shared" si="8"/>
        <v>2.0766773162939289E-2</v>
      </c>
      <c r="I221" s="412">
        <v>15923.4</v>
      </c>
      <c r="J221" s="28">
        <f t="shared" si="9"/>
        <v>4.2475900366105712E-3</v>
      </c>
      <c r="K221" s="65"/>
      <c r="M221" s="28"/>
      <c r="O221" s="65"/>
      <c r="Q221" s="28"/>
      <c r="S221" s="65"/>
      <c r="U221" s="28"/>
      <c r="W221" s="65"/>
      <c r="Y221" s="28"/>
    </row>
    <row r="222" spans="4:25" x14ac:dyDescent="0.25">
      <c r="D222" s="210">
        <v>44382</v>
      </c>
      <c r="F222" s="214">
        <v>19.55</v>
      </c>
      <c r="G222" s="215">
        <f t="shared" si="8"/>
        <v>1.9822639540949316E-2</v>
      </c>
      <c r="I222" s="412">
        <v>15689.8</v>
      </c>
      <c r="J222" s="28">
        <f t="shared" si="9"/>
        <v>-1.4670233744049632E-2</v>
      </c>
      <c r="K222" s="65"/>
      <c r="M222" s="28"/>
      <c r="O222" s="65"/>
      <c r="Q222" s="28"/>
      <c r="S222" s="65"/>
      <c r="U222" s="28"/>
      <c r="W222" s="65"/>
      <c r="Y222" s="28"/>
    </row>
    <row r="223" spans="4:25" x14ac:dyDescent="0.25">
      <c r="D223" s="210">
        <v>44375</v>
      </c>
      <c r="F223" s="214">
        <v>20.61</v>
      </c>
      <c r="G223" s="215">
        <f t="shared" si="8"/>
        <v>5.421994884910486E-2</v>
      </c>
      <c r="I223" s="412">
        <v>15722.2</v>
      </c>
      <c r="J223" s="28">
        <f t="shared" si="9"/>
        <v>2.0650358831852955E-3</v>
      </c>
      <c r="K223" s="65"/>
      <c r="M223" s="28"/>
      <c r="O223" s="65"/>
      <c r="Q223" s="28"/>
      <c r="S223" s="65"/>
      <c r="U223" s="28"/>
      <c r="W223" s="65"/>
      <c r="Y223" s="28"/>
    </row>
    <row r="224" spans="4:25" x14ac:dyDescent="0.25">
      <c r="D224" s="210">
        <v>44368</v>
      </c>
      <c r="F224" s="214">
        <v>20.7</v>
      </c>
      <c r="G224" s="215">
        <f t="shared" si="8"/>
        <v>4.366812227074135E-3</v>
      </c>
      <c r="I224" s="412">
        <v>15860.35</v>
      </c>
      <c r="J224" s="28">
        <f t="shared" si="9"/>
        <v>8.7869382147536257E-3</v>
      </c>
      <c r="K224" s="65"/>
      <c r="M224" s="28"/>
      <c r="O224" s="65"/>
      <c r="Q224" s="28"/>
      <c r="S224" s="65"/>
      <c r="U224" s="28"/>
      <c r="W224" s="65"/>
      <c r="Y224" s="28"/>
    </row>
    <row r="225" spans="4:25" x14ac:dyDescent="0.25">
      <c r="D225" s="210">
        <v>44361</v>
      </c>
      <c r="F225" s="214">
        <v>18.3</v>
      </c>
      <c r="G225" s="215">
        <f t="shared" si="8"/>
        <v>-0.11594202898550721</v>
      </c>
      <c r="I225" s="412">
        <v>15683.35</v>
      </c>
      <c r="J225" s="28">
        <f t="shared" si="9"/>
        <v>-1.1159905046231655E-2</v>
      </c>
      <c r="K225" s="65"/>
      <c r="M225" s="28"/>
      <c r="O225" s="65"/>
      <c r="Q225" s="28"/>
      <c r="S225" s="65"/>
      <c r="U225" s="28"/>
      <c r="W225" s="65"/>
      <c r="Y225" s="28"/>
    </row>
    <row r="226" spans="4:25" x14ac:dyDescent="0.25">
      <c r="D226" s="210">
        <v>44354</v>
      </c>
      <c r="F226" s="214">
        <v>19.5</v>
      </c>
      <c r="G226" s="215">
        <f t="shared" si="8"/>
        <v>6.5573770491803129E-2</v>
      </c>
      <c r="I226" s="412">
        <v>15799.35</v>
      </c>
      <c r="J226" s="28">
        <f t="shared" si="9"/>
        <v>7.3963789624027498E-3</v>
      </c>
      <c r="K226" s="65"/>
      <c r="M226" s="28"/>
      <c r="O226" s="65"/>
      <c r="Q226" s="28"/>
      <c r="S226" s="65"/>
      <c r="U226" s="28"/>
      <c r="W226" s="65"/>
      <c r="Y226" s="28"/>
    </row>
    <row r="227" spans="4:25" x14ac:dyDescent="0.25">
      <c r="D227" s="210">
        <v>44347</v>
      </c>
      <c r="F227" s="214">
        <v>19.739999999999998</v>
      </c>
      <c r="G227" s="215">
        <f t="shared" si="8"/>
        <v>1.2307692307692131E-2</v>
      </c>
      <c r="I227" s="412">
        <v>15670.25</v>
      </c>
      <c r="J227" s="28">
        <f t="shared" si="9"/>
        <v>-8.1712222338260476E-3</v>
      </c>
      <c r="K227" s="65"/>
      <c r="M227" s="28"/>
      <c r="O227" s="65"/>
      <c r="Q227" s="28"/>
      <c r="S227" s="65"/>
      <c r="U227" s="28"/>
      <c r="W227" s="65"/>
      <c r="Y227" s="28"/>
    </row>
    <row r="228" spans="4:25" x14ac:dyDescent="0.25">
      <c r="D228" s="210">
        <v>44340</v>
      </c>
      <c r="F228" s="214">
        <v>19.41</v>
      </c>
      <c r="G228" s="215">
        <f t="shared" si="8"/>
        <v>-1.6717325227963431E-2</v>
      </c>
      <c r="I228" s="412">
        <v>15435.65</v>
      </c>
      <c r="J228" s="28">
        <f t="shared" si="9"/>
        <v>-1.4971043856990218E-2</v>
      </c>
      <c r="K228" s="65"/>
      <c r="M228" s="28"/>
      <c r="O228" s="65"/>
      <c r="Q228" s="28"/>
      <c r="S228" s="65"/>
      <c r="U228" s="28"/>
      <c r="W228" s="65"/>
      <c r="Y228" s="28"/>
    </row>
    <row r="229" spans="4:25" x14ac:dyDescent="0.25">
      <c r="D229" s="210">
        <v>44333</v>
      </c>
      <c r="F229" s="214">
        <v>19.739999999999998</v>
      </c>
      <c r="G229" s="215">
        <f t="shared" si="8"/>
        <v>1.7001545595054068E-2</v>
      </c>
      <c r="I229" s="412">
        <v>15175.3</v>
      </c>
      <c r="J229" s="28">
        <f t="shared" si="9"/>
        <v>-1.6866798612303335E-2</v>
      </c>
      <c r="K229" s="65"/>
      <c r="M229" s="28"/>
      <c r="O229" s="65"/>
      <c r="Q229" s="28"/>
      <c r="S229" s="65"/>
      <c r="U229" s="28"/>
      <c r="W229" s="65"/>
      <c r="Y229" s="28"/>
    </row>
    <row r="230" spans="4:25" x14ac:dyDescent="0.25">
      <c r="D230" s="210">
        <v>44326</v>
      </c>
      <c r="F230" s="214">
        <v>19.690000000000001</v>
      </c>
      <c r="G230" s="215">
        <f t="shared" si="8"/>
        <v>-2.5329280648428432E-3</v>
      </c>
      <c r="I230" s="412">
        <v>14677.8</v>
      </c>
      <c r="J230" s="28">
        <f t="shared" si="9"/>
        <v>-3.2783536404552116E-2</v>
      </c>
      <c r="K230" s="65"/>
      <c r="M230" s="28"/>
      <c r="O230" s="65"/>
      <c r="Q230" s="28"/>
      <c r="S230" s="65"/>
      <c r="U230" s="28"/>
      <c r="W230" s="65"/>
      <c r="Y230" s="28"/>
    </row>
    <row r="231" spans="4:25" x14ac:dyDescent="0.25">
      <c r="D231" s="210">
        <v>44319</v>
      </c>
      <c r="F231" s="214">
        <v>18.16</v>
      </c>
      <c r="G231" s="215">
        <f t="shared" si="8"/>
        <v>-7.7704418486541416E-2</v>
      </c>
      <c r="I231" s="412">
        <v>14823.15</v>
      </c>
      <c r="J231" s="28">
        <f t="shared" si="9"/>
        <v>9.9027102154274349E-3</v>
      </c>
      <c r="K231" s="65"/>
      <c r="M231" s="28"/>
      <c r="O231" s="65"/>
      <c r="Q231" s="28"/>
      <c r="S231" s="65"/>
      <c r="U231" s="28"/>
      <c r="W231" s="65"/>
      <c r="Y231" s="28"/>
    </row>
    <row r="232" spans="4:25" x14ac:dyDescent="0.25">
      <c r="D232" s="210">
        <v>44312</v>
      </c>
      <c r="F232" s="214">
        <v>17.489999999999998</v>
      </c>
      <c r="G232" s="215">
        <f t="shared" si="8"/>
        <v>-3.6894273127753396E-2</v>
      </c>
      <c r="I232" s="412">
        <v>14631.1</v>
      </c>
      <c r="J232" s="28">
        <f t="shared" si="9"/>
        <v>-1.2956085582349175E-2</v>
      </c>
      <c r="K232" s="65"/>
      <c r="M232" s="28"/>
      <c r="O232" s="65"/>
      <c r="Q232" s="28"/>
      <c r="S232" s="65"/>
      <c r="U232" s="28"/>
      <c r="W232" s="65"/>
      <c r="Y232" s="28"/>
    </row>
    <row r="233" spans="4:25" x14ac:dyDescent="0.25">
      <c r="D233" s="210">
        <v>44305</v>
      </c>
      <c r="F233" s="214">
        <v>16.09</v>
      </c>
      <c r="G233" s="215">
        <f t="shared" si="8"/>
        <v>-8.0045740423098866E-2</v>
      </c>
      <c r="I233" s="412">
        <v>14341.35</v>
      </c>
      <c r="J233" s="28">
        <f t="shared" si="9"/>
        <v>-1.980370580475832E-2</v>
      </c>
      <c r="K233" s="65"/>
      <c r="M233" s="28"/>
      <c r="O233" s="65"/>
      <c r="Q233" s="28"/>
      <c r="S233" s="65"/>
      <c r="U233" s="28"/>
      <c r="W233" s="65"/>
      <c r="Y233" s="28"/>
    </row>
    <row r="234" spans="4:25" x14ac:dyDescent="0.25">
      <c r="D234" s="210">
        <v>44298</v>
      </c>
      <c r="F234" s="214">
        <v>17.05</v>
      </c>
      <c r="G234" s="215">
        <f t="shared" si="8"/>
        <v>5.9664387818520792E-2</v>
      </c>
      <c r="I234" s="412">
        <v>14617.85</v>
      </c>
      <c r="J234" s="28">
        <f t="shared" si="9"/>
        <v>1.927991437347254E-2</v>
      </c>
      <c r="K234" s="65"/>
      <c r="M234" s="28"/>
      <c r="O234" s="65"/>
      <c r="Q234" s="28"/>
      <c r="S234" s="65"/>
      <c r="U234" s="28"/>
      <c r="W234" s="65"/>
      <c r="Y234" s="28"/>
    </row>
    <row r="235" spans="4:25" x14ac:dyDescent="0.25">
      <c r="D235" s="210">
        <v>44291</v>
      </c>
      <c r="F235" s="214">
        <v>18.489999999999998</v>
      </c>
      <c r="G235" s="215">
        <f t="shared" si="8"/>
        <v>8.4457478005864894E-2</v>
      </c>
      <c r="I235" s="412">
        <v>14834.85</v>
      </c>
      <c r="J235" s="28">
        <f t="shared" si="9"/>
        <v>1.4844864326833296E-2</v>
      </c>
      <c r="K235" s="65"/>
      <c r="M235" s="28"/>
      <c r="O235" s="65"/>
      <c r="Q235" s="28"/>
      <c r="S235" s="65"/>
      <c r="U235" s="28"/>
      <c r="W235" s="65"/>
      <c r="Y235" s="28"/>
    </row>
    <row r="236" spans="4:25" x14ac:dyDescent="0.25">
      <c r="D236" s="210">
        <v>44284</v>
      </c>
      <c r="F236" s="214">
        <v>17.73</v>
      </c>
      <c r="G236" s="215">
        <f t="shared" si="8"/>
        <v>-4.1103299080583966E-2</v>
      </c>
      <c r="I236" s="412">
        <v>14867.35</v>
      </c>
      <c r="J236" s="28">
        <f t="shared" si="9"/>
        <v>2.1907872341142554E-3</v>
      </c>
      <c r="K236" s="65"/>
      <c r="M236" s="28"/>
      <c r="O236" s="65"/>
      <c r="Q236" s="28"/>
      <c r="S236" s="65"/>
      <c r="U236" s="28"/>
      <c r="W236" s="65"/>
      <c r="Y236" s="28"/>
    </row>
    <row r="237" spans="4:25" x14ac:dyDescent="0.25">
      <c r="D237" s="210">
        <v>44277</v>
      </c>
      <c r="F237" s="214">
        <v>15.52</v>
      </c>
      <c r="G237" s="215">
        <f t="shared" si="8"/>
        <v>-0.12464749012972365</v>
      </c>
      <c r="I237" s="412">
        <v>14507.3</v>
      </c>
      <c r="J237" s="28">
        <f t="shared" si="9"/>
        <v>-2.4217496729410537E-2</v>
      </c>
      <c r="K237" s="65"/>
      <c r="M237" s="28"/>
      <c r="O237" s="65"/>
      <c r="Q237" s="28"/>
      <c r="S237" s="65"/>
      <c r="U237" s="28"/>
      <c r="W237" s="65"/>
      <c r="Y237" s="28"/>
    </row>
    <row r="238" spans="4:25" x14ac:dyDescent="0.25">
      <c r="D238" s="210">
        <v>44270</v>
      </c>
      <c r="F238" s="214">
        <v>15.8</v>
      </c>
      <c r="G238" s="215">
        <f t="shared" si="8"/>
        <v>1.804123711340222E-2</v>
      </c>
      <c r="I238" s="412">
        <v>14744</v>
      </c>
      <c r="J238" s="28">
        <f t="shared" si="9"/>
        <v>1.6315923707374891E-2</v>
      </c>
      <c r="K238" s="65"/>
      <c r="M238" s="28"/>
      <c r="O238" s="65"/>
      <c r="Q238" s="28"/>
      <c r="S238" s="65"/>
      <c r="U238" s="28"/>
      <c r="W238" s="65"/>
      <c r="Y238" s="28"/>
    </row>
    <row r="239" spans="4:25" x14ac:dyDescent="0.25">
      <c r="D239" s="210">
        <v>44263</v>
      </c>
      <c r="F239" s="214">
        <v>17.05</v>
      </c>
      <c r="G239" s="215">
        <f t="shared" si="8"/>
        <v>7.9113924050632889E-2</v>
      </c>
      <c r="I239" s="412">
        <v>15030.95</v>
      </c>
      <c r="J239" s="28">
        <f t="shared" si="9"/>
        <v>1.9462154096581807E-2</v>
      </c>
      <c r="K239" s="65"/>
      <c r="M239" s="28"/>
      <c r="O239" s="65"/>
      <c r="Q239" s="28"/>
      <c r="S239" s="65"/>
      <c r="U239" s="28"/>
      <c r="W239" s="65"/>
      <c r="Y239" s="28"/>
    </row>
    <row r="240" spans="4:25" x14ac:dyDescent="0.25">
      <c r="D240" s="210">
        <v>44256</v>
      </c>
      <c r="F240" s="214">
        <v>16.96</v>
      </c>
      <c r="G240" s="215">
        <f t="shared" si="8"/>
        <v>-5.278592375366542E-3</v>
      </c>
      <c r="I240" s="412">
        <v>14938.1</v>
      </c>
      <c r="J240" s="28">
        <f t="shared" si="9"/>
        <v>-6.1772542653658613E-3</v>
      </c>
      <c r="K240" s="65"/>
      <c r="M240" s="28"/>
      <c r="O240" s="65"/>
      <c r="Q240" s="28"/>
      <c r="S240" s="65"/>
      <c r="U240" s="28"/>
      <c r="W240" s="65"/>
      <c r="Y240" s="28"/>
    </row>
    <row r="241" spans="4:25" x14ac:dyDescent="0.25">
      <c r="D241" s="210">
        <v>44249</v>
      </c>
      <c r="F241" s="214">
        <v>17.53</v>
      </c>
      <c r="G241" s="215">
        <f t="shared" si="8"/>
        <v>3.3608490566037652E-2</v>
      </c>
      <c r="I241" s="412">
        <v>14529.15</v>
      </c>
      <c r="J241" s="28">
        <f t="shared" si="9"/>
        <v>-2.7376306223683144E-2</v>
      </c>
      <c r="K241" s="65"/>
      <c r="M241" s="28"/>
      <c r="O241" s="65"/>
      <c r="Q241" s="28"/>
      <c r="S241" s="65"/>
      <c r="U241" s="28"/>
      <c r="W241" s="65"/>
      <c r="Y241" s="28"/>
    </row>
    <row r="242" spans="4:25" x14ac:dyDescent="0.25">
      <c r="D242" s="210">
        <v>44242</v>
      </c>
      <c r="F242" s="214">
        <v>18.78</v>
      </c>
      <c r="G242" s="215">
        <f t="shared" si="8"/>
        <v>7.1306332002281758E-2</v>
      </c>
      <c r="I242" s="412">
        <v>14981.75</v>
      </c>
      <c r="J242" s="28">
        <f t="shared" si="9"/>
        <v>3.1151168512955074E-2</v>
      </c>
      <c r="K242" s="65"/>
      <c r="M242" s="28"/>
      <c r="O242" s="65"/>
      <c r="Q242" s="28"/>
      <c r="S242" s="65"/>
      <c r="U242" s="28"/>
      <c r="W242" s="65"/>
      <c r="Y242" s="28"/>
    </row>
    <row r="243" spans="4:25" x14ac:dyDescent="0.25">
      <c r="D243" s="210">
        <v>44235</v>
      </c>
      <c r="F243" s="214">
        <v>13.88</v>
      </c>
      <c r="G243" s="215">
        <f t="shared" si="8"/>
        <v>-0.26091586794462196</v>
      </c>
      <c r="I243" s="412">
        <v>15163.3</v>
      </c>
      <c r="J243" s="28">
        <f t="shared" si="9"/>
        <v>1.2118076993675508E-2</v>
      </c>
      <c r="K243" s="65"/>
      <c r="M243" s="28"/>
      <c r="O243" s="65"/>
      <c r="Q243" s="28"/>
      <c r="S243" s="65"/>
      <c r="U243" s="28"/>
      <c r="W243" s="65"/>
      <c r="Y243" s="28"/>
    </row>
    <row r="244" spans="4:25" x14ac:dyDescent="0.25">
      <c r="D244" s="210">
        <v>44228</v>
      </c>
      <c r="F244" s="214">
        <v>13.88</v>
      </c>
      <c r="G244" s="215">
        <f t="shared" si="8"/>
        <v>0</v>
      </c>
      <c r="I244" s="412">
        <v>14924.25</v>
      </c>
      <c r="J244" s="28">
        <f t="shared" si="9"/>
        <v>-1.5765037953479721E-2</v>
      </c>
      <c r="K244" s="65"/>
      <c r="M244" s="28"/>
      <c r="O244" s="65"/>
      <c r="Q244" s="28"/>
      <c r="S244" s="65"/>
      <c r="U244" s="28"/>
      <c r="W244" s="65"/>
      <c r="Y244" s="28"/>
    </row>
    <row r="245" spans="4:25" x14ac:dyDescent="0.25">
      <c r="D245" s="210">
        <v>44221</v>
      </c>
      <c r="F245" s="214">
        <v>12.68</v>
      </c>
      <c r="G245" s="215">
        <f t="shared" si="8"/>
        <v>-8.645533141210382E-2</v>
      </c>
      <c r="I245" s="412">
        <v>13634.6</v>
      </c>
      <c r="J245" s="28">
        <f t="shared" si="9"/>
        <v>-8.6413052582206773E-2</v>
      </c>
      <c r="K245" s="65"/>
      <c r="M245" s="28"/>
      <c r="O245" s="65"/>
      <c r="Q245" s="28"/>
      <c r="S245" s="65"/>
      <c r="U245" s="28"/>
      <c r="W245" s="65"/>
      <c r="Y245" s="28"/>
    </row>
    <row r="246" spans="4:25" x14ac:dyDescent="0.25">
      <c r="D246" s="210">
        <v>44214</v>
      </c>
      <c r="F246" s="214">
        <v>12.68</v>
      </c>
      <c r="G246" s="215">
        <f t="shared" si="8"/>
        <v>0</v>
      </c>
      <c r="I246" s="412">
        <v>14371.9</v>
      </c>
      <c r="J246" s="28">
        <f t="shared" si="9"/>
        <v>5.4075660452085117E-2</v>
      </c>
      <c r="K246" s="65"/>
      <c r="M246" s="28"/>
      <c r="O246" s="65"/>
      <c r="Q246" s="28"/>
      <c r="S246" s="65"/>
      <c r="U246" s="28"/>
      <c r="W246" s="65"/>
      <c r="Y246" s="28"/>
    </row>
    <row r="247" spans="4:25" x14ac:dyDescent="0.25">
      <c r="D247" s="210">
        <v>44207</v>
      </c>
      <c r="F247" s="214">
        <v>12.83</v>
      </c>
      <c r="G247" s="215">
        <f t="shared" si="8"/>
        <v>1.1829652996845352E-2</v>
      </c>
      <c r="I247" s="412">
        <v>14433.7</v>
      </c>
      <c r="J247" s="28">
        <f t="shared" si="9"/>
        <v>4.3000577515848182E-3</v>
      </c>
      <c r="K247" s="65"/>
      <c r="M247" s="28"/>
      <c r="O247" s="65"/>
      <c r="Q247" s="28"/>
      <c r="S247" s="65"/>
      <c r="U247" s="28"/>
      <c r="W247" s="65"/>
      <c r="Y247" s="28"/>
    </row>
    <row r="248" spans="4:25" x14ac:dyDescent="0.25">
      <c r="D248" s="210">
        <v>44200</v>
      </c>
      <c r="F248" s="214">
        <v>13.31</v>
      </c>
      <c r="G248" s="215">
        <f t="shared" si="8"/>
        <v>3.74123148869836E-2</v>
      </c>
      <c r="I248" s="412">
        <v>14347.25</v>
      </c>
      <c r="J248" s="28">
        <f t="shared" si="9"/>
        <v>-5.9894552332389051E-3</v>
      </c>
      <c r="K248" s="65"/>
      <c r="M248" s="28"/>
      <c r="O248" s="65"/>
      <c r="Q248" s="28"/>
      <c r="S248" s="65"/>
      <c r="U248" s="28"/>
      <c r="W248" s="65"/>
      <c r="Y248" s="28"/>
    </row>
    <row r="249" spans="4:25" x14ac:dyDescent="0.25">
      <c r="D249" s="210">
        <v>44193</v>
      </c>
      <c r="F249" s="214">
        <v>12.92</v>
      </c>
      <c r="G249" s="215">
        <f t="shared" si="8"/>
        <v>-2.9301277235161627E-2</v>
      </c>
      <c r="I249" s="412">
        <v>14018.5</v>
      </c>
      <c r="J249" s="28">
        <f t="shared" si="9"/>
        <v>-2.2913798811618924E-2</v>
      </c>
      <c r="K249" s="65"/>
      <c r="M249" s="28"/>
      <c r="O249" s="65"/>
      <c r="Q249" s="28"/>
      <c r="S249" s="65"/>
      <c r="U249" s="28"/>
      <c r="W249" s="65"/>
      <c r="Y249" s="28"/>
    </row>
    <row r="250" spans="4:25" x14ac:dyDescent="0.25">
      <c r="D250" s="210">
        <v>44186</v>
      </c>
      <c r="F250" s="214">
        <v>12.73</v>
      </c>
      <c r="G250" s="215">
        <f t="shared" si="8"/>
        <v>-1.4705882352941124E-2</v>
      </c>
      <c r="I250" s="412">
        <v>13749.25</v>
      </c>
      <c r="J250" s="28">
        <f t="shared" si="9"/>
        <v>-1.9206762492420704E-2</v>
      </c>
      <c r="K250" s="65"/>
      <c r="M250" s="28"/>
      <c r="O250" s="65"/>
      <c r="Q250" s="28"/>
      <c r="S250" s="65"/>
      <c r="U250" s="28"/>
      <c r="W250" s="65"/>
      <c r="Y250" s="28"/>
    </row>
    <row r="251" spans="4:25" x14ac:dyDescent="0.25">
      <c r="D251" s="210">
        <v>44179</v>
      </c>
      <c r="F251" s="214">
        <v>12.83</v>
      </c>
      <c r="G251" s="215">
        <f t="shared" si="8"/>
        <v>7.8554595443833808E-3</v>
      </c>
      <c r="I251" s="412">
        <v>13760.55</v>
      </c>
      <c r="J251" s="28">
        <f t="shared" si="9"/>
        <v>8.2186301070952261E-4</v>
      </c>
      <c r="K251" s="65"/>
      <c r="M251" s="28"/>
      <c r="O251" s="65"/>
      <c r="Q251" s="28"/>
      <c r="S251" s="65"/>
      <c r="U251" s="28"/>
      <c r="W251" s="65"/>
      <c r="Y251" s="28"/>
    </row>
    <row r="252" spans="4:25" x14ac:dyDescent="0.25">
      <c r="D252" s="210">
        <v>44172</v>
      </c>
      <c r="F252" s="214">
        <v>13.74</v>
      </c>
      <c r="G252" s="215">
        <f t="shared" si="8"/>
        <v>7.092751363990657E-2</v>
      </c>
      <c r="I252" s="412">
        <v>13513.85</v>
      </c>
      <c r="J252" s="28">
        <f t="shared" si="9"/>
        <v>-1.7928062468433259E-2</v>
      </c>
      <c r="K252" s="65"/>
      <c r="M252" s="28"/>
      <c r="O252" s="65"/>
      <c r="Q252" s="28"/>
      <c r="S252" s="65"/>
      <c r="U252" s="28"/>
      <c r="W252" s="65"/>
      <c r="Y252" s="28"/>
    </row>
    <row r="253" spans="4:25" x14ac:dyDescent="0.25">
      <c r="D253" s="210">
        <v>44165</v>
      </c>
      <c r="F253" s="214">
        <v>13.4</v>
      </c>
      <c r="G253" s="215">
        <f t="shared" si="8"/>
        <v>-2.4745269286754024E-2</v>
      </c>
      <c r="I253" s="412">
        <v>13258.55</v>
      </c>
      <c r="J253" s="28">
        <f t="shared" si="9"/>
        <v>-1.8891729595933104E-2</v>
      </c>
      <c r="K253" s="65"/>
      <c r="M253" s="28"/>
      <c r="O253" s="65"/>
      <c r="Q253" s="28"/>
      <c r="S253" s="65"/>
      <c r="U253" s="28"/>
      <c r="W253" s="65"/>
      <c r="Y253" s="28"/>
    </row>
    <row r="254" spans="4:25" x14ac:dyDescent="0.25">
      <c r="D254" s="210">
        <v>44158</v>
      </c>
      <c r="F254" s="214">
        <v>13.35</v>
      </c>
      <c r="G254" s="215">
        <f t="shared" si="8"/>
        <v>-3.7313432835821558E-3</v>
      </c>
      <c r="I254" s="412">
        <v>12968.95</v>
      </c>
      <c r="J254" s="28">
        <f t="shared" si="9"/>
        <v>-2.1842509173325753E-2</v>
      </c>
      <c r="K254" s="65"/>
      <c r="M254" s="28"/>
      <c r="O254" s="65"/>
      <c r="Q254" s="28"/>
      <c r="S254" s="65"/>
      <c r="U254" s="28"/>
      <c r="W254" s="65"/>
      <c r="Y254" s="28"/>
    </row>
    <row r="255" spans="4:25" x14ac:dyDescent="0.25">
      <c r="D255" s="210">
        <v>44151</v>
      </c>
      <c r="F255" s="214">
        <v>10.95</v>
      </c>
      <c r="G255" s="215">
        <f t="shared" si="8"/>
        <v>-0.1797752808988764</v>
      </c>
      <c r="I255" s="412">
        <v>12859.05</v>
      </c>
      <c r="J255" s="28">
        <f t="shared" si="9"/>
        <v>-8.4740861827674596E-3</v>
      </c>
      <c r="K255" s="65"/>
      <c r="M255" s="28"/>
      <c r="O255" s="65"/>
      <c r="Q255" s="28"/>
      <c r="S255" s="65"/>
      <c r="U255" s="28"/>
      <c r="W255" s="65"/>
      <c r="Y255" s="28"/>
    </row>
    <row r="256" spans="4:25" x14ac:dyDescent="0.25">
      <c r="D256" s="210">
        <v>44144</v>
      </c>
      <c r="F256" s="214">
        <v>10.95</v>
      </c>
      <c r="G256" s="215">
        <f t="shared" si="8"/>
        <v>0</v>
      </c>
      <c r="I256" s="412">
        <v>12719.95</v>
      </c>
      <c r="J256" s="28">
        <f t="shared" si="9"/>
        <v>-1.0817284325047249E-2</v>
      </c>
      <c r="K256" s="65"/>
      <c r="M256" s="28"/>
      <c r="O256" s="65"/>
      <c r="Q256" s="28"/>
      <c r="S256" s="65"/>
      <c r="U256" s="28"/>
      <c r="W256" s="65"/>
      <c r="Y256" s="28"/>
    </row>
    <row r="257" spans="4:25" x14ac:dyDescent="0.25">
      <c r="D257" s="210">
        <v>44137</v>
      </c>
      <c r="F257" s="214">
        <v>10.28</v>
      </c>
      <c r="G257" s="215">
        <f t="shared" si="8"/>
        <v>-6.1187214611872154E-2</v>
      </c>
      <c r="I257" s="412">
        <v>12263.55</v>
      </c>
      <c r="J257" s="28">
        <f t="shared" si="9"/>
        <v>-3.5880644184922206E-2</v>
      </c>
      <c r="K257" s="65"/>
      <c r="M257" s="28"/>
      <c r="O257" s="65"/>
      <c r="Q257" s="28"/>
      <c r="S257" s="65"/>
      <c r="U257" s="28"/>
      <c r="W257" s="65"/>
      <c r="Y257" s="28"/>
    </row>
    <row r="258" spans="4:25" x14ac:dyDescent="0.25">
      <c r="D258" s="210">
        <v>44130</v>
      </c>
      <c r="F258" s="214">
        <v>10.23</v>
      </c>
      <c r="G258" s="215">
        <f t="shared" si="8"/>
        <v>-4.8638132295718561E-3</v>
      </c>
      <c r="I258" s="412">
        <v>11642.4</v>
      </c>
      <c r="J258" s="28">
        <f t="shared" si="9"/>
        <v>-5.0650097239380076E-2</v>
      </c>
      <c r="K258" s="65"/>
      <c r="M258" s="28"/>
      <c r="O258" s="65"/>
      <c r="Q258" s="28"/>
      <c r="S258" s="65"/>
      <c r="U258" s="28"/>
      <c r="W258" s="65"/>
      <c r="Y258" s="28"/>
    </row>
    <row r="259" spans="4:25" x14ac:dyDescent="0.25">
      <c r="D259" s="210">
        <v>44123</v>
      </c>
      <c r="F259" s="214">
        <v>10.47</v>
      </c>
      <c r="G259" s="215">
        <f t="shared" si="8"/>
        <v>2.346041055718473E-2</v>
      </c>
      <c r="I259" s="412">
        <v>11930.35</v>
      </c>
      <c r="J259" s="28">
        <f t="shared" si="9"/>
        <v>2.4732872947158757E-2</v>
      </c>
      <c r="K259" s="65"/>
      <c r="M259" s="28"/>
      <c r="O259" s="65"/>
      <c r="Q259" s="28"/>
      <c r="S259" s="65"/>
      <c r="U259" s="28"/>
      <c r="W259" s="65"/>
      <c r="Y259" s="28"/>
    </row>
    <row r="260" spans="4:25" x14ac:dyDescent="0.25">
      <c r="D260" s="210">
        <v>44116</v>
      </c>
      <c r="F260" s="214">
        <v>10.09</v>
      </c>
      <c r="G260" s="215">
        <f t="shared" si="8"/>
        <v>-3.6294173829990561E-2</v>
      </c>
      <c r="I260" s="412">
        <v>11762.45</v>
      </c>
      <c r="J260" s="28">
        <f t="shared" si="9"/>
        <v>-1.4073350739919555E-2</v>
      </c>
      <c r="K260" s="65"/>
      <c r="M260" s="28"/>
      <c r="O260" s="65"/>
      <c r="Q260" s="28"/>
      <c r="S260" s="65"/>
      <c r="U260" s="28"/>
      <c r="W260" s="65"/>
      <c r="Y260" s="28"/>
    </row>
    <row r="261" spans="4:25" x14ac:dyDescent="0.25">
      <c r="D261" s="210">
        <v>44109</v>
      </c>
      <c r="F261" s="214">
        <v>10.33</v>
      </c>
      <c r="G261" s="215">
        <f t="shared" si="8"/>
        <v>2.378592666005952E-2</v>
      </c>
      <c r="I261" s="412">
        <v>11914.2</v>
      </c>
      <c r="J261" s="28">
        <f t="shared" si="9"/>
        <v>1.2901223809665519E-2</v>
      </c>
      <c r="K261" s="65"/>
      <c r="M261" s="28"/>
      <c r="O261" s="65"/>
      <c r="Q261" s="28"/>
      <c r="S261" s="65"/>
      <c r="U261" s="28"/>
      <c r="W261" s="65"/>
      <c r="Y261" s="28"/>
    </row>
    <row r="262" spans="4:25" x14ac:dyDescent="0.25">
      <c r="D262" s="210">
        <v>44102</v>
      </c>
      <c r="F262" s="214">
        <v>10.66</v>
      </c>
      <c r="G262" s="215">
        <f t="shared" si="8"/>
        <v>3.1945788964182098E-2</v>
      </c>
      <c r="I262" s="412">
        <v>11416.95</v>
      </c>
      <c r="J262" s="28">
        <f t="shared" si="9"/>
        <v>-4.173591176914937E-2</v>
      </c>
      <c r="K262" s="65"/>
      <c r="M262" s="28"/>
      <c r="O262" s="65"/>
      <c r="Q262" s="28"/>
      <c r="S262" s="65"/>
      <c r="U262" s="28"/>
      <c r="W262" s="65"/>
      <c r="Y262" s="28"/>
    </row>
    <row r="263" spans="4:25" x14ac:dyDescent="0.25">
      <c r="D263" s="210">
        <v>44095</v>
      </c>
      <c r="F263" s="214">
        <v>10.66</v>
      </c>
      <c r="G263" s="215">
        <f t="shared" si="8"/>
        <v>0</v>
      </c>
      <c r="I263" s="412">
        <v>11050.25</v>
      </c>
      <c r="J263" s="28">
        <f t="shared" si="9"/>
        <v>-3.2118910917539378E-2</v>
      </c>
      <c r="K263" s="65"/>
      <c r="M263" s="28"/>
      <c r="O263" s="65"/>
      <c r="Q263" s="28"/>
      <c r="S263" s="65"/>
      <c r="U263" s="28"/>
      <c r="W263" s="65"/>
      <c r="Y263" s="28"/>
    </row>
    <row r="264" spans="4:25" x14ac:dyDescent="0.25">
      <c r="D264" s="210">
        <v>44088</v>
      </c>
      <c r="F264" s="214">
        <v>11.48</v>
      </c>
      <c r="G264" s="215">
        <f t="shared" si="8"/>
        <v>7.6923076923076872E-2</v>
      </c>
      <c r="I264" s="412">
        <v>11504.95</v>
      </c>
      <c r="J264" s="28">
        <f t="shared" si="9"/>
        <v>4.1148390307911731E-2</v>
      </c>
      <c r="K264" s="65"/>
      <c r="M264" s="28"/>
      <c r="O264" s="65"/>
      <c r="Q264" s="28"/>
      <c r="S264" s="65"/>
      <c r="U264" s="28"/>
      <c r="W264" s="65"/>
      <c r="Y264" s="28"/>
    </row>
    <row r="265" spans="4:25" x14ac:dyDescent="0.25">
      <c r="D265" s="210">
        <v>44081</v>
      </c>
      <c r="F265" s="214">
        <v>11.72</v>
      </c>
      <c r="G265" s="215">
        <f t="shared" si="8"/>
        <v>2.0905923344947785E-2</v>
      </c>
      <c r="I265" s="412">
        <v>11464.45</v>
      </c>
      <c r="J265" s="28">
        <f t="shared" si="9"/>
        <v>-3.5202239036240535E-3</v>
      </c>
      <c r="K265" s="65"/>
      <c r="M265" s="28"/>
      <c r="O265" s="65"/>
      <c r="Q265" s="28"/>
      <c r="S265" s="65"/>
      <c r="U265" s="28"/>
      <c r="W265" s="65"/>
      <c r="Y265" s="28"/>
    </row>
    <row r="266" spans="4:25" x14ac:dyDescent="0.25">
      <c r="D266" s="210">
        <v>44074</v>
      </c>
      <c r="F266" s="214">
        <v>11.67</v>
      </c>
      <c r="G266" s="215">
        <f t="shared" si="8"/>
        <v>-4.2662116040955711E-3</v>
      </c>
      <c r="I266" s="412">
        <v>11333.85</v>
      </c>
      <c r="J266" s="28">
        <f t="shared" si="9"/>
        <v>-1.1391737065450158E-2</v>
      </c>
      <c r="K266" s="65"/>
      <c r="M266" s="28"/>
      <c r="O266" s="65"/>
      <c r="Q266" s="28"/>
      <c r="S266" s="65"/>
      <c r="U266" s="28"/>
      <c r="W266" s="65"/>
      <c r="Y266" s="28"/>
    </row>
    <row r="267" spans="4:25" x14ac:dyDescent="0.25">
      <c r="D267" s="210">
        <v>44067</v>
      </c>
      <c r="F267" s="214">
        <v>12.68</v>
      </c>
      <c r="G267" s="215">
        <f t="shared" si="8"/>
        <v>8.6546700942587762E-2</v>
      </c>
      <c r="I267" s="412">
        <v>11647.6</v>
      </c>
      <c r="J267" s="28">
        <f t="shared" si="9"/>
        <v>2.7682561530283145E-2</v>
      </c>
      <c r="K267" s="65"/>
      <c r="M267" s="28"/>
      <c r="O267" s="65"/>
      <c r="Q267" s="28"/>
      <c r="S267" s="65"/>
      <c r="U267" s="28"/>
      <c r="W267" s="65"/>
      <c r="Y267" s="28"/>
    </row>
    <row r="268" spans="4:25" x14ac:dyDescent="0.25">
      <c r="D268" s="210">
        <v>44060</v>
      </c>
      <c r="F268" s="214">
        <v>13.02</v>
      </c>
      <c r="G268" s="215">
        <f t="shared" si="8"/>
        <v>2.6813880126183021E-2</v>
      </c>
      <c r="I268" s="412">
        <v>11371.6</v>
      </c>
      <c r="J268" s="28">
        <f t="shared" si="9"/>
        <v>-2.3695868676808951E-2</v>
      </c>
      <c r="K268" s="65"/>
      <c r="M268" s="28"/>
      <c r="O268" s="65"/>
      <c r="Q268" s="28"/>
      <c r="S268" s="65"/>
      <c r="U268" s="28"/>
      <c r="W268" s="65"/>
      <c r="Y268" s="28"/>
    </row>
    <row r="269" spans="4:25" x14ac:dyDescent="0.25">
      <c r="D269" s="210">
        <v>44053</v>
      </c>
      <c r="F269" s="214">
        <v>12.54</v>
      </c>
      <c r="G269" s="215">
        <f t="shared" si="8"/>
        <v>-3.6866359447004671E-2</v>
      </c>
      <c r="I269" s="412">
        <v>11178.4</v>
      </c>
      <c r="J269" s="28">
        <f t="shared" si="9"/>
        <v>-1.6989693622709301E-2</v>
      </c>
      <c r="K269" s="65"/>
      <c r="M269" s="28"/>
      <c r="O269" s="65"/>
      <c r="Q269" s="28"/>
      <c r="S269" s="65"/>
      <c r="U269" s="28"/>
      <c r="W269" s="65"/>
      <c r="Y269" s="28"/>
    </row>
    <row r="270" spans="4:25" x14ac:dyDescent="0.25">
      <c r="D270" s="210">
        <v>44046</v>
      </c>
      <c r="F270" s="214">
        <v>12.83</v>
      </c>
      <c r="G270" s="215">
        <f>F270/F269-1</f>
        <v>2.3125996810207328E-2</v>
      </c>
      <c r="I270" s="412">
        <v>11214.05</v>
      </c>
      <c r="J270" s="28">
        <f>I270/I269-1</f>
        <v>3.1891862878408173E-3</v>
      </c>
      <c r="K270" s="65"/>
      <c r="M270" s="28"/>
      <c r="O270" s="65"/>
      <c r="Q270" s="28"/>
      <c r="S270" s="65"/>
      <c r="U270" s="28"/>
      <c r="W270" s="65"/>
      <c r="Y270" s="28"/>
    </row>
    <row r="271" spans="4:25" x14ac:dyDescent="0.25">
      <c r="D271" s="210">
        <v>44039</v>
      </c>
      <c r="F271" s="214">
        <v>12.87</v>
      </c>
      <c r="G271" s="215">
        <f>F271/F270-1</f>
        <v>3.1176929072485038E-3</v>
      </c>
      <c r="I271" s="412">
        <v>11073.45</v>
      </c>
      <c r="J271" s="28">
        <f>I271/I270-1</f>
        <v>-1.2537843152117034E-2</v>
      </c>
      <c r="K271" s="65"/>
      <c r="Q271" s="28"/>
      <c r="S271" s="65"/>
      <c r="U271" s="28"/>
      <c r="W271" s="65"/>
      <c r="Y271" s="28"/>
    </row>
    <row r="272" spans="4:25" x14ac:dyDescent="0.25">
      <c r="D272" s="210">
        <v>44032</v>
      </c>
      <c r="F272" s="214">
        <v>13.5</v>
      </c>
      <c r="G272" s="215">
        <f>F272/F271-1</f>
        <v>4.8951048951048959E-2</v>
      </c>
      <c r="I272" s="412">
        <v>11194.15</v>
      </c>
      <c r="J272" s="28">
        <f>I272/I271-1</f>
        <v>1.0899945364813979E-2</v>
      </c>
      <c r="K272" s="65"/>
      <c r="Q272" s="28"/>
      <c r="S272" s="65"/>
      <c r="U272" s="28"/>
      <c r="W272" s="65"/>
      <c r="Y272" s="28"/>
    </row>
    <row r="273" spans="4:25" x14ac:dyDescent="0.25">
      <c r="D273" s="210">
        <v>44025</v>
      </c>
      <c r="F273" s="214">
        <v>12.49</v>
      </c>
      <c r="G273" s="215">
        <f>F273/F272-1</f>
        <v>-7.4814814814814778E-2</v>
      </c>
      <c r="I273" s="412">
        <v>10901.7</v>
      </c>
      <c r="J273" s="28">
        <f>I273/I272-1</f>
        <v>-2.612525292228518E-2</v>
      </c>
      <c r="K273" s="65"/>
      <c r="U273" s="28"/>
      <c r="W273" s="65"/>
      <c r="Y273" s="28"/>
    </row>
    <row r="274" spans="4:25" x14ac:dyDescent="0.25">
      <c r="D274" s="210">
        <v>44018</v>
      </c>
      <c r="F274" s="214">
        <v>13.35</v>
      </c>
      <c r="G274" s="215">
        <f>F274/F273-1</f>
        <v>6.8855084067253713E-2</v>
      </c>
      <c r="I274" s="412">
        <v>10768.05</v>
      </c>
      <c r="J274" s="28">
        <f>I274/I273-1</f>
        <v>-1.2259555849087889E-2</v>
      </c>
      <c r="K274" s="65"/>
      <c r="Y274" s="28"/>
    </row>
    <row r="275" spans="4:25" x14ac:dyDescent="0.25">
      <c r="D275" s="209"/>
      <c r="F275" s="65"/>
      <c r="G275" s="65"/>
      <c r="I275" s="28"/>
      <c r="K275" s="65"/>
      <c r="Y275" s="28"/>
    </row>
    <row r="276" spans="4:25" x14ac:dyDescent="0.25">
      <c r="D276" s="209"/>
      <c r="F276" s="65"/>
      <c r="G276" s="65"/>
      <c r="I276" s="28"/>
      <c r="K276" s="65"/>
      <c r="Y276" s="28"/>
    </row>
    <row r="277" spans="4:25" x14ac:dyDescent="0.25">
      <c r="D277" s="209"/>
      <c r="F277" s="65"/>
      <c r="G277" s="65"/>
      <c r="I277" s="28"/>
      <c r="K277" s="65"/>
      <c r="Y277" s="28"/>
    </row>
    <row r="278" spans="4:25" x14ac:dyDescent="0.25">
      <c r="D278" s="211"/>
      <c r="F278" s="63"/>
      <c r="G278" s="63"/>
      <c r="I278" s="28"/>
    </row>
    <row r="279" spans="4:25" x14ac:dyDescent="0.25">
      <c r="D279" s="211"/>
      <c r="F279" s="63"/>
      <c r="G279" s="63"/>
      <c r="I279" s="28"/>
    </row>
    <row r="280" spans="4:25" x14ac:dyDescent="0.25">
      <c r="D280" s="211"/>
      <c r="F280" s="63"/>
      <c r="G280" s="63"/>
      <c r="I280" s="28"/>
    </row>
    <row r="281" spans="4:25" x14ac:dyDescent="0.25">
      <c r="D281" s="211"/>
      <c r="F281" s="63"/>
      <c r="G281" s="63"/>
      <c r="I281" s="28"/>
    </row>
    <row r="282" spans="4:25" x14ac:dyDescent="0.25">
      <c r="D282" s="211"/>
      <c r="F282" s="63"/>
      <c r="G282" s="63"/>
      <c r="I282" s="28"/>
    </row>
    <row r="283" spans="4:25" x14ac:dyDescent="0.25">
      <c r="D283" s="211"/>
      <c r="F283" s="63"/>
      <c r="G283" s="63"/>
      <c r="I283" s="28"/>
    </row>
    <row r="284" spans="4:25" x14ac:dyDescent="0.25">
      <c r="D284" s="211"/>
      <c r="F284" s="63"/>
      <c r="G284" s="63"/>
      <c r="I284" s="28"/>
    </row>
    <row r="285" spans="4:25" x14ac:dyDescent="0.25">
      <c r="D285" s="211"/>
      <c r="F285" s="63"/>
      <c r="G285" s="63"/>
      <c r="I285" s="28"/>
    </row>
    <row r="286" spans="4:25" x14ac:dyDescent="0.25">
      <c r="D286" s="211"/>
      <c r="F286" s="63"/>
      <c r="G286" s="63"/>
      <c r="I286" s="28"/>
    </row>
    <row r="287" spans="4:25" x14ac:dyDescent="0.25">
      <c r="D287" s="211"/>
      <c r="F287" s="63"/>
      <c r="G287" s="63"/>
      <c r="I287" s="28"/>
    </row>
    <row r="288" spans="4:25" x14ac:dyDescent="0.25">
      <c r="D288" s="211"/>
      <c r="F288" s="63"/>
      <c r="G288" s="63"/>
      <c r="I288" s="28"/>
    </row>
    <row r="289" spans="4:9" x14ac:dyDescent="0.25">
      <c r="D289" s="211"/>
      <c r="F289" s="63"/>
      <c r="G289" s="63"/>
      <c r="I289" s="28"/>
    </row>
    <row r="290" spans="4:9" x14ac:dyDescent="0.25">
      <c r="D290" s="211"/>
      <c r="F290" s="63"/>
      <c r="G290" s="63"/>
      <c r="I290" s="28"/>
    </row>
    <row r="291" spans="4:9" x14ac:dyDescent="0.25">
      <c r="D291" s="211"/>
      <c r="F291" s="63"/>
      <c r="G291" s="63"/>
      <c r="I291" s="28"/>
    </row>
    <row r="292" spans="4:9" x14ac:dyDescent="0.25">
      <c r="D292" s="211"/>
      <c r="F292" s="63"/>
      <c r="G292" s="63"/>
      <c r="I292" s="28"/>
    </row>
    <row r="293" spans="4:9" x14ac:dyDescent="0.25">
      <c r="D293" s="211"/>
      <c r="F293" s="63"/>
      <c r="G293" s="63"/>
      <c r="I293" s="28"/>
    </row>
    <row r="294" spans="4:9" x14ac:dyDescent="0.25">
      <c r="D294" s="211"/>
      <c r="F294" s="63"/>
      <c r="G294" s="63"/>
      <c r="I294" s="28"/>
    </row>
    <row r="295" spans="4:9" x14ac:dyDescent="0.25">
      <c r="D295" s="211"/>
      <c r="F295" s="63"/>
      <c r="G295" s="63"/>
      <c r="I295" s="28"/>
    </row>
    <row r="296" spans="4:9" x14ac:dyDescent="0.25">
      <c r="D296" s="211"/>
      <c r="F296" s="63"/>
      <c r="G296" s="63"/>
      <c r="I296" s="28"/>
    </row>
    <row r="297" spans="4:9" x14ac:dyDescent="0.25">
      <c r="D297" s="211"/>
      <c r="F297" s="63"/>
      <c r="G297" s="63"/>
      <c r="I297" s="28"/>
    </row>
    <row r="298" spans="4:9" x14ac:dyDescent="0.25">
      <c r="D298" s="211"/>
      <c r="F298" s="63"/>
      <c r="G298" s="63"/>
      <c r="I298" s="28"/>
    </row>
    <row r="299" spans="4:9" x14ac:dyDescent="0.25">
      <c r="D299" s="211"/>
      <c r="F299" s="63"/>
      <c r="G299" s="63"/>
      <c r="I299" s="28"/>
    </row>
    <row r="300" spans="4:9" x14ac:dyDescent="0.25">
      <c r="D300" s="211"/>
      <c r="F300" s="63"/>
      <c r="G300" s="63"/>
      <c r="I300" s="28"/>
    </row>
    <row r="301" spans="4:9" x14ac:dyDescent="0.25">
      <c r="D301" s="211"/>
      <c r="F301" s="63"/>
      <c r="G301" s="63"/>
      <c r="I301" s="28"/>
    </row>
    <row r="302" spans="4:9" x14ac:dyDescent="0.25">
      <c r="D302" s="211"/>
      <c r="F302" s="63"/>
      <c r="G302" s="63"/>
      <c r="I302" s="28"/>
    </row>
    <row r="303" spans="4:9" x14ac:dyDescent="0.25">
      <c r="D303" s="211"/>
      <c r="F303" s="63"/>
      <c r="G303" s="63"/>
      <c r="I303" s="28"/>
    </row>
    <row r="304" spans="4:9" x14ac:dyDescent="0.25">
      <c r="D304" s="211"/>
      <c r="F304" s="63"/>
      <c r="G304" s="63"/>
      <c r="I304" s="28"/>
    </row>
    <row r="305" spans="4:9" x14ac:dyDescent="0.25">
      <c r="D305" s="211"/>
      <c r="F305" s="63"/>
      <c r="G305" s="63"/>
      <c r="I305" s="28"/>
    </row>
    <row r="306" spans="4:9" x14ac:dyDescent="0.25">
      <c r="D306" s="211"/>
      <c r="F306" s="63"/>
      <c r="G306" s="63"/>
      <c r="I306" s="28"/>
    </row>
    <row r="307" spans="4:9" x14ac:dyDescent="0.25">
      <c r="D307" s="211"/>
      <c r="F307" s="63"/>
      <c r="G307" s="63"/>
      <c r="I307" s="28"/>
    </row>
    <row r="308" spans="4:9" x14ac:dyDescent="0.25">
      <c r="D308" s="211"/>
      <c r="F308" s="63"/>
      <c r="G308" s="63"/>
      <c r="I308" s="28"/>
    </row>
    <row r="309" spans="4:9" x14ac:dyDescent="0.25">
      <c r="D309" s="211"/>
      <c r="F309" s="63"/>
      <c r="G309" s="63"/>
      <c r="I309" s="28"/>
    </row>
    <row r="310" spans="4:9" x14ac:dyDescent="0.25">
      <c r="D310" s="211"/>
      <c r="F310" s="63"/>
      <c r="G310" s="63"/>
      <c r="I310" s="28"/>
    </row>
    <row r="311" spans="4:9" x14ac:dyDescent="0.25">
      <c r="D311" s="211"/>
      <c r="F311" s="63"/>
      <c r="G311" s="63"/>
      <c r="I311" s="28"/>
    </row>
    <row r="312" spans="4:9" x14ac:dyDescent="0.25">
      <c r="D312" s="211"/>
      <c r="F312" s="63"/>
      <c r="G312" s="63"/>
      <c r="I312" s="28"/>
    </row>
    <row r="313" spans="4:9" x14ac:dyDescent="0.25">
      <c r="D313" s="211"/>
      <c r="F313" s="63"/>
      <c r="G313" s="63"/>
      <c r="I313" s="28"/>
    </row>
    <row r="314" spans="4:9" x14ac:dyDescent="0.25">
      <c r="D314" s="211"/>
      <c r="F314" s="63"/>
      <c r="G314" s="63"/>
      <c r="I314" s="28"/>
    </row>
    <row r="315" spans="4:9" x14ac:dyDescent="0.25">
      <c r="D315" s="211"/>
      <c r="F315" s="63"/>
      <c r="G315" s="63"/>
      <c r="I315" s="28"/>
    </row>
    <row r="316" spans="4:9" x14ac:dyDescent="0.25">
      <c r="D316" s="211"/>
      <c r="F316" s="63"/>
      <c r="G316" s="63"/>
      <c r="I316" s="28"/>
    </row>
    <row r="317" spans="4:9" x14ac:dyDescent="0.25">
      <c r="D317" s="211"/>
      <c r="F317" s="63"/>
      <c r="G317" s="63"/>
      <c r="I317" s="28"/>
    </row>
    <row r="318" spans="4:9" x14ac:dyDescent="0.25">
      <c r="D318" s="211"/>
      <c r="F318" s="63"/>
      <c r="G318" s="63"/>
      <c r="I318" s="28"/>
    </row>
    <row r="319" spans="4:9" x14ac:dyDescent="0.25">
      <c r="D319" s="211"/>
      <c r="F319" s="63"/>
      <c r="G319" s="63"/>
      <c r="I319" s="28"/>
    </row>
    <row r="320" spans="4:9" x14ac:dyDescent="0.25">
      <c r="D320" s="211"/>
      <c r="F320" s="63"/>
      <c r="G320" s="63"/>
      <c r="I320" s="28"/>
    </row>
    <row r="321" spans="4:9" x14ac:dyDescent="0.25">
      <c r="D321" s="211"/>
      <c r="F321" s="63"/>
      <c r="G321" s="63"/>
      <c r="I321" s="28"/>
    </row>
    <row r="322" spans="4:9" x14ac:dyDescent="0.25">
      <c r="D322" s="211"/>
      <c r="F322" s="63"/>
      <c r="G322" s="63"/>
      <c r="I322" s="28"/>
    </row>
    <row r="323" spans="4:9" x14ac:dyDescent="0.25">
      <c r="D323" s="211"/>
      <c r="F323" s="63"/>
      <c r="G323" s="63"/>
      <c r="I323" s="28"/>
    </row>
    <row r="324" spans="4:9" x14ac:dyDescent="0.25">
      <c r="D324" s="211"/>
      <c r="F324" s="63"/>
      <c r="G324" s="63"/>
      <c r="I324" s="28"/>
    </row>
    <row r="325" spans="4:9" x14ac:dyDescent="0.25">
      <c r="D325" s="211"/>
      <c r="F325" s="63"/>
      <c r="G325" s="63"/>
      <c r="I325" s="28"/>
    </row>
    <row r="326" spans="4:9" x14ac:dyDescent="0.25">
      <c r="D326" s="211"/>
      <c r="F326" s="63"/>
      <c r="G326" s="63"/>
      <c r="I326" s="28"/>
    </row>
    <row r="327" spans="4:9" x14ac:dyDescent="0.25">
      <c r="D327" s="211"/>
      <c r="F327" s="63"/>
      <c r="G327" s="63"/>
      <c r="I327" s="28"/>
    </row>
    <row r="328" spans="4:9" x14ac:dyDescent="0.25">
      <c r="D328" s="211"/>
      <c r="F328" s="63"/>
      <c r="G328" s="63"/>
      <c r="I328" s="28"/>
    </row>
    <row r="329" spans="4:9" x14ac:dyDescent="0.25">
      <c r="D329" s="211"/>
      <c r="F329" s="63"/>
      <c r="G329" s="63"/>
      <c r="I329" s="28"/>
    </row>
    <row r="330" spans="4:9" x14ac:dyDescent="0.25">
      <c r="D330" s="211"/>
      <c r="F330" s="63"/>
      <c r="G330" s="63"/>
      <c r="I330" s="28"/>
    </row>
    <row r="331" spans="4:9" x14ac:dyDescent="0.25">
      <c r="D331" s="211"/>
      <c r="F331" s="63"/>
      <c r="G331" s="63"/>
      <c r="I331" s="28"/>
    </row>
    <row r="332" spans="4:9" x14ac:dyDescent="0.25">
      <c r="D332" s="211"/>
      <c r="F332" s="63"/>
      <c r="G332" s="63"/>
      <c r="I332" s="28"/>
    </row>
    <row r="333" spans="4:9" x14ac:dyDescent="0.25">
      <c r="D333" s="211"/>
      <c r="F333" s="63"/>
      <c r="G333" s="63"/>
      <c r="I333" s="28"/>
    </row>
    <row r="334" spans="4:9" x14ac:dyDescent="0.25">
      <c r="D334" s="211"/>
      <c r="F334" s="63"/>
      <c r="G334" s="63"/>
      <c r="I334" s="28"/>
    </row>
    <row r="335" spans="4:9" x14ac:dyDescent="0.25">
      <c r="D335" s="211"/>
      <c r="F335" s="63"/>
      <c r="G335" s="63"/>
      <c r="I335" s="28"/>
    </row>
    <row r="336" spans="4:9" x14ac:dyDescent="0.25">
      <c r="D336" s="211"/>
      <c r="F336" s="63"/>
      <c r="G336" s="63"/>
      <c r="I336" s="28"/>
    </row>
    <row r="337" spans="4:9" x14ac:dyDescent="0.25">
      <c r="D337" s="211"/>
      <c r="F337" s="63"/>
      <c r="G337" s="63"/>
      <c r="I337" s="28"/>
    </row>
    <row r="338" spans="4:9" x14ac:dyDescent="0.25">
      <c r="D338" s="211"/>
      <c r="F338" s="63"/>
      <c r="G338" s="63"/>
      <c r="I338" s="28"/>
    </row>
    <row r="339" spans="4:9" x14ac:dyDescent="0.25">
      <c r="D339" s="211"/>
      <c r="F339" s="63"/>
      <c r="G339" s="63"/>
      <c r="I339" s="28"/>
    </row>
    <row r="340" spans="4:9" x14ac:dyDescent="0.25">
      <c r="D340" s="211"/>
      <c r="F340" s="63"/>
      <c r="G340" s="63"/>
      <c r="I340" s="28"/>
    </row>
    <row r="341" spans="4:9" x14ac:dyDescent="0.25">
      <c r="D341" s="211"/>
      <c r="F341" s="63"/>
      <c r="G341" s="63"/>
      <c r="I341" s="28"/>
    </row>
    <row r="342" spans="4:9" x14ac:dyDescent="0.25">
      <c r="D342" s="211"/>
      <c r="F342" s="63"/>
      <c r="G342" s="63"/>
      <c r="I342" s="28"/>
    </row>
    <row r="343" spans="4:9" x14ac:dyDescent="0.25">
      <c r="D343" s="211"/>
      <c r="F343" s="63"/>
      <c r="G343" s="63"/>
      <c r="I343" s="28"/>
    </row>
    <row r="344" spans="4:9" x14ac:dyDescent="0.25">
      <c r="D344" s="211"/>
      <c r="F344" s="63"/>
      <c r="G344" s="63"/>
      <c r="I344" s="28"/>
    </row>
    <row r="345" spans="4:9" x14ac:dyDescent="0.25">
      <c r="D345" s="211"/>
      <c r="F345" s="63"/>
      <c r="G345" s="63"/>
      <c r="I345" s="28"/>
    </row>
    <row r="346" spans="4:9" x14ac:dyDescent="0.25">
      <c r="D346" s="211"/>
      <c r="F346" s="63"/>
      <c r="G346" s="63"/>
      <c r="I346" s="28"/>
    </row>
    <row r="347" spans="4:9" x14ac:dyDescent="0.25">
      <c r="D347" s="211"/>
      <c r="F347" s="63"/>
      <c r="G347" s="63"/>
      <c r="I347" s="28"/>
    </row>
    <row r="348" spans="4:9" x14ac:dyDescent="0.25">
      <c r="D348" s="211"/>
      <c r="F348" s="63"/>
      <c r="G348" s="63"/>
      <c r="I348" s="28"/>
    </row>
    <row r="349" spans="4:9" x14ac:dyDescent="0.25">
      <c r="D349" s="211"/>
      <c r="F349" s="63"/>
      <c r="G349" s="63"/>
      <c r="I349" s="28"/>
    </row>
    <row r="350" spans="4:9" x14ac:dyDescent="0.25">
      <c r="D350" s="211"/>
      <c r="F350" s="63"/>
      <c r="G350" s="63"/>
      <c r="I350" s="28"/>
    </row>
    <row r="351" spans="4:9" x14ac:dyDescent="0.25">
      <c r="D351" s="211"/>
      <c r="F351" s="63"/>
      <c r="G351" s="63"/>
      <c r="I351" s="28"/>
    </row>
    <row r="352" spans="4:9" x14ac:dyDescent="0.25">
      <c r="D352" s="211"/>
      <c r="F352" s="63"/>
      <c r="G352" s="63"/>
      <c r="I352" s="28"/>
    </row>
    <row r="353" spans="4:9" x14ac:dyDescent="0.25">
      <c r="D353" s="211"/>
      <c r="F353" s="63"/>
      <c r="G353" s="63"/>
      <c r="I353" s="28"/>
    </row>
    <row r="354" spans="4:9" x14ac:dyDescent="0.25">
      <c r="D354" s="211"/>
      <c r="F354" s="63"/>
      <c r="G354" s="63"/>
      <c r="I354" s="28"/>
    </row>
    <row r="355" spans="4:9" x14ac:dyDescent="0.25">
      <c r="D355" s="211"/>
      <c r="F355" s="63"/>
      <c r="G355" s="63"/>
      <c r="I355" s="28"/>
    </row>
    <row r="356" spans="4:9" x14ac:dyDescent="0.25">
      <c r="D356" s="211"/>
      <c r="F356" s="63"/>
      <c r="G356" s="63"/>
      <c r="I356" s="28"/>
    </row>
    <row r="357" spans="4:9" x14ac:dyDescent="0.25">
      <c r="D357" s="211"/>
      <c r="F357" s="63"/>
      <c r="G357" s="63"/>
      <c r="I357" s="28"/>
    </row>
    <row r="358" spans="4:9" x14ac:dyDescent="0.25">
      <c r="D358" s="211"/>
      <c r="F358" s="63"/>
      <c r="G358" s="63"/>
      <c r="I358" s="28"/>
    </row>
    <row r="359" spans="4:9" x14ac:dyDescent="0.25">
      <c r="D359" s="211"/>
      <c r="F359" s="63"/>
      <c r="G359" s="63"/>
      <c r="I359" s="28"/>
    </row>
    <row r="360" spans="4:9" x14ac:dyDescent="0.25">
      <c r="D360" s="211"/>
      <c r="F360" s="63"/>
      <c r="G360" s="63"/>
      <c r="I360" s="28"/>
    </row>
    <row r="361" spans="4:9" x14ac:dyDescent="0.25">
      <c r="D361" s="211"/>
      <c r="F361" s="63"/>
      <c r="G361" s="63"/>
      <c r="I361" s="28"/>
    </row>
    <row r="362" spans="4:9" x14ac:dyDescent="0.25">
      <c r="D362" s="211"/>
      <c r="F362" s="63"/>
      <c r="G362" s="63"/>
      <c r="I362" s="28"/>
    </row>
    <row r="363" spans="4:9" x14ac:dyDescent="0.25">
      <c r="D363" s="211"/>
      <c r="F363" s="63"/>
      <c r="G363" s="63"/>
      <c r="I363" s="28"/>
    </row>
    <row r="364" spans="4:9" x14ac:dyDescent="0.25">
      <c r="D364" s="211"/>
      <c r="F364" s="63"/>
      <c r="G364" s="63"/>
      <c r="I364" s="28"/>
    </row>
    <row r="365" spans="4:9" x14ac:dyDescent="0.25">
      <c r="D365" s="211"/>
      <c r="F365" s="63"/>
      <c r="G365" s="63"/>
      <c r="I365" s="28"/>
    </row>
    <row r="366" spans="4:9" x14ac:dyDescent="0.25">
      <c r="D366" s="211"/>
      <c r="F366" s="63"/>
      <c r="G366" s="63"/>
      <c r="I366" s="28"/>
    </row>
    <row r="367" spans="4:9" x14ac:dyDescent="0.25">
      <c r="D367" s="211"/>
      <c r="F367" s="63"/>
      <c r="G367" s="63"/>
      <c r="I367" s="28"/>
    </row>
    <row r="368" spans="4:9" x14ac:dyDescent="0.25">
      <c r="D368" s="211"/>
      <c r="F368" s="63"/>
      <c r="G368" s="63"/>
      <c r="I368" s="28"/>
    </row>
    <row r="369" spans="4:9" x14ac:dyDescent="0.25">
      <c r="D369" s="211"/>
      <c r="F369" s="63"/>
      <c r="G369" s="63"/>
      <c r="I369" s="28"/>
    </row>
    <row r="370" spans="4:9" x14ac:dyDescent="0.25">
      <c r="D370" s="211"/>
      <c r="F370" s="63"/>
      <c r="G370" s="63"/>
      <c r="I370" s="28"/>
    </row>
    <row r="371" spans="4:9" x14ac:dyDescent="0.25">
      <c r="D371" s="211"/>
      <c r="F371" s="63"/>
      <c r="G371" s="63"/>
      <c r="I371" s="28"/>
    </row>
    <row r="372" spans="4:9" x14ac:dyDescent="0.25">
      <c r="D372" s="211"/>
      <c r="F372" s="63"/>
      <c r="G372" s="63"/>
      <c r="I372" s="28"/>
    </row>
    <row r="373" spans="4:9" x14ac:dyDescent="0.25">
      <c r="D373" s="211"/>
      <c r="F373" s="63"/>
      <c r="G373" s="63"/>
      <c r="I373" s="28"/>
    </row>
    <row r="374" spans="4:9" x14ac:dyDescent="0.25">
      <c r="D374" s="211"/>
      <c r="F374" s="63"/>
      <c r="G374" s="63"/>
      <c r="I374" s="28"/>
    </row>
    <row r="375" spans="4:9" x14ac:dyDescent="0.25">
      <c r="D375" s="211"/>
      <c r="F375" s="63"/>
      <c r="G375" s="63"/>
      <c r="I375" s="28"/>
    </row>
    <row r="376" spans="4:9" x14ac:dyDescent="0.25">
      <c r="D376" s="211"/>
      <c r="F376" s="63"/>
      <c r="G376" s="63"/>
      <c r="I376" s="28"/>
    </row>
    <row r="377" spans="4:9" x14ac:dyDescent="0.25">
      <c r="D377" s="211"/>
      <c r="F377" s="63"/>
      <c r="G377" s="63"/>
      <c r="I377" s="28"/>
    </row>
    <row r="378" spans="4:9" x14ac:dyDescent="0.25">
      <c r="D378" s="211"/>
      <c r="F378" s="63"/>
      <c r="G378" s="63"/>
      <c r="I378" s="28"/>
    </row>
    <row r="379" spans="4:9" x14ac:dyDescent="0.25">
      <c r="D379" s="211"/>
      <c r="F379" s="63"/>
      <c r="G379" s="63"/>
      <c r="I379" s="28"/>
    </row>
    <row r="380" spans="4:9" x14ac:dyDescent="0.25">
      <c r="D380" s="211"/>
      <c r="F380" s="63"/>
      <c r="G380" s="63"/>
      <c r="I380" s="28"/>
    </row>
    <row r="381" spans="4:9" x14ac:dyDescent="0.25">
      <c r="D381" s="211"/>
      <c r="F381" s="63"/>
      <c r="G381" s="63"/>
      <c r="I381" s="28"/>
    </row>
    <row r="382" spans="4:9" x14ac:dyDescent="0.25">
      <c r="D382" s="211"/>
      <c r="F382" s="63"/>
      <c r="G382" s="63"/>
      <c r="I382" s="28"/>
    </row>
    <row r="383" spans="4:9" x14ac:dyDescent="0.25">
      <c r="D383" s="211"/>
      <c r="F383" s="63"/>
      <c r="G383" s="63"/>
      <c r="I383" s="28"/>
    </row>
    <row r="384" spans="4:9" x14ac:dyDescent="0.25">
      <c r="D384" s="211"/>
      <c r="F384" s="63"/>
      <c r="G384" s="63"/>
      <c r="I384" s="28"/>
    </row>
    <row r="385" spans="4:9" x14ac:dyDescent="0.25">
      <c r="D385" s="211"/>
      <c r="F385" s="63"/>
      <c r="G385" s="63"/>
      <c r="I385" s="28"/>
    </row>
    <row r="386" spans="4:9" x14ac:dyDescent="0.25">
      <c r="D386" s="211"/>
      <c r="F386" s="63"/>
      <c r="G386" s="63"/>
      <c r="I386" s="28"/>
    </row>
    <row r="387" spans="4:9" x14ac:dyDescent="0.25">
      <c r="D387" s="211"/>
      <c r="F387" s="63"/>
      <c r="G387" s="63"/>
      <c r="I387" s="28"/>
    </row>
    <row r="388" spans="4:9" x14ac:dyDescent="0.25">
      <c r="D388" s="211"/>
      <c r="F388" s="63"/>
      <c r="G388" s="63"/>
      <c r="I388" s="28"/>
    </row>
    <row r="389" spans="4:9" x14ac:dyDescent="0.25">
      <c r="D389" s="211"/>
      <c r="F389" s="63"/>
      <c r="G389" s="63"/>
      <c r="I389" s="28"/>
    </row>
    <row r="390" spans="4:9" x14ac:dyDescent="0.25">
      <c r="D390" s="211"/>
      <c r="F390" s="63"/>
      <c r="G390" s="63"/>
      <c r="I390" s="28"/>
    </row>
    <row r="391" spans="4:9" x14ac:dyDescent="0.25">
      <c r="D391" s="211"/>
      <c r="F391" s="63"/>
      <c r="G391" s="63"/>
      <c r="I391" s="28"/>
    </row>
    <row r="392" spans="4:9" x14ac:dyDescent="0.25">
      <c r="D392" s="211"/>
      <c r="F392" s="63"/>
      <c r="G392" s="63"/>
      <c r="I392" s="28"/>
    </row>
    <row r="393" spans="4:9" x14ac:dyDescent="0.25">
      <c r="D393" s="211"/>
      <c r="F393" s="63"/>
      <c r="G393" s="63"/>
      <c r="I393" s="28"/>
    </row>
    <row r="394" spans="4:9" x14ac:dyDescent="0.25">
      <c r="D394" s="211"/>
      <c r="F394" s="63"/>
      <c r="G394" s="63"/>
      <c r="I394" s="28"/>
    </row>
    <row r="395" spans="4:9" x14ac:dyDescent="0.25">
      <c r="D395" s="211"/>
      <c r="F395" s="63"/>
      <c r="G395" s="63"/>
      <c r="I395" s="28"/>
    </row>
    <row r="396" spans="4:9" x14ac:dyDescent="0.25">
      <c r="D396" s="211"/>
      <c r="F396" s="63"/>
      <c r="G396" s="63"/>
      <c r="I396" s="28"/>
    </row>
    <row r="397" spans="4:9" x14ac:dyDescent="0.25">
      <c r="D397" s="211"/>
      <c r="F397" s="63"/>
      <c r="G397" s="63"/>
      <c r="I397" s="28"/>
    </row>
    <row r="398" spans="4:9" x14ac:dyDescent="0.25">
      <c r="D398" s="211"/>
      <c r="F398" s="63"/>
      <c r="G398" s="63"/>
      <c r="I398" s="28"/>
    </row>
    <row r="399" spans="4:9" x14ac:dyDescent="0.25">
      <c r="D399" s="211"/>
      <c r="F399" s="63"/>
      <c r="G399" s="63"/>
      <c r="I399" s="28"/>
    </row>
    <row r="400" spans="4:9" x14ac:dyDescent="0.25">
      <c r="D400" s="211"/>
      <c r="F400" s="63"/>
      <c r="G400" s="63"/>
      <c r="I400" s="28"/>
    </row>
    <row r="401" spans="4:9" x14ac:dyDescent="0.25">
      <c r="D401" s="211"/>
      <c r="F401" s="63"/>
      <c r="G401" s="63"/>
      <c r="I401" s="28"/>
    </row>
    <row r="402" spans="4:9" x14ac:dyDescent="0.25">
      <c r="D402" s="211"/>
      <c r="F402" s="63"/>
      <c r="G402" s="63"/>
      <c r="I402" s="28"/>
    </row>
    <row r="403" spans="4:9" x14ac:dyDescent="0.25">
      <c r="D403" s="211"/>
      <c r="F403" s="63"/>
      <c r="G403" s="63"/>
      <c r="I403" s="28"/>
    </row>
    <row r="404" spans="4:9" x14ac:dyDescent="0.25">
      <c r="D404" s="211"/>
      <c r="F404" s="63"/>
      <c r="G404" s="63"/>
      <c r="I404" s="28"/>
    </row>
    <row r="405" spans="4:9" x14ac:dyDescent="0.25">
      <c r="D405" s="211"/>
      <c r="F405" s="63"/>
      <c r="G405" s="63"/>
      <c r="I405" s="28"/>
    </row>
    <row r="406" spans="4:9" x14ac:dyDescent="0.25">
      <c r="D406" s="211"/>
      <c r="F406" s="63"/>
      <c r="G406" s="63"/>
      <c r="I406" s="28"/>
    </row>
    <row r="407" spans="4:9" x14ac:dyDescent="0.25">
      <c r="D407" s="211"/>
      <c r="F407" s="63"/>
      <c r="G407" s="63"/>
      <c r="I407" s="28"/>
    </row>
    <row r="408" spans="4:9" x14ac:dyDescent="0.25">
      <c r="D408" s="211"/>
      <c r="F408" s="63"/>
      <c r="G408" s="63"/>
      <c r="I408" s="28"/>
    </row>
    <row r="409" spans="4:9" x14ac:dyDescent="0.25">
      <c r="D409" s="211"/>
      <c r="F409" s="63"/>
      <c r="G409" s="63"/>
      <c r="I409" s="28"/>
    </row>
    <row r="410" spans="4:9" x14ac:dyDescent="0.25">
      <c r="D410" s="211"/>
      <c r="F410" s="63"/>
      <c r="G410" s="63"/>
      <c r="I410" s="28"/>
    </row>
    <row r="411" spans="4:9" x14ac:dyDescent="0.25">
      <c r="D411" s="211"/>
      <c r="F411" s="63"/>
      <c r="G411" s="63"/>
      <c r="I411" s="28"/>
    </row>
    <row r="412" spans="4:9" x14ac:dyDescent="0.25">
      <c r="D412" s="211"/>
      <c r="F412" s="63"/>
      <c r="G412" s="63"/>
      <c r="I412" s="28"/>
    </row>
    <row r="413" spans="4:9" x14ac:dyDescent="0.25">
      <c r="D413" s="211"/>
      <c r="F413" s="63"/>
      <c r="G413" s="63"/>
      <c r="I413" s="28"/>
    </row>
    <row r="414" spans="4:9" x14ac:dyDescent="0.25">
      <c r="D414" s="211"/>
      <c r="F414" s="63"/>
      <c r="G414" s="63"/>
      <c r="I414" s="28"/>
    </row>
    <row r="415" spans="4:9" x14ac:dyDescent="0.25">
      <c r="D415" s="211"/>
      <c r="F415" s="63"/>
      <c r="G415" s="63"/>
      <c r="I415" s="28"/>
    </row>
    <row r="416" spans="4:9" x14ac:dyDescent="0.25">
      <c r="D416" s="211"/>
      <c r="F416" s="63"/>
      <c r="G416" s="63"/>
      <c r="I416" s="28"/>
    </row>
    <row r="417" spans="4:9" x14ac:dyDescent="0.25">
      <c r="D417" s="211"/>
      <c r="F417" s="63"/>
      <c r="G417" s="63"/>
      <c r="I417" s="28"/>
    </row>
    <row r="418" spans="4:9" x14ac:dyDescent="0.25">
      <c r="D418" s="211"/>
      <c r="F418" s="63"/>
      <c r="G418" s="63"/>
      <c r="I418" s="28"/>
    </row>
    <row r="419" spans="4:9" x14ac:dyDescent="0.25">
      <c r="D419" s="211"/>
      <c r="F419" s="63"/>
      <c r="G419" s="63"/>
      <c r="I419" s="28"/>
    </row>
    <row r="420" spans="4:9" x14ac:dyDescent="0.25">
      <c r="D420" s="211"/>
      <c r="F420" s="63"/>
      <c r="G420" s="63"/>
      <c r="I420" s="28"/>
    </row>
    <row r="421" spans="4:9" x14ac:dyDescent="0.25">
      <c r="D421" s="211"/>
      <c r="F421" s="63"/>
      <c r="G421" s="63"/>
      <c r="I421" s="28"/>
    </row>
    <row r="422" spans="4:9" x14ac:dyDescent="0.25">
      <c r="D422" s="211"/>
      <c r="F422" s="63"/>
      <c r="G422" s="63"/>
      <c r="I422" s="28"/>
    </row>
    <row r="423" spans="4:9" x14ac:dyDescent="0.25">
      <c r="D423" s="211"/>
      <c r="F423" s="63"/>
      <c r="G423" s="63"/>
      <c r="I423" s="28"/>
    </row>
    <row r="424" spans="4:9" x14ac:dyDescent="0.25">
      <c r="D424" s="211"/>
      <c r="F424" s="63"/>
      <c r="G424" s="63"/>
      <c r="I424" s="28"/>
    </row>
    <row r="425" spans="4:9" x14ac:dyDescent="0.25">
      <c r="D425" s="211"/>
      <c r="F425" s="63"/>
      <c r="G425" s="63"/>
      <c r="I425" s="28"/>
    </row>
    <row r="426" spans="4:9" x14ac:dyDescent="0.25">
      <c r="D426" s="211"/>
      <c r="F426" s="63"/>
      <c r="G426" s="63"/>
      <c r="I426" s="28"/>
    </row>
    <row r="427" spans="4:9" x14ac:dyDescent="0.25">
      <c r="D427" s="211"/>
      <c r="F427" s="63"/>
      <c r="G427" s="63"/>
      <c r="I427" s="28"/>
    </row>
    <row r="428" spans="4:9" x14ac:dyDescent="0.25">
      <c r="D428" s="211"/>
      <c r="F428" s="63"/>
      <c r="G428" s="63"/>
      <c r="I428" s="28"/>
    </row>
    <row r="429" spans="4:9" x14ac:dyDescent="0.25">
      <c r="D429" s="211"/>
      <c r="F429" s="63"/>
      <c r="G429" s="63"/>
      <c r="I429" s="28"/>
    </row>
    <row r="430" spans="4:9" x14ac:dyDescent="0.25">
      <c r="D430" s="211"/>
      <c r="F430" s="63"/>
      <c r="G430" s="63"/>
      <c r="I430" s="28"/>
    </row>
    <row r="431" spans="4:9" x14ac:dyDescent="0.25">
      <c r="D431" s="211"/>
      <c r="F431" s="63"/>
      <c r="G431" s="63"/>
      <c r="I431" s="28"/>
    </row>
    <row r="432" spans="4:9" x14ac:dyDescent="0.25">
      <c r="D432" s="211"/>
      <c r="F432" s="63"/>
      <c r="G432" s="63"/>
      <c r="I432" s="28"/>
    </row>
    <row r="433" spans="4:9" x14ac:dyDescent="0.25">
      <c r="D433" s="211"/>
      <c r="F433" s="63"/>
      <c r="G433" s="63"/>
      <c r="I433" s="28"/>
    </row>
    <row r="434" spans="4:9" x14ac:dyDescent="0.25">
      <c r="D434" s="211"/>
      <c r="F434" s="63"/>
      <c r="G434" s="63"/>
      <c r="I434" s="28"/>
    </row>
    <row r="435" spans="4:9" x14ac:dyDescent="0.25">
      <c r="D435" s="211"/>
      <c r="F435" s="63"/>
      <c r="G435" s="63"/>
      <c r="I435" s="28"/>
    </row>
    <row r="436" spans="4:9" x14ac:dyDescent="0.25">
      <c r="D436" s="211"/>
      <c r="F436" s="63"/>
      <c r="G436" s="63"/>
      <c r="I436" s="28"/>
    </row>
    <row r="437" spans="4:9" x14ac:dyDescent="0.25">
      <c r="D437" s="211"/>
      <c r="F437" s="63"/>
      <c r="G437" s="63"/>
      <c r="I437" s="28"/>
    </row>
    <row r="438" spans="4:9" x14ac:dyDescent="0.25">
      <c r="D438" s="211"/>
      <c r="F438" s="63"/>
      <c r="G438" s="63"/>
      <c r="I438" s="28"/>
    </row>
    <row r="439" spans="4:9" x14ac:dyDescent="0.25">
      <c r="D439" s="211"/>
      <c r="F439" s="63"/>
      <c r="G439" s="63"/>
      <c r="I439" s="28"/>
    </row>
    <row r="440" spans="4:9" x14ac:dyDescent="0.25">
      <c r="D440" s="211"/>
      <c r="F440" s="63"/>
      <c r="G440" s="63"/>
      <c r="I440" s="28"/>
    </row>
    <row r="441" spans="4:9" x14ac:dyDescent="0.25">
      <c r="D441" s="211"/>
      <c r="F441" s="63"/>
      <c r="G441" s="63"/>
      <c r="I441" s="28"/>
    </row>
    <row r="442" spans="4:9" x14ac:dyDescent="0.25">
      <c r="D442" s="211"/>
      <c r="F442" s="63"/>
      <c r="G442" s="63"/>
      <c r="I442" s="28"/>
    </row>
    <row r="443" spans="4:9" x14ac:dyDescent="0.25">
      <c r="D443" s="211"/>
      <c r="F443" s="63"/>
      <c r="G443" s="63"/>
      <c r="I443" s="28"/>
    </row>
    <row r="444" spans="4:9" x14ac:dyDescent="0.25">
      <c r="D444" s="211"/>
      <c r="F444" s="63"/>
      <c r="G444" s="63"/>
      <c r="I444" s="28"/>
    </row>
    <row r="445" spans="4:9" x14ac:dyDescent="0.25">
      <c r="D445" s="211"/>
      <c r="F445" s="63"/>
      <c r="G445" s="63"/>
      <c r="I445" s="28"/>
    </row>
    <row r="446" spans="4:9" x14ac:dyDescent="0.25">
      <c r="D446" s="211"/>
      <c r="F446" s="63"/>
      <c r="G446" s="63"/>
      <c r="I446" s="28"/>
    </row>
    <row r="447" spans="4:9" x14ac:dyDescent="0.25">
      <c r="D447" s="211"/>
      <c r="F447" s="63"/>
      <c r="G447" s="63"/>
      <c r="I447" s="28"/>
    </row>
    <row r="448" spans="4:9" x14ac:dyDescent="0.25">
      <c r="D448" s="211"/>
      <c r="F448" s="63"/>
      <c r="G448" s="63"/>
      <c r="I448" s="28"/>
    </row>
    <row r="449" spans="4:9" x14ac:dyDescent="0.25">
      <c r="D449" s="211"/>
      <c r="F449" s="63"/>
      <c r="G449" s="63"/>
      <c r="I449" s="28"/>
    </row>
    <row r="450" spans="4:9" x14ac:dyDescent="0.25">
      <c r="D450" s="211"/>
      <c r="F450" s="63"/>
      <c r="G450" s="63"/>
      <c r="I450" s="28"/>
    </row>
    <row r="451" spans="4:9" x14ac:dyDescent="0.25">
      <c r="D451" s="211"/>
      <c r="F451" s="63"/>
      <c r="G451" s="63"/>
      <c r="I451" s="28"/>
    </row>
    <row r="452" spans="4:9" x14ac:dyDescent="0.25">
      <c r="D452" s="211"/>
      <c r="F452" s="63"/>
      <c r="G452" s="63"/>
      <c r="I452" s="28"/>
    </row>
    <row r="453" spans="4:9" x14ac:dyDescent="0.25">
      <c r="D453" s="211"/>
      <c r="F453" s="63"/>
      <c r="G453" s="63"/>
      <c r="I453" s="28"/>
    </row>
    <row r="454" spans="4:9" x14ac:dyDescent="0.25">
      <c r="D454" s="211"/>
      <c r="F454" s="63"/>
      <c r="G454" s="63"/>
      <c r="I454" s="28"/>
    </row>
    <row r="455" spans="4:9" x14ac:dyDescent="0.25">
      <c r="D455" s="211"/>
      <c r="F455" s="63"/>
      <c r="G455" s="63"/>
      <c r="I455" s="28"/>
    </row>
    <row r="456" spans="4:9" x14ac:dyDescent="0.25">
      <c r="D456" s="211"/>
      <c r="F456" s="63"/>
      <c r="G456" s="63"/>
      <c r="I456" s="28"/>
    </row>
    <row r="457" spans="4:9" x14ac:dyDescent="0.25">
      <c r="D457" s="211"/>
      <c r="F457" s="63"/>
      <c r="G457" s="63"/>
      <c r="I457" s="28"/>
    </row>
    <row r="458" spans="4:9" x14ac:dyDescent="0.25">
      <c r="D458" s="211"/>
      <c r="F458" s="63"/>
      <c r="G458" s="63"/>
      <c r="I458" s="28"/>
    </row>
    <row r="459" spans="4:9" x14ac:dyDescent="0.25">
      <c r="D459" s="211"/>
      <c r="F459" s="63"/>
      <c r="G459" s="63"/>
      <c r="I459" s="28"/>
    </row>
    <row r="460" spans="4:9" x14ac:dyDescent="0.25">
      <c r="D460" s="211"/>
      <c r="F460" s="63"/>
      <c r="G460" s="63"/>
      <c r="I460" s="28"/>
    </row>
    <row r="461" spans="4:9" x14ac:dyDescent="0.25">
      <c r="D461" s="211"/>
      <c r="F461" s="63"/>
      <c r="G461" s="63"/>
      <c r="I461" s="28"/>
    </row>
    <row r="462" spans="4:9" x14ac:dyDescent="0.25">
      <c r="D462" s="211"/>
      <c r="F462" s="63"/>
      <c r="G462" s="63"/>
      <c r="I462" s="28"/>
    </row>
    <row r="463" spans="4:9" x14ac:dyDescent="0.25">
      <c r="D463" s="211"/>
      <c r="F463" s="63"/>
      <c r="G463" s="63"/>
      <c r="I463" s="28"/>
    </row>
    <row r="464" spans="4:9" x14ac:dyDescent="0.25">
      <c r="D464" s="211"/>
      <c r="F464" s="63"/>
      <c r="G464" s="63"/>
      <c r="I464" s="28"/>
    </row>
    <row r="465" spans="4:9" x14ac:dyDescent="0.25">
      <c r="D465" s="211"/>
      <c r="F465" s="63"/>
      <c r="G465" s="63"/>
      <c r="I465" s="28"/>
    </row>
    <row r="466" spans="4:9" x14ac:dyDescent="0.25">
      <c r="D466" s="211"/>
      <c r="F466" s="63"/>
      <c r="G466" s="63"/>
      <c r="I466" s="28"/>
    </row>
    <row r="467" spans="4:9" x14ac:dyDescent="0.25">
      <c r="D467" s="211"/>
      <c r="F467" s="63"/>
      <c r="G467" s="63"/>
      <c r="I467" s="28"/>
    </row>
    <row r="468" spans="4:9" x14ac:dyDescent="0.25">
      <c r="D468" s="211"/>
      <c r="F468" s="63"/>
      <c r="G468" s="63"/>
      <c r="I468" s="28"/>
    </row>
    <row r="469" spans="4:9" x14ac:dyDescent="0.25">
      <c r="D469" s="211"/>
      <c r="F469" s="63"/>
      <c r="G469" s="63"/>
      <c r="I469" s="28"/>
    </row>
    <row r="470" spans="4:9" x14ac:dyDescent="0.25">
      <c r="D470" s="211"/>
      <c r="F470" s="63"/>
      <c r="G470" s="63"/>
      <c r="I470" s="28"/>
    </row>
    <row r="471" spans="4:9" x14ac:dyDescent="0.25">
      <c r="D471" s="211"/>
      <c r="F471" s="63"/>
      <c r="G471" s="63"/>
      <c r="I471" s="28"/>
    </row>
    <row r="472" spans="4:9" x14ac:dyDescent="0.25">
      <c r="D472" s="211"/>
      <c r="F472" s="63"/>
      <c r="G472" s="63"/>
      <c r="I472" s="28"/>
    </row>
    <row r="473" spans="4:9" x14ac:dyDescent="0.25">
      <c r="D473" s="211"/>
      <c r="F473" s="63"/>
      <c r="G473" s="63"/>
      <c r="I473" s="28"/>
    </row>
    <row r="474" spans="4:9" x14ac:dyDescent="0.25">
      <c r="D474" s="211"/>
      <c r="F474" s="63"/>
      <c r="G474" s="63"/>
      <c r="I474" s="28"/>
    </row>
    <row r="475" spans="4:9" x14ac:dyDescent="0.25">
      <c r="D475" s="211"/>
      <c r="F475" s="63"/>
      <c r="G475" s="63"/>
      <c r="I475" s="28"/>
    </row>
    <row r="476" spans="4:9" x14ac:dyDescent="0.25">
      <c r="D476" s="211"/>
      <c r="F476" s="63"/>
      <c r="G476" s="63"/>
      <c r="I476" s="28"/>
    </row>
    <row r="477" spans="4:9" x14ac:dyDescent="0.25">
      <c r="D477" s="211"/>
      <c r="F477" s="63"/>
      <c r="G477" s="63"/>
      <c r="I477" s="28"/>
    </row>
    <row r="478" spans="4:9" x14ac:dyDescent="0.25">
      <c r="D478" s="211"/>
      <c r="F478" s="63"/>
      <c r="G478" s="63"/>
      <c r="I478" s="28"/>
    </row>
    <row r="479" spans="4:9" x14ac:dyDescent="0.25">
      <c r="D479" s="211"/>
      <c r="F479" s="63"/>
      <c r="G479" s="63"/>
      <c r="I479" s="28"/>
    </row>
    <row r="480" spans="4:9" x14ac:dyDescent="0.25">
      <c r="D480" s="211"/>
      <c r="F480" s="63"/>
      <c r="G480" s="63"/>
      <c r="I480" s="28"/>
    </row>
    <row r="481" spans="4:9" x14ac:dyDescent="0.25">
      <c r="D481" s="211"/>
      <c r="F481" s="63"/>
      <c r="G481" s="63"/>
      <c r="I481" s="28"/>
    </row>
    <row r="482" spans="4:9" x14ac:dyDescent="0.25">
      <c r="D482" s="211"/>
      <c r="F482" s="63"/>
      <c r="G482" s="63"/>
      <c r="I482" s="28"/>
    </row>
    <row r="483" spans="4:9" x14ac:dyDescent="0.25">
      <c r="D483" s="211"/>
      <c r="F483" s="63"/>
      <c r="G483" s="63"/>
      <c r="I483" s="28"/>
    </row>
    <row r="484" spans="4:9" x14ac:dyDescent="0.25">
      <c r="D484" s="211"/>
      <c r="F484" s="63"/>
      <c r="G484" s="63"/>
      <c r="I484" s="28"/>
    </row>
    <row r="485" spans="4:9" x14ac:dyDescent="0.25">
      <c r="D485" s="211"/>
      <c r="F485" s="63"/>
      <c r="G485" s="63"/>
      <c r="I485" s="28"/>
    </row>
    <row r="486" spans="4:9" x14ac:dyDescent="0.25">
      <c r="D486" s="211"/>
      <c r="F486" s="63"/>
      <c r="G486" s="63"/>
      <c r="I486" s="28"/>
    </row>
    <row r="487" spans="4:9" x14ac:dyDescent="0.25">
      <c r="D487" s="211"/>
      <c r="F487" s="63"/>
      <c r="G487" s="63"/>
      <c r="I487" s="28"/>
    </row>
    <row r="488" spans="4:9" x14ac:dyDescent="0.25">
      <c r="D488" s="211"/>
      <c r="F488" s="63"/>
      <c r="G488" s="63"/>
      <c r="I488" s="28"/>
    </row>
    <row r="489" spans="4:9" x14ac:dyDescent="0.25">
      <c r="D489" s="211"/>
      <c r="F489" s="63"/>
      <c r="G489" s="63"/>
      <c r="I489" s="28"/>
    </row>
    <row r="490" spans="4:9" x14ac:dyDescent="0.25">
      <c r="D490" s="211"/>
      <c r="F490" s="63"/>
      <c r="G490" s="63"/>
      <c r="I490" s="28"/>
    </row>
    <row r="491" spans="4:9" x14ac:dyDescent="0.25">
      <c r="D491" s="211"/>
      <c r="F491" s="63"/>
      <c r="G491" s="63"/>
      <c r="I491" s="28"/>
    </row>
    <row r="492" spans="4:9" x14ac:dyDescent="0.25">
      <c r="D492" s="211"/>
      <c r="F492" s="63"/>
      <c r="G492" s="63"/>
      <c r="I492" s="28"/>
    </row>
    <row r="493" spans="4:9" x14ac:dyDescent="0.25">
      <c r="D493" s="211"/>
      <c r="F493" s="63"/>
      <c r="G493" s="63"/>
      <c r="I493" s="28"/>
    </row>
    <row r="494" spans="4:9" x14ac:dyDescent="0.25">
      <c r="D494" s="211"/>
      <c r="F494" s="63"/>
      <c r="G494" s="63"/>
      <c r="I494" s="28"/>
    </row>
    <row r="495" spans="4:9" x14ac:dyDescent="0.25">
      <c r="D495" s="211"/>
      <c r="F495" s="63"/>
      <c r="G495" s="63"/>
      <c r="I495" s="28"/>
    </row>
    <row r="496" spans="4:9" x14ac:dyDescent="0.25">
      <c r="D496" s="211"/>
      <c r="F496" s="63"/>
      <c r="G496" s="63"/>
      <c r="I496" s="28"/>
    </row>
    <row r="497" spans="4:9" x14ac:dyDescent="0.25">
      <c r="D497" s="211"/>
      <c r="F497" s="63"/>
      <c r="G497" s="63"/>
      <c r="I497" s="28"/>
    </row>
    <row r="498" spans="4:9" x14ac:dyDescent="0.25">
      <c r="D498" s="211"/>
      <c r="F498" s="63"/>
      <c r="G498" s="63"/>
      <c r="I498" s="28"/>
    </row>
    <row r="499" spans="4:9" x14ac:dyDescent="0.25">
      <c r="D499" s="211"/>
      <c r="F499" s="63"/>
      <c r="G499" s="63"/>
      <c r="I499" s="28"/>
    </row>
    <row r="500" spans="4:9" x14ac:dyDescent="0.25">
      <c r="D500" s="211"/>
      <c r="F500" s="63"/>
      <c r="G500" s="63"/>
      <c r="I500" s="28"/>
    </row>
    <row r="501" spans="4:9" x14ac:dyDescent="0.25">
      <c r="D501" s="211"/>
      <c r="F501" s="63"/>
      <c r="G501" s="63"/>
      <c r="I501" s="28"/>
    </row>
    <row r="502" spans="4:9" x14ac:dyDescent="0.25">
      <c r="D502" s="211"/>
      <c r="F502" s="63"/>
      <c r="G502" s="63"/>
      <c r="I502" s="28"/>
    </row>
    <row r="503" spans="4:9" x14ac:dyDescent="0.25">
      <c r="D503" s="211"/>
      <c r="F503" s="63"/>
      <c r="G503" s="63"/>
      <c r="I503" s="28"/>
    </row>
    <row r="504" spans="4:9" x14ac:dyDescent="0.25">
      <c r="D504" s="211"/>
      <c r="F504" s="63"/>
      <c r="G504" s="63"/>
      <c r="I504" s="28"/>
    </row>
    <row r="505" spans="4:9" x14ac:dyDescent="0.25">
      <c r="D505" s="211"/>
      <c r="F505" s="63"/>
      <c r="G505" s="63"/>
      <c r="I505" s="28"/>
    </row>
    <row r="506" spans="4:9" x14ac:dyDescent="0.25">
      <c r="D506" s="211"/>
      <c r="F506" s="63"/>
      <c r="G506" s="63"/>
      <c r="I506" s="28"/>
    </row>
    <row r="507" spans="4:9" x14ac:dyDescent="0.25">
      <c r="D507" s="211"/>
      <c r="F507" s="63"/>
      <c r="G507" s="63"/>
      <c r="I507" s="28"/>
    </row>
    <row r="508" spans="4:9" x14ac:dyDescent="0.25">
      <c r="D508" s="211"/>
      <c r="F508" s="63"/>
      <c r="G508" s="63"/>
      <c r="I508" s="28"/>
    </row>
    <row r="509" spans="4:9" x14ac:dyDescent="0.25">
      <c r="D509" s="211"/>
      <c r="F509" s="63"/>
      <c r="G509" s="63"/>
      <c r="I509" s="28"/>
    </row>
    <row r="510" spans="4:9" x14ac:dyDescent="0.25">
      <c r="D510" s="211"/>
      <c r="F510" s="63"/>
      <c r="G510" s="63"/>
      <c r="I510" s="28"/>
    </row>
    <row r="511" spans="4:9" x14ac:dyDescent="0.25">
      <c r="D511" s="211"/>
      <c r="F511" s="63"/>
      <c r="G511" s="63"/>
      <c r="I511" s="28"/>
    </row>
    <row r="512" spans="4:9" x14ac:dyDescent="0.25">
      <c r="D512" s="211"/>
      <c r="F512" s="63"/>
      <c r="G512" s="63"/>
      <c r="I512" s="28"/>
    </row>
    <row r="513" spans="4:9" x14ac:dyDescent="0.25">
      <c r="D513" s="211"/>
      <c r="F513" s="63"/>
      <c r="G513" s="63"/>
      <c r="I513" s="28"/>
    </row>
    <row r="514" spans="4:9" x14ac:dyDescent="0.25">
      <c r="D514" s="211"/>
      <c r="F514" s="63"/>
      <c r="G514" s="63"/>
      <c r="I514" s="28"/>
    </row>
    <row r="515" spans="4:9" x14ac:dyDescent="0.25">
      <c r="D515" s="211"/>
      <c r="F515" s="63"/>
      <c r="G515" s="63"/>
      <c r="I515" s="28"/>
    </row>
    <row r="516" spans="4:9" x14ac:dyDescent="0.25">
      <c r="D516" s="211"/>
      <c r="F516" s="63"/>
      <c r="G516" s="63"/>
      <c r="I516" s="28"/>
    </row>
    <row r="517" spans="4:9" x14ac:dyDescent="0.25">
      <c r="D517" s="211"/>
      <c r="F517" s="63"/>
      <c r="G517" s="63"/>
      <c r="I517" s="28"/>
    </row>
    <row r="518" spans="4:9" x14ac:dyDescent="0.25">
      <c r="D518" s="211"/>
      <c r="F518" s="63"/>
      <c r="G518" s="63"/>
      <c r="I518" s="28"/>
    </row>
    <row r="519" spans="4:9" x14ac:dyDescent="0.25">
      <c r="D519" s="211"/>
      <c r="F519" s="63"/>
      <c r="G519" s="63"/>
      <c r="I519" s="28"/>
    </row>
    <row r="520" spans="4:9" x14ac:dyDescent="0.25">
      <c r="D520" s="211"/>
      <c r="F520" s="63"/>
      <c r="G520" s="63"/>
      <c r="I520" s="28"/>
    </row>
    <row r="521" spans="4:9" x14ac:dyDescent="0.25">
      <c r="D521" s="211"/>
      <c r="F521" s="63"/>
      <c r="G521" s="63"/>
      <c r="I521" s="28"/>
    </row>
    <row r="522" spans="4:9" x14ac:dyDescent="0.25">
      <c r="D522" s="211"/>
      <c r="F522" s="63"/>
      <c r="G522" s="63"/>
      <c r="I522" s="28"/>
    </row>
    <row r="523" spans="4:9" x14ac:dyDescent="0.25">
      <c r="D523" s="211"/>
      <c r="F523" s="63"/>
      <c r="G523" s="63"/>
      <c r="I523" s="28"/>
    </row>
    <row r="524" spans="4:9" x14ac:dyDescent="0.25">
      <c r="D524" s="211"/>
      <c r="F524" s="63"/>
      <c r="G524" s="63"/>
      <c r="I524" s="28"/>
    </row>
    <row r="525" spans="4:9" x14ac:dyDescent="0.25">
      <c r="D525" s="211"/>
      <c r="F525" s="63"/>
      <c r="G525" s="63"/>
      <c r="I525" s="28"/>
    </row>
    <row r="526" spans="4:9" x14ac:dyDescent="0.25">
      <c r="D526" s="211"/>
      <c r="F526" s="63"/>
      <c r="G526" s="63"/>
      <c r="I526" s="28"/>
    </row>
    <row r="527" spans="4:9" x14ac:dyDescent="0.25">
      <c r="D527" s="211"/>
      <c r="F527" s="63"/>
      <c r="G527" s="63"/>
      <c r="I527" s="28"/>
    </row>
    <row r="528" spans="4:9" x14ac:dyDescent="0.25">
      <c r="D528" s="211"/>
      <c r="F528" s="63"/>
      <c r="G528" s="63"/>
      <c r="I528" s="28"/>
    </row>
    <row r="529" spans="4:9" x14ac:dyDescent="0.25">
      <c r="D529" s="211"/>
      <c r="F529" s="63"/>
      <c r="G529" s="63"/>
      <c r="I529" s="28"/>
    </row>
    <row r="530" spans="4:9" x14ac:dyDescent="0.25">
      <c r="D530" s="211"/>
      <c r="F530" s="63"/>
      <c r="G530" s="63"/>
      <c r="I530" s="28"/>
    </row>
    <row r="531" spans="4:9" x14ac:dyDescent="0.25">
      <c r="D531" s="211"/>
      <c r="F531" s="63"/>
      <c r="G531" s="63"/>
      <c r="I531" s="28"/>
    </row>
    <row r="532" spans="4:9" x14ac:dyDescent="0.25">
      <c r="D532" s="211"/>
      <c r="F532" s="63"/>
      <c r="G532" s="63"/>
      <c r="I532" s="28"/>
    </row>
    <row r="533" spans="4:9" x14ac:dyDescent="0.25">
      <c r="D533" s="211"/>
      <c r="F533" s="63"/>
      <c r="G533" s="63"/>
      <c r="I533" s="28"/>
    </row>
    <row r="534" spans="4:9" x14ac:dyDescent="0.25">
      <c r="D534" s="211"/>
      <c r="F534" s="63"/>
      <c r="G534" s="63"/>
      <c r="I534" s="28"/>
    </row>
    <row r="535" spans="4:9" x14ac:dyDescent="0.25">
      <c r="D535" s="211"/>
      <c r="F535" s="63"/>
      <c r="G535" s="63"/>
      <c r="I535" s="28"/>
    </row>
    <row r="536" spans="4:9" x14ac:dyDescent="0.25">
      <c r="D536" s="211"/>
      <c r="F536" s="63"/>
      <c r="G536" s="63"/>
      <c r="I536" s="28"/>
    </row>
    <row r="537" spans="4:9" x14ac:dyDescent="0.25">
      <c r="D537" s="211"/>
      <c r="F537" s="63"/>
      <c r="G537" s="63"/>
      <c r="I537" s="28"/>
    </row>
    <row r="538" spans="4:9" x14ac:dyDescent="0.25">
      <c r="D538" s="211"/>
      <c r="F538" s="63"/>
      <c r="G538" s="63"/>
      <c r="I538" s="28"/>
    </row>
    <row r="539" spans="4:9" x14ac:dyDescent="0.25">
      <c r="D539" s="211"/>
      <c r="F539" s="63"/>
      <c r="G539" s="63"/>
      <c r="I539" s="28"/>
    </row>
    <row r="540" spans="4:9" x14ac:dyDescent="0.25">
      <c r="D540" s="211"/>
      <c r="F540" s="63"/>
      <c r="G540" s="63"/>
      <c r="I540" s="28"/>
    </row>
    <row r="541" spans="4:9" x14ac:dyDescent="0.25">
      <c r="D541" s="211"/>
      <c r="F541" s="63"/>
      <c r="G541" s="63"/>
      <c r="I541" s="28"/>
    </row>
    <row r="542" spans="4:9" x14ac:dyDescent="0.25">
      <c r="D542" s="211"/>
      <c r="F542" s="63"/>
      <c r="G542" s="63"/>
      <c r="I542" s="28"/>
    </row>
    <row r="543" spans="4:9" x14ac:dyDescent="0.25">
      <c r="D543" s="211"/>
      <c r="F543" s="63"/>
      <c r="G543" s="63"/>
      <c r="I543" s="28"/>
    </row>
  </sheetData>
  <mergeCells count="1">
    <mergeCell ref="D6:K6"/>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D49C0-C791-43B6-B038-0C938DB97334}">
  <dimension ref="D4:P49"/>
  <sheetViews>
    <sheetView showGridLines="0" topLeftCell="A25" workbookViewId="0">
      <selection activeCell="K41" sqref="K41"/>
    </sheetView>
  </sheetViews>
  <sheetFormatPr defaultRowHeight="13.8" x14ac:dyDescent="0.25"/>
  <cols>
    <col min="1" max="3" width="1.33203125" style="1" customWidth="1"/>
    <col min="4" max="4" width="35.77734375" style="1" customWidth="1"/>
    <col min="5" max="12" width="11.77734375" style="1" customWidth="1"/>
    <col min="13" max="13" width="10.77734375" style="1" customWidth="1"/>
    <col min="14" max="16384" width="8.88671875" style="1"/>
  </cols>
  <sheetData>
    <row r="4" spans="4:15" x14ac:dyDescent="0.25">
      <c r="K4" s="461" t="s">
        <v>307</v>
      </c>
      <c r="L4" s="461"/>
    </row>
    <row r="5" spans="4:15" x14ac:dyDescent="0.25">
      <c r="K5" s="461"/>
      <c r="L5" s="461"/>
    </row>
    <row r="6" spans="4:15" ht="16.8" customHeight="1" x14ac:dyDescent="0.25">
      <c r="D6" s="425" t="s">
        <v>119</v>
      </c>
      <c r="E6" s="425"/>
      <c r="F6" s="425"/>
      <c r="G6" s="425"/>
      <c r="H6" s="425"/>
      <c r="I6" s="425"/>
      <c r="J6" s="425"/>
      <c r="K6" s="425"/>
      <c r="L6" s="425"/>
      <c r="M6" s="80"/>
      <c r="N6" s="80"/>
      <c r="O6" s="80"/>
    </row>
    <row r="8" spans="4:15" ht="15" x14ac:dyDescent="0.25">
      <c r="D8" s="459" t="s">
        <v>120</v>
      </c>
      <c r="E8" s="459"/>
      <c r="F8" s="459"/>
      <c r="G8" s="459"/>
      <c r="H8" s="459"/>
      <c r="I8" s="459"/>
      <c r="J8" s="459"/>
      <c r="K8" s="459"/>
      <c r="L8" s="459"/>
      <c r="M8" s="81"/>
      <c r="N8" s="81"/>
      <c r="O8" s="81"/>
    </row>
    <row r="9" spans="4:15" x14ac:dyDescent="0.25">
      <c r="D9" s="93"/>
      <c r="E9" s="93"/>
      <c r="F9" s="288" t="s">
        <v>5</v>
      </c>
      <c r="G9" s="288" t="s">
        <v>6</v>
      </c>
      <c r="H9" s="288" t="s">
        <v>121</v>
      </c>
      <c r="I9" s="288" t="s">
        <v>121</v>
      </c>
      <c r="J9" s="288" t="s">
        <v>41</v>
      </c>
      <c r="K9" s="288" t="s">
        <v>122</v>
      </c>
      <c r="L9" s="288" t="s">
        <v>123</v>
      </c>
      <c r="M9" s="3"/>
      <c r="N9" s="3"/>
      <c r="O9" s="3"/>
    </row>
    <row r="10" spans="4:15" x14ac:dyDescent="0.25">
      <c r="D10" s="289" t="s">
        <v>29</v>
      </c>
      <c r="E10" s="290" t="s">
        <v>146</v>
      </c>
      <c r="F10" s="290" t="s">
        <v>124</v>
      </c>
      <c r="G10" s="290" t="s">
        <v>49</v>
      </c>
      <c r="H10" s="290" t="s">
        <v>5</v>
      </c>
      <c r="I10" s="290" t="s">
        <v>125</v>
      </c>
      <c r="J10" s="290" t="s">
        <v>126</v>
      </c>
      <c r="K10" s="290" t="s">
        <v>117</v>
      </c>
      <c r="L10" s="290" t="s">
        <v>117</v>
      </c>
      <c r="M10" s="3"/>
      <c r="N10" s="3"/>
      <c r="O10" s="3"/>
    </row>
    <row r="11" spans="4:15" x14ac:dyDescent="0.25">
      <c r="D11" s="3"/>
      <c r="E11" s="3"/>
      <c r="F11" s="3"/>
      <c r="G11" s="3"/>
      <c r="H11" s="3"/>
      <c r="I11" s="3"/>
      <c r="J11" s="3"/>
      <c r="K11" s="3"/>
      <c r="L11" s="3"/>
      <c r="M11" s="3"/>
      <c r="N11" s="3"/>
      <c r="O11" s="3"/>
    </row>
    <row r="12" spans="4:15" x14ac:dyDescent="0.25">
      <c r="D12" s="296" t="str">
        <f>Comps!D12</f>
        <v>I O B</v>
      </c>
      <c r="E12" s="307">
        <v>532461</v>
      </c>
      <c r="F12" s="297">
        <f>Comps!H12</f>
        <v>76410.188800000004</v>
      </c>
      <c r="G12" s="297">
        <f>Comps!I12</f>
        <v>354166.48</v>
      </c>
      <c r="H12" s="298">
        <f t="shared" ref="H12:H17" si="0">G12/F12</f>
        <v>4.6350687723991069</v>
      </c>
      <c r="I12" s="299">
        <f t="shared" ref="I12:I17" si="1">H12/(F12+G12)</f>
        <v>1.0764793144312391E-5</v>
      </c>
      <c r="J12" s="300">
        <v>0.27200000000000002</v>
      </c>
      <c r="K12" s="364">
        <v>0.21</v>
      </c>
      <c r="L12" s="298">
        <f t="shared" ref="L12:L17" si="2">K12/(1+(1-J12)*H12)</f>
        <v>4.8007351255346109E-2</v>
      </c>
      <c r="M12" s="3"/>
      <c r="N12" s="3"/>
      <c r="O12" s="3"/>
    </row>
    <row r="13" spans="4:15" x14ac:dyDescent="0.25">
      <c r="D13" s="296" t="str">
        <f>Comps!D13</f>
        <v>Bank of India</v>
      </c>
      <c r="E13" s="307">
        <v>532134</v>
      </c>
      <c r="F13" s="297">
        <f>Comps!H13</f>
        <v>53730.965399999994</v>
      </c>
      <c r="G13" s="297">
        <f>Comps!I13</f>
        <v>943675.44</v>
      </c>
      <c r="H13" s="298">
        <f t="shared" si="0"/>
        <v>17.562971984121472</v>
      </c>
      <c r="I13" s="299">
        <f t="shared" si="1"/>
        <v>1.7608641662049498E-5</v>
      </c>
      <c r="J13" s="300">
        <v>0.25390000000000001</v>
      </c>
      <c r="K13" s="364">
        <v>0.86</v>
      </c>
      <c r="L13" s="298">
        <f t="shared" si="2"/>
        <v>6.0976762377074126E-2</v>
      </c>
      <c r="M13" s="3"/>
      <c r="N13" s="3"/>
      <c r="O13" s="3"/>
    </row>
    <row r="14" spans="4:15" x14ac:dyDescent="0.25">
      <c r="D14" s="296" t="str">
        <f>Comps!D14</f>
        <v>Bank of Maha</v>
      </c>
      <c r="E14" s="307">
        <v>532477</v>
      </c>
      <c r="F14" s="297">
        <f>Comps!H14</f>
        <v>44088.251199999999</v>
      </c>
      <c r="G14" s="297">
        <f>Comps!I14</f>
        <v>330972.82</v>
      </c>
      <c r="H14" s="298">
        <f t="shared" si="0"/>
        <v>7.5070525818452065</v>
      </c>
      <c r="I14" s="299">
        <f t="shared" si="1"/>
        <v>2.0015547222287158E-5</v>
      </c>
      <c r="J14" s="300">
        <v>0.29299999999999998</v>
      </c>
      <c r="K14" s="364">
        <v>0.72</v>
      </c>
      <c r="L14" s="298">
        <f t="shared" si="2"/>
        <v>0.11415007183244207</v>
      </c>
      <c r="M14" s="3"/>
      <c r="N14" s="3"/>
      <c r="O14" s="3"/>
    </row>
    <row r="15" spans="4:15" x14ac:dyDescent="0.25">
      <c r="D15" s="296" t="str">
        <f>Comps!D15</f>
        <v>UCO Bank</v>
      </c>
      <c r="E15" s="307">
        <v>532483</v>
      </c>
      <c r="F15" s="297">
        <f>Comps!H15</f>
        <v>40828.937600000005</v>
      </c>
      <c r="G15" s="297">
        <f>Comps!I15</f>
        <v>322229.67</v>
      </c>
      <c r="H15" s="298">
        <f t="shared" si="0"/>
        <v>7.8921884560621027</v>
      </c>
      <c r="I15" s="299">
        <f t="shared" si="1"/>
        <v>2.1738056310614525E-5</v>
      </c>
      <c r="J15" s="300">
        <v>0.27500000000000002</v>
      </c>
      <c r="K15" s="364">
        <v>0.61</v>
      </c>
      <c r="L15" s="298">
        <f t="shared" si="2"/>
        <v>9.0749007082230243E-2</v>
      </c>
      <c r="M15" s="3"/>
      <c r="N15" s="3"/>
      <c r="O15" s="3"/>
    </row>
    <row r="16" spans="4:15" x14ac:dyDescent="0.25">
      <c r="D16" s="296" t="str">
        <f>Comps!D16</f>
        <v>Central Bank</v>
      </c>
      <c r="E16" s="307">
        <v>532814</v>
      </c>
      <c r="F16" s="297">
        <f>Comps!H16</f>
        <v>34875.044200000004</v>
      </c>
      <c r="G16" s="297">
        <f>Comps!I16</f>
        <v>435090.62</v>
      </c>
      <c r="H16" s="298">
        <f t="shared" si="0"/>
        <v>12.475700891011343</v>
      </c>
      <c r="I16" s="299">
        <f t="shared" si="1"/>
        <v>2.6545983762980069E-5</v>
      </c>
      <c r="J16" s="300">
        <v>0.2329</v>
      </c>
      <c r="K16" s="364">
        <v>0.3</v>
      </c>
      <c r="L16" s="298">
        <f t="shared" si="2"/>
        <v>2.8381918035244962E-2</v>
      </c>
      <c r="M16" s="3"/>
      <c r="N16" s="3"/>
      <c r="O16" s="3"/>
    </row>
    <row r="17" spans="4:16" x14ac:dyDescent="0.25">
      <c r="D17" s="296" t="str">
        <f>Comps!D17</f>
        <v>Indian Bank</v>
      </c>
      <c r="E17" s="307">
        <v>532388</v>
      </c>
      <c r="F17" s="297">
        <f>Comps!H17</f>
        <v>85089.99</v>
      </c>
      <c r="G17" s="297">
        <f>Comps!I17</f>
        <v>778650.62</v>
      </c>
      <c r="H17" s="298">
        <f t="shared" si="0"/>
        <v>9.1509074099080276</v>
      </c>
      <c r="I17" s="299">
        <f t="shared" si="1"/>
        <v>1.059450870314877E-5</v>
      </c>
      <c r="J17" s="300">
        <v>0.32219999999999999</v>
      </c>
      <c r="K17" s="364">
        <v>0.38</v>
      </c>
      <c r="L17" s="298">
        <f t="shared" si="2"/>
        <v>5.2759568088113044E-2</v>
      </c>
      <c r="M17" s="3"/>
      <c r="N17" s="3"/>
      <c r="O17" s="3"/>
    </row>
    <row r="18" spans="4:16" x14ac:dyDescent="0.25">
      <c r="D18" s="3"/>
      <c r="E18" s="3"/>
      <c r="F18" s="3"/>
      <c r="G18" s="3"/>
      <c r="H18" s="3"/>
      <c r="I18" s="3"/>
      <c r="J18" s="3"/>
      <c r="K18" s="3"/>
      <c r="L18" s="3"/>
      <c r="M18" s="3"/>
      <c r="N18" s="3"/>
      <c r="O18" s="3"/>
    </row>
    <row r="19" spans="4:16" x14ac:dyDescent="0.25">
      <c r="D19" s="84" t="s">
        <v>152</v>
      </c>
      <c r="E19" s="84"/>
      <c r="F19" s="84"/>
      <c r="G19" s="84"/>
      <c r="H19" s="84"/>
      <c r="I19" s="115">
        <f>AVERAGE(I12:I17)</f>
        <v>1.7877921800898733E-5</v>
      </c>
      <c r="J19" s="115">
        <f>AVERAGE(J12:J17)</f>
        <v>0.27483333333333332</v>
      </c>
      <c r="K19" s="122">
        <f>AVERAGE(K12:K17)</f>
        <v>0.51333333333333331</v>
      </c>
      <c r="L19" s="122">
        <f>AVERAGE(L12:L17)</f>
        <v>6.5837446445075096E-2</v>
      </c>
      <c r="M19" s="3"/>
      <c r="N19" s="3"/>
      <c r="O19" s="3"/>
    </row>
    <row r="20" spans="4:16" x14ac:dyDescent="0.25">
      <c r="D20" s="84" t="s">
        <v>153</v>
      </c>
      <c r="E20" s="84"/>
      <c r="F20" s="84"/>
      <c r="G20" s="84"/>
      <c r="H20" s="84"/>
      <c r="I20" s="115">
        <f>MEDIAN(I12:I17)</f>
        <v>1.8812094442168328E-5</v>
      </c>
      <c r="J20" s="115">
        <f>MEDIAN(J12:J17)</f>
        <v>0.27350000000000002</v>
      </c>
      <c r="K20" s="122">
        <f>MEDIAN(K12:K17)</f>
        <v>0.495</v>
      </c>
      <c r="L20" s="122">
        <f>MEDIAN(L12:L17)</f>
        <v>5.6868165232593582E-2</v>
      </c>
      <c r="M20" s="3"/>
      <c r="N20" s="3"/>
      <c r="O20" s="3"/>
    </row>
    <row r="21" spans="4:16" x14ac:dyDescent="0.25">
      <c r="D21" s="3"/>
      <c r="E21" s="3"/>
      <c r="F21" s="3"/>
      <c r="G21" s="3"/>
      <c r="H21" s="3"/>
      <c r="I21" s="3"/>
      <c r="J21" s="3"/>
      <c r="K21" s="3"/>
      <c r="L21" s="3"/>
      <c r="M21" s="3"/>
      <c r="N21" s="3"/>
      <c r="O21" s="3"/>
    </row>
    <row r="22" spans="4:16" x14ac:dyDescent="0.25">
      <c r="D22" s="105" t="s">
        <v>307</v>
      </c>
      <c r="E22" s="106">
        <v>533295</v>
      </c>
      <c r="F22" s="109">
        <f>Comps!H22</f>
        <v>22634.963999999996</v>
      </c>
      <c r="G22" s="109">
        <f>Comps!I22</f>
        <v>144003.54</v>
      </c>
      <c r="H22" s="294">
        <f>G22/F22</f>
        <v>6.3619955392904552</v>
      </c>
      <c r="I22" s="295">
        <f>G22/(F22+G22)</f>
        <v>0.86416726352752182</v>
      </c>
      <c r="J22" s="295">
        <f>'Cost Buildup'!J31</f>
        <v>0.3</v>
      </c>
      <c r="K22" s="294">
        <f>'Equity Beta'!O9</f>
        <v>1.528715851128996</v>
      </c>
      <c r="L22" s="294">
        <f>K22/(1+(1-J22)*H22)</f>
        <v>0.28032360113663224</v>
      </c>
      <c r="M22" s="3"/>
      <c r="N22" s="3"/>
      <c r="O22" s="3"/>
    </row>
    <row r="23" spans="4:16" x14ac:dyDescent="0.25">
      <c r="D23" s="3"/>
      <c r="E23" s="3"/>
      <c r="F23" s="3"/>
      <c r="G23" s="3"/>
      <c r="H23" s="3"/>
      <c r="I23" s="3"/>
      <c r="J23" s="3"/>
      <c r="K23" s="3"/>
      <c r="L23" s="3"/>
      <c r="M23" s="3"/>
      <c r="N23" s="3"/>
      <c r="O23" s="3"/>
    </row>
    <row r="24" spans="4:16" ht="16.8" customHeight="1" x14ac:dyDescent="0.25">
      <c r="D24" s="460" t="s">
        <v>159</v>
      </c>
      <c r="E24" s="460"/>
      <c r="F24" s="460"/>
      <c r="G24" s="460"/>
      <c r="H24" s="460"/>
      <c r="I24" s="460"/>
      <c r="J24" s="460"/>
      <c r="K24" s="460"/>
      <c r="L24" s="460"/>
      <c r="M24" s="3"/>
      <c r="N24" s="3"/>
      <c r="O24" s="3"/>
    </row>
    <row r="25" spans="4:16" x14ac:dyDescent="0.25">
      <c r="D25" s="3"/>
      <c r="E25" s="3"/>
      <c r="F25" s="3"/>
      <c r="G25" s="3"/>
      <c r="H25" s="3"/>
      <c r="I25" s="3"/>
      <c r="J25" s="3"/>
      <c r="K25" s="3"/>
      <c r="L25" s="3"/>
      <c r="M25" s="3"/>
      <c r="N25" s="3"/>
      <c r="O25" s="3"/>
    </row>
    <row r="26" spans="4:16" x14ac:dyDescent="0.25">
      <c r="D26" s="291" t="s">
        <v>160</v>
      </c>
      <c r="E26" s="116"/>
      <c r="F26" s="3"/>
      <c r="G26" s="3"/>
      <c r="H26" s="3"/>
      <c r="I26" s="3"/>
      <c r="J26" s="3"/>
      <c r="K26" s="3"/>
      <c r="L26" s="3"/>
      <c r="M26" s="3"/>
      <c r="N26" s="3"/>
      <c r="O26" s="3"/>
    </row>
    <row r="27" spans="4:16" x14ac:dyDescent="0.25">
      <c r="D27" s="93" t="s">
        <v>161</v>
      </c>
      <c r="E27" s="121">
        <f>I19</f>
        <v>1.7877921800898733E-5</v>
      </c>
      <c r="F27" s="3"/>
      <c r="G27" s="3"/>
      <c r="H27" s="3"/>
      <c r="I27" s="3"/>
      <c r="J27" s="3"/>
      <c r="K27" s="3"/>
      <c r="L27" s="3"/>
      <c r="M27" s="3"/>
      <c r="N27" s="3"/>
      <c r="O27" s="3"/>
      <c r="P27" s="3"/>
    </row>
    <row r="28" spans="4:16" x14ac:dyDescent="0.25">
      <c r="D28" s="93" t="s">
        <v>162</v>
      </c>
      <c r="E28" s="147">
        <f>(1-E27)</f>
        <v>0.99998212207819914</v>
      </c>
      <c r="F28" s="3"/>
      <c r="G28" s="3"/>
      <c r="H28" s="3"/>
      <c r="I28" s="3"/>
      <c r="J28" s="3"/>
      <c r="K28" s="3"/>
      <c r="L28" s="3"/>
      <c r="M28" s="3"/>
      <c r="N28" s="3"/>
      <c r="O28" s="3"/>
    </row>
    <row r="29" spans="4:16" x14ac:dyDescent="0.25">
      <c r="D29" s="93"/>
      <c r="E29" s="3"/>
      <c r="F29" s="3"/>
      <c r="G29" s="3"/>
      <c r="H29" s="3"/>
      <c r="I29" s="3"/>
      <c r="J29" s="3"/>
      <c r="K29" s="3"/>
      <c r="L29" s="3"/>
      <c r="M29" s="3"/>
      <c r="N29" s="3"/>
      <c r="O29" s="3"/>
    </row>
    <row r="30" spans="4:16" x14ac:dyDescent="0.25">
      <c r="D30" s="291" t="s">
        <v>163</v>
      </c>
      <c r="E30" s="116"/>
      <c r="F30" s="3"/>
      <c r="G30" s="3"/>
      <c r="H30" s="3"/>
      <c r="I30" s="3"/>
      <c r="J30" s="3"/>
      <c r="K30" s="3"/>
      <c r="L30" s="3"/>
      <c r="M30" s="3"/>
      <c r="N30" s="3"/>
      <c r="O30" s="3"/>
    </row>
    <row r="31" spans="4:16" x14ac:dyDescent="0.25">
      <c r="D31" s="93" t="s">
        <v>106</v>
      </c>
      <c r="E31" s="114">
        <f>F22</f>
        <v>22634.963999999996</v>
      </c>
      <c r="F31" s="3"/>
      <c r="G31" s="3"/>
      <c r="H31" s="3"/>
      <c r="I31" s="3"/>
      <c r="J31" s="3"/>
      <c r="K31" s="3"/>
      <c r="L31" s="3"/>
      <c r="M31" s="3"/>
      <c r="N31" s="3"/>
      <c r="O31" s="3"/>
    </row>
    <row r="32" spans="4:16" x14ac:dyDescent="0.25">
      <c r="D32" s="93" t="s">
        <v>164</v>
      </c>
      <c r="E32" s="114">
        <f>G22</f>
        <v>144003.54</v>
      </c>
      <c r="F32" s="3"/>
      <c r="G32" s="3"/>
      <c r="H32" s="3"/>
      <c r="I32" s="3"/>
      <c r="J32" s="3"/>
      <c r="K32" s="3"/>
      <c r="L32" s="3"/>
      <c r="M32" s="3"/>
      <c r="N32" s="3"/>
      <c r="O32" s="3"/>
    </row>
    <row r="33" spans="4:15" x14ac:dyDescent="0.25">
      <c r="D33" s="292" t="s">
        <v>165</v>
      </c>
      <c r="E33" s="118">
        <f>E32/E31</f>
        <v>6.3619955392904552</v>
      </c>
      <c r="F33" s="3"/>
      <c r="G33" s="3"/>
      <c r="H33" s="3"/>
      <c r="I33" s="3"/>
      <c r="J33" s="3"/>
      <c r="K33" s="3"/>
      <c r="L33" s="3"/>
      <c r="M33" s="3"/>
      <c r="N33" s="3"/>
      <c r="O33" s="3"/>
    </row>
    <row r="34" spans="4:15" x14ac:dyDescent="0.25">
      <c r="D34" s="93"/>
      <c r="E34" s="3"/>
      <c r="F34" s="3"/>
      <c r="G34" s="3"/>
      <c r="H34" s="3"/>
      <c r="I34" s="3"/>
      <c r="J34" s="3"/>
      <c r="K34" s="3"/>
      <c r="L34" s="3"/>
      <c r="M34" s="3"/>
      <c r="N34" s="3"/>
      <c r="O34" s="3"/>
    </row>
    <row r="35" spans="4:15" x14ac:dyDescent="0.25">
      <c r="D35" s="291" t="s">
        <v>166</v>
      </c>
      <c r="E35" s="116"/>
      <c r="F35" s="3"/>
      <c r="G35" s="3"/>
      <c r="H35" s="3"/>
      <c r="I35" s="3"/>
      <c r="J35" s="3"/>
      <c r="K35" s="3"/>
      <c r="L35" s="3"/>
      <c r="M35" s="3"/>
      <c r="N35" s="3"/>
      <c r="O35" s="3"/>
    </row>
    <row r="36" spans="4:15" x14ac:dyDescent="0.25">
      <c r="D36" s="93" t="s">
        <v>167</v>
      </c>
      <c r="E36" s="121">
        <f>'Cost Buildup'!I25</f>
        <v>2.552296313114262E-2</v>
      </c>
      <c r="F36" s="3"/>
      <c r="G36" s="3"/>
      <c r="H36" s="3"/>
      <c r="I36" s="3"/>
      <c r="J36" s="3"/>
      <c r="K36" s="3"/>
      <c r="L36" s="3"/>
      <c r="M36" s="3"/>
      <c r="N36" s="3"/>
      <c r="O36" s="3"/>
    </row>
    <row r="37" spans="4:15" x14ac:dyDescent="0.25">
      <c r="D37" s="93" t="s">
        <v>85</v>
      </c>
      <c r="E37" s="121">
        <f>J22</f>
        <v>0.3</v>
      </c>
      <c r="F37" s="3"/>
      <c r="G37" s="3"/>
      <c r="H37" s="3"/>
      <c r="I37" s="3"/>
      <c r="J37" s="3"/>
      <c r="K37" s="3"/>
      <c r="L37" s="3"/>
      <c r="M37" s="3"/>
      <c r="N37" s="3"/>
      <c r="O37" s="3"/>
    </row>
    <row r="38" spans="4:15" x14ac:dyDescent="0.25">
      <c r="D38" s="292" t="s">
        <v>168</v>
      </c>
      <c r="E38" s="117">
        <f>E36*(1-E37)</f>
        <v>1.7866074191799832E-2</v>
      </c>
      <c r="F38" s="3"/>
      <c r="G38" s="3"/>
      <c r="H38" s="3"/>
      <c r="I38" s="3"/>
      <c r="J38" s="3"/>
      <c r="K38" s="3"/>
      <c r="L38" s="3"/>
      <c r="M38" s="3"/>
      <c r="N38" s="3"/>
      <c r="O38" s="3"/>
    </row>
    <row r="39" spans="4:15" x14ac:dyDescent="0.25">
      <c r="D39" s="93"/>
      <c r="E39" s="3"/>
      <c r="F39" s="3"/>
      <c r="G39" s="3"/>
      <c r="H39" s="3"/>
      <c r="I39" s="3"/>
      <c r="J39" s="3"/>
      <c r="K39" s="3"/>
      <c r="L39" s="3"/>
      <c r="M39" s="3"/>
      <c r="N39" s="3"/>
      <c r="O39" s="3"/>
    </row>
    <row r="40" spans="4:15" x14ac:dyDescent="0.25">
      <c r="D40" s="291" t="s">
        <v>169</v>
      </c>
      <c r="E40" s="116"/>
      <c r="F40" s="3"/>
      <c r="G40" s="3"/>
      <c r="H40" s="3"/>
      <c r="I40" s="3"/>
      <c r="J40" s="3"/>
      <c r="K40" s="3"/>
      <c r="L40" s="3"/>
      <c r="M40" s="3"/>
      <c r="N40" s="3"/>
      <c r="O40" s="3"/>
    </row>
    <row r="41" spans="4:15" x14ac:dyDescent="0.25">
      <c r="D41" s="93" t="s">
        <v>170</v>
      </c>
      <c r="E41" s="119">
        <v>6.6799999999999998E-2</v>
      </c>
      <c r="F41" s="120" t="s">
        <v>175</v>
      </c>
      <c r="G41" s="3"/>
      <c r="H41" s="3"/>
      <c r="I41" s="3"/>
      <c r="J41" s="3"/>
      <c r="K41" s="3"/>
      <c r="L41" s="3"/>
      <c r="M41" s="3"/>
      <c r="N41" s="3"/>
      <c r="O41" s="3"/>
    </row>
    <row r="42" spans="4:15" x14ac:dyDescent="0.25">
      <c r="D42" s="93" t="s">
        <v>171</v>
      </c>
      <c r="E42" s="121">
        <f>'Market Return'!J18</f>
        <v>0.10979163361273159</v>
      </c>
      <c r="F42" s="3"/>
      <c r="G42" s="3"/>
      <c r="H42" s="3"/>
      <c r="I42" s="3"/>
      <c r="J42" s="3"/>
      <c r="K42" s="3"/>
      <c r="L42" s="3"/>
      <c r="M42" s="3"/>
      <c r="N42" s="3"/>
      <c r="O42" s="3"/>
    </row>
    <row r="43" spans="4:15" x14ac:dyDescent="0.25">
      <c r="D43" s="93" t="s">
        <v>172</v>
      </c>
      <c r="E43" s="147">
        <f>E42-E41</f>
        <v>4.2991633612731589E-2</v>
      </c>
      <c r="F43" s="3"/>
      <c r="G43" s="3"/>
      <c r="H43" s="3"/>
      <c r="I43" s="3"/>
      <c r="J43" s="3"/>
      <c r="K43" s="3"/>
      <c r="L43" s="3"/>
      <c r="M43" s="3"/>
      <c r="N43" s="3"/>
      <c r="O43" s="3"/>
    </row>
    <row r="44" spans="4:15" x14ac:dyDescent="0.25">
      <c r="D44" s="93" t="s">
        <v>173</v>
      </c>
      <c r="E44" s="101">
        <f>L20*(1+E33)*(1-E38)</f>
        <v>0.41118331135670716</v>
      </c>
      <c r="F44" s="3"/>
      <c r="G44" s="3"/>
      <c r="H44" s="3"/>
      <c r="I44" s="3"/>
      <c r="J44" s="3"/>
      <c r="K44" s="3"/>
      <c r="L44" s="3"/>
      <c r="M44" s="3"/>
      <c r="N44" s="3"/>
      <c r="O44" s="3"/>
    </row>
    <row r="45" spans="4:15" x14ac:dyDescent="0.25">
      <c r="D45" s="292" t="s">
        <v>169</v>
      </c>
      <c r="E45" s="117">
        <f>E41*(E43+E44)</f>
        <v>3.0338886323958508E-2</v>
      </c>
      <c r="F45" s="3"/>
      <c r="G45" s="3"/>
      <c r="H45" s="3"/>
      <c r="I45" s="3"/>
      <c r="J45" s="3"/>
      <c r="K45" s="3"/>
      <c r="L45" s="3"/>
      <c r="M45" s="3"/>
      <c r="N45" s="3"/>
      <c r="O45" s="3"/>
    </row>
    <row r="46" spans="4:15" ht="14.4" thickBot="1" x14ac:dyDescent="0.3">
      <c r="D46" s="93"/>
      <c r="E46" s="3"/>
      <c r="F46" s="3"/>
      <c r="G46" s="3"/>
      <c r="H46" s="3"/>
      <c r="I46" s="3"/>
      <c r="J46" s="3"/>
      <c r="K46" s="3"/>
      <c r="L46" s="3"/>
      <c r="M46" s="3"/>
      <c r="N46" s="3"/>
      <c r="O46" s="3"/>
    </row>
    <row r="47" spans="4:15" ht="15" thickTop="1" thickBot="1" x14ac:dyDescent="0.3">
      <c r="D47" s="293" t="s">
        <v>174</v>
      </c>
      <c r="E47" s="327">
        <f>(E27*E38)+(E33*E45)</f>
        <v>0.19301617886834152</v>
      </c>
      <c r="F47" s="3"/>
      <c r="G47" s="3"/>
      <c r="H47" s="3"/>
      <c r="I47" s="3"/>
      <c r="J47" s="3"/>
      <c r="K47" s="3"/>
      <c r="L47" s="3"/>
      <c r="M47" s="3"/>
      <c r="N47" s="3"/>
      <c r="O47" s="3"/>
    </row>
    <row r="48" spans="4:15" ht="14.4" thickTop="1" x14ac:dyDescent="0.25">
      <c r="D48" s="3"/>
      <c r="E48" s="3"/>
      <c r="F48" s="3"/>
      <c r="G48" s="3"/>
      <c r="H48" s="3"/>
      <c r="I48" s="3"/>
      <c r="J48" s="3"/>
      <c r="K48" s="3"/>
      <c r="L48" s="3"/>
      <c r="M48" s="3"/>
      <c r="N48" s="3"/>
      <c r="O48" s="3"/>
    </row>
    <row r="49" spans="4:15" x14ac:dyDescent="0.25">
      <c r="D49" s="3"/>
      <c r="E49" s="3"/>
      <c r="F49" s="3"/>
      <c r="G49" s="3"/>
      <c r="H49" s="3"/>
      <c r="I49" s="3"/>
      <c r="J49" s="3"/>
      <c r="K49" s="3"/>
      <c r="L49" s="3"/>
      <c r="M49" s="3"/>
      <c r="N49" s="3"/>
      <c r="O49" s="3"/>
    </row>
  </sheetData>
  <mergeCells count="4">
    <mergeCell ref="D6:L6"/>
    <mergeCell ref="D8:L8"/>
    <mergeCell ref="D24:L24"/>
    <mergeCell ref="K4:L5"/>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6843E-6796-4690-A446-78C8DB9DFCA2}">
  <dimension ref="D6:S31"/>
  <sheetViews>
    <sheetView showGridLines="0" topLeftCell="A22" workbookViewId="0">
      <selection activeCell="D12" sqref="D12"/>
    </sheetView>
  </sheetViews>
  <sheetFormatPr defaultRowHeight="14.4" x14ac:dyDescent="0.3"/>
  <cols>
    <col min="1" max="3" width="1.33203125" customWidth="1"/>
    <col min="4" max="4" width="35.77734375" customWidth="1"/>
    <col min="5" max="8" width="10.77734375" customWidth="1"/>
    <col min="9" max="9" width="12.88671875" bestFit="1" customWidth="1"/>
    <col min="10" max="10" width="10.77734375" customWidth="1"/>
    <col min="11" max="11" width="12.44140625" bestFit="1" customWidth="1"/>
    <col min="12" max="12" width="3.77734375" customWidth="1"/>
    <col min="13" max="15" width="10.77734375" customWidth="1"/>
    <col min="16" max="16" width="3.77734375" customWidth="1"/>
    <col min="17" max="19" width="10.77734375" customWidth="1"/>
  </cols>
  <sheetData>
    <row r="6" spans="4:19" ht="16.8" customHeight="1" x14ac:dyDescent="0.3">
      <c r="D6" s="450" t="s">
        <v>316</v>
      </c>
      <c r="E6" s="450"/>
      <c r="F6" s="450"/>
      <c r="G6" s="450"/>
      <c r="H6" s="450"/>
      <c r="I6" s="450"/>
      <c r="J6" s="450"/>
      <c r="K6" s="450"/>
      <c r="L6" s="450"/>
      <c r="M6" s="450"/>
      <c r="N6" s="450"/>
      <c r="O6" s="450"/>
      <c r="P6" s="450"/>
      <c r="Q6" s="450"/>
      <c r="R6" s="450"/>
      <c r="S6" s="450"/>
    </row>
    <row r="7" spans="4:19" x14ac:dyDescent="0.3">
      <c r="D7" s="66" t="s">
        <v>64</v>
      </c>
    </row>
    <row r="8" spans="4:19" x14ac:dyDescent="0.3">
      <c r="D8" s="91"/>
      <c r="E8" s="91"/>
      <c r="F8" s="92"/>
      <c r="G8" s="462" t="s">
        <v>137</v>
      </c>
      <c r="H8" s="462"/>
      <c r="I8" s="462"/>
      <c r="J8" s="462"/>
      <c r="K8" s="92"/>
      <c r="L8" s="93"/>
      <c r="M8" s="463" t="s">
        <v>138</v>
      </c>
      <c r="N8" s="463"/>
      <c r="O8" s="463"/>
      <c r="P8" s="93"/>
      <c r="Q8" s="464" t="s">
        <v>139</v>
      </c>
      <c r="R8" s="464"/>
      <c r="S8" s="464"/>
    </row>
    <row r="9" spans="4:19" x14ac:dyDescent="0.3">
      <c r="D9" s="95"/>
      <c r="E9" s="95"/>
      <c r="F9" s="95" t="s">
        <v>127</v>
      </c>
      <c r="G9" s="95" t="s">
        <v>140</v>
      </c>
      <c r="H9" s="95" t="s">
        <v>106</v>
      </c>
      <c r="I9" s="95" t="s">
        <v>49</v>
      </c>
      <c r="J9" s="95" t="s">
        <v>44</v>
      </c>
      <c r="K9" s="100" t="s">
        <v>141</v>
      </c>
      <c r="L9" s="93"/>
      <c r="M9" s="94" t="s">
        <v>142</v>
      </c>
      <c r="N9" s="94" t="s">
        <v>38</v>
      </c>
      <c r="O9" s="94" t="s">
        <v>143</v>
      </c>
      <c r="P9" s="93"/>
      <c r="Q9" s="96" t="s">
        <v>144</v>
      </c>
      <c r="R9" s="96" t="s">
        <v>145</v>
      </c>
      <c r="S9" s="96" t="s">
        <v>129</v>
      </c>
    </row>
    <row r="10" spans="4:19" x14ac:dyDescent="0.3">
      <c r="D10" s="91" t="s">
        <v>29</v>
      </c>
      <c r="E10" s="95" t="s">
        <v>146</v>
      </c>
      <c r="F10" s="97" t="s">
        <v>149</v>
      </c>
      <c r="G10" s="97" t="s">
        <v>151</v>
      </c>
      <c r="H10" s="97" t="s">
        <v>151</v>
      </c>
      <c r="I10" s="95"/>
      <c r="J10" s="95" t="s">
        <v>147</v>
      </c>
      <c r="K10" s="95"/>
      <c r="L10" s="93"/>
      <c r="M10" s="98" t="s">
        <v>150</v>
      </c>
      <c r="N10" s="98" t="s">
        <v>150</v>
      </c>
      <c r="O10" s="98" t="s">
        <v>150</v>
      </c>
      <c r="P10" s="93"/>
      <c r="Q10" s="99" t="s">
        <v>148</v>
      </c>
      <c r="R10" s="99" t="s">
        <v>148</v>
      </c>
      <c r="S10" s="99" t="s">
        <v>148</v>
      </c>
    </row>
    <row r="12" spans="4:19" x14ac:dyDescent="0.3">
      <c r="D12" s="355" t="str">
        <f>'Comps Data'!D10</f>
        <v>I O B</v>
      </c>
      <c r="E12" s="356">
        <v>532388</v>
      </c>
      <c r="F12" s="357">
        <f>'Comps Data'!E10</f>
        <v>39.68</v>
      </c>
      <c r="G12" s="357">
        <f>'Comps Data'!H10</f>
        <v>1925.66</v>
      </c>
      <c r="H12" s="358">
        <f t="shared" ref="H12:H17" si="0">G12*F12</f>
        <v>76410.188800000004</v>
      </c>
      <c r="I12" s="357">
        <f>'Comps Data'!F10</f>
        <v>354166.48</v>
      </c>
      <c r="J12" s="357">
        <f>'Comps Data'!J10</f>
        <v>16880.400000000001</v>
      </c>
      <c r="K12" s="358">
        <f t="shared" ref="K12:K17" si="1">H12+I12-J12</f>
        <v>413696.26879999996</v>
      </c>
      <c r="L12" s="358"/>
      <c r="M12" s="357">
        <f>'Comps Data'!K10</f>
        <v>28131.01</v>
      </c>
      <c r="N12" s="358">
        <f t="shared" ref="N12:N17" si="2">K12/R12</f>
        <v>22146.481199143469</v>
      </c>
      <c r="O12" s="357">
        <f>'Comps Data'!M10</f>
        <v>3334.71</v>
      </c>
      <c r="P12" s="355"/>
      <c r="Q12" s="359">
        <f t="shared" ref="Q12:Q17" si="3">K12/M12</f>
        <v>14.706058147219029</v>
      </c>
      <c r="R12" s="360">
        <f>'Comps Data'!L10</f>
        <v>18.68</v>
      </c>
      <c r="S12" s="360">
        <f>'Comps Data'!I10</f>
        <v>22.93</v>
      </c>
    </row>
    <row r="13" spans="4:19" x14ac:dyDescent="0.3">
      <c r="D13" s="355" t="str">
        <f>'Comps Data'!D11</f>
        <v>Bank of India</v>
      </c>
      <c r="E13" s="356">
        <v>532149</v>
      </c>
      <c r="F13" s="357">
        <f>'Comps Data'!E11</f>
        <v>118.02</v>
      </c>
      <c r="G13" s="357">
        <f>'Comps Data'!H11</f>
        <v>455.27</v>
      </c>
      <c r="H13" s="358">
        <f t="shared" si="0"/>
        <v>53730.965399999994</v>
      </c>
      <c r="I13" s="357">
        <f>'Comps Data'!F11</f>
        <v>943675.44</v>
      </c>
      <c r="J13" s="357">
        <f>'Comps Data'!J11</f>
        <v>50343.93</v>
      </c>
      <c r="K13" s="358">
        <f t="shared" si="1"/>
        <v>947062.47539999988</v>
      </c>
      <c r="L13" s="358"/>
      <c r="M13" s="357">
        <f>'Comps Data'!K11</f>
        <v>71307.710000000006</v>
      </c>
      <c r="N13" s="358">
        <f t="shared" si="2"/>
        <v>59751.575735015766</v>
      </c>
      <c r="O13" s="357">
        <f>'Comps Data'!M11</f>
        <v>9552.17</v>
      </c>
      <c r="P13" s="355"/>
      <c r="Q13" s="359">
        <f t="shared" si="3"/>
        <v>13.281347492438051</v>
      </c>
      <c r="R13" s="360">
        <f>'Comps Data'!L11</f>
        <v>15.85</v>
      </c>
      <c r="S13" s="360">
        <f>'Comps Data'!I11</f>
        <v>5.75</v>
      </c>
    </row>
    <row r="14" spans="4:19" x14ac:dyDescent="0.3">
      <c r="D14" s="355" t="str">
        <f>'Comps Data'!D12</f>
        <v>Bank of Maha</v>
      </c>
      <c r="E14" s="356">
        <v>532525</v>
      </c>
      <c r="F14" s="357">
        <f>'Comps Data'!E12</f>
        <v>57.32</v>
      </c>
      <c r="G14" s="357">
        <f>'Comps Data'!H12</f>
        <v>769.16</v>
      </c>
      <c r="H14" s="358">
        <f t="shared" si="0"/>
        <v>44088.251199999999</v>
      </c>
      <c r="I14" s="357">
        <f>'Comps Data'!F12</f>
        <v>330972.82</v>
      </c>
      <c r="J14" s="357">
        <f>'Comps Data'!J12</f>
        <v>36967.699999999997</v>
      </c>
      <c r="K14" s="358">
        <f t="shared" si="1"/>
        <v>338093.37119999999</v>
      </c>
      <c r="L14" s="358"/>
      <c r="M14" s="357">
        <f>'Comps Data'!K12</f>
        <v>26126.89</v>
      </c>
      <c r="N14" s="358">
        <f t="shared" si="2"/>
        <v>20052.987615658363</v>
      </c>
      <c r="O14" s="357">
        <f>'Comps Data'!M12</f>
        <v>5751.06</v>
      </c>
      <c r="P14" s="355"/>
      <c r="Q14" s="359">
        <f t="shared" si="3"/>
        <v>12.940436890881386</v>
      </c>
      <c r="R14" s="360">
        <f>'Comps Data'!L12</f>
        <v>16.86</v>
      </c>
      <c r="S14" s="360">
        <f>'Comps Data'!I12</f>
        <v>7.66</v>
      </c>
    </row>
    <row r="15" spans="4:19" x14ac:dyDescent="0.3">
      <c r="D15" s="355" t="str">
        <f>'Comps Data'!D13</f>
        <v>UCO Bank</v>
      </c>
      <c r="E15" s="356">
        <v>532505</v>
      </c>
      <c r="F15" s="357">
        <f>'Comps Data'!E13</f>
        <v>32.56</v>
      </c>
      <c r="G15" s="357">
        <f>'Comps Data'!H13</f>
        <v>1253.96</v>
      </c>
      <c r="H15" s="358">
        <f t="shared" si="0"/>
        <v>40828.937600000005</v>
      </c>
      <c r="I15" s="357">
        <f>'Comps Data'!F13</f>
        <v>322229.67</v>
      </c>
      <c r="J15" s="357">
        <f>'Comps Data'!J13</f>
        <v>9771.52</v>
      </c>
      <c r="K15" s="358">
        <f t="shared" si="1"/>
        <v>353287.08759999997</v>
      </c>
      <c r="L15" s="358"/>
      <c r="M15" s="357">
        <f>'Comps Data'!K13</f>
        <v>25066.91</v>
      </c>
      <c r="N15" s="358">
        <f t="shared" si="2"/>
        <v>19583.541441241683</v>
      </c>
      <c r="O15" s="357">
        <f>'Comps Data'!M13</f>
        <v>2444.9899999999998</v>
      </c>
      <c r="P15" s="355"/>
      <c r="Q15" s="359">
        <f t="shared" si="3"/>
        <v>14.09376295682236</v>
      </c>
      <c r="R15" s="360">
        <f>'Comps Data'!L13</f>
        <v>18.04</v>
      </c>
      <c r="S15" s="360">
        <f>'Comps Data'!I13</f>
        <v>16.71</v>
      </c>
    </row>
    <row r="16" spans="4:19" x14ac:dyDescent="0.3">
      <c r="D16" s="355" t="str">
        <f>'Comps Data'!D14</f>
        <v>Central Bank</v>
      </c>
      <c r="E16" s="356">
        <v>532885</v>
      </c>
      <c r="F16" s="357">
        <f>'Comps Data'!E14</f>
        <v>38.53</v>
      </c>
      <c r="G16" s="357">
        <f>'Comps Data'!H14</f>
        <v>905.14</v>
      </c>
      <c r="H16" s="358">
        <f t="shared" si="0"/>
        <v>34875.044200000004</v>
      </c>
      <c r="I16" s="357">
        <f>'Comps Data'!F14</f>
        <v>435090.62</v>
      </c>
      <c r="J16" s="357">
        <f>'Comps Data'!J14</f>
        <v>21511.09</v>
      </c>
      <c r="K16" s="358">
        <f t="shared" si="1"/>
        <v>448454.57419999997</v>
      </c>
      <c r="L16" s="358"/>
      <c r="M16" s="357">
        <f>'Comps Data'!K14</f>
        <v>33797.449999999997</v>
      </c>
      <c r="N16" s="358">
        <f t="shared" si="2"/>
        <v>25509.361444823666</v>
      </c>
      <c r="O16" s="357">
        <f>'Comps Data'!M14</f>
        <v>3943.21</v>
      </c>
      <c r="P16" s="355"/>
      <c r="Q16" s="359">
        <f t="shared" si="3"/>
        <v>13.268887865800528</v>
      </c>
      <c r="R16" s="360">
        <f>'Comps Data'!L14</f>
        <v>17.579999999999998</v>
      </c>
      <c r="S16" s="360">
        <f>'Comps Data'!I14</f>
        <v>8.8000000000000007</v>
      </c>
    </row>
    <row r="17" spans="4:19" x14ac:dyDescent="0.3">
      <c r="D17" s="355" t="str">
        <f>'Comps Data'!D15</f>
        <v>Indian Bank</v>
      </c>
      <c r="E17" s="356">
        <v>532814</v>
      </c>
      <c r="F17" s="357">
        <f>'Comps Data'!E15</f>
        <v>631.70000000000005</v>
      </c>
      <c r="G17" s="357">
        <f>'Comps Data'!H15</f>
        <v>134.69999999999999</v>
      </c>
      <c r="H17" s="358">
        <f t="shared" si="0"/>
        <v>85089.99</v>
      </c>
      <c r="I17" s="357">
        <f>'Comps Data'!F15</f>
        <v>778650.62</v>
      </c>
      <c r="J17" s="357">
        <f>'Comps Data'!J15</f>
        <v>24768.04</v>
      </c>
      <c r="K17" s="358">
        <f t="shared" si="1"/>
        <v>838972.57</v>
      </c>
      <c r="L17" s="358"/>
      <c r="M17" s="357">
        <f>'Comps Data'!K15</f>
        <v>62039.43</v>
      </c>
      <c r="N17" s="358">
        <f t="shared" si="2"/>
        <v>52239.88605230386</v>
      </c>
      <c r="O17" s="357">
        <f>'Comps Data'!M15</f>
        <v>11264.39</v>
      </c>
      <c r="P17" s="355"/>
      <c r="Q17" s="359">
        <f t="shared" si="3"/>
        <v>13.523215316452777</v>
      </c>
      <c r="R17" s="360">
        <f>'Comps Data'!L15</f>
        <v>16.059999999999999</v>
      </c>
      <c r="S17" s="360">
        <f>'Comps Data'!I15</f>
        <v>7.59</v>
      </c>
    </row>
    <row r="19" spans="4:19" x14ac:dyDescent="0.3">
      <c r="D19" s="84" t="s">
        <v>152</v>
      </c>
      <c r="E19" s="103"/>
      <c r="F19" s="103"/>
      <c r="G19" s="103"/>
      <c r="H19" s="103"/>
      <c r="I19" s="103"/>
      <c r="J19" s="103"/>
      <c r="K19" s="103"/>
      <c r="L19" s="103"/>
      <c r="M19" s="103"/>
      <c r="N19" s="103"/>
      <c r="O19" s="103"/>
      <c r="P19" s="103"/>
      <c r="Q19" s="104">
        <f>AVERAGE(Q12:Q17)</f>
        <v>13.635618111602355</v>
      </c>
      <c r="R19" s="104">
        <f>AVERAGE(R12:R17)</f>
        <v>17.178333333333335</v>
      </c>
      <c r="S19" s="104">
        <f>AVERAGE(S12:S17)</f>
        <v>11.573333333333336</v>
      </c>
    </row>
    <row r="20" spans="4:19" x14ac:dyDescent="0.3">
      <c r="D20" s="84" t="s">
        <v>153</v>
      </c>
      <c r="E20" s="103"/>
      <c r="F20" s="103"/>
      <c r="G20" s="103"/>
      <c r="H20" s="103"/>
      <c r="I20" s="103"/>
      <c r="J20" s="103"/>
      <c r="K20" s="103"/>
      <c r="L20" s="103"/>
      <c r="M20" s="103"/>
      <c r="N20" s="103"/>
      <c r="O20" s="103"/>
      <c r="P20" s="103"/>
      <c r="Q20" s="104">
        <f>MEDIAN(Q12:Q17)</f>
        <v>13.402281404445414</v>
      </c>
      <c r="R20" s="104">
        <f>MEDIAN(R12:R17)</f>
        <v>17.22</v>
      </c>
      <c r="S20" s="104">
        <f>MEDIAN(S12:S17)</f>
        <v>8.23</v>
      </c>
    </row>
    <row r="22" spans="4:19" x14ac:dyDescent="0.3">
      <c r="D22" s="105" t="s">
        <v>307</v>
      </c>
      <c r="E22" s="106">
        <v>533295</v>
      </c>
      <c r="F22" s="107">
        <f>'Comps Data'!E16</f>
        <v>31.9</v>
      </c>
      <c r="G22" s="107">
        <f>'Comps Data'!H16</f>
        <v>709.56</v>
      </c>
      <c r="H22" s="109">
        <f>F22*G22</f>
        <v>22634.963999999996</v>
      </c>
      <c r="I22" s="111">
        <f>'Comps Data'!F16</f>
        <v>144003.54</v>
      </c>
      <c r="J22" s="111">
        <f>'Comps Data'!J16</f>
        <v>8793.7999999999993</v>
      </c>
      <c r="K22" s="109">
        <f>H22+I22-J22</f>
        <v>157844.70400000003</v>
      </c>
      <c r="L22" s="105"/>
      <c r="M22" s="111">
        <f>'Comps Data'!K16</f>
        <v>11481.3</v>
      </c>
      <c r="N22" s="109">
        <f>K22/R22</f>
        <v>9035.1862621637119</v>
      </c>
      <c r="O22" s="354">
        <f>'Comps Data'!M16</f>
        <v>1015.83</v>
      </c>
      <c r="P22" s="105"/>
      <c r="Q22" s="110">
        <f>K22/M22</f>
        <v>13.747981848745354</v>
      </c>
      <c r="R22" s="108">
        <f>'Comps Data'!L16</f>
        <v>17.47</v>
      </c>
      <c r="S22" s="108">
        <f>'Comps Data'!I16</f>
        <v>22.34</v>
      </c>
    </row>
    <row r="24" spans="4:19" ht="16.8" customHeight="1" x14ac:dyDescent="0.3">
      <c r="D24" s="112" t="s">
        <v>154</v>
      </c>
      <c r="E24" s="112"/>
      <c r="F24" s="113" t="s">
        <v>155</v>
      </c>
      <c r="G24" s="113" t="s">
        <v>141</v>
      </c>
      <c r="H24" s="113" t="s">
        <v>156</v>
      </c>
      <c r="I24" s="113" t="s">
        <v>113</v>
      </c>
      <c r="J24" s="113" t="s">
        <v>140</v>
      </c>
      <c r="K24" s="113" t="s">
        <v>157</v>
      </c>
    </row>
    <row r="26" spans="4:19" x14ac:dyDescent="0.3">
      <c r="D26" s="361" t="s">
        <v>158</v>
      </c>
      <c r="E26" s="355"/>
      <c r="F26" s="359">
        <f>Q20</f>
        <v>13.402281404445414</v>
      </c>
      <c r="G26" s="358">
        <f>M22*F26</f>
        <v>153875.61348885912</v>
      </c>
      <c r="H26" s="358">
        <f>I22-J22</f>
        <v>135209.74000000002</v>
      </c>
      <c r="I26" s="358">
        <f>G26-H26</f>
        <v>18665.873488859099</v>
      </c>
      <c r="J26" s="362">
        <f t="array" ref="J26:J28">G22</f>
        <v>709.56</v>
      </c>
      <c r="K26" s="363">
        <f>I26/J26</f>
        <v>26.306265134532808</v>
      </c>
    </row>
    <row r="27" spans="4:19" x14ac:dyDescent="0.3">
      <c r="D27" s="361" t="s">
        <v>145</v>
      </c>
      <c r="E27" s="355"/>
      <c r="F27" s="359">
        <f>R20</f>
        <v>17.22</v>
      </c>
      <c r="G27" s="358">
        <f>N22*F27</f>
        <v>155585.90743445911</v>
      </c>
      <c r="H27" s="358">
        <f>H26</f>
        <v>135209.74000000002</v>
      </c>
      <c r="I27" s="358">
        <f>G27-H27</f>
        <v>20376.167434459087</v>
      </c>
      <c r="J27" s="362">
        <v>709.56</v>
      </c>
      <c r="K27" s="363">
        <f>I27/J27</f>
        <v>28.716623589913592</v>
      </c>
    </row>
    <row r="28" spans="4:19" x14ac:dyDescent="0.3">
      <c r="D28" s="361" t="s">
        <v>129</v>
      </c>
      <c r="E28" s="355"/>
      <c r="F28" s="359">
        <f>S20</f>
        <v>8.23</v>
      </c>
      <c r="G28" s="358">
        <f>I28+H28</f>
        <v>8544.1391000000021</v>
      </c>
      <c r="H28" s="358">
        <f>F28*S22</f>
        <v>183.85820000000001</v>
      </c>
      <c r="I28" s="358">
        <f>O22*F28</f>
        <v>8360.2809000000016</v>
      </c>
      <c r="J28" s="362">
        <v>709.56</v>
      </c>
      <c r="K28" s="363">
        <f>I28/J28</f>
        <v>11.782345256215123</v>
      </c>
    </row>
    <row r="29" spans="4:19" ht="15" thickBot="1" x14ac:dyDescent="0.35"/>
    <row r="30" spans="4:19" ht="15.6" thickTop="1" thickBot="1" x14ac:dyDescent="0.35">
      <c r="D30" s="123"/>
      <c r="E30" s="123"/>
      <c r="F30" s="123"/>
      <c r="G30" s="123"/>
      <c r="H30" s="123"/>
      <c r="I30" s="123"/>
      <c r="J30" s="123"/>
      <c r="K30" s="123"/>
      <c r="L30" s="123"/>
    </row>
    <row r="31" spans="4:19" ht="15" thickTop="1" x14ac:dyDescent="0.3"/>
  </sheetData>
  <mergeCells count="4">
    <mergeCell ref="G8:J8"/>
    <mergeCell ref="M8:O8"/>
    <mergeCell ref="Q8:S8"/>
    <mergeCell ref="D6:S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42859-A15E-4208-A26A-28899932A9D4}">
  <dimension ref="A6:P22"/>
  <sheetViews>
    <sheetView showGridLines="0" workbookViewId="0">
      <selection activeCell="H22" sqref="H22"/>
    </sheetView>
  </sheetViews>
  <sheetFormatPr defaultRowHeight="13.8" x14ac:dyDescent="0.25"/>
  <cols>
    <col min="1" max="3" width="1.33203125" style="1" customWidth="1"/>
    <col min="4" max="4" width="35.77734375" style="1" customWidth="1"/>
    <col min="5" max="12" width="16.77734375" style="1" customWidth="1"/>
    <col min="13" max="16384" width="8.88671875" style="1"/>
  </cols>
  <sheetData>
    <row r="6" spans="1:16" ht="16.8" x14ac:dyDescent="0.25">
      <c r="D6" s="425" t="s">
        <v>63</v>
      </c>
      <c r="E6" s="425"/>
      <c r="F6" s="425"/>
      <c r="G6" s="425"/>
      <c r="H6" s="425"/>
      <c r="I6" s="425"/>
      <c r="J6" s="425"/>
      <c r="K6" s="425"/>
      <c r="L6" s="425"/>
      <c r="M6" s="146"/>
      <c r="N6" s="80"/>
      <c r="O6" s="80"/>
      <c r="P6" s="80"/>
    </row>
    <row r="8" spans="1:16" ht="14.4" customHeight="1" x14ac:dyDescent="0.25">
      <c r="D8" s="85" t="s">
        <v>128</v>
      </c>
      <c r="E8" s="86" t="s">
        <v>130</v>
      </c>
      <c r="F8" s="87" t="s">
        <v>131</v>
      </c>
      <c r="G8" s="87" t="s">
        <v>132</v>
      </c>
      <c r="H8" s="87" t="s">
        <v>133</v>
      </c>
      <c r="I8" s="87" t="s">
        <v>129</v>
      </c>
      <c r="J8" s="87" t="s">
        <v>134</v>
      </c>
      <c r="K8" s="87" t="s">
        <v>135</v>
      </c>
      <c r="L8" s="87" t="s">
        <v>145</v>
      </c>
      <c r="M8" s="87" t="s">
        <v>136</v>
      </c>
    </row>
    <row r="9" spans="1:16" ht="14.4" customHeight="1" x14ac:dyDescent="0.25">
      <c r="D9" s="88"/>
      <c r="E9" s="89"/>
      <c r="F9" s="90"/>
      <c r="G9" s="90"/>
      <c r="H9" s="90"/>
      <c r="I9" s="90"/>
      <c r="J9" s="90"/>
      <c r="K9" s="90"/>
      <c r="L9" s="90"/>
      <c r="M9" s="90"/>
    </row>
    <row r="10" spans="1:16" ht="14.4" customHeight="1" x14ac:dyDescent="0.25">
      <c r="D10" s="279" t="s">
        <v>304</v>
      </c>
      <c r="E10" s="280">
        <v>39.68</v>
      </c>
      <c r="F10" s="280">
        <v>354166.48</v>
      </c>
      <c r="G10" s="408">
        <f t="shared" ref="G10:G16" si="0">E10*H10</f>
        <v>76410.188800000004</v>
      </c>
      <c r="H10" s="280">
        <v>1925.66</v>
      </c>
      <c r="I10" s="280">
        <v>22.93</v>
      </c>
      <c r="J10" s="280">
        <v>16880.400000000001</v>
      </c>
      <c r="K10" s="280">
        <v>28131.01</v>
      </c>
      <c r="L10" s="280">
        <v>18.68</v>
      </c>
      <c r="M10" s="281">
        <v>3334.71</v>
      </c>
    </row>
    <row r="11" spans="1:16" ht="14.4" customHeight="1" x14ac:dyDescent="0.25">
      <c r="D11" s="282" t="s">
        <v>355</v>
      </c>
      <c r="E11" s="283">
        <v>118.02</v>
      </c>
      <c r="F11" s="283">
        <v>943675.44</v>
      </c>
      <c r="G11" s="409">
        <f t="shared" si="0"/>
        <v>53730.965399999994</v>
      </c>
      <c r="H11" s="283">
        <v>455.27</v>
      </c>
      <c r="I11" s="283">
        <v>5.75</v>
      </c>
      <c r="J11" s="283">
        <v>50343.93</v>
      </c>
      <c r="K11" s="283">
        <v>71307.710000000006</v>
      </c>
      <c r="L11" s="283">
        <v>15.85</v>
      </c>
      <c r="M11" s="284">
        <v>9552.17</v>
      </c>
    </row>
    <row r="12" spans="1:16" x14ac:dyDescent="0.25">
      <c r="D12" s="282" t="s">
        <v>356</v>
      </c>
      <c r="E12" s="283">
        <v>57.32</v>
      </c>
      <c r="F12" s="283">
        <v>330972.82</v>
      </c>
      <c r="G12" s="409">
        <f t="shared" si="0"/>
        <v>44088.251199999999</v>
      </c>
      <c r="H12" s="283">
        <v>769.16</v>
      </c>
      <c r="I12" s="283">
        <v>7.66</v>
      </c>
      <c r="J12" s="283">
        <v>36967.699999999997</v>
      </c>
      <c r="K12" s="283">
        <v>26126.89</v>
      </c>
      <c r="L12" s="283">
        <v>16.86</v>
      </c>
      <c r="M12" s="284">
        <v>5751.06</v>
      </c>
    </row>
    <row r="13" spans="1:16" x14ac:dyDescent="0.25">
      <c r="D13" s="282" t="s">
        <v>357</v>
      </c>
      <c r="E13" s="283">
        <v>32.56</v>
      </c>
      <c r="F13" s="283">
        <v>322229.67</v>
      </c>
      <c r="G13" s="409">
        <f t="shared" si="0"/>
        <v>40828.937600000005</v>
      </c>
      <c r="H13" s="283">
        <v>1253.96</v>
      </c>
      <c r="I13" s="283">
        <v>16.71</v>
      </c>
      <c r="J13" s="283">
        <v>9771.52</v>
      </c>
      <c r="K13" s="283">
        <v>25066.91</v>
      </c>
      <c r="L13" s="283">
        <v>18.04</v>
      </c>
      <c r="M13" s="284">
        <v>2444.9899999999998</v>
      </c>
    </row>
    <row r="14" spans="1:16" x14ac:dyDescent="0.25">
      <c r="D14" s="282" t="s">
        <v>358</v>
      </c>
      <c r="E14" s="283">
        <v>38.53</v>
      </c>
      <c r="F14" s="283">
        <v>435090.62</v>
      </c>
      <c r="G14" s="409">
        <f t="shared" si="0"/>
        <v>34875.044200000004</v>
      </c>
      <c r="H14" s="283">
        <v>905.14</v>
      </c>
      <c r="I14" s="283">
        <v>8.8000000000000007</v>
      </c>
      <c r="J14" s="283">
        <v>21511.09</v>
      </c>
      <c r="K14" s="283">
        <v>33797.449999999997</v>
      </c>
      <c r="L14" s="283">
        <v>17.579999999999998</v>
      </c>
      <c r="M14" s="284">
        <v>3943.21</v>
      </c>
    </row>
    <row r="15" spans="1:16" x14ac:dyDescent="0.25">
      <c r="D15" s="282" t="s">
        <v>303</v>
      </c>
      <c r="E15" s="283">
        <v>631.70000000000005</v>
      </c>
      <c r="F15" s="283">
        <v>778650.62</v>
      </c>
      <c r="G15" s="409">
        <f t="shared" si="0"/>
        <v>85089.99</v>
      </c>
      <c r="H15" s="283">
        <v>134.69999999999999</v>
      </c>
      <c r="I15" s="283">
        <v>7.59</v>
      </c>
      <c r="J15" s="283">
        <v>24768.04</v>
      </c>
      <c r="K15" s="283">
        <v>62039.43</v>
      </c>
      <c r="L15" s="283">
        <v>16.059999999999999</v>
      </c>
      <c r="M15" s="284">
        <v>11264.39</v>
      </c>
    </row>
    <row r="16" spans="1:16" x14ac:dyDescent="0.25">
      <c r="A16" s="1">
        <v>2</v>
      </c>
      <c r="D16" s="285" t="s">
        <v>305</v>
      </c>
      <c r="E16" s="286">
        <v>31.9</v>
      </c>
      <c r="F16" s="286">
        <v>144003.54</v>
      </c>
      <c r="G16" s="410">
        <f t="shared" si="0"/>
        <v>22634.963999999996</v>
      </c>
      <c r="H16" s="286">
        <v>709.56</v>
      </c>
      <c r="I16" s="286">
        <v>22.34</v>
      </c>
      <c r="J16" s="286">
        <v>8793.7999999999993</v>
      </c>
      <c r="K16" s="286">
        <v>11481.3</v>
      </c>
      <c r="L16" s="286">
        <v>17.47</v>
      </c>
      <c r="M16" s="287">
        <v>1015.83</v>
      </c>
    </row>
    <row r="17" spans="1:13" x14ac:dyDescent="0.25">
      <c r="A17" s="1">
        <v>3</v>
      </c>
      <c r="B17" s="1" t="s">
        <v>354</v>
      </c>
    </row>
    <row r="18" spans="1:13" x14ac:dyDescent="0.25">
      <c r="A18" s="1">
        <v>4</v>
      </c>
      <c r="B18" s="1">
        <v>8</v>
      </c>
    </row>
    <row r="19" spans="1:13" x14ac:dyDescent="0.25">
      <c r="A19" s="1">
        <v>5</v>
      </c>
      <c r="B19" s="1">
        <v>9</v>
      </c>
    </row>
    <row r="20" spans="1:13" x14ac:dyDescent="0.25">
      <c r="A20" s="1">
        <v>6</v>
      </c>
      <c r="B20" s="1">
        <v>10</v>
      </c>
    </row>
    <row r="21" spans="1:13" x14ac:dyDescent="0.25">
      <c r="A21" s="1">
        <v>7</v>
      </c>
      <c r="B21" s="1">
        <v>11</v>
      </c>
    </row>
    <row r="22" spans="1:13" x14ac:dyDescent="0.25">
      <c r="A22" s="1">
        <v>8</v>
      </c>
      <c r="B22" s="1">
        <v>12</v>
      </c>
      <c r="E22" s="102"/>
      <c r="F22" s="102"/>
      <c r="G22" s="102"/>
      <c r="H22" s="102"/>
      <c r="I22" s="102"/>
      <c r="J22" s="102"/>
      <c r="K22" s="102"/>
      <c r="L22" s="102"/>
      <c r="M22" s="102"/>
    </row>
  </sheetData>
  <mergeCells count="1">
    <mergeCell ref="D6:L6"/>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73CBA-8885-4A5D-8D38-2BF0F02A0751}">
  <dimension ref="D6:J551"/>
  <sheetViews>
    <sheetView showGridLines="0" workbookViewId="0"/>
  </sheetViews>
  <sheetFormatPr defaultRowHeight="13.8" x14ac:dyDescent="0.25"/>
  <cols>
    <col min="1" max="3" width="1.33203125" style="1" customWidth="1"/>
    <col min="4" max="4" width="11.33203125" style="1" customWidth="1"/>
    <col min="5" max="5" width="8.88671875" style="1"/>
    <col min="6" max="6" width="11.33203125" style="1" customWidth="1"/>
    <col min="7" max="8" width="8.88671875" style="1"/>
    <col min="9" max="9" width="17.21875" style="1" bestFit="1" customWidth="1"/>
    <col min="10" max="10" width="15.77734375" style="1" customWidth="1"/>
    <col min="11" max="16384" width="8.88671875" style="1"/>
  </cols>
  <sheetData>
    <row r="6" spans="4:10" ht="16.8" customHeight="1" x14ac:dyDescent="0.25">
      <c r="D6" s="425" t="s">
        <v>56</v>
      </c>
      <c r="E6" s="425"/>
      <c r="F6" s="425"/>
      <c r="G6" s="425"/>
    </row>
    <row r="7" spans="4:10" ht="16.8" customHeight="1" x14ac:dyDescent="0.25">
      <c r="D7" s="61"/>
      <c r="E7" s="61"/>
      <c r="F7" s="61"/>
      <c r="G7" s="61"/>
    </row>
    <row r="8" spans="4:10" x14ac:dyDescent="0.25">
      <c r="F8" s="62" t="s">
        <v>58</v>
      </c>
    </row>
    <row r="9" spans="4:10" x14ac:dyDescent="0.25">
      <c r="D9" s="5" t="s">
        <v>57</v>
      </c>
      <c r="E9" s="6"/>
      <c r="F9" s="82" t="s">
        <v>59</v>
      </c>
      <c r="G9" s="6"/>
    </row>
    <row r="10" spans="4:10" x14ac:dyDescent="0.25">
      <c r="D10" s="3"/>
      <c r="F10" s="62"/>
    </row>
    <row r="11" spans="4:10" x14ac:dyDescent="0.25">
      <c r="D11" s="210">
        <v>45866</v>
      </c>
      <c r="F11" s="63">
        <v>24565.35</v>
      </c>
    </row>
    <row r="12" spans="4:10" x14ac:dyDescent="0.25">
      <c r="D12" s="210">
        <v>45859</v>
      </c>
      <c r="F12" s="63">
        <v>24837</v>
      </c>
    </row>
    <row r="13" spans="4:10" ht="14.4" thickBot="1" x14ac:dyDescent="0.3">
      <c r="D13" s="210">
        <v>45852</v>
      </c>
      <c r="F13" s="65">
        <v>24968.400000000001</v>
      </c>
    </row>
    <row r="14" spans="4:10" ht="15.6" thickBot="1" x14ac:dyDescent="0.3">
      <c r="D14" s="210">
        <v>45845</v>
      </c>
      <c r="F14" s="65">
        <v>25149.85</v>
      </c>
      <c r="I14" s="301" t="s">
        <v>60</v>
      </c>
      <c r="J14" s="302" t="s">
        <v>61</v>
      </c>
    </row>
    <row r="15" spans="4:10" ht="15.6" thickBot="1" x14ac:dyDescent="0.3">
      <c r="D15" s="210">
        <v>45838</v>
      </c>
      <c r="F15" s="65">
        <v>25461</v>
      </c>
      <c r="I15" s="303"/>
      <c r="J15" s="303"/>
    </row>
    <row r="16" spans="4:10" ht="15.6" thickBot="1" x14ac:dyDescent="0.3">
      <c r="D16" s="210">
        <v>45831</v>
      </c>
      <c r="F16" s="65">
        <v>25637.8</v>
      </c>
      <c r="I16" s="301" t="s">
        <v>62</v>
      </c>
      <c r="J16" s="304">
        <f>YEARFRAC(D532,D11)</f>
        <v>10.022222222222222</v>
      </c>
    </row>
    <row r="17" spans="4:10" ht="15.6" thickBot="1" x14ac:dyDescent="0.3">
      <c r="D17" s="210">
        <v>45824</v>
      </c>
      <c r="F17" s="65">
        <v>25112.400000000001</v>
      </c>
      <c r="I17" s="303"/>
      <c r="J17" s="305"/>
    </row>
    <row r="18" spans="4:10" ht="15.6" thickBot="1" x14ac:dyDescent="0.3">
      <c r="D18" s="210">
        <v>45817</v>
      </c>
      <c r="F18" s="65">
        <v>24718.6</v>
      </c>
      <c r="I18" s="301" t="s">
        <v>56</v>
      </c>
      <c r="J18" s="306">
        <f>_xlfn.RRI(J16,F551,F11)</f>
        <v>0.10979163361273159</v>
      </c>
    </row>
    <row r="19" spans="4:10" x14ac:dyDescent="0.25">
      <c r="D19" s="210">
        <v>45810</v>
      </c>
      <c r="F19" s="65">
        <v>25003.05</v>
      </c>
    </row>
    <row r="20" spans="4:10" x14ac:dyDescent="0.25">
      <c r="D20" s="210">
        <v>45803</v>
      </c>
      <c r="F20" s="65">
        <v>24750.7</v>
      </c>
    </row>
    <row r="21" spans="4:10" x14ac:dyDescent="0.25">
      <c r="D21" s="210">
        <v>45796</v>
      </c>
      <c r="F21" s="65">
        <v>24853.15</v>
      </c>
    </row>
    <row r="22" spans="4:10" x14ac:dyDescent="0.25">
      <c r="D22" s="210">
        <v>45789</v>
      </c>
      <c r="F22" s="65">
        <v>25019.8</v>
      </c>
    </row>
    <row r="23" spans="4:10" x14ac:dyDescent="0.25">
      <c r="D23" s="210">
        <v>45782</v>
      </c>
      <c r="F23" s="65">
        <v>24008</v>
      </c>
    </row>
    <row r="24" spans="4:10" x14ac:dyDescent="0.25">
      <c r="D24" s="210">
        <v>45775</v>
      </c>
      <c r="F24" s="65">
        <v>24346.7</v>
      </c>
    </row>
    <row r="25" spans="4:10" x14ac:dyDescent="0.25">
      <c r="D25" s="210">
        <v>45768</v>
      </c>
      <c r="F25" s="65">
        <v>24039.35</v>
      </c>
    </row>
    <row r="26" spans="4:10" x14ac:dyDescent="0.25">
      <c r="D26" s="64">
        <v>45761</v>
      </c>
      <c r="F26" s="65">
        <v>23851.65</v>
      </c>
    </row>
    <row r="27" spans="4:10" x14ac:dyDescent="0.25">
      <c r="D27" s="64">
        <v>45754</v>
      </c>
      <c r="F27" s="65">
        <v>22828.55</v>
      </c>
    </row>
    <row r="28" spans="4:10" x14ac:dyDescent="0.25">
      <c r="D28" s="64">
        <v>45747</v>
      </c>
      <c r="F28" s="65">
        <v>22904.45</v>
      </c>
    </row>
    <row r="29" spans="4:10" x14ac:dyDescent="0.25">
      <c r="D29" s="64">
        <v>45740</v>
      </c>
      <c r="F29" s="65">
        <v>23519.35</v>
      </c>
    </row>
    <row r="30" spans="4:10" x14ac:dyDescent="0.25">
      <c r="D30" s="64">
        <v>45733</v>
      </c>
      <c r="F30" s="65">
        <v>23350.400000000001</v>
      </c>
    </row>
    <row r="31" spans="4:10" x14ac:dyDescent="0.25">
      <c r="D31" s="64">
        <v>45726</v>
      </c>
      <c r="F31" s="65">
        <v>22397.200000000001</v>
      </c>
    </row>
    <row r="32" spans="4:10" x14ac:dyDescent="0.25">
      <c r="D32" s="64">
        <v>45719</v>
      </c>
      <c r="F32" s="65">
        <v>22552.5</v>
      </c>
    </row>
    <row r="33" spans="4:6" x14ac:dyDescent="0.25">
      <c r="D33" s="64">
        <v>45712</v>
      </c>
      <c r="F33" s="65">
        <v>22124.7</v>
      </c>
    </row>
    <row r="34" spans="4:6" x14ac:dyDescent="0.25">
      <c r="D34" s="64">
        <v>45705</v>
      </c>
      <c r="F34" s="65">
        <v>22795.9</v>
      </c>
    </row>
    <row r="35" spans="4:6" x14ac:dyDescent="0.25">
      <c r="D35" s="64">
        <v>45698</v>
      </c>
      <c r="F35" s="65">
        <v>22929.25</v>
      </c>
    </row>
    <row r="36" spans="4:6" x14ac:dyDescent="0.25">
      <c r="D36" s="64">
        <v>45691</v>
      </c>
      <c r="F36" s="65">
        <v>23559.95</v>
      </c>
    </row>
    <row r="37" spans="4:6" x14ac:dyDescent="0.25">
      <c r="D37" s="64">
        <v>45684</v>
      </c>
      <c r="F37" s="65">
        <v>23508.400000000001</v>
      </c>
    </row>
    <row r="38" spans="4:6" x14ac:dyDescent="0.25">
      <c r="D38" s="64">
        <v>45677</v>
      </c>
      <c r="F38" s="65">
        <v>23092.2</v>
      </c>
    </row>
    <row r="39" spans="4:6" x14ac:dyDescent="0.25">
      <c r="D39" s="64">
        <v>45670</v>
      </c>
      <c r="F39" s="65">
        <v>23203.200000000001</v>
      </c>
    </row>
    <row r="40" spans="4:6" x14ac:dyDescent="0.25">
      <c r="D40" s="64">
        <v>45663</v>
      </c>
      <c r="F40" s="65">
        <v>23431.5</v>
      </c>
    </row>
    <row r="41" spans="4:6" x14ac:dyDescent="0.25">
      <c r="D41" s="64">
        <v>45656</v>
      </c>
      <c r="F41" s="65">
        <v>24004.75</v>
      </c>
    </row>
    <row r="42" spans="4:6" x14ac:dyDescent="0.25">
      <c r="D42" s="64">
        <v>45649</v>
      </c>
      <c r="F42" s="65">
        <v>23813.4</v>
      </c>
    </row>
    <row r="43" spans="4:6" x14ac:dyDescent="0.25">
      <c r="D43" s="64">
        <v>45642</v>
      </c>
      <c r="F43" s="65">
        <v>23587.5</v>
      </c>
    </row>
    <row r="44" spans="4:6" x14ac:dyDescent="0.25">
      <c r="D44" s="64">
        <v>45635</v>
      </c>
      <c r="F44" s="65">
        <v>24768.3</v>
      </c>
    </row>
    <row r="45" spans="4:6" x14ac:dyDescent="0.25">
      <c r="D45" s="64">
        <v>45628</v>
      </c>
      <c r="F45" s="65">
        <v>24677.8</v>
      </c>
    </row>
    <row r="46" spans="4:6" x14ac:dyDescent="0.25">
      <c r="D46" s="64">
        <v>45621</v>
      </c>
      <c r="F46" s="65">
        <v>24131.1</v>
      </c>
    </row>
    <row r="47" spans="4:6" x14ac:dyDescent="0.25">
      <c r="D47" s="64">
        <v>45614</v>
      </c>
      <c r="F47" s="65">
        <v>23907.25</v>
      </c>
    </row>
    <row r="48" spans="4:6" x14ac:dyDescent="0.25">
      <c r="D48" s="64">
        <v>45607</v>
      </c>
      <c r="F48" s="65">
        <v>23532.7</v>
      </c>
    </row>
    <row r="49" spans="4:6" x14ac:dyDescent="0.25">
      <c r="D49" s="64">
        <v>45600</v>
      </c>
      <c r="F49" s="65">
        <v>24148.2</v>
      </c>
    </row>
    <row r="50" spans="4:6" x14ac:dyDescent="0.25">
      <c r="D50" s="64">
        <v>45593</v>
      </c>
      <c r="F50" s="65">
        <v>24304.35</v>
      </c>
    </row>
    <row r="51" spans="4:6" x14ac:dyDescent="0.25">
      <c r="D51" s="64">
        <v>45586</v>
      </c>
      <c r="F51" s="65">
        <v>24180.799999999999</v>
      </c>
    </row>
    <row r="52" spans="4:6" x14ac:dyDescent="0.25">
      <c r="D52" s="64">
        <v>45579</v>
      </c>
      <c r="F52" s="65">
        <v>24854.05</v>
      </c>
    </row>
    <row r="53" spans="4:6" x14ac:dyDescent="0.25">
      <c r="D53" s="64">
        <v>45572</v>
      </c>
      <c r="F53" s="65">
        <v>24964.25</v>
      </c>
    </row>
    <row r="54" spans="4:6" x14ac:dyDescent="0.25">
      <c r="D54" s="64">
        <v>45565</v>
      </c>
      <c r="F54" s="65">
        <v>25014.6</v>
      </c>
    </row>
    <row r="55" spans="4:6" x14ac:dyDescent="0.25">
      <c r="D55" s="64">
        <v>45558</v>
      </c>
      <c r="F55" s="65">
        <v>26178.95</v>
      </c>
    </row>
    <row r="56" spans="4:6" x14ac:dyDescent="0.25">
      <c r="D56" s="64">
        <v>45551</v>
      </c>
      <c r="F56" s="65">
        <v>25790.95</v>
      </c>
    </row>
    <row r="57" spans="4:6" x14ac:dyDescent="0.25">
      <c r="D57" s="64">
        <v>45544</v>
      </c>
      <c r="F57" s="65">
        <v>25356.5</v>
      </c>
    </row>
    <row r="58" spans="4:6" x14ac:dyDescent="0.25">
      <c r="D58" s="64">
        <v>45537</v>
      </c>
      <c r="F58" s="65">
        <v>24852.15</v>
      </c>
    </row>
    <row r="59" spans="4:6" x14ac:dyDescent="0.25">
      <c r="D59" s="64">
        <v>45530</v>
      </c>
      <c r="F59" s="65">
        <v>25235.9</v>
      </c>
    </row>
    <row r="60" spans="4:6" x14ac:dyDescent="0.25">
      <c r="D60" s="64">
        <v>45523</v>
      </c>
      <c r="F60" s="65">
        <v>24823.15</v>
      </c>
    </row>
    <row r="61" spans="4:6" x14ac:dyDescent="0.25">
      <c r="D61" s="64">
        <v>45516</v>
      </c>
      <c r="F61" s="65">
        <v>24541.15</v>
      </c>
    </row>
    <row r="62" spans="4:6" x14ac:dyDescent="0.25">
      <c r="D62" s="64">
        <v>45509</v>
      </c>
      <c r="F62" s="65">
        <v>24367.5</v>
      </c>
    </row>
    <row r="63" spans="4:6" x14ac:dyDescent="0.25">
      <c r="D63" s="64">
        <v>45502</v>
      </c>
      <c r="F63" s="65">
        <v>24717.7</v>
      </c>
    </row>
    <row r="64" spans="4:6" x14ac:dyDescent="0.25">
      <c r="D64" s="64">
        <v>45495</v>
      </c>
      <c r="F64" s="65">
        <v>24834.85</v>
      </c>
    </row>
    <row r="65" spans="4:6" x14ac:dyDescent="0.25">
      <c r="D65" s="64">
        <v>45488</v>
      </c>
      <c r="F65" s="65">
        <v>24530.9</v>
      </c>
    </row>
    <row r="66" spans="4:6" x14ac:dyDescent="0.25">
      <c r="D66" s="64">
        <v>45481</v>
      </c>
      <c r="F66" s="65">
        <v>24502.15</v>
      </c>
    </row>
    <row r="67" spans="4:6" x14ac:dyDescent="0.25">
      <c r="D67" s="64">
        <v>45474</v>
      </c>
      <c r="F67" s="65">
        <v>24323.85</v>
      </c>
    </row>
    <row r="68" spans="4:6" x14ac:dyDescent="0.25">
      <c r="D68" s="64">
        <v>45467</v>
      </c>
      <c r="F68" s="65">
        <v>24010.6</v>
      </c>
    </row>
    <row r="69" spans="4:6" x14ac:dyDescent="0.25">
      <c r="D69" s="64">
        <v>45460</v>
      </c>
      <c r="F69" s="65">
        <v>23501.1</v>
      </c>
    </row>
    <row r="70" spans="4:6" x14ac:dyDescent="0.25">
      <c r="D70" s="64">
        <v>45453</v>
      </c>
      <c r="F70" s="65">
        <v>23465.599999999999</v>
      </c>
    </row>
    <row r="71" spans="4:6" x14ac:dyDescent="0.25">
      <c r="D71" s="64">
        <v>45446</v>
      </c>
      <c r="F71" s="65">
        <v>23290.15</v>
      </c>
    </row>
    <row r="72" spans="4:6" x14ac:dyDescent="0.25">
      <c r="D72" s="64">
        <v>45439</v>
      </c>
      <c r="F72" s="65">
        <v>22530.7</v>
      </c>
    </row>
    <row r="73" spans="4:6" x14ac:dyDescent="0.25">
      <c r="D73" s="64">
        <v>45432</v>
      </c>
      <c r="F73" s="65">
        <v>22957.1</v>
      </c>
    </row>
    <row r="74" spans="4:6" x14ac:dyDescent="0.25">
      <c r="D74" s="64">
        <v>45425</v>
      </c>
      <c r="F74" s="65">
        <v>22466.1</v>
      </c>
    </row>
    <row r="75" spans="4:6" x14ac:dyDescent="0.25">
      <c r="D75" s="64">
        <v>45418</v>
      </c>
      <c r="F75" s="65">
        <v>22055.200000000001</v>
      </c>
    </row>
    <row r="76" spans="4:6" x14ac:dyDescent="0.25">
      <c r="D76" s="64">
        <v>45411</v>
      </c>
      <c r="F76" s="65">
        <v>22475.85</v>
      </c>
    </row>
    <row r="77" spans="4:6" x14ac:dyDescent="0.25">
      <c r="D77" s="64">
        <v>45404</v>
      </c>
      <c r="F77" s="65">
        <v>22419.95</v>
      </c>
    </row>
    <row r="78" spans="4:6" x14ac:dyDescent="0.25">
      <c r="D78" s="64">
        <v>45397</v>
      </c>
      <c r="F78" s="65">
        <v>22147</v>
      </c>
    </row>
    <row r="79" spans="4:6" x14ac:dyDescent="0.25">
      <c r="D79" s="64">
        <v>45390</v>
      </c>
      <c r="F79" s="65">
        <v>22519.4</v>
      </c>
    </row>
    <row r="80" spans="4:6" x14ac:dyDescent="0.25">
      <c r="D80" s="64">
        <v>45383</v>
      </c>
      <c r="F80" s="65">
        <v>22513.7</v>
      </c>
    </row>
    <row r="81" spans="4:6" x14ac:dyDescent="0.25">
      <c r="D81" s="64">
        <v>45376</v>
      </c>
      <c r="F81" s="65">
        <v>22326.9</v>
      </c>
    </row>
    <row r="82" spans="4:6" x14ac:dyDescent="0.25">
      <c r="D82" s="64">
        <v>45369</v>
      </c>
      <c r="F82" s="65">
        <v>22096.75</v>
      </c>
    </row>
    <row r="83" spans="4:6" x14ac:dyDescent="0.25">
      <c r="D83" s="64">
        <v>45362</v>
      </c>
      <c r="F83" s="65">
        <v>22023.35</v>
      </c>
    </row>
    <row r="84" spans="4:6" x14ac:dyDescent="0.25">
      <c r="D84" s="64">
        <v>45355</v>
      </c>
      <c r="F84" s="65">
        <v>22493.55</v>
      </c>
    </row>
    <row r="85" spans="4:6" x14ac:dyDescent="0.25">
      <c r="D85" s="64">
        <v>45348</v>
      </c>
      <c r="F85" s="65">
        <v>22338.75</v>
      </c>
    </row>
    <row r="86" spans="4:6" x14ac:dyDescent="0.25">
      <c r="D86" s="64">
        <v>45341</v>
      </c>
      <c r="F86" s="65">
        <v>22212.7</v>
      </c>
    </row>
    <row r="87" spans="4:6" x14ac:dyDescent="0.25">
      <c r="D87" s="64">
        <v>45334</v>
      </c>
      <c r="F87" s="65">
        <v>22040.7</v>
      </c>
    </row>
    <row r="88" spans="4:6" x14ac:dyDescent="0.25">
      <c r="D88" s="64">
        <v>45327</v>
      </c>
      <c r="F88" s="65">
        <v>21782.5</v>
      </c>
    </row>
    <row r="89" spans="4:6" x14ac:dyDescent="0.25">
      <c r="D89" s="64">
        <v>45320</v>
      </c>
      <c r="F89" s="65">
        <v>21853.8</v>
      </c>
    </row>
    <row r="90" spans="4:6" x14ac:dyDescent="0.25">
      <c r="D90" s="64">
        <v>45313</v>
      </c>
      <c r="F90" s="65">
        <v>21352.6</v>
      </c>
    </row>
    <row r="91" spans="4:6" x14ac:dyDescent="0.25">
      <c r="D91" s="64">
        <v>45306</v>
      </c>
      <c r="F91" s="65">
        <v>21622.400000000001</v>
      </c>
    </row>
    <row r="92" spans="4:6" x14ac:dyDescent="0.25">
      <c r="D92" s="64">
        <v>45299</v>
      </c>
      <c r="F92" s="65">
        <v>21894.55</v>
      </c>
    </row>
    <row r="93" spans="4:6" x14ac:dyDescent="0.25">
      <c r="D93" s="64">
        <v>45292</v>
      </c>
      <c r="F93" s="65">
        <v>21710.799999999999</v>
      </c>
    </row>
    <row r="94" spans="4:6" x14ac:dyDescent="0.25">
      <c r="D94" s="64">
        <v>45285</v>
      </c>
      <c r="F94" s="65">
        <v>21731.4</v>
      </c>
    </row>
    <row r="95" spans="4:6" x14ac:dyDescent="0.25">
      <c r="D95" s="64">
        <v>45278</v>
      </c>
      <c r="F95" s="65">
        <v>21349.4</v>
      </c>
    </row>
    <row r="96" spans="4:6" x14ac:dyDescent="0.25">
      <c r="D96" s="64">
        <v>45271</v>
      </c>
      <c r="F96" s="65">
        <v>21456.65</v>
      </c>
    </row>
    <row r="97" spans="4:6" x14ac:dyDescent="0.25">
      <c r="D97" s="64">
        <v>45264</v>
      </c>
      <c r="F97" s="65">
        <v>20969.400000000001</v>
      </c>
    </row>
    <row r="98" spans="4:6" x14ac:dyDescent="0.25">
      <c r="D98" s="64">
        <v>45257</v>
      </c>
      <c r="F98" s="65">
        <v>20267.900000000001</v>
      </c>
    </row>
    <row r="99" spans="4:6" x14ac:dyDescent="0.25">
      <c r="D99" s="64">
        <v>45250</v>
      </c>
      <c r="F99" s="65">
        <v>19794.7</v>
      </c>
    </row>
    <row r="100" spans="4:6" x14ac:dyDescent="0.25">
      <c r="D100" s="64">
        <v>45243</v>
      </c>
      <c r="F100" s="65">
        <v>19731.8</v>
      </c>
    </row>
    <row r="101" spans="4:6" x14ac:dyDescent="0.25">
      <c r="D101" s="64">
        <v>45236</v>
      </c>
      <c r="F101" s="65">
        <v>19425.349999999999</v>
      </c>
    </row>
    <row r="102" spans="4:6" x14ac:dyDescent="0.25">
      <c r="D102" s="64">
        <v>45229</v>
      </c>
      <c r="F102" s="65">
        <v>19230.599999999999</v>
      </c>
    </row>
    <row r="103" spans="4:6" x14ac:dyDescent="0.25">
      <c r="D103" s="64">
        <v>45222</v>
      </c>
      <c r="F103" s="65">
        <v>19047.25</v>
      </c>
    </row>
    <row r="104" spans="4:6" x14ac:dyDescent="0.25">
      <c r="D104" s="64">
        <v>45215</v>
      </c>
      <c r="F104" s="65">
        <v>19542.650000000001</v>
      </c>
    </row>
    <row r="105" spans="4:6" x14ac:dyDescent="0.25">
      <c r="D105" s="64">
        <v>45208</v>
      </c>
      <c r="F105" s="65">
        <v>19751.05</v>
      </c>
    </row>
    <row r="106" spans="4:6" x14ac:dyDescent="0.25">
      <c r="D106" s="64">
        <v>45201</v>
      </c>
      <c r="F106" s="65">
        <v>19653.5</v>
      </c>
    </row>
    <row r="107" spans="4:6" x14ac:dyDescent="0.25">
      <c r="D107" s="64">
        <v>45194</v>
      </c>
      <c r="F107" s="65">
        <v>19638.3</v>
      </c>
    </row>
    <row r="108" spans="4:6" x14ac:dyDescent="0.25">
      <c r="D108" s="64">
        <v>45187</v>
      </c>
      <c r="F108" s="65">
        <v>19674.25</v>
      </c>
    </row>
    <row r="109" spans="4:6" x14ac:dyDescent="0.25">
      <c r="D109" s="64">
        <v>45180</v>
      </c>
      <c r="F109" s="65">
        <v>20192.349999999999</v>
      </c>
    </row>
    <row r="110" spans="4:6" x14ac:dyDescent="0.25">
      <c r="D110" s="64">
        <v>45173</v>
      </c>
      <c r="F110" s="65">
        <v>19819.95</v>
      </c>
    </row>
    <row r="111" spans="4:6" x14ac:dyDescent="0.25">
      <c r="D111" s="64">
        <v>45166</v>
      </c>
      <c r="F111" s="65">
        <v>19435.3</v>
      </c>
    </row>
    <row r="112" spans="4:6" x14ac:dyDescent="0.25">
      <c r="D112" s="64">
        <v>45159</v>
      </c>
      <c r="F112" s="65">
        <v>19265.8</v>
      </c>
    </row>
    <row r="113" spans="4:6" x14ac:dyDescent="0.25">
      <c r="D113" s="64">
        <v>45152</v>
      </c>
      <c r="F113" s="65">
        <v>19310.150000000001</v>
      </c>
    </row>
    <row r="114" spans="4:6" x14ac:dyDescent="0.25">
      <c r="D114" s="64">
        <v>45145</v>
      </c>
      <c r="F114" s="65">
        <v>19428.3</v>
      </c>
    </row>
    <row r="115" spans="4:6" x14ac:dyDescent="0.25">
      <c r="D115" s="64">
        <v>45138</v>
      </c>
      <c r="F115" s="65">
        <v>19517</v>
      </c>
    </row>
    <row r="116" spans="4:6" x14ac:dyDescent="0.25">
      <c r="D116" s="64">
        <v>45131</v>
      </c>
      <c r="F116" s="65">
        <v>19646.05</v>
      </c>
    </row>
    <row r="117" spans="4:6" x14ac:dyDescent="0.25">
      <c r="D117" s="64">
        <v>45124</v>
      </c>
      <c r="F117" s="65">
        <v>19745</v>
      </c>
    </row>
    <row r="118" spans="4:6" x14ac:dyDescent="0.25">
      <c r="D118" s="64">
        <v>45117</v>
      </c>
      <c r="F118" s="65">
        <v>19564.5</v>
      </c>
    </row>
    <row r="119" spans="4:6" x14ac:dyDescent="0.25">
      <c r="D119" s="64">
        <v>45110</v>
      </c>
      <c r="F119" s="65">
        <v>19331.8</v>
      </c>
    </row>
    <row r="120" spans="4:6" x14ac:dyDescent="0.25">
      <c r="D120" s="64">
        <v>45103</v>
      </c>
      <c r="F120" s="65">
        <v>19189.05</v>
      </c>
    </row>
    <row r="121" spans="4:6" x14ac:dyDescent="0.25">
      <c r="D121" s="64">
        <v>45096</v>
      </c>
      <c r="F121" s="65">
        <v>18665.5</v>
      </c>
    </row>
    <row r="122" spans="4:6" x14ac:dyDescent="0.25">
      <c r="D122" s="64">
        <v>45089</v>
      </c>
      <c r="F122" s="65">
        <v>18826</v>
      </c>
    </row>
    <row r="123" spans="4:6" x14ac:dyDescent="0.25">
      <c r="D123" s="64">
        <v>45082</v>
      </c>
      <c r="F123" s="65">
        <v>18563.400000000001</v>
      </c>
    </row>
    <row r="124" spans="4:6" x14ac:dyDescent="0.25">
      <c r="D124" s="64">
        <v>45075</v>
      </c>
      <c r="F124" s="65">
        <v>18534.099999999999</v>
      </c>
    </row>
    <row r="125" spans="4:6" x14ac:dyDescent="0.25">
      <c r="D125" s="64">
        <v>45068</v>
      </c>
      <c r="F125" s="65">
        <v>18499.349999999999</v>
      </c>
    </row>
    <row r="126" spans="4:6" x14ac:dyDescent="0.25">
      <c r="D126" s="64">
        <v>45061</v>
      </c>
      <c r="F126" s="65">
        <v>18203.400000000001</v>
      </c>
    </row>
    <row r="127" spans="4:6" x14ac:dyDescent="0.25">
      <c r="D127" s="64">
        <v>45054</v>
      </c>
      <c r="F127" s="65">
        <v>18314.8</v>
      </c>
    </row>
    <row r="128" spans="4:6" x14ac:dyDescent="0.25">
      <c r="D128" s="64">
        <v>45047</v>
      </c>
      <c r="F128" s="65">
        <v>18069</v>
      </c>
    </row>
    <row r="129" spans="4:6" x14ac:dyDescent="0.25">
      <c r="D129" s="64">
        <v>45040</v>
      </c>
      <c r="F129" s="65">
        <v>18065</v>
      </c>
    </row>
    <row r="130" spans="4:6" x14ac:dyDescent="0.25">
      <c r="D130" s="64">
        <v>45033</v>
      </c>
      <c r="F130" s="65">
        <v>17624.05</v>
      </c>
    </row>
    <row r="131" spans="4:6" x14ac:dyDescent="0.25">
      <c r="D131" s="64">
        <v>45026</v>
      </c>
      <c r="F131" s="65">
        <v>17828</v>
      </c>
    </row>
    <row r="132" spans="4:6" x14ac:dyDescent="0.25">
      <c r="D132" s="64">
        <v>45019</v>
      </c>
      <c r="F132" s="65">
        <v>17599.150000000001</v>
      </c>
    </row>
    <row r="133" spans="4:6" x14ac:dyDescent="0.25">
      <c r="D133" s="64">
        <v>45012</v>
      </c>
      <c r="F133" s="65">
        <v>17359.75</v>
      </c>
    </row>
    <row r="134" spans="4:6" x14ac:dyDescent="0.25">
      <c r="D134" s="64">
        <v>45005</v>
      </c>
      <c r="F134" s="65">
        <v>16945.05</v>
      </c>
    </row>
    <row r="135" spans="4:6" x14ac:dyDescent="0.25">
      <c r="D135" s="64">
        <v>44998</v>
      </c>
      <c r="F135" s="65">
        <v>17100.05</v>
      </c>
    </row>
    <row r="136" spans="4:6" x14ac:dyDescent="0.25">
      <c r="D136" s="64">
        <v>44991</v>
      </c>
      <c r="F136" s="65">
        <v>17412.900000000001</v>
      </c>
    </row>
    <row r="137" spans="4:6" x14ac:dyDescent="0.25">
      <c r="D137" s="64">
        <v>44984</v>
      </c>
      <c r="F137" s="65">
        <v>17594.349999999999</v>
      </c>
    </row>
    <row r="138" spans="4:6" x14ac:dyDescent="0.25">
      <c r="D138" s="64">
        <v>44977</v>
      </c>
      <c r="F138" s="65">
        <v>17465.8</v>
      </c>
    </row>
    <row r="139" spans="4:6" x14ac:dyDescent="0.25">
      <c r="D139" s="64">
        <v>44970</v>
      </c>
      <c r="F139" s="65">
        <v>17944.2</v>
      </c>
    </row>
    <row r="140" spans="4:6" x14ac:dyDescent="0.25">
      <c r="D140" s="64">
        <v>44963</v>
      </c>
      <c r="F140" s="65">
        <v>17856.5</v>
      </c>
    </row>
    <row r="141" spans="4:6" x14ac:dyDescent="0.25">
      <c r="D141" s="64">
        <v>44956</v>
      </c>
      <c r="F141" s="65">
        <v>17854.05</v>
      </c>
    </row>
    <row r="142" spans="4:6" x14ac:dyDescent="0.25">
      <c r="D142" s="64">
        <v>44949</v>
      </c>
      <c r="F142" s="65">
        <v>17604.349999999999</v>
      </c>
    </row>
    <row r="143" spans="4:6" x14ac:dyDescent="0.25">
      <c r="D143" s="64">
        <v>44942</v>
      </c>
      <c r="F143" s="65">
        <v>18027.650000000001</v>
      </c>
    </row>
    <row r="144" spans="4:6" x14ac:dyDescent="0.25">
      <c r="D144" s="64">
        <v>44935</v>
      </c>
      <c r="F144" s="65">
        <v>17956.599999999999</v>
      </c>
    </row>
    <row r="145" spans="4:6" x14ac:dyDescent="0.25">
      <c r="D145" s="64">
        <v>44928</v>
      </c>
      <c r="F145" s="65">
        <v>17859.45</v>
      </c>
    </row>
    <row r="146" spans="4:6" x14ac:dyDescent="0.25">
      <c r="D146" s="64">
        <v>44921</v>
      </c>
      <c r="F146" s="65">
        <v>18105.3</v>
      </c>
    </row>
    <row r="147" spans="4:6" x14ac:dyDescent="0.25">
      <c r="D147" s="64">
        <v>44914</v>
      </c>
      <c r="F147" s="65">
        <v>17806.8</v>
      </c>
    </row>
    <row r="148" spans="4:6" x14ac:dyDescent="0.25">
      <c r="D148" s="64">
        <v>44907</v>
      </c>
      <c r="F148" s="65">
        <v>18269</v>
      </c>
    </row>
    <row r="149" spans="4:6" x14ac:dyDescent="0.25">
      <c r="D149" s="64">
        <v>44900</v>
      </c>
      <c r="F149" s="65">
        <v>18496.599999999999</v>
      </c>
    </row>
    <row r="150" spans="4:6" x14ac:dyDescent="0.25">
      <c r="D150" s="64">
        <v>44893</v>
      </c>
      <c r="F150" s="65">
        <v>18696.099999999999</v>
      </c>
    </row>
    <row r="151" spans="4:6" x14ac:dyDescent="0.25">
      <c r="D151" s="64">
        <v>44886</v>
      </c>
      <c r="F151" s="65">
        <v>18512.75</v>
      </c>
    </row>
    <row r="152" spans="4:6" x14ac:dyDescent="0.25">
      <c r="D152" s="64">
        <v>44879</v>
      </c>
      <c r="F152" s="65">
        <v>18307.650000000001</v>
      </c>
    </row>
    <row r="153" spans="4:6" x14ac:dyDescent="0.25">
      <c r="D153" s="64">
        <v>44872</v>
      </c>
      <c r="F153" s="65">
        <v>18349.7</v>
      </c>
    </row>
    <row r="154" spans="4:6" x14ac:dyDescent="0.25">
      <c r="D154" s="64">
        <v>44865</v>
      </c>
      <c r="F154" s="65">
        <v>18117.150000000001</v>
      </c>
    </row>
    <row r="155" spans="4:6" x14ac:dyDescent="0.25">
      <c r="D155" s="64">
        <v>44858</v>
      </c>
      <c r="F155" s="65">
        <v>17786.8</v>
      </c>
    </row>
    <row r="156" spans="4:6" x14ac:dyDescent="0.25">
      <c r="D156" s="64">
        <v>44851</v>
      </c>
      <c r="F156" s="65">
        <v>17576.3</v>
      </c>
    </row>
    <row r="157" spans="4:6" x14ac:dyDescent="0.25">
      <c r="D157" s="64">
        <v>44844</v>
      </c>
      <c r="F157" s="65">
        <v>17185.7</v>
      </c>
    </row>
    <row r="158" spans="4:6" x14ac:dyDescent="0.25">
      <c r="D158" s="64">
        <v>44837</v>
      </c>
      <c r="F158" s="65">
        <v>17314.650000000001</v>
      </c>
    </row>
    <row r="159" spans="4:6" x14ac:dyDescent="0.25">
      <c r="D159" s="64">
        <v>44830</v>
      </c>
      <c r="F159" s="65">
        <v>17094.349999999999</v>
      </c>
    </row>
    <row r="160" spans="4:6" x14ac:dyDescent="0.25">
      <c r="D160" s="64">
        <v>44823</v>
      </c>
      <c r="F160" s="65">
        <v>17327.349999999999</v>
      </c>
    </row>
    <row r="161" spans="4:6" x14ac:dyDescent="0.25">
      <c r="D161" s="64">
        <v>44816</v>
      </c>
      <c r="F161" s="65">
        <v>17530.849999999999</v>
      </c>
    </row>
    <row r="162" spans="4:6" x14ac:dyDescent="0.25">
      <c r="D162" s="64">
        <v>44809</v>
      </c>
      <c r="F162" s="65">
        <v>17833.349999999999</v>
      </c>
    </row>
    <row r="163" spans="4:6" x14ac:dyDescent="0.25">
      <c r="D163" s="64">
        <v>44802</v>
      </c>
      <c r="F163" s="65">
        <v>17539.45</v>
      </c>
    </row>
    <row r="164" spans="4:6" x14ac:dyDescent="0.25">
      <c r="D164" s="64">
        <v>44795</v>
      </c>
      <c r="F164" s="65">
        <v>17558.900000000001</v>
      </c>
    </row>
    <row r="165" spans="4:6" x14ac:dyDescent="0.25">
      <c r="D165" s="64">
        <v>44788</v>
      </c>
      <c r="F165" s="65">
        <v>17758.45</v>
      </c>
    </row>
    <row r="166" spans="4:6" x14ac:dyDescent="0.25">
      <c r="D166" s="64">
        <v>44781</v>
      </c>
      <c r="F166" s="65">
        <v>17698.150000000001</v>
      </c>
    </row>
    <row r="167" spans="4:6" x14ac:dyDescent="0.25">
      <c r="D167" s="64">
        <v>44774</v>
      </c>
      <c r="F167" s="65">
        <v>17397.5</v>
      </c>
    </row>
    <row r="168" spans="4:6" x14ac:dyDescent="0.25">
      <c r="D168" s="64">
        <v>44767</v>
      </c>
      <c r="F168" s="65">
        <v>17158.25</v>
      </c>
    </row>
    <row r="169" spans="4:6" x14ac:dyDescent="0.25">
      <c r="D169" s="64">
        <v>44760</v>
      </c>
      <c r="F169" s="65">
        <v>16719.45</v>
      </c>
    </row>
    <row r="170" spans="4:6" x14ac:dyDescent="0.25">
      <c r="D170" s="64">
        <v>44753</v>
      </c>
      <c r="F170" s="65">
        <v>16049.2</v>
      </c>
    </row>
    <row r="171" spans="4:6" x14ac:dyDescent="0.25">
      <c r="D171" s="64">
        <v>44746</v>
      </c>
      <c r="F171" s="65">
        <v>16220.6</v>
      </c>
    </row>
    <row r="172" spans="4:6" x14ac:dyDescent="0.25">
      <c r="D172" s="64">
        <v>44739</v>
      </c>
      <c r="F172" s="65">
        <v>15752.05</v>
      </c>
    </row>
    <row r="173" spans="4:6" x14ac:dyDescent="0.25">
      <c r="D173" s="64">
        <v>44732</v>
      </c>
      <c r="F173" s="65">
        <v>15699.25</v>
      </c>
    </row>
    <row r="174" spans="4:6" x14ac:dyDescent="0.25">
      <c r="D174" s="64">
        <v>44725</v>
      </c>
      <c r="F174" s="65">
        <v>15293.5</v>
      </c>
    </row>
    <row r="175" spans="4:6" x14ac:dyDescent="0.25">
      <c r="D175" s="64">
        <v>44718</v>
      </c>
      <c r="F175" s="65">
        <v>16201.8</v>
      </c>
    </row>
    <row r="176" spans="4:6" x14ac:dyDescent="0.25">
      <c r="D176" s="64">
        <v>44711</v>
      </c>
      <c r="F176" s="65">
        <v>16584.3</v>
      </c>
    </row>
    <row r="177" spans="4:6" x14ac:dyDescent="0.25">
      <c r="D177" s="64">
        <v>44704</v>
      </c>
      <c r="F177" s="65">
        <v>16352.45</v>
      </c>
    </row>
    <row r="178" spans="4:6" x14ac:dyDescent="0.25">
      <c r="D178" s="64">
        <v>44697</v>
      </c>
      <c r="F178" s="65">
        <v>16266.15</v>
      </c>
    </row>
    <row r="179" spans="4:6" x14ac:dyDescent="0.25">
      <c r="D179" s="64">
        <v>44690</v>
      </c>
      <c r="F179" s="65">
        <v>15782.15</v>
      </c>
    </row>
    <row r="180" spans="4:6" x14ac:dyDescent="0.25">
      <c r="D180" s="64">
        <v>44683</v>
      </c>
      <c r="F180" s="65">
        <v>16411.25</v>
      </c>
    </row>
    <row r="181" spans="4:6" x14ac:dyDescent="0.25">
      <c r="D181" s="64">
        <v>44676</v>
      </c>
      <c r="F181" s="65">
        <v>17102.55</v>
      </c>
    </row>
    <row r="182" spans="4:6" x14ac:dyDescent="0.25">
      <c r="D182" s="64">
        <v>44669</v>
      </c>
      <c r="F182" s="65">
        <v>17171.95</v>
      </c>
    </row>
    <row r="183" spans="4:6" x14ac:dyDescent="0.25">
      <c r="D183" s="64">
        <v>44662</v>
      </c>
      <c r="F183" s="65">
        <v>17475.650000000001</v>
      </c>
    </row>
    <row r="184" spans="4:6" x14ac:dyDescent="0.25">
      <c r="D184" s="64">
        <v>44655</v>
      </c>
      <c r="F184" s="65">
        <v>17784.349999999999</v>
      </c>
    </row>
    <row r="185" spans="4:6" x14ac:dyDescent="0.25">
      <c r="D185" s="64">
        <v>44648</v>
      </c>
      <c r="F185" s="65">
        <v>17670.45</v>
      </c>
    </row>
    <row r="186" spans="4:6" x14ac:dyDescent="0.25">
      <c r="D186" s="64">
        <v>44641</v>
      </c>
      <c r="F186" s="65">
        <v>17153</v>
      </c>
    </row>
    <row r="187" spans="4:6" x14ac:dyDescent="0.25">
      <c r="D187" s="64">
        <v>44634</v>
      </c>
      <c r="F187" s="65">
        <v>17287.05</v>
      </c>
    </row>
    <row r="188" spans="4:6" x14ac:dyDescent="0.25">
      <c r="D188" s="64">
        <v>44627</v>
      </c>
      <c r="F188" s="65">
        <v>16630.45</v>
      </c>
    </row>
    <row r="189" spans="4:6" x14ac:dyDescent="0.25">
      <c r="D189" s="64">
        <v>44620</v>
      </c>
      <c r="F189" s="65">
        <v>16245.35</v>
      </c>
    </row>
    <row r="190" spans="4:6" x14ac:dyDescent="0.25">
      <c r="D190" s="64">
        <v>44613</v>
      </c>
      <c r="F190" s="65">
        <v>16658.400000000001</v>
      </c>
    </row>
    <row r="191" spans="4:6" x14ac:dyDescent="0.25">
      <c r="D191" s="64">
        <v>44606</v>
      </c>
      <c r="F191" s="65">
        <v>17276.3</v>
      </c>
    </row>
    <row r="192" spans="4:6" x14ac:dyDescent="0.25">
      <c r="D192" s="64">
        <v>44599</v>
      </c>
      <c r="F192" s="65">
        <v>17374.75</v>
      </c>
    </row>
    <row r="193" spans="4:6" x14ac:dyDescent="0.25">
      <c r="D193" s="64">
        <v>44592</v>
      </c>
      <c r="F193" s="65">
        <v>17516.3</v>
      </c>
    </row>
    <row r="194" spans="4:6" x14ac:dyDescent="0.25">
      <c r="D194" s="64">
        <v>44585</v>
      </c>
      <c r="F194" s="65">
        <v>17101.95</v>
      </c>
    </row>
    <row r="195" spans="4:6" x14ac:dyDescent="0.25">
      <c r="D195" s="64">
        <v>44578</v>
      </c>
      <c r="F195" s="65">
        <v>17617.150000000001</v>
      </c>
    </row>
    <row r="196" spans="4:6" x14ac:dyDescent="0.25">
      <c r="D196" s="64">
        <v>44571</v>
      </c>
      <c r="F196" s="65">
        <v>18255.75</v>
      </c>
    </row>
    <row r="197" spans="4:6" x14ac:dyDescent="0.25">
      <c r="D197" s="64">
        <v>44564</v>
      </c>
      <c r="F197" s="65">
        <v>17812.7</v>
      </c>
    </row>
    <row r="198" spans="4:6" x14ac:dyDescent="0.25">
      <c r="D198" s="64">
        <v>44557</v>
      </c>
      <c r="F198" s="65">
        <v>17354.05</v>
      </c>
    </row>
    <row r="199" spans="4:6" x14ac:dyDescent="0.25">
      <c r="D199" s="64">
        <v>44550</v>
      </c>
      <c r="F199" s="65">
        <v>17003.75</v>
      </c>
    </row>
    <row r="200" spans="4:6" x14ac:dyDescent="0.25">
      <c r="D200" s="64">
        <v>44543</v>
      </c>
      <c r="F200" s="65">
        <v>16985.2</v>
      </c>
    </row>
    <row r="201" spans="4:6" x14ac:dyDescent="0.25">
      <c r="D201" s="64">
        <v>44536</v>
      </c>
      <c r="F201" s="65">
        <v>17511.3</v>
      </c>
    </row>
    <row r="202" spans="4:6" x14ac:dyDescent="0.25">
      <c r="D202" s="64">
        <v>44529</v>
      </c>
      <c r="F202" s="65">
        <v>17196.7</v>
      </c>
    </row>
    <row r="203" spans="4:6" x14ac:dyDescent="0.25">
      <c r="D203" s="64">
        <v>44522</v>
      </c>
      <c r="F203" s="65">
        <v>17026.45</v>
      </c>
    </row>
    <row r="204" spans="4:6" x14ac:dyDescent="0.25">
      <c r="D204" s="64">
        <v>44515</v>
      </c>
      <c r="F204" s="65">
        <v>17764.8</v>
      </c>
    </row>
    <row r="205" spans="4:6" x14ac:dyDescent="0.25">
      <c r="D205" s="64">
        <v>44508</v>
      </c>
      <c r="F205" s="65">
        <v>18102.75</v>
      </c>
    </row>
    <row r="206" spans="4:6" x14ac:dyDescent="0.25">
      <c r="D206" s="64">
        <v>44501</v>
      </c>
      <c r="F206" s="65">
        <v>17916.8</v>
      </c>
    </row>
    <row r="207" spans="4:6" x14ac:dyDescent="0.25">
      <c r="D207" s="64">
        <v>44494</v>
      </c>
      <c r="F207" s="65">
        <v>17671.650000000001</v>
      </c>
    </row>
    <row r="208" spans="4:6" x14ac:dyDescent="0.25">
      <c r="D208" s="64">
        <v>44487</v>
      </c>
      <c r="F208" s="65">
        <v>18114.900000000001</v>
      </c>
    </row>
    <row r="209" spans="4:6" x14ac:dyDescent="0.25">
      <c r="D209" s="64">
        <v>44480</v>
      </c>
      <c r="F209" s="65">
        <v>18338.55</v>
      </c>
    </row>
    <row r="210" spans="4:6" x14ac:dyDescent="0.25">
      <c r="D210" s="64">
        <v>44473</v>
      </c>
      <c r="F210" s="65">
        <v>17895.2</v>
      </c>
    </row>
    <row r="211" spans="4:6" x14ac:dyDescent="0.25">
      <c r="D211" s="64">
        <v>44466</v>
      </c>
      <c r="F211" s="65">
        <v>17532.05</v>
      </c>
    </row>
    <row r="212" spans="4:6" x14ac:dyDescent="0.25">
      <c r="D212" s="64">
        <v>44459</v>
      </c>
      <c r="F212" s="65">
        <v>17853.2</v>
      </c>
    </row>
    <row r="213" spans="4:6" x14ac:dyDescent="0.25">
      <c r="D213" s="64">
        <v>44452</v>
      </c>
      <c r="F213" s="65">
        <v>17585.150000000001</v>
      </c>
    </row>
    <row r="214" spans="4:6" x14ac:dyDescent="0.25">
      <c r="D214" s="64">
        <v>44445</v>
      </c>
      <c r="F214" s="65">
        <v>17369.25</v>
      </c>
    </row>
    <row r="215" spans="4:6" x14ac:dyDescent="0.25">
      <c r="D215" s="64">
        <v>44438</v>
      </c>
      <c r="F215" s="65">
        <v>17323.599999999999</v>
      </c>
    </row>
    <row r="216" spans="4:6" x14ac:dyDescent="0.25">
      <c r="D216" s="64">
        <v>44431</v>
      </c>
      <c r="F216" s="65">
        <v>16705.2</v>
      </c>
    </row>
    <row r="217" spans="4:6" x14ac:dyDescent="0.25">
      <c r="D217" s="64">
        <v>44424</v>
      </c>
      <c r="F217" s="65">
        <v>16450.5</v>
      </c>
    </row>
    <row r="218" spans="4:6" x14ac:dyDescent="0.25">
      <c r="D218" s="64">
        <v>44417</v>
      </c>
      <c r="F218" s="65">
        <v>16529.099999999999</v>
      </c>
    </row>
    <row r="219" spans="4:6" x14ac:dyDescent="0.25">
      <c r="D219" s="64">
        <v>44410</v>
      </c>
      <c r="F219" s="65">
        <v>16238.2</v>
      </c>
    </row>
    <row r="220" spans="4:6" x14ac:dyDescent="0.25">
      <c r="D220" s="64">
        <v>44403</v>
      </c>
      <c r="F220" s="65">
        <v>15763.05</v>
      </c>
    </row>
    <row r="221" spans="4:6" x14ac:dyDescent="0.25">
      <c r="D221" s="64">
        <v>44396</v>
      </c>
      <c r="F221" s="65">
        <v>15856.05</v>
      </c>
    </row>
    <row r="222" spans="4:6" x14ac:dyDescent="0.25">
      <c r="D222" s="64">
        <v>44389</v>
      </c>
      <c r="F222" s="65">
        <v>15923.4</v>
      </c>
    </row>
    <row r="223" spans="4:6" x14ac:dyDescent="0.25">
      <c r="D223" s="64">
        <v>44382</v>
      </c>
      <c r="F223" s="65">
        <v>15689.8</v>
      </c>
    </row>
    <row r="224" spans="4:6" x14ac:dyDescent="0.25">
      <c r="D224" s="64">
        <v>44375</v>
      </c>
      <c r="F224" s="65">
        <v>15722.2</v>
      </c>
    </row>
    <row r="225" spans="4:6" x14ac:dyDescent="0.25">
      <c r="D225" s="64">
        <v>44368</v>
      </c>
      <c r="F225" s="65">
        <v>15860.35</v>
      </c>
    </row>
    <row r="226" spans="4:6" x14ac:dyDescent="0.25">
      <c r="D226" s="64">
        <v>44361</v>
      </c>
      <c r="F226" s="65">
        <v>15683.35</v>
      </c>
    </row>
    <row r="227" spans="4:6" x14ac:dyDescent="0.25">
      <c r="D227" s="64">
        <v>44354</v>
      </c>
      <c r="F227" s="65">
        <v>15799.35</v>
      </c>
    </row>
    <row r="228" spans="4:6" x14ac:dyDescent="0.25">
      <c r="D228" s="64">
        <v>44347</v>
      </c>
      <c r="F228" s="65">
        <v>15670.25</v>
      </c>
    </row>
    <row r="229" spans="4:6" x14ac:dyDescent="0.25">
      <c r="D229" s="64">
        <v>44340</v>
      </c>
      <c r="F229" s="65">
        <v>15435.65</v>
      </c>
    </row>
    <row r="230" spans="4:6" x14ac:dyDescent="0.25">
      <c r="D230" s="64">
        <v>44333</v>
      </c>
      <c r="F230" s="65">
        <v>15175.3</v>
      </c>
    </row>
    <row r="231" spans="4:6" x14ac:dyDescent="0.25">
      <c r="D231" s="64">
        <v>44326</v>
      </c>
      <c r="F231" s="65">
        <v>14677.8</v>
      </c>
    </row>
    <row r="232" spans="4:6" x14ac:dyDescent="0.25">
      <c r="D232" s="64">
        <v>44319</v>
      </c>
      <c r="F232" s="65">
        <v>14823.15</v>
      </c>
    </row>
    <row r="233" spans="4:6" x14ac:dyDescent="0.25">
      <c r="D233" s="64">
        <v>44312</v>
      </c>
      <c r="F233" s="65">
        <v>14631.1</v>
      </c>
    </row>
    <row r="234" spans="4:6" x14ac:dyDescent="0.25">
      <c r="D234" s="64">
        <v>44305</v>
      </c>
      <c r="F234" s="65">
        <v>14341.35</v>
      </c>
    </row>
    <row r="235" spans="4:6" x14ac:dyDescent="0.25">
      <c r="D235" s="64">
        <v>44298</v>
      </c>
      <c r="F235" s="65">
        <v>14617.85</v>
      </c>
    </row>
    <row r="236" spans="4:6" x14ac:dyDescent="0.25">
      <c r="D236" s="64">
        <v>44291</v>
      </c>
      <c r="F236" s="65">
        <v>14834.85</v>
      </c>
    </row>
    <row r="237" spans="4:6" x14ac:dyDescent="0.25">
      <c r="D237" s="64">
        <v>44284</v>
      </c>
      <c r="F237" s="65">
        <v>14867.35</v>
      </c>
    </row>
    <row r="238" spans="4:6" x14ac:dyDescent="0.25">
      <c r="D238" s="64">
        <v>44277</v>
      </c>
      <c r="F238" s="65">
        <v>14507.3</v>
      </c>
    </row>
    <row r="239" spans="4:6" x14ac:dyDescent="0.25">
      <c r="D239" s="64">
        <v>44270</v>
      </c>
      <c r="F239" s="65">
        <v>14744</v>
      </c>
    </row>
    <row r="240" spans="4:6" x14ac:dyDescent="0.25">
      <c r="D240" s="64">
        <v>44263</v>
      </c>
      <c r="F240" s="65">
        <v>15030.95</v>
      </c>
    </row>
    <row r="241" spans="4:6" x14ac:dyDescent="0.25">
      <c r="D241" s="64">
        <v>44256</v>
      </c>
      <c r="F241" s="65">
        <v>14938.1</v>
      </c>
    </row>
    <row r="242" spans="4:6" x14ac:dyDescent="0.25">
      <c r="D242" s="64">
        <v>44249</v>
      </c>
      <c r="F242" s="65">
        <v>14529.15</v>
      </c>
    </row>
    <row r="243" spans="4:6" x14ac:dyDescent="0.25">
      <c r="D243" s="64">
        <v>44242</v>
      </c>
      <c r="F243" s="65">
        <v>14981.75</v>
      </c>
    </row>
    <row r="244" spans="4:6" x14ac:dyDescent="0.25">
      <c r="D244" s="64">
        <v>44235</v>
      </c>
      <c r="F244" s="65">
        <v>15163.3</v>
      </c>
    </row>
    <row r="245" spans="4:6" x14ac:dyDescent="0.25">
      <c r="D245" s="64">
        <v>44228</v>
      </c>
      <c r="F245" s="65">
        <v>14924.25</v>
      </c>
    </row>
    <row r="246" spans="4:6" x14ac:dyDescent="0.25">
      <c r="D246" s="64">
        <v>44221</v>
      </c>
      <c r="F246" s="65">
        <v>13634.6</v>
      </c>
    </row>
    <row r="247" spans="4:6" x14ac:dyDescent="0.25">
      <c r="D247" s="64">
        <v>44214</v>
      </c>
      <c r="F247" s="65">
        <v>14371.9</v>
      </c>
    </row>
    <row r="248" spans="4:6" x14ac:dyDescent="0.25">
      <c r="D248" s="64">
        <v>44207</v>
      </c>
      <c r="F248" s="65">
        <v>14433.7</v>
      </c>
    </row>
    <row r="249" spans="4:6" x14ac:dyDescent="0.25">
      <c r="D249" s="64">
        <v>44200</v>
      </c>
      <c r="F249" s="65">
        <v>14347.25</v>
      </c>
    </row>
    <row r="250" spans="4:6" x14ac:dyDescent="0.25">
      <c r="D250" s="64">
        <v>44193</v>
      </c>
      <c r="F250" s="65">
        <v>14018.5</v>
      </c>
    </row>
    <row r="251" spans="4:6" x14ac:dyDescent="0.25">
      <c r="D251" s="64">
        <v>44186</v>
      </c>
      <c r="F251" s="65">
        <v>13749.25</v>
      </c>
    </row>
    <row r="252" spans="4:6" x14ac:dyDescent="0.25">
      <c r="D252" s="64">
        <v>44179</v>
      </c>
      <c r="F252" s="65">
        <v>13760.55</v>
      </c>
    </row>
    <row r="253" spans="4:6" x14ac:dyDescent="0.25">
      <c r="D253" s="64">
        <v>44172</v>
      </c>
      <c r="F253" s="65">
        <v>13513.85</v>
      </c>
    </row>
    <row r="254" spans="4:6" x14ac:dyDescent="0.25">
      <c r="D254" s="64">
        <v>44165</v>
      </c>
      <c r="F254" s="65">
        <v>13258.55</v>
      </c>
    </row>
    <row r="255" spans="4:6" x14ac:dyDescent="0.25">
      <c r="D255" s="64">
        <v>44158</v>
      </c>
      <c r="F255" s="65">
        <v>12968.95</v>
      </c>
    </row>
    <row r="256" spans="4:6" x14ac:dyDescent="0.25">
      <c r="D256" s="64">
        <v>44151</v>
      </c>
      <c r="F256" s="65">
        <v>12859.05</v>
      </c>
    </row>
    <row r="257" spans="4:6" x14ac:dyDescent="0.25">
      <c r="D257" s="64">
        <v>44144</v>
      </c>
      <c r="F257" s="65">
        <v>12719.95</v>
      </c>
    </row>
    <row r="258" spans="4:6" x14ac:dyDescent="0.25">
      <c r="D258" s="64">
        <v>44137</v>
      </c>
      <c r="F258" s="65">
        <v>12263.55</v>
      </c>
    </row>
    <row r="259" spans="4:6" x14ac:dyDescent="0.25">
      <c r="D259" s="64">
        <v>44130</v>
      </c>
      <c r="F259" s="65">
        <v>11642.4</v>
      </c>
    </row>
    <row r="260" spans="4:6" x14ac:dyDescent="0.25">
      <c r="D260" s="64">
        <v>44123</v>
      </c>
      <c r="F260" s="65">
        <v>11930.35</v>
      </c>
    </row>
    <row r="261" spans="4:6" x14ac:dyDescent="0.25">
      <c r="D261" s="64">
        <v>44116</v>
      </c>
      <c r="F261" s="65">
        <v>11762.45</v>
      </c>
    </row>
    <row r="262" spans="4:6" x14ac:dyDescent="0.25">
      <c r="D262" s="64">
        <v>44109</v>
      </c>
      <c r="F262" s="65">
        <v>11914.2</v>
      </c>
    </row>
    <row r="263" spans="4:6" x14ac:dyDescent="0.25">
      <c r="D263" s="64">
        <v>44102</v>
      </c>
      <c r="F263" s="65">
        <v>11416.95</v>
      </c>
    </row>
    <row r="264" spans="4:6" x14ac:dyDescent="0.25">
      <c r="D264" s="64">
        <v>44095</v>
      </c>
      <c r="F264" s="65">
        <v>11050.25</v>
      </c>
    </row>
    <row r="265" spans="4:6" x14ac:dyDescent="0.25">
      <c r="D265" s="64">
        <v>44088</v>
      </c>
      <c r="F265" s="65">
        <v>11504.95</v>
      </c>
    </row>
    <row r="266" spans="4:6" x14ac:dyDescent="0.25">
      <c r="D266" s="64">
        <v>44081</v>
      </c>
      <c r="F266" s="65">
        <v>11464.45</v>
      </c>
    </row>
    <row r="267" spans="4:6" x14ac:dyDescent="0.25">
      <c r="D267" s="64">
        <v>44074</v>
      </c>
      <c r="F267" s="65">
        <v>11333.85</v>
      </c>
    </row>
    <row r="268" spans="4:6" x14ac:dyDescent="0.25">
      <c r="D268" s="64">
        <v>44067</v>
      </c>
      <c r="F268" s="65">
        <v>11647.6</v>
      </c>
    </row>
    <row r="269" spans="4:6" x14ac:dyDescent="0.25">
      <c r="D269" s="64">
        <v>44060</v>
      </c>
      <c r="F269" s="65">
        <v>11371.6</v>
      </c>
    </row>
    <row r="270" spans="4:6" x14ac:dyDescent="0.25">
      <c r="D270" s="64">
        <v>44053</v>
      </c>
      <c r="F270" s="65">
        <v>11178.4</v>
      </c>
    </row>
    <row r="271" spans="4:6" x14ac:dyDescent="0.25">
      <c r="D271" s="64">
        <v>44046</v>
      </c>
      <c r="F271" s="65">
        <v>11214.05</v>
      </c>
    </row>
    <row r="272" spans="4:6" x14ac:dyDescent="0.25">
      <c r="D272" s="64">
        <v>44039</v>
      </c>
      <c r="F272" s="65">
        <v>11073.45</v>
      </c>
    </row>
    <row r="273" spans="4:6" x14ac:dyDescent="0.25">
      <c r="D273" s="64">
        <v>44032</v>
      </c>
      <c r="F273" s="65">
        <v>11194.15</v>
      </c>
    </row>
    <row r="274" spans="4:6" x14ac:dyDescent="0.25">
      <c r="D274" s="64">
        <v>44025</v>
      </c>
      <c r="F274" s="65">
        <v>10901.7</v>
      </c>
    </row>
    <row r="275" spans="4:6" x14ac:dyDescent="0.25">
      <c r="D275" s="64">
        <v>44018</v>
      </c>
      <c r="F275" s="65">
        <v>10768.05</v>
      </c>
    </row>
    <row r="276" spans="4:6" x14ac:dyDescent="0.25">
      <c r="D276" s="64">
        <v>44011</v>
      </c>
      <c r="F276" s="65">
        <v>10607.35</v>
      </c>
    </row>
    <row r="277" spans="4:6" x14ac:dyDescent="0.25">
      <c r="D277" s="64">
        <v>44004</v>
      </c>
      <c r="F277" s="65">
        <v>10383</v>
      </c>
    </row>
    <row r="278" spans="4:6" x14ac:dyDescent="0.25">
      <c r="D278" s="64">
        <v>43997</v>
      </c>
      <c r="F278" s="65">
        <v>10244.4</v>
      </c>
    </row>
    <row r="279" spans="4:6" x14ac:dyDescent="0.25">
      <c r="D279" s="64">
        <v>43990</v>
      </c>
      <c r="F279" s="65">
        <v>9972.9</v>
      </c>
    </row>
    <row r="280" spans="4:6" x14ac:dyDescent="0.25">
      <c r="D280" s="64">
        <v>43983</v>
      </c>
      <c r="F280" s="65">
        <v>10142.15</v>
      </c>
    </row>
    <row r="281" spans="4:6" x14ac:dyDescent="0.25">
      <c r="D281" s="64">
        <v>43976</v>
      </c>
      <c r="F281" s="65">
        <v>9580.2999999999993</v>
      </c>
    </row>
    <row r="282" spans="4:6" x14ac:dyDescent="0.25">
      <c r="D282" s="64">
        <v>43969</v>
      </c>
      <c r="F282" s="65">
        <v>9039.25</v>
      </c>
    </row>
    <row r="283" spans="4:6" x14ac:dyDescent="0.25">
      <c r="D283" s="64">
        <v>43962</v>
      </c>
      <c r="F283" s="65">
        <v>9136.85</v>
      </c>
    </row>
    <row r="284" spans="4:6" x14ac:dyDescent="0.25">
      <c r="D284" s="64">
        <v>43955</v>
      </c>
      <c r="F284" s="65">
        <v>9251.5</v>
      </c>
    </row>
    <row r="285" spans="4:6" x14ac:dyDescent="0.25">
      <c r="D285" s="64">
        <v>43948</v>
      </c>
      <c r="F285" s="65">
        <v>9859.9</v>
      </c>
    </row>
    <row r="286" spans="4:6" x14ac:dyDescent="0.25">
      <c r="D286" s="211">
        <v>43927</v>
      </c>
      <c r="F286" s="63">
        <v>9111.9</v>
      </c>
    </row>
    <row r="287" spans="4:6" x14ac:dyDescent="0.25">
      <c r="D287" s="211">
        <v>43920</v>
      </c>
      <c r="F287" s="63">
        <v>8083.8</v>
      </c>
    </row>
    <row r="288" spans="4:6" x14ac:dyDescent="0.25">
      <c r="D288" s="211">
        <v>43913</v>
      </c>
      <c r="F288" s="63">
        <v>8660.25</v>
      </c>
    </row>
    <row r="289" spans="4:6" x14ac:dyDescent="0.25">
      <c r="D289" s="211">
        <v>43906</v>
      </c>
      <c r="F289" s="63">
        <v>8745.4500000000007</v>
      </c>
    </row>
    <row r="290" spans="4:6" x14ac:dyDescent="0.25">
      <c r="D290" s="211">
        <v>43899</v>
      </c>
      <c r="F290" s="63">
        <v>9955.2000000000007</v>
      </c>
    </row>
    <row r="291" spans="4:6" x14ac:dyDescent="0.25">
      <c r="D291" s="211">
        <v>43892</v>
      </c>
      <c r="F291" s="63">
        <v>10989.45</v>
      </c>
    </row>
    <row r="292" spans="4:6" x14ac:dyDescent="0.25">
      <c r="D292" s="211">
        <v>43885</v>
      </c>
      <c r="F292" s="63">
        <v>11201.75</v>
      </c>
    </row>
    <row r="293" spans="4:6" x14ac:dyDescent="0.25">
      <c r="D293" s="211">
        <v>43878</v>
      </c>
      <c r="F293" s="63">
        <v>12080.85</v>
      </c>
    </row>
    <row r="294" spans="4:6" x14ac:dyDescent="0.25">
      <c r="D294" s="211">
        <v>43871</v>
      </c>
      <c r="F294" s="63">
        <v>12113.45</v>
      </c>
    </row>
    <row r="295" spans="4:6" x14ac:dyDescent="0.25">
      <c r="D295" s="211">
        <v>43864</v>
      </c>
      <c r="F295" s="63">
        <v>12098.35</v>
      </c>
    </row>
    <row r="296" spans="4:6" x14ac:dyDescent="0.25">
      <c r="D296" s="211">
        <v>43857</v>
      </c>
      <c r="F296" s="63">
        <v>11962.1</v>
      </c>
    </row>
    <row r="297" spans="4:6" x14ac:dyDescent="0.25">
      <c r="D297" s="211">
        <v>43850</v>
      </c>
      <c r="F297" s="63">
        <v>12248.25</v>
      </c>
    </row>
    <row r="298" spans="4:6" x14ac:dyDescent="0.25">
      <c r="D298" s="211">
        <v>43843</v>
      </c>
      <c r="F298" s="63">
        <v>12352.35</v>
      </c>
    </row>
    <row r="299" spans="4:6" x14ac:dyDescent="0.25">
      <c r="D299" s="211">
        <v>43836</v>
      </c>
      <c r="F299" s="63">
        <v>12256.8</v>
      </c>
    </row>
    <row r="300" spans="4:6" x14ac:dyDescent="0.25">
      <c r="D300" s="211">
        <v>43829</v>
      </c>
      <c r="F300" s="63">
        <v>12226.65</v>
      </c>
    </row>
    <row r="301" spans="4:6" x14ac:dyDescent="0.25">
      <c r="D301" s="211">
        <v>43822</v>
      </c>
      <c r="F301" s="63">
        <v>12245.8</v>
      </c>
    </row>
    <row r="302" spans="4:6" x14ac:dyDescent="0.25">
      <c r="D302" s="211">
        <v>43815</v>
      </c>
      <c r="F302" s="63">
        <v>12271.8</v>
      </c>
    </row>
    <row r="303" spans="4:6" x14ac:dyDescent="0.25">
      <c r="D303" s="211">
        <v>43808</v>
      </c>
      <c r="F303" s="63">
        <v>12086.7</v>
      </c>
    </row>
    <row r="304" spans="4:6" x14ac:dyDescent="0.25">
      <c r="D304" s="211">
        <v>43801</v>
      </c>
      <c r="F304" s="63">
        <v>11921.5</v>
      </c>
    </row>
    <row r="305" spans="4:6" x14ac:dyDescent="0.25">
      <c r="D305" s="211">
        <v>43794</v>
      </c>
      <c r="F305" s="63">
        <v>12056.05</v>
      </c>
    </row>
    <row r="306" spans="4:6" x14ac:dyDescent="0.25">
      <c r="D306" s="211">
        <v>43787</v>
      </c>
      <c r="F306" s="63">
        <v>11914.4</v>
      </c>
    </row>
    <row r="307" spans="4:6" x14ac:dyDescent="0.25">
      <c r="D307" s="211">
        <v>43780</v>
      </c>
      <c r="F307" s="63">
        <v>11895.45</v>
      </c>
    </row>
    <row r="308" spans="4:6" x14ac:dyDescent="0.25">
      <c r="D308" s="211">
        <v>43773</v>
      </c>
      <c r="F308" s="63">
        <v>11908.15</v>
      </c>
    </row>
    <row r="309" spans="4:6" x14ac:dyDescent="0.25">
      <c r="D309" s="211">
        <v>43766</v>
      </c>
      <c r="F309" s="63">
        <v>11890.6</v>
      </c>
    </row>
    <row r="310" spans="4:6" x14ac:dyDescent="0.25">
      <c r="D310" s="211">
        <v>43759</v>
      </c>
      <c r="F310" s="63">
        <v>11583.9</v>
      </c>
    </row>
    <row r="311" spans="4:6" x14ac:dyDescent="0.25">
      <c r="D311" s="211">
        <v>43752</v>
      </c>
      <c r="F311" s="63">
        <v>11661.85</v>
      </c>
    </row>
    <row r="312" spans="4:6" x14ac:dyDescent="0.25">
      <c r="D312" s="211">
        <v>43745</v>
      </c>
      <c r="F312" s="63">
        <v>11305.05</v>
      </c>
    </row>
    <row r="313" spans="4:6" x14ac:dyDescent="0.25">
      <c r="D313" s="211">
        <v>43738</v>
      </c>
      <c r="F313" s="63">
        <v>11174.75</v>
      </c>
    </row>
    <row r="314" spans="4:6" x14ac:dyDescent="0.25">
      <c r="D314" s="211">
        <v>43731</v>
      </c>
      <c r="F314" s="63">
        <v>11512.4</v>
      </c>
    </row>
    <row r="315" spans="4:6" x14ac:dyDescent="0.25">
      <c r="D315" s="211">
        <v>43724</v>
      </c>
      <c r="F315" s="63">
        <v>11274.2</v>
      </c>
    </row>
    <row r="316" spans="4:6" x14ac:dyDescent="0.25">
      <c r="D316" s="211">
        <v>43717</v>
      </c>
      <c r="F316" s="63">
        <v>11075.9</v>
      </c>
    </row>
    <row r="317" spans="4:6" x14ac:dyDescent="0.25">
      <c r="D317" s="211">
        <v>43710</v>
      </c>
      <c r="F317" s="63">
        <v>10946.2</v>
      </c>
    </row>
    <row r="318" spans="4:6" x14ac:dyDescent="0.25">
      <c r="D318" s="211">
        <v>43703</v>
      </c>
      <c r="F318" s="63">
        <v>11023.25</v>
      </c>
    </row>
    <row r="319" spans="4:6" x14ac:dyDescent="0.25">
      <c r="D319" s="211">
        <v>43696</v>
      </c>
      <c r="F319" s="63">
        <v>10829.35</v>
      </c>
    </row>
    <row r="320" spans="4:6" x14ac:dyDescent="0.25">
      <c r="D320" s="211">
        <v>43689</v>
      </c>
      <c r="F320" s="63">
        <v>11047.8</v>
      </c>
    </row>
    <row r="321" spans="4:6" x14ac:dyDescent="0.25">
      <c r="D321" s="211">
        <v>43682</v>
      </c>
      <c r="F321" s="63">
        <v>11109.65</v>
      </c>
    </row>
    <row r="322" spans="4:6" x14ac:dyDescent="0.25">
      <c r="D322" s="211">
        <v>43675</v>
      </c>
      <c r="F322" s="63">
        <v>10997.35</v>
      </c>
    </row>
    <row r="323" spans="4:6" x14ac:dyDescent="0.25">
      <c r="D323" s="211">
        <v>43668</v>
      </c>
      <c r="F323" s="63">
        <v>11284.3</v>
      </c>
    </row>
    <row r="324" spans="4:6" x14ac:dyDescent="0.25">
      <c r="D324" s="211">
        <v>43661</v>
      </c>
      <c r="F324" s="63">
        <v>11419.25</v>
      </c>
    </row>
    <row r="325" spans="4:6" x14ac:dyDescent="0.25">
      <c r="D325" s="211">
        <v>43654</v>
      </c>
      <c r="F325" s="63">
        <v>11552.5</v>
      </c>
    </row>
    <row r="326" spans="4:6" x14ac:dyDescent="0.25">
      <c r="D326" s="211">
        <v>43647</v>
      </c>
      <c r="F326" s="63">
        <v>11811.15</v>
      </c>
    </row>
    <row r="327" spans="4:6" x14ac:dyDescent="0.25">
      <c r="D327" s="211">
        <v>43640</v>
      </c>
      <c r="F327" s="63">
        <v>11788.85</v>
      </c>
    </row>
    <row r="328" spans="4:6" x14ac:dyDescent="0.25">
      <c r="D328" s="211">
        <v>43633</v>
      </c>
      <c r="F328" s="63">
        <v>11724.1</v>
      </c>
    </row>
    <row r="329" spans="4:6" x14ac:dyDescent="0.25">
      <c r="D329" s="211">
        <v>43626</v>
      </c>
      <c r="F329" s="63">
        <v>11823.3</v>
      </c>
    </row>
    <row r="330" spans="4:6" x14ac:dyDescent="0.25">
      <c r="D330" s="211">
        <v>43619</v>
      </c>
      <c r="F330" s="63">
        <v>11870.65</v>
      </c>
    </row>
    <row r="331" spans="4:6" x14ac:dyDescent="0.25">
      <c r="D331" s="211">
        <v>43612</v>
      </c>
      <c r="F331" s="63">
        <v>11922.8</v>
      </c>
    </row>
    <row r="332" spans="4:6" x14ac:dyDescent="0.25">
      <c r="D332" s="211">
        <v>43605</v>
      </c>
      <c r="F332" s="63">
        <v>11844.1</v>
      </c>
    </row>
    <row r="333" spans="4:6" x14ac:dyDescent="0.25">
      <c r="D333" s="211">
        <v>43598</v>
      </c>
      <c r="F333" s="63">
        <v>11407.15</v>
      </c>
    </row>
    <row r="334" spans="4:6" x14ac:dyDescent="0.25">
      <c r="D334" s="211">
        <v>43591</v>
      </c>
      <c r="F334" s="63">
        <v>11278.9</v>
      </c>
    </row>
    <row r="335" spans="4:6" x14ac:dyDescent="0.25">
      <c r="D335" s="211">
        <v>43584</v>
      </c>
      <c r="F335" s="63">
        <v>11712.25</v>
      </c>
    </row>
    <row r="336" spans="4:6" x14ac:dyDescent="0.25">
      <c r="D336" s="211">
        <v>43577</v>
      </c>
      <c r="F336" s="63">
        <v>11754.65</v>
      </c>
    </row>
    <row r="337" spans="4:6" x14ac:dyDescent="0.25">
      <c r="D337" s="211">
        <v>43570</v>
      </c>
      <c r="F337" s="63">
        <v>11752.8</v>
      </c>
    </row>
    <row r="338" spans="4:6" x14ac:dyDescent="0.25">
      <c r="D338" s="211">
        <v>43563</v>
      </c>
      <c r="F338" s="63">
        <v>11643.45</v>
      </c>
    </row>
    <row r="339" spans="4:6" x14ac:dyDescent="0.25">
      <c r="D339" s="211">
        <v>43556</v>
      </c>
      <c r="F339" s="63">
        <v>11665.95</v>
      </c>
    </row>
    <row r="340" spans="4:6" x14ac:dyDescent="0.25">
      <c r="D340" s="211">
        <v>43549</v>
      </c>
      <c r="F340" s="63">
        <v>11623.9</v>
      </c>
    </row>
    <row r="341" spans="4:6" x14ac:dyDescent="0.25">
      <c r="D341" s="211">
        <v>43542</v>
      </c>
      <c r="F341" s="63">
        <v>11456.9</v>
      </c>
    </row>
    <row r="342" spans="4:6" x14ac:dyDescent="0.25">
      <c r="D342" s="211">
        <v>43535</v>
      </c>
      <c r="F342" s="63">
        <v>11426.85</v>
      </c>
    </row>
    <row r="343" spans="4:6" x14ac:dyDescent="0.25">
      <c r="D343" s="211">
        <v>43528</v>
      </c>
      <c r="F343" s="63">
        <v>11035.4</v>
      </c>
    </row>
    <row r="344" spans="4:6" x14ac:dyDescent="0.25">
      <c r="D344" s="211">
        <v>43521</v>
      </c>
      <c r="F344" s="63">
        <v>10863.5</v>
      </c>
    </row>
    <row r="345" spans="4:6" x14ac:dyDescent="0.25">
      <c r="D345" s="211">
        <v>43514</v>
      </c>
      <c r="F345" s="63">
        <v>10791.65</v>
      </c>
    </row>
    <row r="346" spans="4:6" x14ac:dyDescent="0.25">
      <c r="D346" s="211">
        <v>43507</v>
      </c>
      <c r="F346" s="63">
        <v>10724.4</v>
      </c>
    </row>
    <row r="347" spans="4:6" x14ac:dyDescent="0.25">
      <c r="D347" s="211">
        <v>43500</v>
      </c>
      <c r="F347" s="63">
        <v>10943.6</v>
      </c>
    </row>
    <row r="348" spans="4:6" x14ac:dyDescent="0.25">
      <c r="D348" s="211">
        <v>43493</v>
      </c>
      <c r="F348" s="63">
        <v>10893.65</v>
      </c>
    </row>
    <row r="349" spans="4:6" x14ac:dyDescent="0.25">
      <c r="D349" s="211">
        <v>43486</v>
      </c>
      <c r="F349" s="63">
        <v>10780.55</v>
      </c>
    </row>
    <row r="350" spans="4:6" x14ac:dyDescent="0.25">
      <c r="D350" s="211">
        <v>43479</v>
      </c>
      <c r="F350" s="63">
        <v>10906.95</v>
      </c>
    </row>
    <row r="351" spans="4:6" x14ac:dyDescent="0.25">
      <c r="D351" s="211">
        <v>43472</v>
      </c>
      <c r="F351" s="63">
        <v>10794.95</v>
      </c>
    </row>
    <row r="352" spans="4:6" x14ac:dyDescent="0.25">
      <c r="D352" s="211">
        <v>43465</v>
      </c>
      <c r="F352" s="63">
        <v>10727.35</v>
      </c>
    </row>
    <row r="353" spans="4:6" x14ac:dyDescent="0.25">
      <c r="D353" s="211">
        <v>43458</v>
      </c>
      <c r="F353" s="63">
        <v>10859.9</v>
      </c>
    </row>
    <row r="354" spans="4:6" x14ac:dyDescent="0.25">
      <c r="D354" s="211">
        <v>43451</v>
      </c>
      <c r="F354" s="63">
        <v>10754</v>
      </c>
    </row>
    <row r="355" spans="4:6" x14ac:dyDescent="0.25">
      <c r="D355" s="211">
        <v>43444</v>
      </c>
      <c r="F355" s="63">
        <v>10805.45</v>
      </c>
    </row>
    <row r="356" spans="4:6" x14ac:dyDescent="0.25">
      <c r="D356" s="211">
        <v>43437</v>
      </c>
      <c r="F356" s="63">
        <v>10693.7</v>
      </c>
    </row>
    <row r="357" spans="4:6" x14ac:dyDescent="0.25">
      <c r="D357" s="211">
        <v>43430</v>
      </c>
      <c r="F357" s="63">
        <v>10876.75</v>
      </c>
    </row>
    <row r="358" spans="4:6" x14ac:dyDescent="0.25">
      <c r="D358" s="211">
        <v>43423</v>
      </c>
      <c r="F358" s="63">
        <v>10526.75</v>
      </c>
    </row>
    <row r="359" spans="4:6" x14ac:dyDescent="0.25">
      <c r="D359" s="211">
        <v>43416</v>
      </c>
      <c r="F359" s="63">
        <v>10682.2</v>
      </c>
    </row>
    <row r="360" spans="4:6" x14ac:dyDescent="0.25">
      <c r="D360" s="211">
        <v>43409</v>
      </c>
      <c r="F360" s="63">
        <v>10585.2</v>
      </c>
    </row>
    <row r="361" spans="4:6" x14ac:dyDescent="0.25">
      <c r="D361" s="211">
        <v>43402</v>
      </c>
      <c r="F361" s="63">
        <v>10553</v>
      </c>
    </row>
    <row r="362" spans="4:6" x14ac:dyDescent="0.25">
      <c r="D362" s="211">
        <v>43395</v>
      </c>
      <c r="F362" s="63">
        <v>10030</v>
      </c>
    </row>
    <row r="363" spans="4:6" x14ac:dyDescent="0.25">
      <c r="D363" s="211">
        <v>43388</v>
      </c>
      <c r="F363" s="63">
        <v>10303.549999999999</v>
      </c>
    </row>
    <row r="364" spans="4:6" x14ac:dyDescent="0.25">
      <c r="D364" s="211">
        <v>43381</v>
      </c>
      <c r="F364" s="63">
        <v>10472.5</v>
      </c>
    </row>
    <row r="365" spans="4:6" x14ac:dyDescent="0.25">
      <c r="D365" s="211">
        <v>43374</v>
      </c>
      <c r="F365" s="63">
        <v>10316.450000000001</v>
      </c>
    </row>
    <row r="366" spans="4:6" x14ac:dyDescent="0.25">
      <c r="D366" s="211">
        <v>43367</v>
      </c>
      <c r="F366" s="63">
        <v>10930.45</v>
      </c>
    </row>
    <row r="367" spans="4:6" x14ac:dyDescent="0.25">
      <c r="D367" s="211">
        <v>43360</v>
      </c>
      <c r="F367" s="63">
        <v>11143.1</v>
      </c>
    </row>
    <row r="368" spans="4:6" x14ac:dyDescent="0.25">
      <c r="D368" s="211">
        <v>43353</v>
      </c>
      <c r="F368" s="63">
        <v>11515.2</v>
      </c>
    </row>
    <row r="369" spans="4:6" x14ac:dyDescent="0.25">
      <c r="D369" s="211">
        <v>43346</v>
      </c>
      <c r="F369" s="63">
        <v>11589.1</v>
      </c>
    </row>
    <row r="370" spans="4:6" x14ac:dyDescent="0.25">
      <c r="D370" s="211">
        <v>43339</v>
      </c>
      <c r="F370" s="63">
        <v>11680.5</v>
      </c>
    </row>
    <row r="371" spans="4:6" x14ac:dyDescent="0.25">
      <c r="D371" s="211">
        <v>43332</v>
      </c>
      <c r="F371" s="63">
        <v>11557.1</v>
      </c>
    </row>
    <row r="372" spans="4:6" x14ac:dyDescent="0.25">
      <c r="D372" s="211">
        <v>43325</v>
      </c>
      <c r="F372" s="63">
        <v>11470.75</v>
      </c>
    </row>
    <row r="373" spans="4:6" x14ac:dyDescent="0.25">
      <c r="D373" s="211">
        <v>43318</v>
      </c>
      <c r="F373" s="63">
        <v>11429.5</v>
      </c>
    </row>
    <row r="374" spans="4:6" x14ac:dyDescent="0.25">
      <c r="D374" s="211">
        <v>43311</v>
      </c>
      <c r="F374" s="63">
        <v>11360.8</v>
      </c>
    </row>
    <row r="375" spans="4:6" x14ac:dyDescent="0.25">
      <c r="D375" s="211">
        <v>43304</v>
      </c>
      <c r="F375" s="63">
        <v>11278.35</v>
      </c>
    </row>
    <row r="376" spans="4:6" x14ac:dyDescent="0.25">
      <c r="D376" s="211">
        <v>43297</v>
      </c>
      <c r="F376" s="63">
        <v>11010.2</v>
      </c>
    </row>
    <row r="377" spans="4:6" x14ac:dyDescent="0.25">
      <c r="D377" s="211">
        <v>43290</v>
      </c>
      <c r="F377" s="63">
        <v>11018.9</v>
      </c>
    </row>
    <row r="378" spans="4:6" x14ac:dyDescent="0.25">
      <c r="D378" s="211">
        <v>43283</v>
      </c>
      <c r="F378" s="63">
        <v>10772.65</v>
      </c>
    </row>
    <row r="379" spans="4:6" x14ac:dyDescent="0.25">
      <c r="D379" s="211">
        <v>43276</v>
      </c>
      <c r="F379" s="63">
        <v>10714.3</v>
      </c>
    </row>
    <row r="380" spans="4:6" x14ac:dyDescent="0.25">
      <c r="D380" s="211">
        <v>43269</v>
      </c>
      <c r="F380" s="63">
        <v>10821.85</v>
      </c>
    </row>
    <row r="381" spans="4:6" x14ac:dyDescent="0.25">
      <c r="D381" s="211">
        <v>43262</v>
      </c>
      <c r="F381" s="63">
        <v>10817.7</v>
      </c>
    </row>
    <row r="382" spans="4:6" x14ac:dyDescent="0.25">
      <c r="D382" s="211">
        <v>43255</v>
      </c>
      <c r="F382" s="63">
        <v>10767.65</v>
      </c>
    </row>
    <row r="383" spans="4:6" x14ac:dyDescent="0.25">
      <c r="D383" s="211">
        <v>43248</v>
      </c>
      <c r="F383" s="63">
        <v>10696.2</v>
      </c>
    </row>
    <row r="384" spans="4:6" x14ac:dyDescent="0.25">
      <c r="D384" s="211">
        <v>43241</v>
      </c>
      <c r="F384" s="63">
        <v>10605.15</v>
      </c>
    </row>
    <row r="385" spans="4:6" x14ac:dyDescent="0.25">
      <c r="D385" s="211">
        <v>43234</v>
      </c>
      <c r="F385" s="63">
        <v>10596.4</v>
      </c>
    </row>
    <row r="386" spans="4:6" x14ac:dyDescent="0.25">
      <c r="D386" s="211">
        <v>43227</v>
      </c>
      <c r="F386" s="63">
        <v>10806.5</v>
      </c>
    </row>
    <row r="387" spans="4:6" x14ac:dyDescent="0.25">
      <c r="D387" s="211">
        <v>43220</v>
      </c>
      <c r="F387" s="63">
        <v>10618.25</v>
      </c>
    </row>
    <row r="388" spans="4:6" x14ac:dyDescent="0.25">
      <c r="D388" s="211">
        <v>43213</v>
      </c>
      <c r="F388" s="63">
        <v>10692.3</v>
      </c>
    </row>
    <row r="389" spans="4:6" x14ac:dyDescent="0.25">
      <c r="D389" s="211">
        <v>43206</v>
      </c>
      <c r="F389" s="63">
        <v>10564.05</v>
      </c>
    </row>
    <row r="390" spans="4:6" x14ac:dyDescent="0.25">
      <c r="D390" s="211">
        <v>43199</v>
      </c>
      <c r="F390" s="63">
        <v>10480.6</v>
      </c>
    </row>
    <row r="391" spans="4:6" x14ac:dyDescent="0.25">
      <c r="D391" s="211">
        <v>43192</v>
      </c>
      <c r="F391" s="63">
        <v>10331.6</v>
      </c>
    </row>
    <row r="392" spans="4:6" x14ac:dyDescent="0.25">
      <c r="D392" s="211">
        <v>43185</v>
      </c>
      <c r="F392" s="63">
        <v>10113.700000000001</v>
      </c>
    </row>
    <row r="393" spans="4:6" x14ac:dyDescent="0.25">
      <c r="D393" s="211">
        <v>43178</v>
      </c>
      <c r="F393" s="63">
        <v>9998.0499999999993</v>
      </c>
    </row>
    <row r="394" spans="4:6" x14ac:dyDescent="0.25">
      <c r="D394" s="211">
        <v>43171</v>
      </c>
      <c r="F394" s="63">
        <v>10195.15</v>
      </c>
    </row>
    <row r="395" spans="4:6" x14ac:dyDescent="0.25">
      <c r="D395" s="211">
        <v>43164</v>
      </c>
      <c r="F395" s="63">
        <v>10226.85</v>
      </c>
    </row>
    <row r="396" spans="4:6" x14ac:dyDescent="0.25">
      <c r="D396" s="211">
        <v>43157</v>
      </c>
      <c r="F396" s="63">
        <v>10458.35</v>
      </c>
    </row>
    <row r="397" spans="4:6" x14ac:dyDescent="0.25">
      <c r="D397" s="211">
        <v>43150</v>
      </c>
      <c r="F397" s="63">
        <v>10491.05</v>
      </c>
    </row>
    <row r="398" spans="4:6" x14ac:dyDescent="0.25">
      <c r="D398" s="211">
        <v>43143</v>
      </c>
      <c r="F398" s="63">
        <v>10452.299999999999</v>
      </c>
    </row>
    <row r="399" spans="4:6" x14ac:dyDescent="0.25">
      <c r="D399" s="211">
        <v>43136</v>
      </c>
      <c r="F399" s="63">
        <v>10454.950000000001</v>
      </c>
    </row>
    <row r="400" spans="4:6" x14ac:dyDescent="0.25">
      <c r="D400" s="211">
        <v>43129</v>
      </c>
      <c r="F400" s="63">
        <v>10760.6</v>
      </c>
    </row>
    <row r="401" spans="4:6" x14ac:dyDescent="0.25">
      <c r="D401" s="211">
        <v>43122</v>
      </c>
      <c r="F401" s="63">
        <v>11069.65</v>
      </c>
    </row>
    <row r="402" spans="4:6" x14ac:dyDescent="0.25">
      <c r="D402" s="211">
        <v>43115</v>
      </c>
      <c r="F402" s="63">
        <v>10894.7</v>
      </c>
    </row>
    <row r="403" spans="4:6" x14ac:dyDescent="0.25">
      <c r="D403" s="211">
        <v>43108</v>
      </c>
      <c r="F403" s="63">
        <v>10681.25</v>
      </c>
    </row>
    <row r="404" spans="4:6" x14ac:dyDescent="0.25">
      <c r="D404" s="211">
        <v>43101</v>
      </c>
      <c r="F404" s="63">
        <v>10558.85</v>
      </c>
    </row>
    <row r="405" spans="4:6" x14ac:dyDescent="0.25">
      <c r="D405" s="211">
        <v>43094</v>
      </c>
      <c r="F405" s="63">
        <v>10530.7</v>
      </c>
    </row>
    <row r="406" spans="4:6" x14ac:dyDescent="0.25">
      <c r="D406" s="211">
        <v>43087</v>
      </c>
      <c r="F406" s="63">
        <v>10493</v>
      </c>
    </row>
    <row r="407" spans="4:6" x14ac:dyDescent="0.25">
      <c r="D407" s="211">
        <v>43080</v>
      </c>
      <c r="F407" s="63">
        <v>10333.25</v>
      </c>
    </row>
    <row r="408" spans="4:6" x14ac:dyDescent="0.25">
      <c r="D408" s="211">
        <v>43073</v>
      </c>
      <c r="F408" s="63">
        <v>10265.65</v>
      </c>
    </row>
    <row r="409" spans="4:6" x14ac:dyDescent="0.25">
      <c r="D409" s="211">
        <v>43066</v>
      </c>
      <c r="F409" s="63">
        <v>10121.799999999999</v>
      </c>
    </row>
    <row r="410" spans="4:6" x14ac:dyDescent="0.25">
      <c r="D410" s="211">
        <v>43059</v>
      </c>
      <c r="F410" s="63">
        <v>10389.700000000001</v>
      </c>
    </row>
    <row r="411" spans="4:6" x14ac:dyDescent="0.25">
      <c r="D411" s="211">
        <v>43052</v>
      </c>
      <c r="F411" s="63">
        <v>10283.6</v>
      </c>
    </row>
    <row r="412" spans="4:6" x14ac:dyDescent="0.25">
      <c r="D412" s="211">
        <v>43045</v>
      </c>
      <c r="F412" s="63">
        <v>10321.75</v>
      </c>
    </row>
    <row r="413" spans="4:6" x14ac:dyDescent="0.25">
      <c r="D413" s="211">
        <v>43038</v>
      </c>
      <c r="F413" s="63">
        <v>10452.5</v>
      </c>
    </row>
    <row r="414" spans="4:6" x14ac:dyDescent="0.25">
      <c r="D414" s="211">
        <v>43031</v>
      </c>
      <c r="F414" s="63">
        <v>10323.049999999999</v>
      </c>
    </row>
    <row r="415" spans="4:6" x14ac:dyDescent="0.25">
      <c r="D415" s="211">
        <v>43024</v>
      </c>
      <c r="F415" s="63">
        <v>10146.549999999999</v>
      </c>
    </row>
    <row r="416" spans="4:6" x14ac:dyDescent="0.25">
      <c r="D416" s="211">
        <v>43017</v>
      </c>
      <c r="F416" s="63">
        <v>10167.450000000001</v>
      </c>
    </row>
    <row r="417" spans="4:6" x14ac:dyDescent="0.25">
      <c r="D417" s="211">
        <v>43010</v>
      </c>
      <c r="F417" s="63">
        <v>9979.7000000000007</v>
      </c>
    </row>
    <row r="418" spans="4:6" x14ac:dyDescent="0.25">
      <c r="D418" s="211">
        <v>43003</v>
      </c>
      <c r="F418" s="63">
        <v>9788.6</v>
      </c>
    </row>
    <row r="419" spans="4:6" x14ac:dyDescent="0.25">
      <c r="D419" s="211">
        <v>42996</v>
      </c>
      <c r="F419" s="63">
        <v>9964.4</v>
      </c>
    </row>
    <row r="420" spans="4:6" x14ac:dyDescent="0.25">
      <c r="D420" s="211">
        <v>42989</v>
      </c>
      <c r="F420" s="63">
        <v>10085.4</v>
      </c>
    </row>
    <row r="421" spans="4:6" x14ac:dyDescent="0.25">
      <c r="D421" s="211">
        <v>42982</v>
      </c>
      <c r="F421" s="63">
        <v>9934.7999999999993</v>
      </c>
    </row>
    <row r="422" spans="4:6" x14ac:dyDescent="0.25">
      <c r="D422" s="211">
        <v>42975</v>
      </c>
      <c r="F422" s="63">
        <v>9974.4</v>
      </c>
    </row>
    <row r="423" spans="4:6" x14ac:dyDescent="0.25">
      <c r="D423" s="211">
        <v>42968</v>
      </c>
      <c r="F423" s="63">
        <v>9857.0499999999993</v>
      </c>
    </row>
    <row r="424" spans="4:6" x14ac:dyDescent="0.25">
      <c r="D424" s="211">
        <v>42961</v>
      </c>
      <c r="F424" s="63">
        <v>9837.4</v>
      </c>
    </row>
    <row r="425" spans="4:6" x14ac:dyDescent="0.25">
      <c r="D425" s="211">
        <v>42954</v>
      </c>
      <c r="F425" s="63">
        <v>9710.7999999999993</v>
      </c>
    </row>
    <row r="426" spans="4:6" x14ac:dyDescent="0.25">
      <c r="D426" s="211">
        <v>42947</v>
      </c>
      <c r="F426" s="63">
        <v>10066.4</v>
      </c>
    </row>
    <row r="427" spans="4:6" x14ac:dyDescent="0.25">
      <c r="D427" s="211">
        <v>42940</v>
      </c>
      <c r="F427" s="63">
        <v>10014.5</v>
      </c>
    </row>
    <row r="428" spans="4:6" x14ac:dyDescent="0.25">
      <c r="D428" s="211">
        <v>42933</v>
      </c>
      <c r="F428" s="63">
        <v>9915.25</v>
      </c>
    </row>
    <row r="429" spans="4:6" x14ac:dyDescent="0.25">
      <c r="D429" s="211">
        <v>42926</v>
      </c>
      <c r="F429" s="63">
        <v>9886.35</v>
      </c>
    </row>
    <row r="430" spans="4:6" x14ac:dyDescent="0.25">
      <c r="D430" s="211">
        <v>42919</v>
      </c>
      <c r="F430" s="63">
        <v>9665.7999999999993</v>
      </c>
    </row>
    <row r="431" spans="4:6" x14ac:dyDescent="0.25">
      <c r="D431" s="211">
        <v>42912</v>
      </c>
      <c r="F431" s="63">
        <v>9520.9</v>
      </c>
    </row>
    <row r="432" spans="4:6" x14ac:dyDescent="0.25">
      <c r="D432" s="211">
        <v>42905</v>
      </c>
      <c r="F432" s="63">
        <v>9574.9500000000007</v>
      </c>
    </row>
    <row r="433" spans="4:6" x14ac:dyDescent="0.25">
      <c r="D433" s="211">
        <v>42898</v>
      </c>
      <c r="F433" s="63">
        <v>9588.0499999999993</v>
      </c>
    </row>
    <row r="434" spans="4:6" x14ac:dyDescent="0.25">
      <c r="D434" s="211">
        <v>42891</v>
      </c>
      <c r="F434" s="63">
        <v>9668.25</v>
      </c>
    </row>
    <row r="435" spans="4:6" x14ac:dyDescent="0.25">
      <c r="D435" s="211">
        <v>42884</v>
      </c>
      <c r="F435" s="63">
        <v>9653.5</v>
      </c>
    </row>
    <row r="436" spans="4:6" x14ac:dyDescent="0.25">
      <c r="D436" s="211">
        <v>42877</v>
      </c>
      <c r="F436" s="63">
        <v>9595.1</v>
      </c>
    </row>
    <row r="437" spans="4:6" x14ac:dyDescent="0.25">
      <c r="D437" s="211">
        <v>42870</v>
      </c>
      <c r="F437" s="63">
        <v>9427.9</v>
      </c>
    </row>
    <row r="438" spans="4:6" x14ac:dyDescent="0.25">
      <c r="D438" s="211">
        <v>42863</v>
      </c>
      <c r="F438" s="63">
        <v>9400.9</v>
      </c>
    </row>
    <row r="439" spans="4:6" x14ac:dyDescent="0.25">
      <c r="D439" s="211">
        <v>42856</v>
      </c>
      <c r="F439" s="63">
        <v>9285.2999999999993</v>
      </c>
    </row>
    <row r="440" spans="4:6" x14ac:dyDescent="0.25">
      <c r="D440" s="211">
        <v>42849</v>
      </c>
      <c r="F440" s="63">
        <v>9304.0499999999993</v>
      </c>
    </row>
    <row r="441" spans="4:6" x14ac:dyDescent="0.25">
      <c r="D441" s="211">
        <v>42842</v>
      </c>
      <c r="F441" s="63">
        <v>9119.4</v>
      </c>
    </row>
    <row r="442" spans="4:6" x14ac:dyDescent="0.25">
      <c r="D442" s="211">
        <v>42835</v>
      </c>
      <c r="F442" s="63">
        <v>9150.7999999999993</v>
      </c>
    </row>
    <row r="443" spans="4:6" x14ac:dyDescent="0.25">
      <c r="D443" s="211">
        <v>42828</v>
      </c>
      <c r="F443" s="63">
        <v>9198.2999999999993</v>
      </c>
    </row>
    <row r="444" spans="4:6" x14ac:dyDescent="0.25">
      <c r="D444" s="211">
        <v>42821</v>
      </c>
      <c r="F444" s="63">
        <v>9173.75</v>
      </c>
    </row>
    <row r="445" spans="4:6" x14ac:dyDescent="0.25">
      <c r="D445" s="211">
        <v>42814</v>
      </c>
      <c r="F445" s="63">
        <v>9108</v>
      </c>
    </row>
    <row r="446" spans="4:6" x14ac:dyDescent="0.25">
      <c r="D446" s="211">
        <v>42807</v>
      </c>
      <c r="F446" s="63">
        <v>9160.0499999999993</v>
      </c>
    </row>
    <row r="447" spans="4:6" x14ac:dyDescent="0.25">
      <c r="D447" s="211">
        <v>42800</v>
      </c>
      <c r="F447" s="63">
        <v>8934.5499999999993</v>
      </c>
    </row>
    <row r="448" spans="4:6" x14ac:dyDescent="0.25">
      <c r="D448" s="211">
        <v>42793</v>
      </c>
      <c r="F448" s="63">
        <v>8897.5499999999993</v>
      </c>
    </row>
    <row r="449" spans="4:6" x14ac:dyDescent="0.25">
      <c r="D449" s="211">
        <v>42786</v>
      </c>
      <c r="F449" s="63">
        <v>8939.5</v>
      </c>
    </row>
    <row r="450" spans="4:6" x14ac:dyDescent="0.25">
      <c r="D450" s="211">
        <v>42779</v>
      </c>
      <c r="F450" s="63">
        <v>8821.7000000000007</v>
      </c>
    </row>
    <row r="451" spans="4:6" x14ac:dyDescent="0.25">
      <c r="D451" s="211">
        <v>42772</v>
      </c>
      <c r="F451" s="63">
        <v>8793.5499999999993</v>
      </c>
    </row>
    <row r="452" spans="4:6" x14ac:dyDescent="0.25">
      <c r="D452" s="211">
        <v>42765</v>
      </c>
      <c r="F452" s="63">
        <v>8740.9500000000007</v>
      </c>
    </row>
    <row r="453" spans="4:6" x14ac:dyDescent="0.25">
      <c r="D453" s="211">
        <v>42758</v>
      </c>
      <c r="F453" s="63">
        <v>8641.25</v>
      </c>
    </row>
    <row r="454" spans="4:6" x14ac:dyDescent="0.25">
      <c r="D454" s="211">
        <v>42751</v>
      </c>
      <c r="F454" s="63">
        <v>8349.35</v>
      </c>
    </row>
    <row r="455" spans="4:6" x14ac:dyDescent="0.25">
      <c r="D455" s="211">
        <v>42744</v>
      </c>
      <c r="F455" s="63">
        <v>8400.35</v>
      </c>
    </row>
    <row r="456" spans="4:6" x14ac:dyDescent="0.25">
      <c r="D456" s="211">
        <v>42737</v>
      </c>
      <c r="F456" s="63">
        <v>8243.7999999999993</v>
      </c>
    </row>
    <row r="457" spans="4:6" x14ac:dyDescent="0.25">
      <c r="D457" s="211">
        <v>42730</v>
      </c>
      <c r="F457" s="63">
        <v>8185.8</v>
      </c>
    </row>
    <row r="458" spans="4:6" x14ac:dyDescent="0.25">
      <c r="D458" s="211">
        <v>42723</v>
      </c>
      <c r="F458" s="63">
        <v>7985.75</v>
      </c>
    </row>
    <row r="459" spans="4:6" x14ac:dyDescent="0.25">
      <c r="D459" s="211">
        <v>42716</v>
      </c>
      <c r="F459" s="63">
        <v>8139.45</v>
      </c>
    </row>
    <row r="460" spans="4:6" x14ac:dyDescent="0.25">
      <c r="D460" s="211">
        <v>42709</v>
      </c>
      <c r="F460" s="63">
        <v>8261.75</v>
      </c>
    </row>
    <row r="461" spans="4:6" x14ac:dyDescent="0.25">
      <c r="D461" s="211">
        <v>42702</v>
      </c>
      <c r="F461" s="63">
        <v>8086.8</v>
      </c>
    </row>
    <row r="462" spans="4:6" x14ac:dyDescent="0.25">
      <c r="D462" s="211">
        <v>42695</v>
      </c>
      <c r="F462" s="63">
        <v>8114.3</v>
      </c>
    </row>
    <row r="463" spans="4:6" x14ac:dyDescent="0.25">
      <c r="D463" s="211">
        <v>42688</v>
      </c>
      <c r="F463" s="63">
        <v>8074.1</v>
      </c>
    </row>
    <row r="464" spans="4:6" x14ac:dyDescent="0.25">
      <c r="D464" s="211">
        <v>42681</v>
      </c>
      <c r="F464" s="63">
        <v>8296.2999999999993</v>
      </c>
    </row>
    <row r="465" spans="4:6" x14ac:dyDescent="0.25">
      <c r="D465" s="211">
        <v>42674</v>
      </c>
      <c r="F465" s="63">
        <v>8433.75</v>
      </c>
    </row>
    <row r="466" spans="4:6" x14ac:dyDescent="0.25">
      <c r="D466" s="211">
        <v>42667</v>
      </c>
      <c r="F466" s="63">
        <v>8638</v>
      </c>
    </row>
    <row r="467" spans="4:6" x14ac:dyDescent="0.25">
      <c r="D467" s="211">
        <v>42660</v>
      </c>
      <c r="F467" s="63">
        <v>8693.0499999999993</v>
      </c>
    </row>
    <row r="468" spans="4:6" x14ac:dyDescent="0.25">
      <c r="D468" s="211">
        <v>42653</v>
      </c>
      <c r="F468" s="63">
        <v>8583.4</v>
      </c>
    </row>
    <row r="469" spans="4:6" x14ac:dyDescent="0.25">
      <c r="D469" s="211">
        <v>42646</v>
      </c>
      <c r="F469" s="63">
        <v>8697.6</v>
      </c>
    </row>
    <row r="470" spans="4:6" x14ac:dyDescent="0.25">
      <c r="D470" s="211">
        <v>42639</v>
      </c>
      <c r="F470" s="63">
        <v>8611.15</v>
      </c>
    </row>
    <row r="471" spans="4:6" x14ac:dyDescent="0.25">
      <c r="D471" s="211">
        <v>42632</v>
      </c>
      <c r="F471" s="63">
        <v>8831.5499999999993</v>
      </c>
    </row>
    <row r="472" spans="4:6" x14ac:dyDescent="0.25">
      <c r="D472" s="211">
        <v>42625</v>
      </c>
      <c r="F472" s="63">
        <v>8779.85</v>
      </c>
    </row>
    <row r="473" spans="4:6" x14ac:dyDescent="0.25">
      <c r="D473" s="211">
        <v>42618</v>
      </c>
      <c r="F473" s="63">
        <v>8866.7000000000007</v>
      </c>
    </row>
    <row r="474" spans="4:6" x14ac:dyDescent="0.25">
      <c r="D474" s="211">
        <v>42611</v>
      </c>
      <c r="F474" s="63">
        <v>8809.65</v>
      </c>
    </row>
    <row r="475" spans="4:6" x14ac:dyDescent="0.25">
      <c r="D475" s="211">
        <v>42604</v>
      </c>
      <c r="F475" s="63">
        <v>8572.5499999999993</v>
      </c>
    </row>
    <row r="476" spans="4:6" x14ac:dyDescent="0.25">
      <c r="D476" s="211">
        <v>42597</v>
      </c>
      <c r="F476" s="63">
        <v>8666.9</v>
      </c>
    </row>
    <row r="477" spans="4:6" x14ac:dyDescent="0.25">
      <c r="D477" s="211">
        <v>42590</v>
      </c>
      <c r="F477" s="63">
        <v>8592.15</v>
      </c>
    </row>
    <row r="478" spans="4:6" x14ac:dyDescent="0.25">
      <c r="D478" s="211">
        <v>42583</v>
      </c>
      <c r="F478" s="63">
        <v>8683.15</v>
      </c>
    </row>
    <row r="479" spans="4:6" x14ac:dyDescent="0.25">
      <c r="D479" s="211">
        <v>42576</v>
      </c>
      <c r="F479" s="63">
        <v>8638.5</v>
      </c>
    </row>
    <row r="480" spans="4:6" x14ac:dyDescent="0.25">
      <c r="D480" s="211">
        <v>42569</v>
      </c>
      <c r="F480" s="63">
        <v>8541.2000000000007</v>
      </c>
    </row>
    <row r="481" spans="4:6" x14ac:dyDescent="0.25">
      <c r="D481" s="211">
        <v>42562</v>
      </c>
      <c r="F481" s="63">
        <v>8541.4</v>
      </c>
    </row>
    <row r="482" spans="4:6" x14ac:dyDescent="0.25">
      <c r="D482" s="211">
        <v>42555</v>
      </c>
      <c r="F482" s="63">
        <v>8323.2000000000007</v>
      </c>
    </row>
    <row r="483" spans="4:6" x14ac:dyDescent="0.25">
      <c r="D483" s="211">
        <v>42548</v>
      </c>
      <c r="F483" s="63">
        <v>8328.35</v>
      </c>
    </row>
    <row r="484" spans="4:6" x14ac:dyDescent="0.25">
      <c r="D484" s="211">
        <v>42541</v>
      </c>
      <c r="F484" s="63">
        <v>8088.6</v>
      </c>
    </row>
    <row r="485" spans="4:6" x14ac:dyDescent="0.25">
      <c r="D485" s="211">
        <v>42534</v>
      </c>
      <c r="F485" s="63">
        <v>8170.2</v>
      </c>
    </row>
    <row r="486" spans="4:6" x14ac:dyDescent="0.25">
      <c r="D486" s="211">
        <v>42527</v>
      </c>
      <c r="F486" s="63">
        <v>8170.05</v>
      </c>
    </row>
    <row r="487" spans="4:6" x14ac:dyDescent="0.25">
      <c r="D487" s="211">
        <v>42520</v>
      </c>
      <c r="F487" s="63">
        <v>8220.7999999999993</v>
      </c>
    </row>
    <row r="488" spans="4:6" x14ac:dyDescent="0.25">
      <c r="D488" s="211">
        <v>42513</v>
      </c>
      <c r="F488" s="63">
        <v>8156.65</v>
      </c>
    </row>
    <row r="489" spans="4:6" x14ac:dyDescent="0.25">
      <c r="D489" s="211">
        <v>42506</v>
      </c>
      <c r="F489" s="63">
        <v>7749.7</v>
      </c>
    </row>
    <row r="490" spans="4:6" x14ac:dyDescent="0.25">
      <c r="D490" s="211">
        <v>42499</v>
      </c>
      <c r="F490" s="63">
        <v>7814.9</v>
      </c>
    </row>
    <row r="491" spans="4:6" x14ac:dyDescent="0.25">
      <c r="D491" s="211">
        <v>42492</v>
      </c>
      <c r="F491" s="63">
        <v>7733.45</v>
      </c>
    </row>
    <row r="492" spans="4:6" x14ac:dyDescent="0.25">
      <c r="D492" s="211">
        <v>42485</v>
      </c>
      <c r="F492" s="63">
        <v>7849.8</v>
      </c>
    </row>
    <row r="493" spans="4:6" x14ac:dyDescent="0.25">
      <c r="D493" s="211">
        <v>42478</v>
      </c>
      <c r="F493" s="63">
        <v>7899.3</v>
      </c>
    </row>
    <row r="494" spans="4:6" x14ac:dyDescent="0.25">
      <c r="D494" s="211">
        <v>42471</v>
      </c>
      <c r="F494" s="63">
        <v>7850.45</v>
      </c>
    </row>
    <row r="495" spans="4:6" x14ac:dyDescent="0.25">
      <c r="D495" s="211">
        <v>42464</v>
      </c>
      <c r="F495" s="63">
        <v>7555.2</v>
      </c>
    </row>
    <row r="496" spans="4:6" x14ac:dyDescent="0.25">
      <c r="D496" s="211">
        <v>42457</v>
      </c>
      <c r="F496" s="63">
        <v>7713.05</v>
      </c>
    </row>
    <row r="497" spans="4:6" x14ac:dyDescent="0.25">
      <c r="D497" s="211">
        <v>42450</v>
      </c>
      <c r="F497" s="63">
        <v>7716.5</v>
      </c>
    </row>
    <row r="498" spans="4:6" x14ac:dyDescent="0.25">
      <c r="D498" s="211">
        <v>42443</v>
      </c>
      <c r="F498" s="63">
        <v>7604.35</v>
      </c>
    </row>
    <row r="499" spans="4:6" x14ac:dyDescent="0.25">
      <c r="D499" s="211">
        <v>42436</v>
      </c>
      <c r="F499" s="63">
        <v>7510.2</v>
      </c>
    </row>
    <row r="500" spans="4:6" x14ac:dyDescent="0.25">
      <c r="D500" s="211">
        <v>42429</v>
      </c>
      <c r="F500" s="63">
        <v>7485.35</v>
      </c>
    </row>
    <row r="501" spans="4:6" x14ac:dyDescent="0.25">
      <c r="D501" s="211">
        <v>42422</v>
      </c>
      <c r="F501" s="63">
        <v>7029.75</v>
      </c>
    </row>
    <row r="502" spans="4:6" x14ac:dyDescent="0.25">
      <c r="D502" s="211">
        <v>42415</v>
      </c>
      <c r="F502" s="63">
        <v>7210.75</v>
      </c>
    </row>
    <row r="503" spans="4:6" x14ac:dyDescent="0.25">
      <c r="D503" s="211">
        <v>42408</v>
      </c>
      <c r="F503" s="63">
        <v>6980.95</v>
      </c>
    </row>
    <row r="504" spans="4:6" x14ac:dyDescent="0.25">
      <c r="D504" s="211">
        <v>42401</v>
      </c>
      <c r="F504" s="63">
        <v>7489.1</v>
      </c>
    </row>
    <row r="505" spans="4:6" x14ac:dyDescent="0.25">
      <c r="D505" s="211">
        <v>42394</v>
      </c>
      <c r="F505" s="63">
        <v>7563.55</v>
      </c>
    </row>
    <row r="506" spans="4:6" x14ac:dyDescent="0.25">
      <c r="D506" s="211">
        <v>42387</v>
      </c>
      <c r="F506" s="63">
        <v>7422.45</v>
      </c>
    </row>
    <row r="507" spans="4:6" x14ac:dyDescent="0.25">
      <c r="D507" s="211">
        <v>42380</v>
      </c>
      <c r="F507" s="63">
        <v>7437.8</v>
      </c>
    </row>
    <row r="508" spans="4:6" x14ac:dyDescent="0.25">
      <c r="D508" s="211">
        <v>42373</v>
      </c>
      <c r="F508" s="63">
        <v>7601.35</v>
      </c>
    </row>
    <row r="509" spans="4:6" x14ac:dyDescent="0.25">
      <c r="D509" s="211">
        <v>42366</v>
      </c>
      <c r="F509" s="63">
        <v>7946.35</v>
      </c>
    </row>
    <row r="510" spans="4:6" x14ac:dyDescent="0.25">
      <c r="D510" s="211">
        <v>42359</v>
      </c>
      <c r="F510" s="63">
        <v>7861.05</v>
      </c>
    </row>
    <row r="511" spans="4:6" x14ac:dyDescent="0.25">
      <c r="D511" s="211">
        <v>42352</v>
      </c>
      <c r="F511" s="63">
        <v>7761.95</v>
      </c>
    </row>
    <row r="512" spans="4:6" x14ac:dyDescent="0.25">
      <c r="D512" s="211">
        <v>42345</v>
      </c>
      <c r="F512" s="63">
        <v>7610.45</v>
      </c>
    </row>
    <row r="513" spans="4:6" x14ac:dyDescent="0.25">
      <c r="D513" s="211">
        <v>42338</v>
      </c>
      <c r="F513" s="63">
        <v>7781.9</v>
      </c>
    </row>
    <row r="514" spans="4:6" x14ac:dyDescent="0.25">
      <c r="D514" s="211">
        <v>42331</v>
      </c>
      <c r="F514" s="63">
        <v>7942.7</v>
      </c>
    </row>
    <row r="515" spans="4:6" x14ac:dyDescent="0.25">
      <c r="D515" s="211">
        <v>42324</v>
      </c>
      <c r="F515" s="63">
        <v>7856.55</v>
      </c>
    </row>
    <row r="516" spans="4:6" x14ac:dyDescent="0.25">
      <c r="D516" s="211">
        <v>42317</v>
      </c>
      <c r="F516" s="63">
        <v>7762.25</v>
      </c>
    </row>
    <row r="517" spans="4:6" x14ac:dyDescent="0.25">
      <c r="D517" s="211">
        <v>42310</v>
      </c>
      <c r="F517" s="63">
        <v>7954.3</v>
      </c>
    </row>
    <row r="518" spans="4:6" x14ac:dyDescent="0.25">
      <c r="D518" s="211">
        <v>42303</v>
      </c>
      <c r="F518" s="63">
        <v>8065.8</v>
      </c>
    </row>
    <row r="519" spans="4:6" x14ac:dyDescent="0.25">
      <c r="D519" s="211">
        <v>42296</v>
      </c>
      <c r="F519" s="63">
        <v>8295.4500000000007</v>
      </c>
    </row>
    <row r="520" spans="4:6" x14ac:dyDescent="0.25">
      <c r="D520" s="211">
        <v>42289</v>
      </c>
      <c r="F520" s="63">
        <v>8238.15</v>
      </c>
    </row>
    <row r="521" spans="4:6" x14ac:dyDescent="0.25">
      <c r="D521" s="211">
        <v>42282</v>
      </c>
      <c r="F521" s="63">
        <v>8189.7</v>
      </c>
    </row>
    <row r="522" spans="4:6" x14ac:dyDescent="0.25">
      <c r="D522" s="211">
        <v>42275</v>
      </c>
      <c r="F522" s="63">
        <v>7950.9</v>
      </c>
    </row>
    <row r="523" spans="4:6" x14ac:dyDescent="0.25">
      <c r="D523" s="211">
        <v>42268</v>
      </c>
      <c r="F523" s="63">
        <v>7868.5</v>
      </c>
    </row>
    <row r="524" spans="4:6" x14ac:dyDescent="0.25">
      <c r="D524" s="211">
        <v>42261</v>
      </c>
      <c r="F524" s="63">
        <v>7981.9</v>
      </c>
    </row>
    <row r="525" spans="4:6" x14ac:dyDescent="0.25">
      <c r="D525" s="211">
        <v>42254</v>
      </c>
      <c r="F525" s="63">
        <v>7789.3</v>
      </c>
    </row>
    <row r="526" spans="4:6" x14ac:dyDescent="0.25">
      <c r="D526" s="211">
        <v>42247</v>
      </c>
      <c r="F526" s="63">
        <v>7655.05</v>
      </c>
    </row>
    <row r="527" spans="4:6" x14ac:dyDescent="0.25">
      <c r="D527" s="211">
        <v>42240</v>
      </c>
      <c r="F527" s="63">
        <v>8001.95</v>
      </c>
    </row>
    <row r="528" spans="4:6" x14ac:dyDescent="0.25">
      <c r="D528" s="211">
        <v>42233</v>
      </c>
      <c r="F528" s="63">
        <v>8299.9500000000007</v>
      </c>
    </row>
    <row r="529" spans="4:6" x14ac:dyDescent="0.25">
      <c r="D529" s="211">
        <v>42226</v>
      </c>
      <c r="F529" s="63">
        <v>8518.5499999999993</v>
      </c>
    </row>
    <row r="530" spans="4:6" x14ac:dyDescent="0.25">
      <c r="D530" s="211">
        <v>42219</v>
      </c>
      <c r="F530" s="63">
        <v>8564.6</v>
      </c>
    </row>
    <row r="531" spans="4:6" x14ac:dyDescent="0.25">
      <c r="D531" s="211">
        <v>42212</v>
      </c>
      <c r="F531" s="63">
        <v>8532.85</v>
      </c>
    </row>
    <row r="532" spans="4:6" x14ac:dyDescent="0.25">
      <c r="D532" s="211">
        <v>42205</v>
      </c>
      <c r="F532" s="63">
        <v>8521.5499999999993</v>
      </c>
    </row>
    <row r="533" spans="4:6" x14ac:dyDescent="0.25">
      <c r="D533" s="211">
        <v>42198</v>
      </c>
      <c r="F533" s="63">
        <v>8609.85</v>
      </c>
    </row>
    <row r="534" spans="4:6" x14ac:dyDescent="0.25">
      <c r="D534" s="211">
        <v>42191</v>
      </c>
      <c r="F534" s="63">
        <v>8360.5499999999993</v>
      </c>
    </row>
    <row r="535" spans="4:6" x14ac:dyDescent="0.25">
      <c r="D535" s="211">
        <v>42184</v>
      </c>
      <c r="F535" s="63">
        <v>8484.9</v>
      </c>
    </row>
    <row r="536" spans="4:6" x14ac:dyDescent="0.25">
      <c r="D536" s="211">
        <v>42177</v>
      </c>
      <c r="F536" s="63">
        <v>8381.1</v>
      </c>
    </row>
    <row r="537" spans="4:6" x14ac:dyDescent="0.25">
      <c r="D537" s="211">
        <v>42170</v>
      </c>
      <c r="F537" s="63">
        <v>8224.9500000000007</v>
      </c>
    </row>
    <row r="538" spans="4:6" x14ac:dyDescent="0.25">
      <c r="D538" s="211">
        <v>42163</v>
      </c>
      <c r="F538" s="63">
        <v>7982.9</v>
      </c>
    </row>
    <row r="539" spans="4:6" x14ac:dyDescent="0.25">
      <c r="D539" s="211">
        <v>42156</v>
      </c>
      <c r="F539" s="63">
        <v>8114.7</v>
      </c>
    </row>
    <row r="540" spans="4:6" x14ac:dyDescent="0.25">
      <c r="D540" s="211">
        <v>42149</v>
      </c>
      <c r="F540" s="63">
        <v>8433.65</v>
      </c>
    </row>
    <row r="541" spans="4:6" x14ac:dyDescent="0.25">
      <c r="D541" s="211">
        <v>42142</v>
      </c>
      <c r="F541" s="63">
        <v>8458.9500000000007</v>
      </c>
    </row>
    <row r="542" spans="4:6" x14ac:dyDescent="0.25">
      <c r="D542" s="211">
        <v>42135</v>
      </c>
      <c r="F542" s="63">
        <v>8262.35</v>
      </c>
    </row>
    <row r="543" spans="4:6" x14ac:dyDescent="0.25">
      <c r="D543" s="211">
        <v>42128</v>
      </c>
      <c r="F543" s="63">
        <v>8191.5</v>
      </c>
    </row>
    <row r="544" spans="4:6" x14ac:dyDescent="0.25">
      <c r="D544" s="211">
        <v>42121</v>
      </c>
      <c r="F544" s="63">
        <v>8181.5</v>
      </c>
    </row>
    <row r="545" spans="4:6" x14ac:dyDescent="0.25">
      <c r="D545" s="211">
        <v>42114</v>
      </c>
      <c r="F545" s="63">
        <v>8305.25</v>
      </c>
    </row>
    <row r="546" spans="4:6" x14ac:dyDescent="0.25">
      <c r="D546" s="211">
        <v>42107</v>
      </c>
      <c r="F546" s="63">
        <v>8606</v>
      </c>
    </row>
    <row r="547" spans="4:6" x14ac:dyDescent="0.25">
      <c r="D547" s="211">
        <v>42100</v>
      </c>
      <c r="F547" s="63">
        <v>8780.35</v>
      </c>
    </row>
    <row r="548" spans="4:6" x14ac:dyDescent="0.25">
      <c r="D548" s="211">
        <v>42093</v>
      </c>
      <c r="F548" s="63">
        <v>8586.25</v>
      </c>
    </row>
    <row r="549" spans="4:6" x14ac:dyDescent="0.25">
      <c r="D549" s="211">
        <v>42086</v>
      </c>
      <c r="F549" s="63">
        <v>8341.4</v>
      </c>
    </row>
    <row r="550" spans="4:6" x14ac:dyDescent="0.25">
      <c r="D550" s="211">
        <v>42079</v>
      </c>
      <c r="F550" s="63">
        <v>8570.9</v>
      </c>
    </row>
    <row r="551" spans="4:6" x14ac:dyDescent="0.25">
      <c r="D551" s="211">
        <v>42072</v>
      </c>
      <c r="F551" s="63">
        <v>8647.75</v>
      </c>
    </row>
  </sheetData>
  <mergeCells count="1">
    <mergeCell ref="D6:G6"/>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187D0-523B-46FB-B4A9-E2052FAB753B}">
  <dimension ref="D6:S18"/>
  <sheetViews>
    <sheetView showGridLines="0" topLeftCell="A4" workbookViewId="0">
      <selection activeCell="M15" sqref="M15"/>
    </sheetView>
  </sheetViews>
  <sheetFormatPr defaultRowHeight="13.8" x14ac:dyDescent="0.25"/>
  <cols>
    <col min="1" max="3" width="1.33203125" style="1" customWidth="1"/>
    <col min="4" max="16384" width="8.88671875" style="1"/>
  </cols>
  <sheetData>
    <row r="6" spans="4:19" ht="16.8" customHeight="1" x14ac:dyDescent="0.3">
      <c r="D6" s="450" t="s">
        <v>315</v>
      </c>
      <c r="E6" s="450"/>
      <c r="F6" s="450"/>
      <c r="G6" s="450"/>
      <c r="H6" s="450"/>
      <c r="I6" s="450"/>
      <c r="J6" s="450"/>
      <c r="K6" s="450"/>
      <c r="L6" s="450"/>
      <c r="M6" s="450"/>
      <c r="N6" s="450"/>
      <c r="O6" s="450"/>
      <c r="P6" s="353"/>
      <c r="Q6" s="353"/>
      <c r="R6" s="353"/>
      <c r="S6" s="353"/>
    </row>
    <row r="8" spans="4:19" ht="17.399999999999999" x14ac:dyDescent="0.3">
      <c r="D8" s="344" t="s">
        <v>308</v>
      </c>
      <c r="E8" s="345"/>
      <c r="F8" s="346"/>
      <c r="G8" s="347"/>
      <c r="H8" s="347"/>
      <c r="I8" s="347"/>
      <c r="J8" s="347"/>
      <c r="K8" s="347"/>
      <c r="L8" s="347"/>
      <c r="M8" s="347"/>
      <c r="N8" s="347"/>
      <c r="O8" s="347"/>
    </row>
    <row r="9" spans="4:19" x14ac:dyDescent="0.25">
      <c r="D9" s="348"/>
      <c r="E9" s="348"/>
      <c r="F9" s="348"/>
      <c r="G9" s="348"/>
      <c r="H9" s="348"/>
      <c r="I9" s="348"/>
      <c r="J9" s="348"/>
      <c r="K9" s="348"/>
      <c r="L9" s="348"/>
      <c r="M9" s="348"/>
      <c r="N9" s="348"/>
      <c r="O9" s="348"/>
    </row>
    <row r="10" spans="4:19" x14ac:dyDescent="0.25">
      <c r="D10" s="348"/>
      <c r="E10" s="348"/>
      <c r="F10" s="348"/>
      <c r="G10" s="348"/>
      <c r="H10" s="348"/>
      <c r="I10" s="348"/>
      <c r="J10" s="349"/>
      <c r="K10" s="349"/>
      <c r="L10" s="349"/>
      <c r="M10" s="350" t="s">
        <v>309</v>
      </c>
      <c r="N10" s="348"/>
      <c r="O10" s="348"/>
    </row>
    <row r="11" spans="4:19" x14ac:dyDescent="0.25">
      <c r="D11" s="348"/>
      <c r="E11" s="348"/>
      <c r="F11" s="348"/>
      <c r="G11" s="348"/>
      <c r="H11" s="348"/>
      <c r="I11" s="348"/>
      <c r="J11" s="350" t="s">
        <v>155</v>
      </c>
      <c r="K11" s="350" t="s">
        <v>310</v>
      </c>
      <c r="L11" s="350" t="s">
        <v>311</v>
      </c>
      <c r="M11" s="350" t="s">
        <v>312</v>
      </c>
      <c r="N11" s="348"/>
      <c r="O11" s="348"/>
    </row>
    <row r="12" spans="4:19" x14ac:dyDescent="0.25">
      <c r="D12" s="348"/>
      <c r="E12" s="348"/>
      <c r="F12" s="348"/>
      <c r="G12" s="348"/>
      <c r="H12" s="348"/>
      <c r="I12" s="348" t="s">
        <v>313</v>
      </c>
      <c r="J12" s="351">
        <f>Comps!K26</f>
        <v>26.306265134532808</v>
      </c>
      <c r="K12" s="352">
        <v>83.9</v>
      </c>
      <c r="L12" s="352">
        <v>73.64</v>
      </c>
      <c r="M12" s="351">
        <v>56</v>
      </c>
      <c r="N12" s="348"/>
      <c r="O12" s="348"/>
    </row>
    <row r="13" spans="4:19" x14ac:dyDescent="0.25">
      <c r="D13" s="348"/>
      <c r="E13" s="348"/>
      <c r="F13" s="348"/>
      <c r="G13" s="348"/>
      <c r="H13" s="348"/>
      <c r="I13" s="348" t="s">
        <v>313</v>
      </c>
      <c r="J13" s="351">
        <f>J12</f>
        <v>26.306265134532808</v>
      </c>
      <c r="K13" s="352">
        <f>K12</f>
        <v>83.9</v>
      </c>
      <c r="L13" s="352">
        <f>L12</f>
        <v>73.64</v>
      </c>
      <c r="M13" s="351">
        <f>M12</f>
        <v>56</v>
      </c>
      <c r="N13" s="348"/>
      <c r="O13" s="348"/>
    </row>
    <row r="14" spans="4:19" x14ac:dyDescent="0.25">
      <c r="D14" s="348"/>
      <c r="E14" s="348"/>
      <c r="F14" s="348"/>
      <c r="G14" s="348"/>
      <c r="H14" s="348"/>
      <c r="I14" s="348" t="s">
        <v>314</v>
      </c>
      <c r="J14" s="351">
        <f>Comps!K28</f>
        <v>11.782345256215123</v>
      </c>
      <c r="K14" s="352">
        <v>47.1</v>
      </c>
      <c r="L14" s="352">
        <v>25.22</v>
      </c>
      <c r="M14" s="351">
        <v>20</v>
      </c>
      <c r="N14" s="348"/>
      <c r="O14" s="348"/>
    </row>
    <row r="15" spans="4:19" x14ac:dyDescent="0.25">
      <c r="D15" s="348"/>
      <c r="E15" s="348"/>
      <c r="F15" s="348"/>
      <c r="G15" s="348"/>
      <c r="H15" s="348"/>
      <c r="I15" s="348" t="s">
        <v>314</v>
      </c>
      <c r="J15" s="351">
        <f>J14</f>
        <v>11.782345256215123</v>
      </c>
      <c r="K15" s="352">
        <f>K14</f>
        <v>47.1</v>
      </c>
      <c r="L15" s="352">
        <f>L14</f>
        <v>25.22</v>
      </c>
      <c r="M15" s="351">
        <f>M14</f>
        <v>20</v>
      </c>
      <c r="N15" s="348"/>
      <c r="O15" s="348"/>
    </row>
    <row r="16" spans="4:19" x14ac:dyDescent="0.25">
      <c r="D16" s="348"/>
      <c r="E16" s="348"/>
      <c r="F16" s="348"/>
      <c r="G16" s="348"/>
      <c r="H16" s="348"/>
      <c r="I16" s="348"/>
      <c r="J16" s="351"/>
      <c r="K16" s="352"/>
      <c r="L16" s="352"/>
      <c r="M16" s="351"/>
      <c r="N16" s="348"/>
      <c r="O16" s="348"/>
    </row>
    <row r="17" spans="4:15" x14ac:dyDescent="0.25">
      <c r="D17" s="348"/>
      <c r="E17" s="348"/>
      <c r="F17" s="348"/>
      <c r="G17" s="348"/>
      <c r="H17" s="348"/>
      <c r="I17" s="348"/>
      <c r="J17" s="348"/>
      <c r="K17" s="348"/>
      <c r="L17" s="348"/>
      <c r="M17" s="348"/>
      <c r="N17" s="348"/>
      <c r="O17" s="348"/>
    </row>
    <row r="18" spans="4:15" ht="15" x14ac:dyDescent="0.25">
      <c r="D18" s="344" t="s">
        <v>315</v>
      </c>
      <c r="E18" s="344"/>
      <c r="F18" s="344"/>
      <c r="G18" s="344"/>
      <c r="H18" s="344"/>
      <c r="I18" s="344"/>
      <c r="J18" s="344"/>
      <c r="K18" s="344"/>
      <c r="L18" s="344"/>
      <c r="M18" s="344"/>
      <c r="N18" s="344"/>
      <c r="O18" s="344"/>
    </row>
  </sheetData>
  <mergeCells count="1">
    <mergeCell ref="D6:O6"/>
  </mergeCells>
  <pageMargins left="0.7" right="0.7" top="0.75" bottom="0.75" header="0.3" footer="0.3"/>
  <ignoredErrors>
    <ignoredError sqref="J14" formula="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Index</vt:lpstr>
      <vt:lpstr>Assumptions</vt:lpstr>
      <vt:lpstr>P&amp;L Inputs</vt:lpstr>
      <vt:lpstr>BS Inputs</vt:lpstr>
      <vt:lpstr>Income Buildup</vt:lpstr>
      <vt:lpstr>Cost Buildup</vt:lpstr>
      <vt:lpstr>Common Sizing Statement</vt:lpstr>
      <vt:lpstr>BS Items</vt:lpstr>
      <vt:lpstr>Working Sheet</vt:lpstr>
      <vt:lpstr>Income Statement</vt:lpstr>
      <vt:lpstr>Balance Sheet</vt:lpstr>
      <vt:lpstr>Cash Flow Statement</vt:lpstr>
      <vt:lpstr>Ratio Analysis</vt:lpstr>
      <vt:lpstr>DCF Valuation</vt:lpstr>
      <vt:lpstr>Equity Beta</vt:lpstr>
      <vt:lpstr>WACC</vt:lpstr>
      <vt:lpstr>Comps</vt:lpstr>
      <vt:lpstr>Comps Data</vt:lpstr>
      <vt:lpstr>Market Return</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22BBA10087 Sumit</dc:creator>
  <cp:lastModifiedBy>22BBA10087 Sumit</cp:lastModifiedBy>
  <dcterms:created xsi:type="dcterms:W3CDTF">2025-04-24T13:44:04Z</dcterms:created>
  <dcterms:modified xsi:type="dcterms:W3CDTF">2025-08-02T10:35:24Z</dcterms:modified>
</cp:coreProperties>
</file>