
<file path=[Content_Types].xml><?xml version="1.0" encoding="utf-8"?>
<Types xmlns="http://schemas.openxmlformats.org/package/2006/content-types">
  <Default Extension="bin" ContentType="application/vnd.openxmlformats-officedocument.spreadsheetml.printerSettings"/>
  <Default Extension="emf" ContentType="image/x-emf"/>
  <Default Extension="gif" ContentType="image/gif"/>
  <Default Extension="jpeg" ContentType="image/jpeg"/>
  <Default Extension="png" ContentType="image/png"/>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theme/themeOverride1.xml" ContentType="application/vnd.openxmlformats-officedocument.themeOverride+xml"/>
  <Override PartName="/xl/charts/chart2.xml" ContentType="application/vnd.openxmlformats-officedocument.drawingml.chart+xml"/>
  <Override PartName="/xl/charts/chart3.xml" ContentType="application/vnd.openxmlformats-officedocument.drawingml.chart+xml"/>
  <Override PartName="/xl/drawings/drawing3.xml" ContentType="application/vnd.openxmlformats-officedocument.drawing+xml"/>
  <Override PartName="/xl/drawings/drawing4.xml" ContentType="application/vnd.openxmlformats-officedocument.drawing+xml"/>
  <Override PartName="/xl/charts/chart4.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527"/>
  <workbookPr codeName="ThisWorkbook" defaultThemeVersion="124226"/>
  <mc:AlternateContent xmlns:mc="http://schemas.openxmlformats.org/markup-compatibility/2006">
    <mc:Choice Requires="x15">
      <x15ac:absPath xmlns:x15ac="http://schemas.microsoft.com/office/spreadsheetml/2010/11/ac" url="C:\Users\Eddie Tian\Downloads\snvu050d\"/>
    </mc:Choice>
  </mc:AlternateContent>
  <xr:revisionPtr revIDLastSave="0" documentId="8_{A3F94E64-5CF3-4D43-AAD4-59758FE5F88C}" xr6:coauthVersionLast="47" xr6:coauthVersionMax="47" xr10:uidLastSave="{00000000-0000-0000-0000-000000000000}"/>
  <workbookProtection workbookPassword="C5C9" lockStructure="1"/>
  <bookViews>
    <workbookView xWindow="-120" yWindow="-120" windowWidth="29040" windowHeight="15840" tabRatio="652" activeTab="1" xr2:uid="{00000000-000D-0000-FFFF-FFFF00000000}"/>
  </bookViews>
  <sheets>
    <sheet name="Instructions" sheetId="16" r:id="rId1"/>
    <sheet name="Design Calculator" sheetId="1" r:id="rId2"/>
    <sheet name="Device Parameters" sheetId="6" state="hidden" r:id="rId3"/>
    <sheet name="Equations" sheetId="3" state="hidden" r:id="rId4"/>
    <sheet name="Start_up" sheetId="13" state="hidden" r:id="rId5"/>
    <sheet name="SOA" sheetId="7" state="hidden" r:id="rId6"/>
    <sheet name="dv_dt_recommendations" sheetId="14" state="hidden" r:id="rId7"/>
  </sheets>
  <externalReferences>
    <externalReference r:id="rId8"/>
    <externalReference r:id="rId9"/>
  </externalReferences>
  <definedNames>
    <definedName name="CLMAX">Equations!$F$26</definedName>
    <definedName name="CLMAX_Threshold">Equations!$E$17</definedName>
    <definedName name="CLMIN">Equations!$F$24</definedName>
    <definedName name="CLMIN_Threshold">Equations!$E$15</definedName>
    <definedName name="CLNOM">Equations!$F$25</definedName>
    <definedName name="CLNOM_Threshold">Equations!$E$16</definedName>
    <definedName name="COUTMAX">'Design Calculator'!$F$31</definedName>
    <definedName name="CTIMER">'Design Calculator'!#REF!</definedName>
    <definedName name="FETPDISS">'Design Calculator'!$F$61</definedName>
    <definedName name="I_Cout_ss">Equations!$F$65</definedName>
    <definedName name="ILIM" localSheetId="5">[1]ILIM_SOA_considerations!$C$25</definedName>
    <definedName name="ILIM">[2]ILIM_SOA_considerations!$C$25</definedName>
    <definedName name="Ilim_min" localSheetId="5">[1]ILIM_SOA_considerations!$C$61</definedName>
    <definedName name="Ilim_min">[2]ILIM_SOA_considerations!$C$61</definedName>
    <definedName name="IOUTMAX">'Design Calculator'!$F$30</definedName>
    <definedName name="MaxFETPW">'Design Calculator'!#REF!</definedName>
    <definedName name="NUMFETS">'Design Calculator'!$F$53</definedName>
    <definedName name="PLIM" localSheetId="5">[1]ILIM_SOA_considerations!$C$40</definedName>
    <definedName name="PLIM">[2]ILIM_SOA_considerations!$C$40</definedName>
    <definedName name="PLIMMAX">'Design Calculator'!#REF!</definedName>
    <definedName name="PLIMMIN">'Design Calculator'!#REF!</definedName>
    <definedName name="PLIMNOM">'Design Calculator'!#REF!</definedName>
    <definedName name="_xlnm.Print_Area" localSheetId="1">'Design Calculator'!$A$1:$M$195</definedName>
    <definedName name="RDIV1">'Design Calculator'!$F$42</definedName>
    <definedName name="RDIV2">'Design Calculator'!$F$43</definedName>
    <definedName name="RDSON">'Design Calculator'!$AN$54</definedName>
    <definedName name="RPWR">'Design Calculator'!$F$66</definedName>
    <definedName name="Rrflt" localSheetId="5">[1]ILIM_SOA_considerations!$C$46</definedName>
    <definedName name="Rrflt">[2]ILIM_SOA_considerations!$C$46</definedName>
    <definedName name="Rs">'Design Calculator'!$F$39</definedName>
    <definedName name="RsEFF">Equations!$F$23</definedName>
    <definedName name="Rsense" localSheetId="5">[1]ILIM_SOA_considerations!$C$30</definedName>
    <definedName name="Rsense">[2]ILIM_SOA_considerations!$C$30</definedName>
    <definedName name="RsMAX">'Design Calculator'!$F$37</definedName>
    <definedName name="SOA_av" localSheetId="5">[1]ILIM_SOA_considerations!$C$52</definedName>
    <definedName name="SOA_av">[2]ILIM_SOA_considerations!$C$52</definedName>
    <definedName name="solver_adj" localSheetId="5" hidden="1">SOA!#REF!</definedName>
    <definedName name="solver_cvg" localSheetId="5" hidden="1">0.0001</definedName>
    <definedName name="solver_drv" localSheetId="5" hidden="1">1</definedName>
    <definedName name="solver_eng" localSheetId="5" hidden="1">1</definedName>
    <definedName name="solver_est" localSheetId="5" hidden="1">1</definedName>
    <definedName name="solver_itr" localSheetId="5" hidden="1">2147483647</definedName>
    <definedName name="solver_mip" localSheetId="5" hidden="1">2147483647</definedName>
    <definedName name="solver_mni" localSheetId="5" hidden="1">30</definedName>
    <definedName name="solver_mrt" localSheetId="5" hidden="1">0.075</definedName>
    <definedName name="solver_msl" localSheetId="5" hidden="1">2</definedName>
    <definedName name="solver_neg" localSheetId="5" hidden="1">1</definedName>
    <definedName name="solver_nod" localSheetId="5" hidden="1">2147483647</definedName>
    <definedName name="solver_num" localSheetId="5" hidden="1">0</definedName>
    <definedName name="solver_nwt" localSheetId="5" hidden="1">1</definedName>
    <definedName name="solver_opt" localSheetId="5" hidden="1">SOA!#REF!</definedName>
    <definedName name="solver_pre" localSheetId="5" hidden="1">0.000001</definedName>
    <definedName name="solver_rbv" localSheetId="5" hidden="1">1</definedName>
    <definedName name="solver_rlx" localSheetId="5" hidden="1">2</definedName>
    <definedName name="solver_rsd" localSheetId="5" hidden="1">0</definedName>
    <definedName name="solver_scl" localSheetId="5" hidden="1">1</definedName>
    <definedName name="solver_sho" localSheetId="5" hidden="1">2</definedName>
    <definedName name="solver_ssz" localSheetId="5" hidden="1">100</definedName>
    <definedName name="solver_tim" localSheetId="5" hidden="1">2147483647</definedName>
    <definedName name="solver_tol" localSheetId="5" hidden="1">0.01</definedName>
    <definedName name="solver_typ" localSheetId="5" hidden="1">3</definedName>
    <definedName name="solver_val" localSheetId="5" hidden="1">0</definedName>
    <definedName name="solver_ver" localSheetId="5" hidden="1">3</definedName>
    <definedName name="ss_rate">Equations!$F$61</definedName>
    <definedName name="T_cap_charge" localSheetId="5">[1]ILIM_SOA_considerations!$C$45</definedName>
    <definedName name="T_cap_charge">[2]ILIM_SOA_considerations!$C$45</definedName>
    <definedName name="T_margin" localSheetId="5">[1]ILIM_SOA_considerations!$C$9</definedName>
    <definedName name="T_margin">[2]ILIM_SOA_considerations!$C$9</definedName>
    <definedName name="T_total" localSheetId="5">[1]ILIM_SOA_considerations!$C$47</definedName>
    <definedName name="T_total">[2]ILIM_SOA_considerations!$C$47</definedName>
    <definedName name="TAMB">'Design Calculator'!$F$32</definedName>
    <definedName name="Tfault">'Design Calculator'!$F$77</definedName>
    <definedName name="Tfaultmax">'Design Calculator'!#REF!</definedName>
    <definedName name="ThetaJA">'Design Calculator'!$F$52</definedName>
    <definedName name="TINSERT">'Design Calculator'!$F$92</definedName>
    <definedName name="TINSERTMAX">Equations!$F$108</definedName>
    <definedName name="TINSERTMIN">Equations!$F$106</definedName>
    <definedName name="TJ">'Design Calculator'!$F$62</definedName>
    <definedName name="TJMAX">'Design Calculator'!$AN$55</definedName>
    <definedName name="Tsd" localSheetId="5">[1]ILIM_SOA_considerations!$C$67</definedName>
    <definedName name="Tsd">[2]ILIM_SOA_considerations!$C$67</definedName>
    <definedName name="TSTARTMAX">Equations!$F$95</definedName>
    <definedName name="TSTARTMIN">Equations!$F$93</definedName>
    <definedName name="TSTARTNOM">Equations!$F$94</definedName>
    <definedName name="V_sns_cl_max" localSheetId="5">[1]ILIM_SOA_considerations!$C$15</definedName>
    <definedName name="V_sns_cl_max">[2]ILIM_SOA_considerations!$C$15</definedName>
    <definedName name="Vbus" localSheetId="5">[1]ILIM_SOA_considerations!$C$23</definedName>
    <definedName name="Vbus">[2]ILIM_SOA_considerations!$C$23</definedName>
    <definedName name="VINMAX">'Design Calculator'!$F$29</definedName>
    <definedName name="VINMIN">'Design Calculator'!$F$27</definedName>
    <definedName name="VINNOM">'Design Calculator'!$F$28</definedName>
    <definedName name="yesno">'Design Calculator'!$AR$15:$AR$16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63" i="1" l="1"/>
  <c r="F135" i="1"/>
  <c r="F133" i="1"/>
  <c r="AN55" i="1"/>
  <c r="AN56" i="1"/>
  <c r="AN57" i="1"/>
  <c r="AN58" i="1"/>
  <c r="AN59" i="1"/>
  <c r="AN60" i="1"/>
  <c r="AN54" i="1"/>
  <c r="G143" i="3" l="1"/>
  <c r="G141" i="3"/>
  <c r="F143" i="3"/>
  <c r="F141" i="3"/>
  <c r="G142" i="3" l="1"/>
  <c r="F142" i="3"/>
  <c r="G133" i="3"/>
  <c r="F133" i="3"/>
  <c r="G140" i="3"/>
  <c r="F140" i="3"/>
  <c r="G138" i="3"/>
  <c r="F138" i="3"/>
  <c r="G137" i="3"/>
  <c r="G135" i="3"/>
  <c r="F137" i="3"/>
  <c r="F135" i="3"/>
  <c r="F136" i="3"/>
  <c r="G134" i="3"/>
  <c r="G132" i="3"/>
  <c r="F134" i="3"/>
  <c r="F132" i="3"/>
  <c r="G136" i="3"/>
  <c r="F139" i="3"/>
  <c r="G139" i="3"/>
  <c r="G128" i="3" l="1"/>
  <c r="G129" i="3" s="1"/>
  <c r="F128" i="3"/>
  <c r="F130" i="3" s="1"/>
  <c r="F41" i="3"/>
  <c r="F129" i="3" l="1"/>
  <c r="F112" i="3"/>
  <c r="F125" i="1" l="1"/>
  <c r="E21" i="14"/>
  <c r="F39" i="3" l="1"/>
  <c r="H109" i="3"/>
  <c r="G130" i="3" l="1"/>
  <c r="F109" i="1"/>
  <c r="E29" i="14"/>
  <c r="E35" i="14" s="1"/>
  <c r="E36" i="14" s="1"/>
  <c r="E27" i="14"/>
  <c r="E26" i="14"/>
  <c r="H41" i="14" s="1"/>
  <c r="E25" i="14"/>
  <c r="C9" i="7"/>
  <c r="H24" i="7"/>
  <c r="H25" i="7" s="1"/>
  <c r="E19" i="14" s="1"/>
  <c r="H9" i="7"/>
  <c r="B114" i="13"/>
  <c r="B113" i="13"/>
  <c r="B112" i="13"/>
  <c r="B111" i="13"/>
  <c r="B110" i="13"/>
  <c r="B109" i="13"/>
  <c r="B108" i="13"/>
  <c r="B107" i="13"/>
  <c r="B106" i="13"/>
  <c r="B105" i="13"/>
  <c r="B104" i="13"/>
  <c r="B103" i="13"/>
  <c r="B102" i="13"/>
  <c r="B101" i="13"/>
  <c r="B100" i="13"/>
  <c r="B99" i="13"/>
  <c r="B98" i="13"/>
  <c r="B97" i="13"/>
  <c r="B96" i="13"/>
  <c r="B95" i="13"/>
  <c r="B94" i="13"/>
  <c r="B93" i="13"/>
  <c r="B92" i="13"/>
  <c r="B91" i="13"/>
  <c r="B90" i="13"/>
  <c r="B89" i="13"/>
  <c r="B88" i="13"/>
  <c r="B87" i="13"/>
  <c r="B86" i="13"/>
  <c r="B85" i="13"/>
  <c r="B84" i="13"/>
  <c r="B83" i="13"/>
  <c r="B82" i="13"/>
  <c r="B81" i="13"/>
  <c r="B80" i="13"/>
  <c r="B79" i="13"/>
  <c r="B78" i="13"/>
  <c r="B77" i="13"/>
  <c r="B76" i="13"/>
  <c r="B75" i="13"/>
  <c r="B74" i="13"/>
  <c r="B73" i="13"/>
  <c r="B72" i="13"/>
  <c r="B71" i="13"/>
  <c r="B70" i="13"/>
  <c r="B69" i="13"/>
  <c r="B68" i="13"/>
  <c r="B67" i="13"/>
  <c r="B66" i="13"/>
  <c r="B65" i="13"/>
  <c r="B64" i="13"/>
  <c r="B63" i="13"/>
  <c r="B62" i="13"/>
  <c r="B61" i="13"/>
  <c r="B60" i="13"/>
  <c r="B59" i="13"/>
  <c r="B58" i="13"/>
  <c r="B57" i="13"/>
  <c r="B56" i="13"/>
  <c r="B55" i="13"/>
  <c r="B54" i="13"/>
  <c r="B53" i="13"/>
  <c r="B52" i="13"/>
  <c r="B51" i="13"/>
  <c r="B50" i="13"/>
  <c r="B49" i="13"/>
  <c r="B48" i="13"/>
  <c r="B47" i="13"/>
  <c r="B46" i="13"/>
  <c r="B45" i="13"/>
  <c r="B44" i="13"/>
  <c r="B43" i="13"/>
  <c r="B42" i="13"/>
  <c r="B41" i="13"/>
  <c r="B40" i="13"/>
  <c r="B39" i="13"/>
  <c r="B38" i="13"/>
  <c r="B37" i="13"/>
  <c r="B36" i="13"/>
  <c r="B35" i="13"/>
  <c r="B34" i="13"/>
  <c r="B33" i="13"/>
  <c r="B32" i="13"/>
  <c r="B31" i="13"/>
  <c r="B30" i="13"/>
  <c r="B29" i="13"/>
  <c r="B28" i="13"/>
  <c r="B27" i="13"/>
  <c r="B26" i="13"/>
  <c r="B25" i="13"/>
  <c r="B24" i="13"/>
  <c r="B23" i="13"/>
  <c r="B22" i="13"/>
  <c r="B21" i="13"/>
  <c r="B20" i="13"/>
  <c r="B19" i="13"/>
  <c r="B18" i="13"/>
  <c r="B17" i="13"/>
  <c r="B16" i="13"/>
  <c r="B15" i="13"/>
  <c r="B14" i="13"/>
  <c r="B13" i="13"/>
  <c r="B12" i="13"/>
  <c r="B11" i="13"/>
  <c r="B10" i="13"/>
  <c r="A114" i="13"/>
  <c r="A113" i="13"/>
  <c r="A112" i="13"/>
  <c r="A111" i="13"/>
  <c r="A110" i="13"/>
  <c r="A109" i="13"/>
  <c r="A108" i="13"/>
  <c r="A107" i="13"/>
  <c r="A106" i="13"/>
  <c r="A105" i="13"/>
  <c r="A104" i="13"/>
  <c r="A103" i="13"/>
  <c r="A102" i="13"/>
  <c r="A101" i="13"/>
  <c r="A100" i="13"/>
  <c r="A99" i="13"/>
  <c r="A98" i="13"/>
  <c r="A97" i="13"/>
  <c r="A96" i="13"/>
  <c r="A95" i="13"/>
  <c r="A94" i="13"/>
  <c r="A93" i="13"/>
  <c r="A92" i="13"/>
  <c r="A91" i="13"/>
  <c r="A90" i="13"/>
  <c r="A89" i="13"/>
  <c r="A88" i="13"/>
  <c r="A87" i="13"/>
  <c r="A86" i="13"/>
  <c r="A85" i="13"/>
  <c r="A84" i="13"/>
  <c r="A83" i="13"/>
  <c r="A82" i="13"/>
  <c r="A81" i="13"/>
  <c r="A80" i="13"/>
  <c r="A79" i="13"/>
  <c r="A78" i="13"/>
  <c r="A77" i="13"/>
  <c r="A76" i="13"/>
  <c r="A75" i="13"/>
  <c r="A74" i="13"/>
  <c r="A73" i="13"/>
  <c r="A72" i="13"/>
  <c r="A71" i="13"/>
  <c r="A70" i="13"/>
  <c r="A69" i="13"/>
  <c r="A68" i="13"/>
  <c r="A67" i="13"/>
  <c r="A66" i="13"/>
  <c r="A65" i="13"/>
  <c r="A64" i="13"/>
  <c r="A63" i="13"/>
  <c r="A62" i="13"/>
  <c r="A61" i="13"/>
  <c r="A60" i="13"/>
  <c r="A59" i="13"/>
  <c r="A58" i="13"/>
  <c r="A57" i="13"/>
  <c r="A56" i="13"/>
  <c r="A55" i="13"/>
  <c r="A54" i="13"/>
  <c r="A53" i="13"/>
  <c r="A52" i="13"/>
  <c r="A51" i="13"/>
  <c r="A50" i="13"/>
  <c r="A49" i="13"/>
  <c r="A48" i="13"/>
  <c r="A47" i="13"/>
  <c r="A46" i="13"/>
  <c r="A45" i="13"/>
  <c r="A44" i="13"/>
  <c r="A43" i="13"/>
  <c r="A42" i="13"/>
  <c r="A41" i="13"/>
  <c r="A40" i="13"/>
  <c r="A39" i="13"/>
  <c r="A38" i="13"/>
  <c r="A37" i="13"/>
  <c r="A36" i="13"/>
  <c r="A35" i="13"/>
  <c r="A34" i="13"/>
  <c r="A33" i="13"/>
  <c r="A32" i="13"/>
  <c r="A31" i="13"/>
  <c r="A30" i="13"/>
  <c r="A29" i="13"/>
  <c r="A28" i="13"/>
  <c r="A27" i="13"/>
  <c r="A26" i="13"/>
  <c r="A25" i="13"/>
  <c r="A24" i="13"/>
  <c r="A23" i="13"/>
  <c r="A22" i="13"/>
  <c r="A21" i="13"/>
  <c r="A20" i="13"/>
  <c r="A19" i="13"/>
  <c r="A18" i="13"/>
  <c r="A17" i="13"/>
  <c r="A16" i="13"/>
  <c r="A15" i="13"/>
  <c r="A14" i="13"/>
  <c r="A13" i="13"/>
  <c r="A12" i="13"/>
  <c r="A11" i="13"/>
  <c r="A10" i="13"/>
  <c r="Y22" i="13"/>
  <c r="Y15" i="13"/>
  <c r="Y18" i="13" s="1"/>
  <c r="Y24" i="13" s="1"/>
  <c r="R2" i="13"/>
  <c r="Q2" i="13"/>
  <c r="J2" i="13"/>
  <c r="H2" i="13"/>
  <c r="G2" i="13"/>
  <c r="F2" i="13"/>
  <c r="O216" i="3"/>
  <c r="J111" i="3"/>
  <c r="J110" i="3"/>
  <c r="J109" i="3"/>
  <c r="I111" i="3"/>
  <c r="I110" i="3"/>
  <c r="I109" i="3"/>
  <c r="H111" i="3"/>
  <c r="H110" i="3"/>
  <c r="F177" i="3"/>
  <c r="F176" i="3"/>
  <c r="F175" i="3"/>
  <c r="F152" i="3"/>
  <c r="F151" i="3"/>
  <c r="F117" i="3"/>
  <c r="F116" i="3"/>
  <c r="F115" i="3"/>
  <c r="F114" i="3"/>
  <c r="F113" i="3"/>
  <c r="F77" i="3"/>
  <c r="F78" i="3" s="1"/>
  <c r="F90" i="1" s="1"/>
  <c r="F75" i="3"/>
  <c r="F76" i="3" s="1"/>
  <c r="F88" i="1" s="1"/>
  <c r="F63" i="3"/>
  <c r="F61" i="3"/>
  <c r="F62" i="3" s="1"/>
  <c r="F83" i="1" s="1"/>
  <c r="F57" i="3"/>
  <c r="F58" i="3" s="1"/>
  <c r="F77" i="1" s="1"/>
  <c r="F54" i="3"/>
  <c r="F36" i="3"/>
  <c r="F35" i="3"/>
  <c r="F34" i="3"/>
  <c r="F33" i="3"/>
  <c r="E279" i="3"/>
  <c r="E277" i="3"/>
  <c r="E17" i="3"/>
  <c r="E16" i="3"/>
  <c r="E15" i="3"/>
  <c r="F20" i="3" s="1"/>
  <c r="L18" i="6"/>
  <c r="M18" i="6" s="1"/>
  <c r="L17" i="6"/>
  <c r="M17" i="6" s="1"/>
  <c r="D26" i="6"/>
  <c r="D4" i="7"/>
  <c r="C4" i="7"/>
  <c r="B4" i="7"/>
  <c r="F61" i="1"/>
  <c r="AN42" i="1"/>
  <c r="G70" i="1"/>
  <c r="F130" i="1"/>
  <c r="F129" i="1"/>
  <c r="F128" i="1"/>
  <c r="F127" i="1"/>
  <c r="F126" i="1"/>
  <c r="F124" i="1"/>
  <c r="F121" i="1"/>
  <c r="F4" i="7"/>
  <c r="N18" i="6"/>
  <c r="N17" i="6"/>
  <c r="D2" i="13"/>
  <c r="E32" i="14" l="1"/>
  <c r="F35" i="14" s="1"/>
  <c r="E37" i="14"/>
  <c r="G131" i="3"/>
  <c r="F102" i="1" s="1"/>
  <c r="E4" i="7"/>
  <c r="F110" i="1"/>
  <c r="F62" i="1"/>
  <c r="H36" i="3" s="1"/>
  <c r="S253" i="3"/>
  <c r="T254" i="3"/>
  <c r="U255" i="3"/>
  <c r="S257" i="3"/>
  <c r="T258" i="3"/>
  <c r="U259" i="3"/>
  <c r="S261" i="3"/>
  <c r="T262" i="3"/>
  <c r="U263" i="3"/>
  <c r="S265" i="3"/>
  <c r="T266" i="3"/>
  <c r="U267" i="3"/>
  <c r="S269" i="3"/>
  <c r="T270" i="3"/>
  <c r="U271" i="3"/>
  <c r="U262" i="3"/>
  <c r="T265" i="3"/>
  <c r="S268" i="3"/>
  <c r="T269" i="3"/>
  <c r="S272" i="3"/>
  <c r="U253" i="3"/>
  <c r="S255" i="3"/>
  <c r="U257" i="3"/>
  <c r="S259" i="3"/>
  <c r="U261" i="3"/>
  <c r="S263" i="3"/>
  <c r="U265" i="3"/>
  <c r="T268" i="3"/>
  <c r="U269" i="3"/>
  <c r="T272" i="3"/>
  <c r="S254" i="3"/>
  <c r="U256" i="3"/>
  <c r="S258" i="3"/>
  <c r="U260" i="3"/>
  <c r="S262" i="3"/>
  <c r="U264" i="3"/>
  <c r="S266" i="3"/>
  <c r="U268" i="3"/>
  <c r="S270" i="3"/>
  <c r="U272" i="3"/>
  <c r="T253" i="3"/>
  <c r="U254" i="3"/>
  <c r="S256" i="3"/>
  <c r="T257" i="3"/>
  <c r="U258" i="3"/>
  <c r="S260" i="3"/>
  <c r="T261" i="3"/>
  <c r="S264" i="3"/>
  <c r="U266" i="3"/>
  <c r="U270" i="3"/>
  <c r="T256" i="3"/>
  <c r="T260" i="3"/>
  <c r="T264" i="3"/>
  <c r="S267" i="3"/>
  <c r="S271" i="3"/>
  <c r="T255" i="3"/>
  <c r="T259" i="3"/>
  <c r="T263" i="3"/>
  <c r="T267" i="3"/>
  <c r="T271" i="3"/>
  <c r="F99" i="1"/>
  <c r="K130" i="1"/>
  <c r="F153" i="3"/>
  <c r="H42" i="14"/>
  <c r="C113" i="13"/>
  <c r="C87" i="13"/>
  <c r="C114" i="13"/>
  <c r="G41" i="14"/>
  <c r="G42" i="14" s="1"/>
  <c r="C111" i="13"/>
  <c r="C112" i="13"/>
  <c r="C34" i="7"/>
  <c r="J25" i="14" s="1"/>
  <c r="F41" i="14"/>
  <c r="F42" i="14" s="1"/>
  <c r="C10" i="13"/>
  <c r="C22" i="13"/>
  <c r="C34" i="13"/>
  <c r="C50" i="13"/>
  <c r="C78" i="13"/>
  <c r="C82" i="13"/>
  <c r="C86" i="13"/>
  <c r="C98" i="13"/>
  <c r="I41" i="14"/>
  <c r="I42" i="14" s="1"/>
  <c r="C80" i="13"/>
  <c r="F100" i="1"/>
  <c r="F107" i="3"/>
  <c r="F92" i="1" s="1"/>
  <c r="K129" i="1" s="1"/>
  <c r="F64" i="3"/>
  <c r="F66" i="3" s="1"/>
  <c r="F108" i="3"/>
  <c r="F111" i="3"/>
  <c r="H27" i="7"/>
  <c r="E110" i="1"/>
  <c r="K133" i="1" s="1"/>
  <c r="E109" i="1"/>
  <c r="K132" i="1" s="1"/>
  <c r="D112" i="1"/>
  <c r="E112" i="1"/>
  <c r="K135" i="1" s="1"/>
  <c r="F112" i="1"/>
  <c r="D110" i="1"/>
  <c r="E111" i="1"/>
  <c r="K134" i="1" s="1"/>
  <c r="F111" i="1"/>
  <c r="D111" i="1"/>
  <c r="D109" i="1"/>
  <c r="F109" i="3"/>
  <c r="Q17" i="6"/>
  <c r="C8" i="7"/>
  <c r="C10" i="7" s="1"/>
  <c r="C11" i="7" s="1"/>
  <c r="C14" i="7" s="1"/>
  <c r="F37" i="1"/>
  <c r="AO52" i="1"/>
  <c r="D34" i="7"/>
  <c r="F106" i="3"/>
  <c r="F110" i="3"/>
  <c r="F93" i="1" s="1"/>
  <c r="K131" i="1" s="1"/>
  <c r="C110" i="13"/>
  <c r="C95" i="13"/>
  <c r="C79" i="13"/>
  <c r="C63" i="13"/>
  <c r="C47" i="13"/>
  <c r="C31" i="13"/>
  <c r="C107" i="13"/>
  <c r="C99" i="13"/>
  <c r="C71" i="13"/>
  <c r="C43" i="13"/>
  <c r="C35" i="13"/>
  <c r="C11" i="13"/>
  <c r="C91" i="13"/>
  <c r="C83" i="13"/>
  <c r="C55" i="13"/>
  <c r="C27" i="13"/>
  <c r="C15" i="13"/>
  <c r="C103" i="13"/>
  <c r="C96" i="13"/>
  <c r="C88" i="13"/>
  <c r="C75" i="13"/>
  <c r="C67" i="13"/>
  <c r="C60" i="13"/>
  <c r="C39" i="13"/>
  <c r="C32" i="13"/>
  <c r="C24" i="13"/>
  <c r="C19" i="13"/>
  <c r="C94" i="13"/>
  <c r="C66" i="13"/>
  <c r="C38" i="13"/>
  <c r="C12" i="13"/>
  <c r="C102" i="13"/>
  <c r="C59" i="13"/>
  <c r="C23" i="13"/>
  <c r="C108" i="13"/>
  <c r="C72" i="13"/>
  <c r="C30" i="13"/>
  <c r="C51" i="13"/>
  <c r="C44" i="13"/>
  <c r="C18" i="13"/>
  <c r="C13" i="13"/>
  <c r="C17" i="13"/>
  <c r="C21" i="13"/>
  <c r="C25" i="13"/>
  <c r="C29" i="13"/>
  <c r="C33" i="13"/>
  <c r="C37" i="13"/>
  <c r="C41" i="13"/>
  <c r="C45" i="13"/>
  <c r="C49" i="13"/>
  <c r="C53" i="13"/>
  <c r="C57" i="13"/>
  <c r="C61" i="13"/>
  <c r="C65" i="13"/>
  <c r="C69" i="13"/>
  <c r="C73" i="13"/>
  <c r="C77" i="13"/>
  <c r="C81" i="13"/>
  <c r="C85" i="13"/>
  <c r="C89" i="13"/>
  <c r="C93" i="13"/>
  <c r="C97" i="13"/>
  <c r="C101" i="13"/>
  <c r="C105" i="13"/>
  <c r="C109" i="13"/>
  <c r="C16" i="13"/>
  <c r="C20" i="13"/>
  <c r="C28" i="13"/>
  <c r="C40" i="13"/>
  <c r="C48" i="13"/>
  <c r="C56" i="13"/>
  <c r="C64" i="13"/>
  <c r="C76" i="13"/>
  <c r="C92" i="13"/>
  <c r="C104" i="13"/>
  <c r="E39" i="14"/>
  <c r="E40" i="14"/>
  <c r="F36" i="14"/>
  <c r="F37" i="14"/>
  <c r="G35" i="14"/>
  <c r="C26" i="13"/>
  <c r="C42" i="13"/>
  <c r="C58" i="13"/>
  <c r="C74" i="13"/>
  <c r="C90" i="13"/>
  <c r="C106" i="13"/>
  <c r="C14" i="13"/>
  <c r="C46" i="13"/>
  <c r="C54" i="13"/>
  <c r="C62" i="13"/>
  <c r="C70" i="13"/>
  <c r="E59" i="14"/>
  <c r="C36" i="13"/>
  <c r="C52" i="13"/>
  <c r="C68" i="13"/>
  <c r="C84" i="13"/>
  <c r="C100" i="13"/>
  <c r="E41" i="14"/>
  <c r="E42" i="14" s="1"/>
  <c r="X41" i="14"/>
  <c r="X42" i="14" s="1"/>
  <c r="W41" i="14"/>
  <c r="W42" i="14" s="1"/>
  <c r="V41" i="14"/>
  <c r="V42" i="14" s="1"/>
  <c r="U41" i="14"/>
  <c r="U42" i="14" s="1"/>
  <c r="T41" i="14"/>
  <c r="T42" i="14" s="1"/>
  <c r="S41" i="14"/>
  <c r="S42" i="14" s="1"/>
  <c r="R41" i="14"/>
  <c r="R42" i="14" s="1"/>
  <c r="Q41" i="14"/>
  <c r="Q42" i="14" s="1"/>
  <c r="P41" i="14"/>
  <c r="P42" i="14" s="1"/>
  <c r="O41" i="14"/>
  <c r="O42" i="14" s="1"/>
  <c r="N41" i="14"/>
  <c r="N42" i="14" s="1"/>
  <c r="M41" i="14"/>
  <c r="M42" i="14" s="1"/>
  <c r="K41" i="14"/>
  <c r="K42" i="14" s="1"/>
  <c r="J41" i="14"/>
  <c r="J42" i="14" s="1"/>
  <c r="L41" i="14"/>
  <c r="L42" i="14" s="1"/>
  <c r="F122" i="1" l="1"/>
  <c r="F123" i="1"/>
  <c r="H35" i="3"/>
  <c r="H33" i="3"/>
  <c r="C25" i="7"/>
  <c r="H34" i="3"/>
  <c r="E23" i="14"/>
  <c r="K25" i="14"/>
  <c r="E34" i="7"/>
  <c r="C33" i="7"/>
  <c r="J24" i="14" s="1"/>
  <c r="F85" i="1"/>
  <c r="F65" i="3"/>
  <c r="D33" i="7"/>
  <c r="K24" i="14" s="1"/>
  <c r="F101" i="1"/>
  <c r="F40" i="14"/>
  <c r="F39" i="14"/>
  <c r="E44" i="14"/>
  <c r="C12" i="7"/>
  <c r="C13" i="7" s="1"/>
  <c r="C15" i="7" s="1"/>
  <c r="C19" i="7" s="1"/>
  <c r="C18" i="7" s="1"/>
  <c r="G36" i="14"/>
  <c r="H35" i="14"/>
  <c r="G37" i="14"/>
  <c r="F23" i="3"/>
  <c r="F21" i="3"/>
  <c r="F40" i="1" s="1"/>
  <c r="F40" i="3" l="1"/>
  <c r="F65" i="1" s="1"/>
  <c r="F42" i="3"/>
  <c r="P97" i="13"/>
  <c r="F20" i="13"/>
  <c r="E33" i="7"/>
  <c r="L24" i="14" s="1"/>
  <c r="F34" i="7"/>
  <c r="L25" i="14"/>
  <c r="F38" i="3"/>
  <c r="P90" i="13"/>
  <c r="P89" i="13"/>
  <c r="Q55" i="13"/>
  <c r="F54" i="13"/>
  <c r="Q34" i="13"/>
  <c r="P18" i="13"/>
  <c r="P102" i="13"/>
  <c r="Q23" i="13"/>
  <c r="F74" i="13"/>
  <c r="Q61" i="13"/>
  <c r="P87" i="13"/>
  <c r="Q88" i="13"/>
  <c r="P83" i="13"/>
  <c r="P80" i="13"/>
  <c r="Q16" i="13"/>
  <c r="F80" i="13"/>
  <c r="Q12" i="13"/>
  <c r="Q89" i="13"/>
  <c r="Q78" i="13"/>
  <c r="P49" i="13"/>
  <c r="P111" i="13"/>
  <c r="P100" i="13"/>
  <c r="F85" i="13"/>
  <c r="F64" i="13"/>
  <c r="F34" i="13"/>
  <c r="Q26" i="13"/>
  <c r="F59" i="13"/>
  <c r="Q85" i="13"/>
  <c r="F48" i="13"/>
  <c r="F21" i="13"/>
  <c r="F25" i="13"/>
  <c r="F77" i="13"/>
  <c r="P45" i="13"/>
  <c r="F91" i="13"/>
  <c r="Q43" i="13"/>
  <c r="P61" i="13"/>
  <c r="P76" i="13"/>
  <c r="Q110" i="13"/>
  <c r="P23" i="13"/>
  <c r="Q84" i="13"/>
  <c r="P77" i="13"/>
  <c r="P36" i="13"/>
  <c r="F33" i="13"/>
  <c r="F29" i="13"/>
  <c r="F46" i="13"/>
  <c r="F13" i="13"/>
  <c r="F52" i="13"/>
  <c r="F18" i="13"/>
  <c r="F98" i="13"/>
  <c r="P39" i="13"/>
  <c r="P82" i="13"/>
  <c r="F43" i="13"/>
  <c r="F107" i="13"/>
  <c r="Q74" i="13"/>
  <c r="Q83" i="13"/>
  <c r="Q41" i="13"/>
  <c r="Q99" i="13"/>
  <c r="P16" i="13"/>
  <c r="Q67" i="13"/>
  <c r="F41" i="13"/>
  <c r="F23" i="13"/>
  <c r="P106" i="13"/>
  <c r="F102" i="13"/>
  <c r="P67" i="13"/>
  <c r="F108" i="13"/>
  <c r="F56" i="13"/>
  <c r="P94" i="13"/>
  <c r="Q109" i="13"/>
  <c r="Q49" i="13"/>
  <c r="F75" i="13"/>
  <c r="Q48" i="13"/>
  <c r="Q114" i="13"/>
  <c r="Q32" i="13"/>
  <c r="Q92" i="13"/>
  <c r="Q15" i="13"/>
  <c r="Q71" i="13"/>
  <c r="P47" i="13"/>
  <c r="P12" i="13"/>
  <c r="Q95" i="13"/>
  <c r="Q97" i="13"/>
  <c r="P92" i="13"/>
  <c r="P54" i="13"/>
  <c r="Q87" i="13"/>
  <c r="P105" i="13"/>
  <c r="P64" i="13"/>
  <c r="Q11" i="13"/>
  <c r="Q103" i="13"/>
  <c r="P79" i="13"/>
  <c r="P20" i="13"/>
  <c r="Q100" i="13"/>
  <c r="F76" i="13"/>
  <c r="F17" i="13"/>
  <c r="F84" i="13"/>
  <c r="F100" i="13"/>
  <c r="F27" i="13"/>
  <c r="F81" i="13"/>
  <c r="Q13" i="13"/>
  <c r="F78" i="13"/>
  <c r="F31" i="13"/>
  <c r="F86" i="13"/>
  <c r="Q72" i="13"/>
  <c r="F40" i="13"/>
  <c r="F82" i="13"/>
  <c r="P37" i="13"/>
  <c r="Q80" i="13"/>
  <c r="Q44" i="13"/>
  <c r="P53" i="13"/>
  <c r="Q21" i="13"/>
  <c r="Q104" i="13"/>
  <c r="F63" i="13"/>
  <c r="F95" i="13"/>
  <c r="P109" i="13"/>
  <c r="P26" i="13"/>
  <c r="Q38" i="13"/>
  <c r="Q102" i="13"/>
  <c r="Q39" i="13"/>
  <c r="P104" i="13"/>
  <c r="Q51" i="13"/>
  <c r="P65" i="13"/>
  <c r="Q37" i="13"/>
  <c r="P28" i="13"/>
  <c r="P43" i="13"/>
  <c r="P41" i="13"/>
  <c r="Q36" i="13"/>
  <c r="P55" i="13"/>
  <c r="P69" i="13"/>
  <c r="P84" i="13"/>
  <c r="F97" i="13"/>
  <c r="F62" i="13"/>
  <c r="F105" i="13"/>
  <c r="F42" i="13"/>
  <c r="Q33" i="13"/>
  <c r="F53" i="13"/>
  <c r="F110" i="13"/>
  <c r="F24" i="13"/>
  <c r="Q70" i="13"/>
  <c r="F58" i="13"/>
  <c r="P10" i="13"/>
  <c r="F22" i="13"/>
  <c r="F61" i="13"/>
  <c r="F104" i="13"/>
  <c r="P114" i="13"/>
  <c r="P58" i="13"/>
  <c r="P15" i="13"/>
  <c r="P93" i="13"/>
  <c r="Q58" i="13"/>
  <c r="F47" i="13"/>
  <c r="F79" i="13"/>
  <c r="F111" i="13"/>
  <c r="Q56" i="13"/>
  <c r="P98" i="13"/>
  <c r="Q90" i="13"/>
  <c r="Q94" i="13"/>
  <c r="Q27" i="13"/>
  <c r="P88" i="13"/>
  <c r="Q96" i="13"/>
  <c r="F90" i="13"/>
  <c r="F69" i="13"/>
  <c r="F112" i="13"/>
  <c r="F113" i="13"/>
  <c r="F11" i="13"/>
  <c r="P11" i="13"/>
  <c r="Q46" i="13"/>
  <c r="P27" i="13"/>
  <c r="Q75" i="13"/>
  <c r="P13" i="13"/>
  <c r="P81" i="13"/>
  <c r="Q113" i="13"/>
  <c r="P60" i="13"/>
  <c r="Q20" i="13"/>
  <c r="Q30" i="13"/>
  <c r="Q31" i="13"/>
  <c r="P75" i="13"/>
  <c r="P33" i="13"/>
  <c r="Q81" i="13"/>
  <c r="Q65" i="13"/>
  <c r="P48" i="13"/>
  <c r="P112" i="13"/>
  <c r="Q62" i="13"/>
  <c r="Q47" i="13"/>
  <c r="Q91" i="13"/>
  <c r="Q25" i="13"/>
  <c r="P31" i="13"/>
  <c r="P68" i="13"/>
  <c r="Q52" i="13"/>
  <c r="P66" i="13"/>
  <c r="F12" i="13"/>
  <c r="P29" i="13"/>
  <c r="Q54" i="13"/>
  <c r="F28" i="13"/>
  <c r="F19" i="13"/>
  <c r="F70" i="13"/>
  <c r="P30" i="13"/>
  <c r="F16" i="13"/>
  <c r="F38" i="13"/>
  <c r="F68" i="13"/>
  <c r="F96" i="13"/>
  <c r="P50" i="13"/>
  <c r="Q93" i="13"/>
  <c r="F49" i="13"/>
  <c r="F106" i="13"/>
  <c r="F44" i="13"/>
  <c r="F73" i="13"/>
  <c r="F101" i="13"/>
  <c r="P85" i="13"/>
  <c r="F14" i="13"/>
  <c r="F30" i="13"/>
  <c r="F50" i="13"/>
  <c r="F72" i="13"/>
  <c r="F93" i="13"/>
  <c r="F114" i="13"/>
  <c r="P74" i="13"/>
  <c r="Q42" i="13"/>
  <c r="P21" i="13"/>
  <c r="P95" i="13"/>
  <c r="Q82" i="13"/>
  <c r="P35" i="13"/>
  <c r="P73" i="13"/>
  <c r="P110" i="13"/>
  <c r="Q40" i="13"/>
  <c r="Q77" i="13"/>
  <c r="F39" i="13"/>
  <c r="F55" i="13"/>
  <c r="F71" i="13"/>
  <c r="F87" i="13"/>
  <c r="F103" i="13"/>
  <c r="P42" i="13"/>
  <c r="Q28" i="13"/>
  <c r="Q98" i="13"/>
  <c r="P62" i="13"/>
  <c r="Q24" i="13"/>
  <c r="Q66" i="13"/>
  <c r="Q86" i="13"/>
  <c r="Q68" i="13"/>
  <c r="Q107" i="13"/>
  <c r="P24" i="13"/>
  <c r="Q14" i="13"/>
  <c r="Q19" i="13"/>
  <c r="P59" i="13"/>
  <c r="P107" i="13"/>
  <c r="Q73" i="13"/>
  <c r="Q105" i="13"/>
  <c r="P44" i="13"/>
  <c r="P108" i="13"/>
  <c r="P19" i="13"/>
  <c r="Q63" i="13"/>
  <c r="Q111" i="13"/>
  <c r="Q57" i="13"/>
  <c r="P71" i="13"/>
  <c r="P32" i="13"/>
  <c r="P96" i="13"/>
  <c r="P38" i="13"/>
  <c r="Q35" i="13"/>
  <c r="Q79" i="13"/>
  <c r="P17" i="13"/>
  <c r="Q101" i="13"/>
  <c r="P52" i="13"/>
  <c r="P22" i="13"/>
  <c r="P103" i="13"/>
  <c r="F57" i="13"/>
  <c r="F32" i="13"/>
  <c r="F60" i="13"/>
  <c r="F89" i="13"/>
  <c r="Q50" i="13"/>
  <c r="F36" i="13"/>
  <c r="F92" i="13"/>
  <c r="F15" i="13"/>
  <c r="F37" i="13"/>
  <c r="F65" i="13"/>
  <c r="F94" i="13"/>
  <c r="P46" i="13"/>
  <c r="F10" i="13"/>
  <c r="F26" i="13"/>
  <c r="F45" i="13"/>
  <c r="F66" i="13"/>
  <c r="F88" i="13"/>
  <c r="F109" i="13"/>
  <c r="P57" i="13"/>
  <c r="Q22" i="13"/>
  <c r="Q106" i="13"/>
  <c r="P78" i="13"/>
  <c r="Q64" i="13"/>
  <c r="P25" i="13"/>
  <c r="P63" i="13"/>
  <c r="P101" i="13"/>
  <c r="Q29" i="13"/>
  <c r="Q69" i="13"/>
  <c r="F35" i="13"/>
  <c r="F51" i="13"/>
  <c r="F67" i="13"/>
  <c r="F83" i="13"/>
  <c r="F99" i="13"/>
  <c r="P14" i="13"/>
  <c r="Q18" i="13"/>
  <c r="Q76" i="13"/>
  <c r="P34" i="13"/>
  <c r="Q10" i="13"/>
  <c r="Q60" i="13"/>
  <c r="Q112" i="13"/>
  <c r="Q108" i="13"/>
  <c r="P72" i="13"/>
  <c r="Q53" i="13"/>
  <c r="P70" i="13"/>
  <c r="P91" i="13"/>
  <c r="P51" i="13"/>
  <c r="P56" i="13"/>
  <c r="P99" i="13"/>
  <c r="P86" i="13"/>
  <c r="Q59" i="13"/>
  <c r="Q17" i="13"/>
  <c r="Q45" i="13"/>
  <c r="P113" i="13"/>
  <c r="P40" i="13"/>
  <c r="F22" i="3"/>
  <c r="F41" i="1" s="1"/>
  <c r="G40" i="14"/>
  <c r="G39" i="14"/>
  <c r="C20" i="7"/>
  <c r="C22" i="7" s="1"/>
  <c r="C26" i="7" s="1"/>
  <c r="O211" i="3" s="1"/>
  <c r="I35" i="14"/>
  <c r="H36" i="14"/>
  <c r="H37" i="14"/>
  <c r="I2" i="13"/>
  <c r="F26" i="3"/>
  <c r="E278" i="3"/>
  <c r="F44" i="1"/>
  <c r="F25" i="3"/>
  <c r="F24" i="3"/>
  <c r="F44" i="14"/>
  <c r="F33" i="7" l="1"/>
  <c r="M24" i="14" s="1"/>
  <c r="M25" i="14"/>
  <c r="O214" i="3"/>
  <c r="O212" i="3"/>
  <c r="O213" i="3"/>
  <c r="O215" i="3"/>
  <c r="Q6" i="13"/>
  <c r="Q5" i="13"/>
  <c r="O201" i="3"/>
  <c r="O206" i="3"/>
  <c r="O197" i="3"/>
  <c r="F79" i="3"/>
  <c r="F80" i="3" s="1"/>
  <c r="F91" i="1" s="1"/>
  <c r="X193" i="3"/>
  <c r="F180" i="3"/>
  <c r="F46" i="1"/>
  <c r="H40" i="14"/>
  <c r="H39" i="14"/>
  <c r="F181" i="3"/>
  <c r="F27" i="3"/>
  <c r="F48" i="1" s="1"/>
  <c r="F47" i="1"/>
  <c r="AN52" i="1"/>
  <c r="F179" i="3"/>
  <c r="F45" i="1"/>
  <c r="G44" i="14"/>
  <c r="F47" i="3"/>
  <c r="F59" i="3" s="1"/>
  <c r="F78" i="1" s="1"/>
  <c r="F67" i="1"/>
  <c r="J35" i="14"/>
  <c r="I37" i="14"/>
  <c r="I36" i="14"/>
  <c r="K125" i="1" l="1"/>
  <c r="K127" i="1"/>
  <c r="B2" i="13"/>
  <c r="D107" i="13" s="1"/>
  <c r="K126" i="1"/>
  <c r="V231" i="3"/>
  <c r="V265" i="3"/>
  <c r="V270" i="3"/>
  <c r="V272" i="3"/>
  <c r="V211" i="3"/>
  <c r="V213" i="3"/>
  <c r="V215" i="3"/>
  <c r="V217" i="3"/>
  <c r="V219" i="3"/>
  <c r="V221" i="3"/>
  <c r="V223" i="3"/>
  <c r="V225" i="3"/>
  <c r="V227" i="3"/>
  <c r="V234" i="3"/>
  <c r="V236" i="3"/>
  <c r="V238" i="3"/>
  <c r="V240" i="3"/>
  <c r="V242" i="3"/>
  <c r="V244" i="3"/>
  <c r="V246" i="3"/>
  <c r="V248" i="3"/>
  <c r="V229" i="3"/>
  <c r="V230" i="3"/>
  <c r="V232" i="3"/>
  <c r="V233" i="3"/>
  <c r="V250" i="3"/>
  <c r="V251" i="3"/>
  <c r="V252" i="3"/>
  <c r="V253" i="3"/>
  <c r="V254" i="3"/>
  <c r="V255" i="3"/>
  <c r="V256" i="3"/>
  <c r="V257" i="3"/>
  <c r="V258" i="3"/>
  <c r="V259" i="3"/>
  <c r="V260" i="3"/>
  <c r="V261" i="3"/>
  <c r="V262" i="3"/>
  <c r="V263" i="3"/>
  <c r="V264" i="3"/>
  <c r="V266" i="3"/>
  <c r="V267" i="3"/>
  <c r="V268" i="3"/>
  <c r="V269" i="3"/>
  <c r="V271" i="3"/>
  <c r="V210" i="3"/>
  <c r="V212" i="3"/>
  <c r="V214" i="3"/>
  <c r="V216" i="3"/>
  <c r="V218" i="3"/>
  <c r="V220" i="3"/>
  <c r="V222" i="3"/>
  <c r="V224" i="3"/>
  <c r="V226" i="3"/>
  <c r="V228" i="3"/>
  <c r="V235" i="3"/>
  <c r="V237" i="3"/>
  <c r="V239" i="3"/>
  <c r="V241" i="3"/>
  <c r="V243" i="3"/>
  <c r="V245" i="3"/>
  <c r="V247" i="3"/>
  <c r="V249" i="3"/>
  <c r="K35" i="14"/>
  <c r="J36" i="14"/>
  <c r="J37" i="14"/>
  <c r="C2" i="13"/>
  <c r="I39" i="14"/>
  <c r="I40" i="14"/>
  <c r="F48" i="3"/>
  <c r="F185" i="3" s="1"/>
  <c r="F184" i="3"/>
  <c r="F46" i="3"/>
  <c r="F183" i="3" s="1"/>
  <c r="H44" i="14"/>
  <c r="V207" i="3"/>
  <c r="V203" i="3"/>
  <c r="V199" i="3"/>
  <c r="V195" i="3"/>
  <c r="V206" i="3"/>
  <c r="V194" i="3"/>
  <c r="V208" i="3"/>
  <c r="V204" i="3"/>
  <c r="V200" i="3"/>
  <c r="V196" i="3"/>
  <c r="V202" i="3"/>
  <c r="V198" i="3"/>
  <c r="V201" i="3"/>
  <c r="V197" i="3"/>
  <c r="V209" i="3"/>
  <c r="V205" i="3"/>
  <c r="V193" i="3"/>
  <c r="O207" i="3"/>
  <c r="O203" i="3"/>
  <c r="O202" i="3"/>
  <c r="O208" i="3"/>
  <c r="O204" i="3"/>
  <c r="O210" i="3"/>
  <c r="O209" i="3"/>
  <c r="O205" i="3"/>
  <c r="O199" i="3"/>
  <c r="O200" i="3"/>
  <c r="O198" i="3"/>
  <c r="D71" i="13" l="1"/>
  <c r="E71" i="13" s="1"/>
  <c r="D29" i="13"/>
  <c r="E29" i="13" s="1"/>
  <c r="G29" i="13" s="1"/>
  <c r="D88" i="13"/>
  <c r="E88" i="13" s="1"/>
  <c r="D114" i="13"/>
  <c r="D89" i="13"/>
  <c r="E89" i="13" s="1"/>
  <c r="D70" i="13"/>
  <c r="E70" i="13" s="1"/>
  <c r="D12" i="13"/>
  <c r="E12" i="13" s="1"/>
  <c r="M12" i="13" s="1"/>
  <c r="D69" i="13"/>
  <c r="E69" i="13" s="1"/>
  <c r="D43" i="13"/>
  <c r="E43" i="13" s="1"/>
  <c r="D30" i="13"/>
  <c r="E30" i="13" s="1"/>
  <c r="M30" i="13" s="1"/>
  <c r="D77" i="13"/>
  <c r="E77" i="13" s="1"/>
  <c r="D82" i="13"/>
  <c r="E82" i="13" s="1"/>
  <c r="D56" i="13"/>
  <c r="E56" i="13" s="1"/>
  <c r="D28" i="13"/>
  <c r="E28" i="13" s="1"/>
  <c r="M28" i="13" s="1"/>
  <c r="D79" i="13"/>
  <c r="E79" i="13" s="1"/>
  <c r="D109" i="13"/>
  <c r="E109" i="13" s="1"/>
  <c r="D50" i="13"/>
  <c r="E50" i="13" s="1"/>
  <c r="D90" i="13"/>
  <c r="E90" i="13" s="1"/>
  <c r="D27" i="13"/>
  <c r="E27" i="13" s="1"/>
  <c r="M27" i="13" s="1"/>
  <c r="D64" i="13"/>
  <c r="E64" i="13" s="1"/>
  <c r="D57" i="13"/>
  <c r="E57" i="13" s="1"/>
  <c r="D44" i="13"/>
  <c r="E44" i="13" s="1"/>
  <c r="D17" i="13"/>
  <c r="E17" i="13" s="1"/>
  <c r="M17" i="13" s="1"/>
  <c r="D62" i="13"/>
  <c r="E62" i="13" s="1"/>
  <c r="D106" i="13"/>
  <c r="E106" i="13" s="1"/>
  <c r="D31" i="13"/>
  <c r="E31" i="13" s="1"/>
  <c r="M31" i="13" s="1"/>
  <c r="D72" i="13"/>
  <c r="E72" i="13" s="1"/>
  <c r="D112" i="13"/>
  <c r="D81" i="13"/>
  <c r="E81" i="13" s="1"/>
  <c r="D14" i="13"/>
  <c r="E14" i="13" s="1"/>
  <c r="M14" i="13" s="1"/>
  <c r="D55" i="13"/>
  <c r="E55" i="13" s="1"/>
  <c r="D10" i="13"/>
  <c r="D45" i="13"/>
  <c r="E45" i="13" s="1"/>
  <c r="D11" i="13"/>
  <c r="E11" i="13" s="1"/>
  <c r="M11" i="13" s="1"/>
  <c r="D92" i="13"/>
  <c r="E92" i="13" s="1"/>
  <c r="D13" i="13"/>
  <c r="E13" i="13" s="1"/>
  <c r="M13" i="13" s="1"/>
  <c r="D34" i="13"/>
  <c r="E34" i="13" s="1"/>
  <c r="D24" i="13"/>
  <c r="E24" i="13" s="1"/>
  <c r="M24" i="13" s="1"/>
  <c r="D96" i="13"/>
  <c r="E96" i="13" s="1"/>
  <c r="D25" i="13"/>
  <c r="E25" i="13" s="1"/>
  <c r="M25" i="13" s="1"/>
  <c r="D47" i="13"/>
  <c r="E47" i="13" s="1"/>
  <c r="D99" i="13"/>
  <c r="E99" i="13" s="1"/>
  <c r="D36" i="13"/>
  <c r="E36" i="13" s="1"/>
  <c r="D85" i="13"/>
  <c r="E85" i="13" s="1"/>
  <c r="D37" i="13"/>
  <c r="E37" i="13" s="1"/>
  <c r="D66" i="13"/>
  <c r="E66" i="13" s="1"/>
  <c r="D98" i="13"/>
  <c r="E98" i="13" s="1"/>
  <c r="D23" i="13"/>
  <c r="E23" i="13" s="1"/>
  <c r="D48" i="13"/>
  <c r="E48" i="13" s="1"/>
  <c r="D76" i="13"/>
  <c r="E76" i="13" s="1"/>
  <c r="D108" i="13"/>
  <c r="E108" i="13" s="1"/>
  <c r="D49" i="13"/>
  <c r="E49" i="13" s="1"/>
  <c r="D97" i="13"/>
  <c r="E97" i="13" s="1"/>
  <c r="D22" i="13"/>
  <c r="E22" i="13" s="1"/>
  <c r="M22" i="13" s="1"/>
  <c r="D51" i="13"/>
  <c r="E51" i="13" s="1"/>
  <c r="D95" i="13"/>
  <c r="E95" i="13" s="1"/>
  <c r="D16" i="13"/>
  <c r="E16" i="13" s="1"/>
  <c r="M16" i="13" s="1"/>
  <c r="D53" i="13"/>
  <c r="E53" i="13" s="1"/>
  <c r="D101" i="13"/>
  <c r="E101" i="13" s="1"/>
  <c r="D33" i="13"/>
  <c r="E33" i="13" s="1"/>
  <c r="D54" i="13"/>
  <c r="E54" i="13" s="1"/>
  <c r="D78" i="13"/>
  <c r="E78" i="13" s="1"/>
  <c r="D102" i="13"/>
  <c r="E102" i="13" s="1"/>
  <c r="D15" i="13"/>
  <c r="E15" i="13" s="1"/>
  <c r="M15" i="13" s="1"/>
  <c r="D39" i="13"/>
  <c r="E39" i="13" s="1"/>
  <c r="D60" i="13"/>
  <c r="E60" i="13" s="1"/>
  <c r="D80" i="13"/>
  <c r="E80" i="13" s="1"/>
  <c r="D104" i="13"/>
  <c r="E104" i="13" s="1"/>
  <c r="D20" i="13"/>
  <c r="E20" i="13" s="1"/>
  <c r="D65" i="13"/>
  <c r="E65" i="13" s="1"/>
  <c r="D113" i="13"/>
  <c r="D18" i="13"/>
  <c r="E18" i="13" s="1"/>
  <c r="D38" i="13"/>
  <c r="E38" i="13" s="1"/>
  <c r="D63" i="13"/>
  <c r="E63" i="13" s="1"/>
  <c r="D83" i="13"/>
  <c r="E83" i="13" s="1"/>
  <c r="D103" i="13"/>
  <c r="E103" i="13" s="1"/>
  <c r="D67" i="13"/>
  <c r="E67" i="13" s="1"/>
  <c r="D87" i="13"/>
  <c r="E87" i="13" s="1"/>
  <c r="D111" i="13"/>
  <c r="D32" i="13"/>
  <c r="E32" i="13" s="1"/>
  <c r="D61" i="13"/>
  <c r="E61" i="13" s="1"/>
  <c r="D93" i="13"/>
  <c r="E93" i="13" s="1"/>
  <c r="D21" i="13"/>
  <c r="E21" i="13" s="1"/>
  <c r="D41" i="13"/>
  <c r="E41" i="13" s="1"/>
  <c r="D58" i="13"/>
  <c r="E58" i="13" s="1"/>
  <c r="D74" i="13"/>
  <c r="E74" i="13" s="1"/>
  <c r="D94" i="13"/>
  <c r="E94" i="13" s="1"/>
  <c r="D110" i="13"/>
  <c r="E110" i="13" s="1"/>
  <c r="D19" i="13"/>
  <c r="E19" i="13" s="1"/>
  <c r="D35" i="13"/>
  <c r="E35" i="13" s="1"/>
  <c r="D52" i="13"/>
  <c r="E52" i="13" s="1"/>
  <c r="D68" i="13"/>
  <c r="E68" i="13" s="1"/>
  <c r="D84" i="13"/>
  <c r="E84" i="13" s="1"/>
  <c r="D100" i="13"/>
  <c r="E100" i="13" s="1"/>
  <c r="D46" i="13"/>
  <c r="E46" i="13" s="1"/>
  <c r="D40" i="13"/>
  <c r="E40" i="13" s="1"/>
  <c r="D73" i="13"/>
  <c r="E73" i="13" s="1"/>
  <c r="D105" i="13"/>
  <c r="E105" i="13" s="1"/>
  <c r="D86" i="13"/>
  <c r="E86" i="13" s="1"/>
  <c r="D26" i="13"/>
  <c r="E26" i="13" s="1"/>
  <c r="D42" i="13"/>
  <c r="E42" i="13" s="1"/>
  <c r="D59" i="13"/>
  <c r="E59" i="13" s="1"/>
  <c r="D75" i="13"/>
  <c r="E75" i="13" s="1"/>
  <c r="D91" i="13"/>
  <c r="E91" i="13" s="1"/>
  <c r="F212" i="3"/>
  <c r="F215" i="3"/>
  <c r="F220" i="3"/>
  <c r="F223" i="3"/>
  <c r="F228" i="3"/>
  <c r="F231" i="3"/>
  <c r="F236" i="3"/>
  <c r="F239" i="3"/>
  <c r="F244" i="3"/>
  <c r="F247" i="3"/>
  <c r="F252" i="3"/>
  <c r="F258" i="3"/>
  <c r="F261" i="3"/>
  <c r="F266" i="3"/>
  <c r="F269" i="3"/>
  <c r="F210" i="3"/>
  <c r="F213" i="3"/>
  <c r="F218" i="3"/>
  <c r="F221" i="3"/>
  <c r="F226" i="3"/>
  <c r="F229" i="3"/>
  <c r="F234" i="3"/>
  <c r="F237" i="3"/>
  <c r="F242" i="3"/>
  <c r="F245" i="3"/>
  <c r="F250" i="3"/>
  <c r="F253" i="3"/>
  <c r="F256" i="3"/>
  <c r="F259" i="3"/>
  <c r="F264" i="3"/>
  <c r="F267" i="3"/>
  <c r="F272" i="3"/>
  <c r="F219" i="3"/>
  <c r="F224" i="3"/>
  <c r="F235" i="3"/>
  <c r="F240" i="3"/>
  <c r="F251" i="3"/>
  <c r="F257" i="3"/>
  <c r="F262" i="3"/>
  <c r="F216" i="3"/>
  <c r="F232" i="3"/>
  <c r="F243" i="3"/>
  <c r="F254" i="3"/>
  <c r="F265" i="3"/>
  <c r="F214" i="3"/>
  <c r="F225" i="3"/>
  <c r="F230" i="3"/>
  <c r="F241" i="3"/>
  <c r="F246" i="3"/>
  <c r="F263" i="3"/>
  <c r="F268" i="3"/>
  <c r="F211" i="3"/>
  <c r="F227" i="3"/>
  <c r="F248" i="3"/>
  <c r="F270" i="3"/>
  <c r="F217" i="3"/>
  <c r="F238" i="3"/>
  <c r="F260" i="3"/>
  <c r="F255" i="3"/>
  <c r="F222" i="3"/>
  <c r="F249" i="3"/>
  <c r="F271" i="3"/>
  <c r="F233" i="3"/>
  <c r="E10" i="13"/>
  <c r="M10" i="13" s="1"/>
  <c r="F209" i="3"/>
  <c r="F205" i="3"/>
  <c r="F201" i="3"/>
  <c r="F197" i="3"/>
  <c r="F193" i="3"/>
  <c r="F204" i="3"/>
  <c r="F206" i="3"/>
  <c r="F202" i="3"/>
  <c r="F198" i="3"/>
  <c r="F194" i="3"/>
  <c r="F208" i="3"/>
  <c r="F200" i="3"/>
  <c r="F196" i="3"/>
  <c r="F203" i="3"/>
  <c r="F199" i="3"/>
  <c r="F207" i="3"/>
  <c r="F195" i="3"/>
  <c r="G24" i="13"/>
  <c r="J39" i="14"/>
  <c r="J40" i="14"/>
  <c r="I44" i="14"/>
  <c r="E112" i="13"/>
  <c r="E111" i="13"/>
  <c r="E114" i="13"/>
  <c r="E113" i="13"/>
  <c r="E107" i="13"/>
  <c r="L35" i="14"/>
  <c r="K37" i="14"/>
  <c r="K36" i="14"/>
  <c r="G30" i="13" l="1"/>
  <c r="O30" i="13" s="1"/>
  <c r="M23" i="13"/>
  <c r="G23" i="13"/>
  <c r="H23" i="13" s="1"/>
  <c r="G31" i="13"/>
  <c r="H31" i="13" s="1"/>
  <c r="G20" i="13"/>
  <c r="O20" i="13" s="1"/>
  <c r="M20" i="13"/>
  <c r="M19" i="13"/>
  <c r="G19" i="13"/>
  <c r="H19" i="13" s="1"/>
  <c r="G12" i="13"/>
  <c r="H12" i="13" s="1"/>
  <c r="G27" i="13"/>
  <c r="H27" i="13" s="1"/>
  <c r="M26" i="13"/>
  <c r="G26" i="13"/>
  <c r="O26" i="13" s="1"/>
  <c r="M18" i="13"/>
  <c r="G18" i="13"/>
  <c r="H18" i="13" s="1"/>
  <c r="G14" i="13"/>
  <c r="O14" i="13" s="1"/>
  <c r="G11" i="13"/>
  <c r="O11" i="13" s="1"/>
  <c r="M29" i="13"/>
  <c r="G22" i="13"/>
  <c r="O22" i="13" s="1"/>
  <c r="M21" i="13"/>
  <c r="G21" i="13"/>
  <c r="H21" i="13" s="1"/>
  <c r="G17" i="13"/>
  <c r="O17" i="13" s="1"/>
  <c r="G25" i="13"/>
  <c r="H25" i="13" s="1"/>
  <c r="G10" i="13"/>
  <c r="H10" i="13" s="1"/>
  <c r="G15" i="13"/>
  <c r="O15" i="13" s="1"/>
  <c r="G16" i="13"/>
  <c r="O16" i="13" s="1"/>
  <c r="G13" i="13"/>
  <c r="H13" i="13" s="1"/>
  <c r="G28" i="13"/>
  <c r="O28" i="13" s="1"/>
  <c r="G222" i="3"/>
  <c r="L222" i="3" s="1"/>
  <c r="U222" i="3" s="1"/>
  <c r="K222" i="3"/>
  <c r="T222" i="3" s="1"/>
  <c r="B222" i="3"/>
  <c r="E222" i="3"/>
  <c r="J222" i="3" s="1"/>
  <c r="S222" i="3" s="1"/>
  <c r="B217" i="3"/>
  <c r="G217" i="3"/>
  <c r="L217" i="3" s="1"/>
  <c r="U217" i="3" s="1"/>
  <c r="K217" i="3"/>
  <c r="T217" i="3" s="1"/>
  <c r="E217" i="3"/>
  <c r="J217" i="3" s="1"/>
  <c r="S217" i="3" s="1"/>
  <c r="K211" i="3"/>
  <c r="T211" i="3" s="1"/>
  <c r="E211" i="3"/>
  <c r="J211" i="3" s="1"/>
  <c r="S211" i="3" s="1"/>
  <c r="B211" i="3"/>
  <c r="G211" i="3"/>
  <c r="L211" i="3" s="1"/>
  <c r="U211" i="3" s="1"/>
  <c r="B241" i="3"/>
  <c r="G241" i="3"/>
  <c r="L241" i="3" s="1"/>
  <c r="U241" i="3" s="1"/>
  <c r="K241" i="3"/>
  <c r="T241" i="3" s="1"/>
  <c r="E241" i="3"/>
  <c r="J241" i="3" s="1"/>
  <c r="S241" i="3" s="1"/>
  <c r="E265" i="3"/>
  <c r="J265" i="3" s="1"/>
  <c r="K265" i="3"/>
  <c r="G265" i="3"/>
  <c r="L265" i="3" s="1"/>
  <c r="B265" i="3"/>
  <c r="G216" i="3"/>
  <c r="L216" i="3" s="1"/>
  <c r="U216" i="3" s="1"/>
  <c r="K216" i="3"/>
  <c r="T216" i="3" s="1"/>
  <c r="E216" i="3"/>
  <c r="J216" i="3" s="1"/>
  <c r="S216" i="3" s="1"/>
  <c r="B216" i="3"/>
  <c r="G240" i="3"/>
  <c r="L240" i="3" s="1"/>
  <c r="U240" i="3" s="1"/>
  <c r="B240" i="3"/>
  <c r="K240" i="3"/>
  <c r="T240" i="3" s="1"/>
  <c r="E240" i="3"/>
  <c r="J240" i="3" s="1"/>
  <c r="S240" i="3" s="1"/>
  <c r="G272" i="3"/>
  <c r="L272" i="3" s="1"/>
  <c r="B272" i="3"/>
  <c r="K272" i="3"/>
  <c r="E272" i="3"/>
  <c r="J272" i="3" s="1"/>
  <c r="G256" i="3"/>
  <c r="L256" i="3" s="1"/>
  <c r="B256" i="3"/>
  <c r="K256" i="3"/>
  <c r="E256" i="3"/>
  <c r="J256" i="3" s="1"/>
  <c r="G242" i="3"/>
  <c r="L242" i="3" s="1"/>
  <c r="U242" i="3" s="1"/>
  <c r="K242" i="3"/>
  <c r="T242" i="3" s="1"/>
  <c r="B242" i="3"/>
  <c r="E242" i="3"/>
  <c r="J242" i="3" s="1"/>
  <c r="S242" i="3" s="1"/>
  <c r="G226" i="3"/>
  <c r="L226" i="3" s="1"/>
  <c r="U226" i="3" s="1"/>
  <c r="K226" i="3"/>
  <c r="T226" i="3" s="1"/>
  <c r="B226" i="3"/>
  <c r="E226" i="3"/>
  <c r="J226" i="3" s="1"/>
  <c r="S226" i="3" s="1"/>
  <c r="G210" i="3"/>
  <c r="L210" i="3" s="1"/>
  <c r="U210" i="3" s="1"/>
  <c r="K210" i="3"/>
  <c r="T210" i="3" s="1"/>
  <c r="B210" i="3"/>
  <c r="E210" i="3"/>
  <c r="J210" i="3" s="1"/>
  <c r="S210" i="3" s="1"/>
  <c r="G258" i="3"/>
  <c r="L258" i="3" s="1"/>
  <c r="K258" i="3"/>
  <c r="B258" i="3"/>
  <c r="E258" i="3"/>
  <c r="J258" i="3" s="1"/>
  <c r="K239" i="3"/>
  <c r="T239" i="3" s="1"/>
  <c r="B239" i="3"/>
  <c r="G239" i="3"/>
  <c r="L239" i="3" s="1"/>
  <c r="U239" i="3" s="1"/>
  <c r="E239" i="3"/>
  <c r="J239" i="3" s="1"/>
  <c r="S239" i="3" s="1"/>
  <c r="K223" i="3"/>
  <c r="T223" i="3" s="1"/>
  <c r="B223" i="3"/>
  <c r="G223" i="3"/>
  <c r="L223" i="3" s="1"/>
  <c r="U223" i="3" s="1"/>
  <c r="E223" i="3"/>
  <c r="J223" i="3" s="1"/>
  <c r="S223" i="3" s="1"/>
  <c r="B233" i="3"/>
  <c r="G233" i="3"/>
  <c r="L233" i="3" s="1"/>
  <c r="U233" i="3" s="1"/>
  <c r="E233" i="3"/>
  <c r="J233" i="3" s="1"/>
  <c r="S233" i="3" s="1"/>
  <c r="K233" i="3"/>
  <c r="T233" i="3" s="1"/>
  <c r="K255" i="3"/>
  <c r="G255" i="3"/>
  <c r="L255" i="3" s="1"/>
  <c r="B255" i="3"/>
  <c r="E255" i="3"/>
  <c r="J255" i="3" s="1"/>
  <c r="G270" i="3"/>
  <c r="L270" i="3" s="1"/>
  <c r="K270" i="3"/>
  <c r="B270" i="3"/>
  <c r="E270" i="3"/>
  <c r="J270" i="3" s="1"/>
  <c r="G268" i="3"/>
  <c r="L268" i="3" s="1"/>
  <c r="B268" i="3"/>
  <c r="E268" i="3"/>
  <c r="J268" i="3" s="1"/>
  <c r="K268" i="3"/>
  <c r="G230" i="3"/>
  <c r="L230" i="3" s="1"/>
  <c r="U230" i="3" s="1"/>
  <c r="K230" i="3"/>
  <c r="T230" i="3" s="1"/>
  <c r="B230" i="3"/>
  <c r="E230" i="3"/>
  <c r="J230" i="3" s="1"/>
  <c r="S230" i="3" s="1"/>
  <c r="G254" i="3"/>
  <c r="L254" i="3" s="1"/>
  <c r="K254" i="3"/>
  <c r="B254" i="3"/>
  <c r="E254" i="3"/>
  <c r="J254" i="3" s="1"/>
  <c r="G262" i="3"/>
  <c r="L262" i="3" s="1"/>
  <c r="K262" i="3"/>
  <c r="B262" i="3"/>
  <c r="E262" i="3"/>
  <c r="J262" i="3" s="1"/>
  <c r="K235" i="3"/>
  <c r="T235" i="3" s="1"/>
  <c r="B235" i="3"/>
  <c r="G235" i="3"/>
  <c r="L235" i="3" s="1"/>
  <c r="U235" i="3" s="1"/>
  <c r="E235" i="3"/>
  <c r="J235" i="3" s="1"/>
  <c r="S235" i="3" s="1"/>
  <c r="K267" i="3"/>
  <c r="B267" i="3"/>
  <c r="G267" i="3"/>
  <c r="L267" i="3" s="1"/>
  <c r="E267" i="3"/>
  <c r="J267" i="3" s="1"/>
  <c r="E253" i="3"/>
  <c r="J253" i="3" s="1"/>
  <c r="K253" i="3"/>
  <c r="B253" i="3"/>
  <c r="G253" i="3"/>
  <c r="L253" i="3" s="1"/>
  <c r="B237" i="3"/>
  <c r="K237" i="3"/>
  <c r="T237" i="3" s="1"/>
  <c r="E237" i="3"/>
  <c r="J237" i="3" s="1"/>
  <c r="S237" i="3" s="1"/>
  <c r="G237" i="3"/>
  <c r="L237" i="3" s="1"/>
  <c r="U237" i="3" s="1"/>
  <c r="B221" i="3"/>
  <c r="K221" i="3"/>
  <c r="T221" i="3" s="1"/>
  <c r="E221" i="3"/>
  <c r="J221" i="3" s="1"/>
  <c r="S221" i="3" s="1"/>
  <c r="G221" i="3"/>
  <c r="L221" i="3" s="1"/>
  <c r="U221" i="3" s="1"/>
  <c r="E269" i="3"/>
  <c r="J269" i="3" s="1"/>
  <c r="G269" i="3"/>
  <c r="L269" i="3" s="1"/>
  <c r="K269" i="3"/>
  <c r="B269" i="3"/>
  <c r="G252" i="3"/>
  <c r="L252" i="3" s="1"/>
  <c r="U252" i="3" s="1"/>
  <c r="B252" i="3"/>
  <c r="E252" i="3"/>
  <c r="J252" i="3" s="1"/>
  <c r="S252" i="3" s="1"/>
  <c r="K252" i="3"/>
  <c r="T252" i="3" s="1"/>
  <c r="G236" i="3"/>
  <c r="L236" i="3" s="1"/>
  <c r="U236" i="3" s="1"/>
  <c r="B236" i="3"/>
  <c r="K236" i="3"/>
  <c r="T236" i="3" s="1"/>
  <c r="E236" i="3"/>
  <c r="J236" i="3" s="1"/>
  <c r="S236" i="3" s="1"/>
  <c r="G220" i="3"/>
  <c r="L220" i="3" s="1"/>
  <c r="U220" i="3" s="1"/>
  <c r="E220" i="3"/>
  <c r="J220" i="3" s="1"/>
  <c r="S220" i="3" s="1"/>
  <c r="B220" i="3"/>
  <c r="K220" i="3"/>
  <c r="T220" i="3" s="1"/>
  <c r="K271" i="3"/>
  <c r="G271" i="3"/>
  <c r="L271" i="3" s="1"/>
  <c r="B271" i="3"/>
  <c r="E271" i="3"/>
  <c r="J271" i="3" s="1"/>
  <c r="G260" i="3"/>
  <c r="L260" i="3" s="1"/>
  <c r="B260" i="3"/>
  <c r="K260" i="3"/>
  <c r="E260" i="3"/>
  <c r="J260" i="3" s="1"/>
  <c r="G248" i="3"/>
  <c r="L248" i="3" s="1"/>
  <c r="U248" i="3" s="1"/>
  <c r="E248" i="3"/>
  <c r="J248" i="3" s="1"/>
  <c r="S248" i="3" s="1"/>
  <c r="K248" i="3"/>
  <c r="T248" i="3" s="1"/>
  <c r="B248" i="3"/>
  <c r="K263" i="3"/>
  <c r="G263" i="3"/>
  <c r="L263" i="3" s="1"/>
  <c r="B263" i="3"/>
  <c r="E263" i="3"/>
  <c r="J263" i="3" s="1"/>
  <c r="B225" i="3"/>
  <c r="G225" i="3"/>
  <c r="L225" i="3" s="1"/>
  <c r="U225" i="3" s="1"/>
  <c r="K225" i="3"/>
  <c r="T225" i="3" s="1"/>
  <c r="E225" i="3"/>
  <c r="J225" i="3" s="1"/>
  <c r="S225" i="3" s="1"/>
  <c r="K243" i="3"/>
  <c r="T243" i="3" s="1"/>
  <c r="E243" i="3"/>
  <c r="J243" i="3" s="1"/>
  <c r="S243" i="3" s="1"/>
  <c r="B243" i="3"/>
  <c r="G243" i="3"/>
  <c r="L243" i="3" s="1"/>
  <c r="U243" i="3" s="1"/>
  <c r="E257" i="3"/>
  <c r="J257" i="3" s="1"/>
  <c r="G257" i="3"/>
  <c r="L257" i="3" s="1"/>
  <c r="K257" i="3"/>
  <c r="B257" i="3"/>
  <c r="G224" i="3"/>
  <c r="L224" i="3" s="1"/>
  <c r="U224" i="3" s="1"/>
  <c r="B224" i="3"/>
  <c r="E224" i="3"/>
  <c r="J224" i="3" s="1"/>
  <c r="S224" i="3" s="1"/>
  <c r="K224" i="3"/>
  <c r="T224" i="3" s="1"/>
  <c r="G264" i="3"/>
  <c r="L264" i="3" s="1"/>
  <c r="K264" i="3"/>
  <c r="B264" i="3"/>
  <c r="E264" i="3"/>
  <c r="J264" i="3" s="1"/>
  <c r="G250" i="3"/>
  <c r="L250" i="3" s="1"/>
  <c r="U250" i="3" s="1"/>
  <c r="B250" i="3"/>
  <c r="K250" i="3"/>
  <c r="T250" i="3" s="1"/>
  <c r="E250" i="3"/>
  <c r="J250" i="3" s="1"/>
  <c r="S250" i="3" s="1"/>
  <c r="G234" i="3"/>
  <c r="L234" i="3" s="1"/>
  <c r="U234" i="3" s="1"/>
  <c r="B234" i="3"/>
  <c r="K234" i="3"/>
  <c r="T234" i="3" s="1"/>
  <c r="E234" i="3"/>
  <c r="J234" i="3" s="1"/>
  <c r="S234" i="3" s="1"/>
  <c r="G218" i="3"/>
  <c r="L218" i="3" s="1"/>
  <c r="U218" i="3" s="1"/>
  <c r="B218" i="3"/>
  <c r="K218" i="3"/>
  <c r="T218" i="3" s="1"/>
  <c r="E218" i="3"/>
  <c r="J218" i="3" s="1"/>
  <c r="S218" i="3" s="1"/>
  <c r="G266" i="3"/>
  <c r="L266" i="3" s="1"/>
  <c r="B266" i="3"/>
  <c r="K266" i="3"/>
  <c r="E266" i="3"/>
  <c r="J266" i="3" s="1"/>
  <c r="K247" i="3"/>
  <c r="T247" i="3" s="1"/>
  <c r="G247" i="3"/>
  <c r="L247" i="3" s="1"/>
  <c r="U247" i="3" s="1"/>
  <c r="B247" i="3"/>
  <c r="E247" i="3"/>
  <c r="J247" i="3" s="1"/>
  <c r="S247" i="3" s="1"/>
  <c r="K231" i="3"/>
  <c r="T231" i="3" s="1"/>
  <c r="G231" i="3"/>
  <c r="L231" i="3" s="1"/>
  <c r="U231" i="3" s="1"/>
  <c r="B231" i="3"/>
  <c r="E231" i="3"/>
  <c r="J231" i="3" s="1"/>
  <c r="S231" i="3" s="1"/>
  <c r="K215" i="3"/>
  <c r="T215" i="3" s="1"/>
  <c r="G215" i="3"/>
  <c r="L215" i="3" s="1"/>
  <c r="U215" i="3" s="1"/>
  <c r="E215" i="3"/>
  <c r="J215" i="3" s="1"/>
  <c r="S215" i="3" s="1"/>
  <c r="B215" i="3"/>
  <c r="B249" i="3"/>
  <c r="G249" i="3"/>
  <c r="L249" i="3" s="1"/>
  <c r="U249" i="3" s="1"/>
  <c r="E249" i="3"/>
  <c r="J249" i="3" s="1"/>
  <c r="S249" i="3" s="1"/>
  <c r="K249" i="3"/>
  <c r="T249" i="3" s="1"/>
  <c r="G238" i="3"/>
  <c r="L238" i="3" s="1"/>
  <c r="U238" i="3" s="1"/>
  <c r="K238" i="3"/>
  <c r="T238" i="3" s="1"/>
  <c r="B238" i="3"/>
  <c r="E238" i="3"/>
  <c r="J238" i="3" s="1"/>
  <c r="S238" i="3" s="1"/>
  <c r="K227" i="3"/>
  <c r="T227" i="3" s="1"/>
  <c r="E227" i="3"/>
  <c r="J227" i="3" s="1"/>
  <c r="S227" i="3" s="1"/>
  <c r="B227" i="3"/>
  <c r="G227" i="3"/>
  <c r="L227" i="3" s="1"/>
  <c r="U227" i="3" s="1"/>
  <c r="G246" i="3"/>
  <c r="L246" i="3" s="1"/>
  <c r="U246" i="3" s="1"/>
  <c r="K246" i="3"/>
  <c r="T246" i="3" s="1"/>
  <c r="B246" i="3"/>
  <c r="E246" i="3"/>
  <c r="J246" i="3" s="1"/>
  <c r="S246" i="3" s="1"/>
  <c r="G214" i="3"/>
  <c r="L214" i="3" s="1"/>
  <c r="U214" i="3" s="1"/>
  <c r="K214" i="3"/>
  <c r="T214" i="3" s="1"/>
  <c r="B214" i="3"/>
  <c r="E214" i="3"/>
  <c r="J214" i="3" s="1"/>
  <c r="S214" i="3" s="1"/>
  <c r="G232" i="3"/>
  <c r="L232" i="3" s="1"/>
  <c r="U232" i="3" s="1"/>
  <c r="E232" i="3"/>
  <c r="J232" i="3" s="1"/>
  <c r="S232" i="3" s="1"/>
  <c r="K232" i="3"/>
  <c r="T232" i="3" s="1"/>
  <c r="B232" i="3"/>
  <c r="K251" i="3"/>
  <c r="T251" i="3" s="1"/>
  <c r="B251" i="3"/>
  <c r="G251" i="3"/>
  <c r="L251" i="3" s="1"/>
  <c r="U251" i="3" s="1"/>
  <c r="E251" i="3"/>
  <c r="J251" i="3" s="1"/>
  <c r="S251" i="3" s="1"/>
  <c r="K219" i="3"/>
  <c r="T219" i="3" s="1"/>
  <c r="E219" i="3"/>
  <c r="J219" i="3" s="1"/>
  <c r="S219" i="3" s="1"/>
  <c r="B219" i="3"/>
  <c r="G219" i="3"/>
  <c r="L219" i="3" s="1"/>
  <c r="U219" i="3" s="1"/>
  <c r="K259" i="3"/>
  <c r="G259" i="3"/>
  <c r="L259" i="3" s="1"/>
  <c r="E259" i="3"/>
  <c r="J259" i="3" s="1"/>
  <c r="B259" i="3"/>
  <c r="B245" i="3"/>
  <c r="K245" i="3"/>
  <c r="T245" i="3" s="1"/>
  <c r="G245" i="3"/>
  <c r="L245" i="3" s="1"/>
  <c r="U245" i="3" s="1"/>
  <c r="E245" i="3"/>
  <c r="J245" i="3" s="1"/>
  <c r="S245" i="3" s="1"/>
  <c r="B229" i="3"/>
  <c r="K229" i="3"/>
  <c r="T229" i="3" s="1"/>
  <c r="G229" i="3"/>
  <c r="L229" i="3" s="1"/>
  <c r="U229" i="3" s="1"/>
  <c r="E229" i="3"/>
  <c r="J229" i="3" s="1"/>
  <c r="S229" i="3" s="1"/>
  <c r="B213" i="3"/>
  <c r="E213" i="3"/>
  <c r="J213" i="3" s="1"/>
  <c r="S213" i="3" s="1"/>
  <c r="K213" i="3"/>
  <c r="T213" i="3" s="1"/>
  <c r="G213" i="3"/>
  <c r="L213" i="3" s="1"/>
  <c r="U213" i="3" s="1"/>
  <c r="E261" i="3"/>
  <c r="J261" i="3" s="1"/>
  <c r="G261" i="3"/>
  <c r="L261" i="3" s="1"/>
  <c r="K261" i="3"/>
  <c r="B261" i="3"/>
  <c r="G244" i="3"/>
  <c r="L244" i="3" s="1"/>
  <c r="U244" i="3" s="1"/>
  <c r="B244" i="3"/>
  <c r="E244" i="3"/>
  <c r="J244" i="3" s="1"/>
  <c r="S244" i="3" s="1"/>
  <c r="K244" i="3"/>
  <c r="T244" i="3" s="1"/>
  <c r="G228" i="3"/>
  <c r="L228" i="3" s="1"/>
  <c r="U228" i="3" s="1"/>
  <c r="B228" i="3"/>
  <c r="E228" i="3"/>
  <c r="J228" i="3" s="1"/>
  <c r="S228" i="3" s="1"/>
  <c r="K228" i="3"/>
  <c r="T228" i="3" s="1"/>
  <c r="G212" i="3"/>
  <c r="L212" i="3" s="1"/>
  <c r="U212" i="3" s="1"/>
  <c r="B212" i="3"/>
  <c r="E212" i="3"/>
  <c r="J212" i="3" s="1"/>
  <c r="S212" i="3" s="1"/>
  <c r="K212" i="3"/>
  <c r="T212" i="3" s="1"/>
  <c r="M35" i="14"/>
  <c r="L36" i="14"/>
  <c r="L37" i="14"/>
  <c r="M76" i="13"/>
  <c r="G76" i="13"/>
  <c r="M52" i="13"/>
  <c r="G52" i="13"/>
  <c r="M87" i="13"/>
  <c r="G87" i="13"/>
  <c r="M48" i="13"/>
  <c r="G48" i="13"/>
  <c r="M63" i="13"/>
  <c r="G63" i="13"/>
  <c r="M69" i="13"/>
  <c r="G69" i="13"/>
  <c r="M78" i="13"/>
  <c r="G78" i="13"/>
  <c r="M66" i="13"/>
  <c r="G66" i="13"/>
  <c r="M102" i="13"/>
  <c r="G102" i="13"/>
  <c r="M77" i="13"/>
  <c r="G77" i="13"/>
  <c r="B194" i="3"/>
  <c r="K194" i="3"/>
  <c r="T194" i="3" s="1"/>
  <c r="E194" i="3"/>
  <c r="J194" i="3" s="1"/>
  <c r="S194" i="3" s="1"/>
  <c r="G194" i="3"/>
  <c r="L194" i="3" s="1"/>
  <c r="U194" i="3" s="1"/>
  <c r="K205" i="3"/>
  <c r="T205" i="3" s="1"/>
  <c r="G205" i="3"/>
  <c r="L205" i="3" s="1"/>
  <c r="U205" i="3" s="1"/>
  <c r="E205" i="3"/>
  <c r="J205" i="3" s="1"/>
  <c r="S205" i="3" s="1"/>
  <c r="B205" i="3"/>
  <c r="O10" i="13"/>
  <c r="M105" i="13"/>
  <c r="G105" i="13"/>
  <c r="M75" i="13"/>
  <c r="G75" i="13"/>
  <c r="M89" i="13"/>
  <c r="G89" i="13"/>
  <c r="M92" i="13"/>
  <c r="G92" i="13"/>
  <c r="M60" i="13"/>
  <c r="G60" i="13"/>
  <c r="M79" i="13"/>
  <c r="G79" i="13"/>
  <c r="M90" i="13"/>
  <c r="G90" i="13"/>
  <c r="M46" i="13"/>
  <c r="G46" i="13"/>
  <c r="M42" i="13"/>
  <c r="G42" i="13"/>
  <c r="M93" i="13"/>
  <c r="G93" i="13"/>
  <c r="E195" i="3"/>
  <c r="J195" i="3" s="1"/>
  <c r="S195" i="3" s="1"/>
  <c r="B195" i="3"/>
  <c r="G195" i="3"/>
  <c r="L195" i="3" s="1"/>
  <c r="U195" i="3" s="1"/>
  <c r="K195" i="3"/>
  <c r="T195" i="3" s="1"/>
  <c r="G196" i="3"/>
  <c r="L196" i="3" s="1"/>
  <c r="U196" i="3" s="1"/>
  <c r="E196" i="3"/>
  <c r="J196" i="3" s="1"/>
  <c r="S196" i="3" s="1"/>
  <c r="K196" i="3"/>
  <c r="T196" i="3" s="1"/>
  <c r="B196" i="3"/>
  <c r="K193" i="3"/>
  <c r="T193" i="3" s="1"/>
  <c r="B193" i="3"/>
  <c r="G193" i="3"/>
  <c r="L193" i="3" s="1"/>
  <c r="U193" i="3" s="1"/>
  <c r="E193" i="3"/>
  <c r="J193" i="3" s="1"/>
  <c r="S193" i="3" s="1"/>
  <c r="K209" i="3"/>
  <c r="T209" i="3" s="1"/>
  <c r="B209" i="3"/>
  <c r="G209" i="3"/>
  <c r="L209" i="3" s="1"/>
  <c r="U209" i="3" s="1"/>
  <c r="E209" i="3"/>
  <c r="J209" i="3" s="1"/>
  <c r="S209" i="3" s="1"/>
  <c r="M72" i="13"/>
  <c r="G72" i="13"/>
  <c r="M71" i="13"/>
  <c r="G71" i="13"/>
  <c r="M57" i="13"/>
  <c r="G57" i="13"/>
  <c r="M74" i="13"/>
  <c r="G74" i="13"/>
  <c r="M96" i="13"/>
  <c r="G96" i="13"/>
  <c r="M51" i="13"/>
  <c r="G51" i="13"/>
  <c r="M49" i="13"/>
  <c r="G49" i="13"/>
  <c r="M85" i="13"/>
  <c r="G85" i="13"/>
  <c r="M103" i="13"/>
  <c r="G103" i="13"/>
  <c r="M94" i="13"/>
  <c r="G94" i="13"/>
  <c r="M44" i="13"/>
  <c r="G44" i="13"/>
  <c r="M80" i="13"/>
  <c r="G80" i="13"/>
  <c r="M59" i="13"/>
  <c r="G59" i="13"/>
  <c r="M33" i="13"/>
  <c r="G33" i="13"/>
  <c r="M61" i="13"/>
  <c r="G61" i="13"/>
  <c r="M38" i="13"/>
  <c r="G38" i="13"/>
  <c r="M62" i="13"/>
  <c r="G62" i="13"/>
  <c r="M86" i="13"/>
  <c r="G86" i="13"/>
  <c r="M58" i="13"/>
  <c r="G58" i="13"/>
  <c r="M114" i="13"/>
  <c r="G114" i="13"/>
  <c r="M98" i="13"/>
  <c r="G98" i="13"/>
  <c r="J44" i="14"/>
  <c r="B207" i="3"/>
  <c r="G207" i="3"/>
  <c r="L207" i="3" s="1"/>
  <c r="U207" i="3" s="1"/>
  <c r="E207" i="3"/>
  <c r="J207" i="3" s="1"/>
  <c r="S207" i="3" s="1"/>
  <c r="K207" i="3"/>
  <c r="T207" i="3" s="1"/>
  <c r="G200" i="3"/>
  <c r="L200" i="3" s="1"/>
  <c r="U200" i="3" s="1"/>
  <c r="E200" i="3"/>
  <c r="J200" i="3" s="1"/>
  <c r="S200" i="3" s="1"/>
  <c r="K200" i="3"/>
  <c r="T200" i="3" s="1"/>
  <c r="B200" i="3"/>
  <c r="B202" i="3"/>
  <c r="K202" i="3"/>
  <c r="T202" i="3" s="1"/>
  <c r="E202" i="3"/>
  <c r="J202" i="3" s="1"/>
  <c r="S202" i="3" s="1"/>
  <c r="G202" i="3"/>
  <c r="L202" i="3" s="1"/>
  <c r="U202" i="3" s="1"/>
  <c r="K197" i="3"/>
  <c r="T197" i="3" s="1"/>
  <c r="G197" i="3"/>
  <c r="L197" i="3" s="1"/>
  <c r="U197" i="3" s="1"/>
  <c r="E197" i="3"/>
  <c r="J197" i="3" s="1"/>
  <c r="S197" i="3" s="1"/>
  <c r="B197" i="3"/>
  <c r="O29" i="13"/>
  <c r="H29" i="13"/>
  <c r="M39" i="13"/>
  <c r="G39" i="13"/>
  <c r="M53" i="13"/>
  <c r="G53" i="13"/>
  <c r="M110" i="13"/>
  <c r="G110" i="13"/>
  <c r="M88" i="13"/>
  <c r="G88" i="13"/>
  <c r="M41" i="13"/>
  <c r="G41" i="13"/>
  <c r="M99" i="13"/>
  <c r="G99" i="13"/>
  <c r="M40" i="13"/>
  <c r="G40" i="13"/>
  <c r="M113" i="13"/>
  <c r="G113" i="13"/>
  <c r="M91" i="13"/>
  <c r="G91" i="13"/>
  <c r="M82" i="13"/>
  <c r="G82" i="13"/>
  <c r="E203" i="3"/>
  <c r="J203" i="3" s="1"/>
  <c r="S203" i="3" s="1"/>
  <c r="B203" i="3"/>
  <c r="G203" i="3"/>
  <c r="L203" i="3" s="1"/>
  <c r="U203" i="3" s="1"/>
  <c r="K203" i="3"/>
  <c r="T203" i="3" s="1"/>
  <c r="G204" i="3"/>
  <c r="L204" i="3" s="1"/>
  <c r="U204" i="3" s="1"/>
  <c r="E204" i="3"/>
  <c r="J204" i="3" s="1"/>
  <c r="S204" i="3" s="1"/>
  <c r="K204" i="3"/>
  <c r="T204" i="3" s="1"/>
  <c r="B204" i="3"/>
  <c r="M104" i="13"/>
  <c r="G104" i="13"/>
  <c r="M95" i="13"/>
  <c r="G95" i="13"/>
  <c r="M36" i="13"/>
  <c r="G36" i="13"/>
  <c r="M67" i="13"/>
  <c r="G67" i="13"/>
  <c r="M32" i="13"/>
  <c r="G32" i="13"/>
  <c r="G47" i="13"/>
  <c r="M47" i="13"/>
  <c r="M37" i="13"/>
  <c r="G37" i="13"/>
  <c r="M65" i="13"/>
  <c r="G65" i="13"/>
  <c r="M107" i="13"/>
  <c r="G107" i="13"/>
  <c r="M50" i="13"/>
  <c r="G50" i="13"/>
  <c r="M109" i="13"/>
  <c r="G109" i="13"/>
  <c r="B198" i="3"/>
  <c r="K198" i="3"/>
  <c r="T198" i="3" s="1"/>
  <c r="G198" i="3"/>
  <c r="L198" i="3" s="1"/>
  <c r="U198" i="3" s="1"/>
  <c r="E198" i="3"/>
  <c r="J198" i="3" s="1"/>
  <c r="S198" i="3" s="1"/>
  <c r="K40" i="14"/>
  <c r="K39" i="14"/>
  <c r="M108" i="13"/>
  <c r="G108" i="13"/>
  <c r="M55" i="13"/>
  <c r="G55" i="13"/>
  <c r="M68" i="13"/>
  <c r="G68" i="13"/>
  <c r="M101" i="13"/>
  <c r="G101" i="13"/>
  <c r="M100" i="13"/>
  <c r="G100" i="13"/>
  <c r="M35" i="13"/>
  <c r="G35" i="13"/>
  <c r="M64" i="13"/>
  <c r="G64" i="13"/>
  <c r="M45" i="13"/>
  <c r="G45" i="13"/>
  <c r="M83" i="13"/>
  <c r="G83" i="13"/>
  <c r="M73" i="13"/>
  <c r="G73" i="13"/>
  <c r="M106" i="13"/>
  <c r="G106" i="13"/>
  <c r="M84" i="13"/>
  <c r="G84" i="13"/>
  <c r="M43" i="13"/>
  <c r="G43" i="13"/>
  <c r="M56" i="13"/>
  <c r="G56" i="13"/>
  <c r="M34" i="13"/>
  <c r="G34" i="13"/>
  <c r="M70" i="13"/>
  <c r="G70" i="13"/>
  <c r="M81" i="13"/>
  <c r="G81" i="13"/>
  <c r="M54" i="13"/>
  <c r="G54" i="13"/>
  <c r="M97" i="13"/>
  <c r="G97" i="13"/>
  <c r="M111" i="13"/>
  <c r="G111" i="13"/>
  <c r="M112" i="13"/>
  <c r="G112" i="13"/>
  <c r="O24" i="13"/>
  <c r="H24" i="13"/>
  <c r="B199" i="3"/>
  <c r="G199" i="3"/>
  <c r="L199" i="3" s="1"/>
  <c r="U199" i="3" s="1"/>
  <c r="E199" i="3"/>
  <c r="J199" i="3" s="1"/>
  <c r="S199" i="3" s="1"/>
  <c r="K199" i="3"/>
  <c r="T199" i="3" s="1"/>
  <c r="G208" i="3"/>
  <c r="L208" i="3" s="1"/>
  <c r="U208" i="3" s="1"/>
  <c r="E208" i="3"/>
  <c r="J208" i="3" s="1"/>
  <c r="S208" i="3" s="1"/>
  <c r="K208" i="3"/>
  <c r="T208" i="3" s="1"/>
  <c r="B208" i="3"/>
  <c r="B206" i="3"/>
  <c r="K206" i="3"/>
  <c r="T206" i="3" s="1"/>
  <c r="G206" i="3"/>
  <c r="L206" i="3" s="1"/>
  <c r="U206" i="3" s="1"/>
  <c r="E206" i="3"/>
  <c r="J206" i="3" s="1"/>
  <c r="S206" i="3" s="1"/>
  <c r="K201" i="3"/>
  <c r="T201" i="3" s="1"/>
  <c r="B201" i="3"/>
  <c r="G201" i="3"/>
  <c r="L201" i="3" s="1"/>
  <c r="U201" i="3" s="1"/>
  <c r="E201" i="3"/>
  <c r="J201" i="3" s="1"/>
  <c r="S201" i="3" s="1"/>
  <c r="H26" i="13" l="1"/>
  <c r="H30" i="13"/>
  <c r="L30" i="13" s="1"/>
  <c r="O27" i="13"/>
  <c r="O23" i="13"/>
  <c r="O25" i="13"/>
  <c r="H11" i="13"/>
  <c r="I11" i="13" s="1"/>
  <c r="N11" i="13" s="1"/>
  <c r="O19" i="13"/>
  <c r="O21" i="13"/>
  <c r="O12" i="13"/>
  <c r="H20" i="13"/>
  <c r="I20" i="13" s="1"/>
  <c r="N20" i="13" s="1"/>
  <c r="O31" i="13"/>
  <c r="H15" i="13"/>
  <c r="L15" i="13" s="1"/>
  <c r="H16" i="13"/>
  <c r="L16" i="13" s="1"/>
  <c r="H28" i="13"/>
  <c r="L28" i="13" s="1"/>
  <c r="H14" i="13"/>
  <c r="I14" i="13" s="1"/>
  <c r="N14" i="13" s="1"/>
  <c r="O18" i="13"/>
  <c r="H22" i="13"/>
  <c r="L22" i="13" s="1"/>
  <c r="H17" i="13"/>
  <c r="L17" i="13" s="1"/>
  <c r="O13" i="13"/>
  <c r="N4" i="13"/>
  <c r="O47" i="13"/>
  <c r="H47" i="13"/>
  <c r="O114" i="13"/>
  <c r="H114" i="13"/>
  <c r="O38" i="13"/>
  <c r="H38" i="13"/>
  <c r="O94" i="13"/>
  <c r="H94" i="13"/>
  <c r="O112" i="13"/>
  <c r="H112" i="13"/>
  <c r="O81" i="13"/>
  <c r="H81" i="13"/>
  <c r="O43" i="13"/>
  <c r="H43" i="13"/>
  <c r="O64" i="13"/>
  <c r="H64" i="13"/>
  <c r="O109" i="13"/>
  <c r="H109" i="13"/>
  <c r="O32" i="13"/>
  <c r="H32" i="13"/>
  <c r="I21" i="13"/>
  <c r="N21" i="13" s="1"/>
  <c r="L21" i="13"/>
  <c r="O40" i="13"/>
  <c r="H40" i="13"/>
  <c r="O41" i="13"/>
  <c r="H41" i="13"/>
  <c r="H39" i="13"/>
  <c r="O39" i="13"/>
  <c r="I29" i="13"/>
  <c r="N29" i="13" s="1"/>
  <c r="L29" i="13"/>
  <c r="O90" i="13"/>
  <c r="H90" i="13"/>
  <c r="O89" i="13"/>
  <c r="H89" i="13"/>
  <c r="O105" i="13"/>
  <c r="H105" i="13"/>
  <c r="O102" i="13"/>
  <c r="H102" i="13"/>
  <c r="M37" i="14"/>
  <c r="N35" i="14"/>
  <c r="M36" i="14"/>
  <c r="L23" i="13"/>
  <c r="I23" i="13"/>
  <c r="N23" i="13" s="1"/>
  <c r="L24" i="13"/>
  <c r="I24" i="13"/>
  <c r="N24" i="13" s="1"/>
  <c r="I13" i="13"/>
  <c r="N13" i="13" s="1"/>
  <c r="L13" i="13"/>
  <c r="O111" i="13"/>
  <c r="H111" i="13"/>
  <c r="O54" i="13"/>
  <c r="H54" i="13"/>
  <c r="O70" i="13"/>
  <c r="H70" i="13"/>
  <c r="O56" i="13"/>
  <c r="H56" i="13"/>
  <c r="O84" i="13"/>
  <c r="H84" i="13"/>
  <c r="O73" i="13"/>
  <c r="H73" i="13"/>
  <c r="O45" i="13"/>
  <c r="H45" i="13"/>
  <c r="H35" i="13"/>
  <c r="O35" i="13"/>
  <c r="O101" i="13"/>
  <c r="H101" i="13"/>
  <c r="O55" i="13"/>
  <c r="H55" i="13"/>
  <c r="K44" i="14"/>
  <c r="L12" i="13"/>
  <c r="I12" i="13"/>
  <c r="N12" i="13" s="1"/>
  <c r="O50" i="13"/>
  <c r="H50" i="13"/>
  <c r="O65" i="13"/>
  <c r="H65" i="13"/>
  <c r="H67" i="13"/>
  <c r="O67" i="13"/>
  <c r="H95" i="13"/>
  <c r="O95" i="13"/>
  <c r="L19" i="13"/>
  <c r="I19" i="13"/>
  <c r="N19" i="13" s="1"/>
  <c r="O82" i="13"/>
  <c r="H82" i="13"/>
  <c r="O113" i="13"/>
  <c r="H113" i="13"/>
  <c r="H99" i="13"/>
  <c r="O99" i="13"/>
  <c r="H88" i="13"/>
  <c r="O88" i="13"/>
  <c r="O53" i="13"/>
  <c r="H53" i="13"/>
  <c r="I26" i="13"/>
  <c r="N26" i="13" s="1"/>
  <c r="L26" i="13"/>
  <c r="O93" i="13"/>
  <c r="H93" i="13"/>
  <c r="O46" i="13"/>
  <c r="H46" i="13"/>
  <c r="H79" i="13"/>
  <c r="O79" i="13"/>
  <c r="O92" i="13"/>
  <c r="H92" i="13"/>
  <c r="O75" i="13"/>
  <c r="H75" i="13"/>
  <c r="L10" i="13"/>
  <c r="I10" i="13"/>
  <c r="O77" i="13"/>
  <c r="H77" i="13"/>
  <c r="O66" i="13"/>
  <c r="H66" i="13"/>
  <c r="O69" i="13"/>
  <c r="H69" i="13"/>
  <c r="O48" i="13"/>
  <c r="H48" i="13"/>
  <c r="O52" i="13"/>
  <c r="H52" i="13"/>
  <c r="L39" i="14"/>
  <c r="L40" i="14"/>
  <c r="L18" i="13"/>
  <c r="I18" i="13"/>
  <c r="N18" i="13" s="1"/>
  <c r="O86" i="13"/>
  <c r="H86" i="13"/>
  <c r="O33" i="13"/>
  <c r="H33" i="13"/>
  <c r="O80" i="13"/>
  <c r="H80" i="13"/>
  <c r="O85" i="13"/>
  <c r="H85" i="13"/>
  <c r="H51" i="13"/>
  <c r="O51" i="13"/>
  <c r="O74" i="13"/>
  <c r="H74" i="13"/>
  <c r="H71" i="13"/>
  <c r="O71" i="13"/>
  <c r="O97" i="13"/>
  <c r="H97" i="13"/>
  <c r="O34" i="13"/>
  <c r="H34" i="13"/>
  <c r="O106" i="13"/>
  <c r="H106" i="13"/>
  <c r="O83" i="13"/>
  <c r="H83" i="13"/>
  <c r="H100" i="13"/>
  <c r="O100" i="13"/>
  <c r="O68" i="13"/>
  <c r="H68" i="13"/>
  <c r="O108" i="13"/>
  <c r="H108" i="13"/>
  <c r="I25" i="13"/>
  <c r="N25" i="13" s="1"/>
  <c r="L25" i="13"/>
  <c r="O107" i="13"/>
  <c r="H107" i="13"/>
  <c r="O37" i="13"/>
  <c r="H37" i="13"/>
  <c r="O36" i="13"/>
  <c r="H36" i="13"/>
  <c r="O104" i="13"/>
  <c r="H104" i="13"/>
  <c r="L27" i="13"/>
  <c r="I27" i="13"/>
  <c r="N27" i="13" s="1"/>
  <c r="O91" i="13"/>
  <c r="H91" i="13"/>
  <c r="O110" i="13"/>
  <c r="H110" i="13"/>
  <c r="O42" i="13"/>
  <c r="H42" i="13"/>
  <c r="O60" i="13"/>
  <c r="H60" i="13"/>
  <c r="O78" i="13"/>
  <c r="H78" i="13"/>
  <c r="H63" i="13"/>
  <c r="O63" i="13"/>
  <c r="H87" i="13"/>
  <c r="O87" i="13"/>
  <c r="O76" i="13"/>
  <c r="H76" i="13"/>
  <c r="L31" i="13"/>
  <c r="I31" i="13"/>
  <c r="N31" i="13" s="1"/>
  <c r="O98" i="13"/>
  <c r="H98" i="13"/>
  <c r="O58" i="13"/>
  <c r="H58" i="13"/>
  <c r="O62" i="13"/>
  <c r="H62" i="13"/>
  <c r="O61" i="13"/>
  <c r="H61" i="13"/>
  <c r="O59" i="13"/>
  <c r="H59" i="13"/>
  <c r="H44" i="13"/>
  <c r="O44" i="13"/>
  <c r="H103" i="13"/>
  <c r="O103" i="13"/>
  <c r="O49" i="13"/>
  <c r="H49" i="13"/>
  <c r="O96" i="13"/>
  <c r="H96" i="13"/>
  <c r="O57" i="13"/>
  <c r="H57" i="13"/>
  <c r="H72" i="13"/>
  <c r="O72" i="13"/>
  <c r="I30" i="13" l="1"/>
  <c r="N30" i="13" s="1"/>
  <c r="L11" i="13"/>
  <c r="L20" i="13"/>
  <c r="I15" i="13"/>
  <c r="N15" i="13" s="1"/>
  <c r="I16" i="13"/>
  <c r="N16" i="13" s="1"/>
  <c r="I28" i="13"/>
  <c r="N28" i="13" s="1"/>
  <c r="L14" i="13"/>
  <c r="I22" i="13"/>
  <c r="N22" i="13" s="1"/>
  <c r="I17" i="13"/>
  <c r="N17" i="13" s="1"/>
  <c r="Q4" i="13"/>
  <c r="F68" i="3" s="1"/>
  <c r="I57" i="13"/>
  <c r="N57" i="13" s="1"/>
  <c r="L57" i="13"/>
  <c r="L49" i="13"/>
  <c r="I49" i="13"/>
  <c r="N49" i="13" s="1"/>
  <c r="I61" i="13"/>
  <c r="N61" i="13" s="1"/>
  <c r="L61" i="13"/>
  <c r="I58" i="13"/>
  <c r="N58" i="13" s="1"/>
  <c r="L58" i="13"/>
  <c r="L76" i="13"/>
  <c r="I76" i="13"/>
  <c r="N76" i="13" s="1"/>
  <c r="L42" i="13"/>
  <c r="I42" i="13"/>
  <c r="N42" i="13" s="1"/>
  <c r="I110" i="13"/>
  <c r="N110" i="13" s="1"/>
  <c r="L110" i="13"/>
  <c r="L36" i="13"/>
  <c r="I36" i="13"/>
  <c r="N36" i="13" s="1"/>
  <c r="L107" i="13"/>
  <c r="I107" i="13"/>
  <c r="N107" i="13" s="1"/>
  <c r="L108" i="13"/>
  <c r="I108" i="13"/>
  <c r="N108" i="13" s="1"/>
  <c r="L106" i="13"/>
  <c r="I106" i="13"/>
  <c r="N106" i="13" s="1"/>
  <c r="L97" i="13"/>
  <c r="I97" i="13"/>
  <c r="N97" i="13" s="1"/>
  <c r="L80" i="13"/>
  <c r="I80" i="13"/>
  <c r="N80" i="13" s="1"/>
  <c r="L86" i="13"/>
  <c r="I86" i="13"/>
  <c r="N86" i="13" s="1"/>
  <c r="L52" i="13"/>
  <c r="I52" i="13"/>
  <c r="N52" i="13" s="1"/>
  <c r="I69" i="13"/>
  <c r="N69" i="13" s="1"/>
  <c r="L69" i="13"/>
  <c r="I77" i="13"/>
  <c r="N77" i="13" s="1"/>
  <c r="L77" i="13"/>
  <c r="L75" i="13"/>
  <c r="I75" i="13"/>
  <c r="N75" i="13" s="1"/>
  <c r="I93" i="13"/>
  <c r="N93" i="13" s="1"/>
  <c r="L93" i="13"/>
  <c r="I53" i="13"/>
  <c r="N53" i="13" s="1"/>
  <c r="L53" i="13"/>
  <c r="L82" i="13"/>
  <c r="I82" i="13"/>
  <c r="N82" i="13" s="1"/>
  <c r="L50" i="13"/>
  <c r="I50" i="13"/>
  <c r="N50" i="13" s="1"/>
  <c r="M39" i="14"/>
  <c r="M40" i="14"/>
  <c r="L38" i="13"/>
  <c r="I38" i="13"/>
  <c r="N38" i="13" s="1"/>
  <c r="L44" i="13"/>
  <c r="I44" i="13"/>
  <c r="N44" i="13" s="1"/>
  <c r="L63" i="13"/>
  <c r="I63" i="13"/>
  <c r="N63" i="13" s="1"/>
  <c r="L100" i="13"/>
  <c r="I100" i="13"/>
  <c r="N100" i="13" s="1"/>
  <c r="L71" i="13"/>
  <c r="I71" i="13"/>
  <c r="N71" i="13" s="1"/>
  <c r="L51" i="13"/>
  <c r="I51" i="13"/>
  <c r="N51" i="13" s="1"/>
  <c r="L79" i="13"/>
  <c r="I79" i="13"/>
  <c r="N79" i="13" s="1"/>
  <c r="I99" i="13"/>
  <c r="N99" i="13" s="1"/>
  <c r="L99" i="13"/>
  <c r="I67" i="13"/>
  <c r="N67" i="13" s="1"/>
  <c r="L67" i="13"/>
  <c r="L55" i="13"/>
  <c r="I55" i="13"/>
  <c r="N55" i="13" s="1"/>
  <c r="I73" i="13"/>
  <c r="N73" i="13" s="1"/>
  <c r="L73" i="13"/>
  <c r="L56" i="13"/>
  <c r="I56" i="13"/>
  <c r="N56" i="13" s="1"/>
  <c r="L54" i="13"/>
  <c r="I54" i="13"/>
  <c r="N54" i="13" s="1"/>
  <c r="L102" i="13"/>
  <c r="I102" i="13"/>
  <c r="N102" i="13" s="1"/>
  <c r="I89" i="13"/>
  <c r="N89" i="13" s="1"/>
  <c r="L89" i="13"/>
  <c r="L40" i="13"/>
  <c r="I40" i="13"/>
  <c r="N40" i="13" s="1"/>
  <c r="L32" i="13"/>
  <c r="I32" i="13"/>
  <c r="N32" i="13" s="1"/>
  <c r="L64" i="13"/>
  <c r="I64" i="13"/>
  <c r="N64" i="13" s="1"/>
  <c r="L81" i="13"/>
  <c r="I81" i="13"/>
  <c r="N81" i="13" s="1"/>
  <c r="L96" i="13"/>
  <c r="I96" i="13"/>
  <c r="N96" i="13" s="1"/>
  <c r="L59" i="13"/>
  <c r="I59" i="13"/>
  <c r="N59" i="13" s="1"/>
  <c r="L62" i="13"/>
  <c r="I62" i="13"/>
  <c r="N62" i="13" s="1"/>
  <c r="L98" i="13"/>
  <c r="I98" i="13"/>
  <c r="N98" i="13" s="1"/>
  <c r="I78" i="13"/>
  <c r="N78" i="13" s="1"/>
  <c r="L78" i="13"/>
  <c r="L60" i="13"/>
  <c r="I60" i="13"/>
  <c r="N60" i="13" s="1"/>
  <c r="L91" i="13"/>
  <c r="I91" i="13"/>
  <c r="N91" i="13" s="1"/>
  <c r="L104" i="13"/>
  <c r="I104" i="13"/>
  <c r="N104" i="13" s="1"/>
  <c r="I37" i="13"/>
  <c r="N37" i="13" s="1"/>
  <c r="L37" i="13"/>
  <c r="L68" i="13"/>
  <c r="I68" i="13"/>
  <c r="N68" i="13" s="1"/>
  <c r="L83" i="13"/>
  <c r="I83" i="13"/>
  <c r="N83" i="13" s="1"/>
  <c r="L34" i="13"/>
  <c r="I34" i="13"/>
  <c r="N34" i="13" s="1"/>
  <c r="L74" i="13"/>
  <c r="I74" i="13"/>
  <c r="N74" i="13" s="1"/>
  <c r="I85" i="13"/>
  <c r="N85" i="13" s="1"/>
  <c r="L85" i="13"/>
  <c r="L33" i="13"/>
  <c r="I33" i="13"/>
  <c r="N33" i="13" s="1"/>
  <c r="L48" i="13"/>
  <c r="I48" i="13"/>
  <c r="N48" i="13" s="1"/>
  <c r="L66" i="13"/>
  <c r="I66" i="13"/>
  <c r="N66" i="13" s="1"/>
  <c r="N10" i="13"/>
  <c r="J10" i="13"/>
  <c r="L92" i="13"/>
  <c r="I92" i="13"/>
  <c r="N92" i="13" s="1"/>
  <c r="I46" i="13"/>
  <c r="N46" i="13" s="1"/>
  <c r="L46" i="13"/>
  <c r="L113" i="13"/>
  <c r="I113" i="13"/>
  <c r="N113" i="13" s="1"/>
  <c r="L65" i="13"/>
  <c r="I65" i="13"/>
  <c r="N65" i="13" s="1"/>
  <c r="I35" i="13"/>
  <c r="N35" i="13" s="1"/>
  <c r="L35" i="13"/>
  <c r="L39" i="13"/>
  <c r="I39" i="13"/>
  <c r="N39" i="13" s="1"/>
  <c r="L94" i="13"/>
  <c r="I94" i="13"/>
  <c r="N94" i="13" s="1"/>
  <c r="L114" i="13"/>
  <c r="I114" i="13"/>
  <c r="N114" i="13" s="1"/>
  <c r="L47" i="13"/>
  <c r="I47" i="13"/>
  <c r="N47" i="13" s="1"/>
  <c r="L72" i="13"/>
  <c r="I72" i="13"/>
  <c r="N72" i="13" s="1"/>
  <c r="L103" i="13"/>
  <c r="I103" i="13"/>
  <c r="N103" i="13" s="1"/>
  <c r="L87" i="13"/>
  <c r="I87" i="13"/>
  <c r="N87" i="13" s="1"/>
  <c r="L44" i="14"/>
  <c r="L88" i="13"/>
  <c r="I88" i="13"/>
  <c r="N88" i="13" s="1"/>
  <c r="L95" i="13"/>
  <c r="I95" i="13"/>
  <c r="N95" i="13" s="1"/>
  <c r="I101" i="13"/>
  <c r="N101" i="13" s="1"/>
  <c r="L101" i="13"/>
  <c r="I45" i="13"/>
  <c r="N45" i="13" s="1"/>
  <c r="L45" i="13"/>
  <c r="L84" i="13"/>
  <c r="I84" i="13"/>
  <c r="N84" i="13" s="1"/>
  <c r="L70" i="13"/>
  <c r="I70" i="13"/>
  <c r="N70" i="13" s="1"/>
  <c r="L111" i="13"/>
  <c r="I111" i="13"/>
  <c r="N111" i="13" s="1"/>
  <c r="N37" i="14"/>
  <c r="O35" i="14"/>
  <c r="N36" i="14"/>
  <c r="I105" i="13"/>
  <c r="N105" i="13" s="1"/>
  <c r="L105" i="13"/>
  <c r="L90" i="13"/>
  <c r="I90" i="13"/>
  <c r="N90" i="13" s="1"/>
  <c r="I41" i="13"/>
  <c r="N41" i="13" s="1"/>
  <c r="L41" i="13"/>
  <c r="I109" i="13"/>
  <c r="N109" i="13" s="1"/>
  <c r="L109" i="13"/>
  <c r="L43" i="13"/>
  <c r="I43" i="13"/>
  <c r="N43" i="13" s="1"/>
  <c r="L112" i="13"/>
  <c r="I112" i="13"/>
  <c r="N112" i="13" s="1"/>
  <c r="M44" i="14" l="1"/>
  <c r="O2" i="13"/>
  <c r="F73" i="1" s="1"/>
  <c r="K10" i="13"/>
  <c r="J11" i="13"/>
  <c r="O37" i="14"/>
  <c r="O36" i="14"/>
  <c r="P35" i="14"/>
  <c r="N5" i="13"/>
  <c r="F67" i="3" s="1"/>
  <c r="E22" i="14" s="1"/>
  <c r="N40" i="14"/>
  <c r="N39" i="14"/>
  <c r="E38" i="14" l="1"/>
  <c r="F69" i="3"/>
  <c r="H8" i="7" s="1"/>
  <c r="H10" i="7" s="1"/>
  <c r="H11" i="7" s="1"/>
  <c r="H14" i="7" s="1"/>
  <c r="O40" i="14"/>
  <c r="O39" i="14"/>
  <c r="K11" i="13"/>
  <c r="J12" i="13"/>
  <c r="N44" i="14"/>
  <c r="P37" i="14"/>
  <c r="P36" i="14"/>
  <c r="Q35" i="14"/>
  <c r="O44" i="14" l="1"/>
  <c r="H12" i="7"/>
  <c r="H13" i="7" s="1"/>
  <c r="H15" i="7" s="1"/>
  <c r="H19" i="7" s="1"/>
  <c r="H18" i="7" s="1"/>
  <c r="P39" i="14"/>
  <c r="P40" i="14"/>
  <c r="Q37" i="14"/>
  <c r="R35" i="14"/>
  <c r="Q36" i="14"/>
  <c r="Q38" i="14" s="1"/>
  <c r="K12" i="13"/>
  <c r="J13" i="13"/>
  <c r="G38" i="14"/>
  <c r="G45" i="14" s="1"/>
  <c r="M38" i="14"/>
  <c r="M45" i="14" s="1"/>
  <c r="H38" i="14"/>
  <c r="H45" i="14" s="1"/>
  <c r="K38" i="14"/>
  <c r="K45" i="14" s="1"/>
  <c r="L38" i="14"/>
  <c r="L45" i="14" s="1"/>
  <c r="E45" i="14"/>
  <c r="J38" i="14"/>
  <c r="J45" i="14" s="1"/>
  <c r="J47" i="14" s="1"/>
  <c r="N38" i="14"/>
  <c r="N45" i="14" s="1"/>
  <c r="F38" i="14"/>
  <c r="F45" i="14" s="1"/>
  <c r="P38" i="14"/>
  <c r="O38" i="14"/>
  <c r="I38" i="14"/>
  <c r="I45" i="14" s="1"/>
  <c r="O45" i="14" l="1"/>
  <c r="O47" i="14" s="1"/>
  <c r="H20" i="7"/>
  <c r="H22" i="7" s="1"/>
  <c r="H28" i="7" s="1"/>
  <c r="J48" i="14"/>
  <c r="J50" i="14" s="1"/>
  <c r="H47" i="14"/>
  <c r="H48" i="14"/>
  <c r="G47" i="14"/>
  <c r="G48" i="14"/>
  <c r="J14" i="13"/>
  <c r="K13" i="13"/>
  <c r="R37" i="14"/>
  <c r="S35" i="14"/>
  <c r="R36" i="14"/>
  <c r="R38" i="14" s="1"/>
  <c r="E47" i="14"/>
  <c r="E48" i="14"/>
  <c r="M47" i="14"/>
  <c r="M48" i="14"/>
  <c r="Q39" i="14"/>
  <c r="Q40" i="14"/>
  <c r="F48" i="14"/>
  <c r="F47" i="14"/>
  <c r="N47" i="14"/>
  <c r="N48" i="14"/>
  <c r="L47" i="14"/>
  <c r="L48" i="14"/>
  <c r="I47" i="14"/>
  <c r="I48" i="14"/>
  <c r="K47" i="14"/>
  <c r="K48" i="14"/>
  <c r="P44" i="14"/>
  <c r="P45" i="14" s="1"/>
  <c r="O48" i="14" l="1"/>
  <c r="O50" i="14" s="1"/>
  <c r="O51" i="14" s="1"/>
  <c r="O52" i="14" s="1"/>
  <c r="O54" i="14" s="1"/>
  <c r="F70" i="3"/>
  <c r="F71" i="3" s="1"/>
  <c r="F86" i="1" s="1"/>
  <c r="F50" i="14"/>
  <c r="F51" i="14" s="1"/>
  <c r="F52" i="14" s="1"/>
  <c r="F54" i="14" s="1"/>
  <c r="J51" i="14"/>
  <c r="J52" i="14" s="1"/>
  <c r="J54" i="14" s="1"/>
  <c r="P47" i="14"/>
  <c r="P48" i="14"/>
  <c r="I50" i="14"/>
  <c r="I51" i="14" s="1"/>
  <c r="I52" i="14" s="1"/>
  <c r="I54" i="14" s="1"/>
  <c r="N50" i="14"/>
  <c r="N51" i="14" s="1"/>
  <c r="N52" i="14" s="1"/>
  <c r="N54" i="14" s="1"/>
  <c r="Q44" i="14"/>
  <c r="Q45" i="14" s="1"/>
  <c r="M50" i="14"/>
  <c r="M51" i="14" s="1"/>
  <c r="M52" i="14" s="1"/>
  <c r="M54" i="14" s="1"/>
  <c r="R40" i="14"/>
  <c r="R39" i="14"/>
  <c r="G50" i="14"/>
  <c r="G51" i="14" s="1"/>
  <c r="G52" i="14" s="1"/>
  <c r="G54" i="14" s="1"/>
  <c r="K50" i="14"/>
  <c r="K51" i="14" s="1"/>
  <c r="K52" i="14" s="1"/>
  <c r="K54" i="14" s="1"/>
  <c r="L50" i="14"/>
  <c r="L51" i="14" s="1"/>
  <c r="L52" i="14" s="1"/>
  <c r="L54" i="14" s="1"/>
  <c r="E50" i="14"/>
  <c r="E51" i="14" s="1"/>
  <c r="E52" i="14" s="1"/>
  <c r="E54" i="14" s="1"/>
  <c r="E55" i="14" s="1"/>
  <c r="E58" i="14" s="1"/>
  <c r="S37" i="14"/>
  <c r="S36" i="14"/>
  <c r="S38" i="14" s="1"/>
  <c r="T35" i="14"/>
  <c r="K14" i="13"/>
  <c r="J15" i="13"/>
  <c r="H50" i="14"/>
  <c r="H51" i="14" s="1"/>
  <c r="H52" i="14" s="1"/>
  <c r="H54" i="14" s="1"/>
  <c r="R44" i="14" l="1"/>
  <c r="R45" i="14" s="1"/>
  <c r="R47" i="14" s="1"/>
  <c r="J56" i="14"/>
  <c r="J59" i="14" s="1"/>
  <c r="J55" i="14"/>
  <c r="J58" i="14" s="1"/>
  <c r="F56" i="14"/>
  <c r="F59" i="14" s="1"/>
  <c r="H56" i="14"/>
  <c r="H59" i="14" s="1"/>
  <c r="H55" i="14"/>
  <c r="H58" i="14" s="1"/>
  <c r="T37" i="14"/>
  <c r="T36" i="14"/>
  <c r="T38" i="14" s="1"/>
  <c r="U35" i="14"/>
  <c r="L55" i="14"/>
  <c r="L58" i="14" s="1"/>
  <c r="L56" i="14"/>
  <c r="L59" i="14" s="1"/>
  <c r="M56" i="14"/>
  <c r="M59" i="14" s="1"/>
  <c r="M55" i="14"/>
  <c r="M58" i="14" s="1"/>
  <c r="K15" i="13"/>
  <c r="J16" i="13"/>
  <c r="K55" i="14"/>
  <c r="K58" i="14" s="1"/>
  <c r="K56" i="14"/>
  <c r="K59" i="14" s="1"/>
  <c r="G56" i="14"/>
  <c r="G59" i="14" s="1"/>
  <c r="G55" i="14"/>
  <c r="G58" i="14" s="1"/>
  <c r="Q47" i="14"/>
  <c r="Q48" i="14"/>
  <c r="S40" i="14"/>
  <c r="S39" i="14"/>
  <c r="N55" i="14"/>
  <c r="N58" i="14" s="1"/>
  <c r="N56" i="14"/>
  <c r="N59" i="14" s="1"/>
  <c r="O55" i="14"/>
  <c r="O58" i="14" s="1"/>
  <c r="F55" i="14"/>
  <c r="F58" i="14" s="1"/>
  <c r="I55" i="14"/>
  <c r="I58" i="14" s="1"/>
  <c r="I56" i="14"/>
  <c r="I59" i="14" s="1"/>
  <c r="P50" i="14"/>
  <c r="P51" i="14" s="1"/>
  <c r="P52" i="14" s="1"/>
  <c r="P54" i="14" s="1"/>
  <c r="O56" i="14" s="1"/>
  <c r="O59" i="14" s="1"/>
  <c r="S44" i="14" l="1"/>
  <c r="S45" i="14" s="1"/>
  <c r="S47" i="14" s="1"/>
  <c r="R48" i="14"/>
  <c r="R50" i="14" s="1"/>
  <c r="R51" i="14" s="1"/>
  <c r="R52" i="14" s="1"/>
  <c r="R54" i="14" s="1"/>
  <c r="Q50" i="14"/>
  <c r="Q51" i="14" s="1"/>
  <c r="Q52" i="14" s="1"/>
  <c r="Q54" i="14" s="1"/>
  <c r="T40" i="14"/>
  <c r="T39" i="14"/>
  <c r="U37" i="14"/>
  <c r="V35" i="14"/>
  <c r="U36" i="14"/>
  <c r="U38" i="14" s="1"/>
  <c r="P55" i="14"/>
  <c r="P58" i="14" s="1"/>
  <c r="K16" i="13"/>
  <c r="J17" i="13"/>
  <c r="S48" i="14" l="1"/>
  <c r="S50" i="14" s="1"/>
  <c r="S51" i="14" s="1"/>
  <c r="S52" i="14" s="1"/>
  <c r="S54" i="14" s="1"/>
  <c r="R55" i="14"/>
  <c r="R58" i="14" s="1"/>
  <c r="Q55" i="14"/>
  <c r="Q58" i="14" s="1"/>
  <c r="P56" i="14"/>
  <c r="P59" i="14" s="1"/>
  <c r="Q56" i="14"/>
  <c r="Q59" i="14" s="1"/>
  <c r="V37" i="14"/>
  <c r="W35" i="14"/>
  <c r="V36" i="14"/>
  <c r="V38" i="14" s="1"/>
  <c r="U39" i="14"/>
  <c r="U40" i="14"/>
  <c r="K17" i="13"/>
  <c r="J18" i="13"/>
  <c r="T44" i="14"/>
  <c r="T45" i="14" s="1"/>
  <c r="W37" i="14" l="1"/>
  <c r="W36" i="14"/>
  <c r="W38" i="14" s="1"/>
  <c r="X35" i="14"/>
  <c r="S55" i="14"/>
  <c r="S58" i="14" s="1"/>
  <c r="R56" i="14"/>
  <c r="R59" i="14" s="1"/>
  <c r="T47" i="14"/>
  <c r="T48" i="14"/>
  <c r="U44" i="14"/>
  <c r="U45" i="14" s="1"/>
  <c r="V40" i="14"/>
  <c r="V39" i="14"/>
  <c r="K18" i="13"/>
  <c r="J19" i="13"/>
  <c r="V44" i="14" l="1"/>
  <c r="V45" i="14" s="1"/>
  <c r="V48" i="14" s="1"/>
  <c r="T50" i="14"/>
  <c r="T51" i="14" s="1"/>
  <c r="T52" i="14" s="1"/>
  <c r="T54" i="14" s="1"/>
  <c r="S56" i="14" s="1"/>
  <c r="S59" i="14" s="1"/>
  <c r="X37" i="14"/>
  <c r="X36" i="14"/>
  <c r="X38" i="14" s="1"/>
  <c r="K19" i="13"/>
  <c r="J20" i="13"/>
  <c r="U47" i="14"/>
  <c r="U48" i="14"/>
  <c r="W39" i="14"/>
  <c r="W40" i="14"/>
  <c r="V47" i="14" l="1"/>
  <c r="V50" i="14" s="1"/>
  <c r="V51" i="14" s="1"/>
  <c r="V52" i="14" s="1"/>
  <c r="V54" i="14" s="1"/>
  <c r="T55" i="14"/>
  <c r="T58" i="14" s="1"/>
  <c r="W44" i="14"/>
  <c r="W45" i="14" s="1"/>
  <c r="U50" i="14"/>
  <c r="U51" i="14" s="1"/>
  <c r="U52" i="14" s="1"/>
  <c r="U54" i="14" s="1"/>
  <c r="K20" i="13"/>
  <c r="J21" i="13"/>
  <c r="X40" i="14"/>
  <c r="X39" i="14"/>
  <c r="X44" i="14" l="1"/>
  <c r="X45" i="14" s="1"/>
  <c r="X47" i="14" s="1"/>
  <c r="V55" i="14"/>
  <c r="V58" i="14" s="1"/>
  <c r="U55" i="14"/>
  <c r="U58" i="14" s="1"/>
  <c r="U56" i="14"/>
  <c r="U59" i="14" s="1"/>
  <c r="T56" i="14"/>
  <c r="T59" i="14" s="1"/>
  <c r="J22" i="13"/>
  <c r="K21" i="13"/>
  <c r="W47" i="14"/>
  <c r="W48" i="14"/>
  <c r="W50" i="14" l="1"/>
  <c r="W51" i="14" s="1"/>
  <c r="W52" i="14" s="1"/>
  <c r="W54" i="14" s="1"/>
  <c r="X48" i="14"/>
  <c r="X50" i="14" s="1"/>
  <c r="X51" i="14" s="1"/>
  <c r="X52" i="14" s="1"/>
  <c r="X54" i="14" s="1"/>
  <c r="K22" i="13"/>
  <c r="J23" i="13"/>
  <c r="X56" i="14" l="1"/>
  <c r="X59" i="14" s="1"/>
  <c r="X55" i="14"/>
  <c r="X58" i="14" s="1"/>
  <c r="W56" i="14"/>
  <c r="W59" i="14" s="1"/>
  <c r="W55" i="14"/>
  <c r="W58" i="14" s="1"/>
  <c r="V56" i="14"/>
  <c r="V59" i="14" s="1"/>
  <c r="K23" i="13"/>
  <c r="J24" i="13"/>
  <c r="J25" i="13" l="1"/>
  <c r="K24" i="13"/>
  <c r="I28" i="14"/>
  <c r="J28" i="14" s="1"/>
  <c r="F80" i="1" s="1"/>
  <c r="I29" i="14"/>
  <c r="J29" i="14" s="1"/>
  <c r="F81" i="1" s="1"/>
  <c r="K25" i="13" l="1"/>
  <c r="J26" i="13"/>
  <c r="K26" i="13" l="1"/>
  <c r="J27" i="13"/>
  <c r="K27" i="13" l="1"/>
  <c r="J28" i="13"/>
  <c r="K28" i="13" l="1"/>
  <c r="J29" i="13"/>
  <c r="J30" i="13" l="1"/>
  <c r="K29" i="13"/>
  <c r="K30" i="13" l="1"/>
  <c r="J31" i="13"/>
  <c r="K31" i="13" l="1"/>
  <c r="J32" i="13"/>
  <c r="K32" i="13" l="1"/>
  <c r="J33" i="13"/>
  <c r="K33" i="13" l="1"/>
  <c r="J34" i="13"/>
  <c r="K34" i="13" l="1"/>
  <c r="J35" i="13"/>
  <c r="K35" i="13" l="1"/>
  <c r="J36" i="13"/>
  <c r="K36" i="13" l="1"/>
  <c r="J37" i="13"/>
  <c r="K37" i="13" l="1"/>
  <c r="J38" i="13"/>
  <c r="K38" i="13" l="1"/>
  <c r="J39" i="13"/>
  <c r="K39" i="13" l="1"/>
  <c r="J40" i="13"/>
  <c r="J41" i="13" l="1"/>
  <c r="K40" i="13"/>
  <c r="K41" i="13" l="1"/>
  <c r="J42" i="13"/>
  <c r="K42" i="13" l="1"/>
  <c r="J43" i="13"/>
  <c r="K43" i="13" l="1"/>
  <c r="J44" i="13"/>
  <c r="K44" i="13" l="1"/>
  <c r="J45" i="13"/>
  <c r="J46" i="13" l="1"/>
  <c r="K45" i="13"/>
  <c r="K46" i="13" l="1"/>
  <c r="J47" i="13"/>
  <c r="K47" i="13" l="1"/>
  <c r="J48" i="13"/>
  <c r="K48" i="13" l="1"/>
  <c r="J49" i="13"/>
  <c r="J50" i="13" l="1"/>
  <c r="K49" i="13"/>
  <c r="K50" i="13" l="1"/>
  <c r="J51" i="13"/>
  <c r="K51" i="13" l="1"/>
  <c r="J52" i="13"/>
  <c r="K52" i="13" l="1"/>
  <c r="J53" i="13"/>
  <c r="K53" i="13" l="1"/>
  <c r="J54" i="13"/>
  <c r="K54" i="13" l="1"/>
  <c r="J55" i="13"/>
  <c r="K55" i="13" l="1"/>
  <c r="J56" i="13"/>
  <c r="J57" i="13" l="1"/>
  <c r="K56" i="13"/>
  <c r="J58" i="13" l="1"/>
  <c r="K57" i="13"/>
  <c r="K58" i="13" l="1"/>
  <c r="J59" i="13"/>
  <c r="K59" i="13" l="1"/>
  <c r="J60" i="13"/>
  <c r="K60" i="13" l="1"/>
  <c r="J61" i="13"/>
  <c r="J62" i="13" l="1"/>
  <c r="K61" i="13"/>
  <c r="K62" i="13" l="1"/>
  <c r="J63" i="13"/>
  <c r="K63" i="13" l="1"/>
  <c r="J64" i="13"/>
  <c r="J65" i="13" l="1"/>
  <c r="K64" i="13"/>
  <c r="K65" i="13" l="1"/>
  <c r="J66" i="13"/>
  <c r="K66" i="13" l="1"/>
  <c r="J67" i="13"/>
  <c r="K67" i="13" l="1"/>
  <c r="J68" i="13"/>
  <c r="K68" i="13" l="1"/>
  <c r="J69" i="13"/>
  <c r="K69" i="13" l="1"/>
  <c r="J70" i="13"/>
  <c r="K70" i="13" l="1"/>
  <c r="J71" i="13"/>
  <c r="K71" i="13" l="1"/>
  <c r="J72" i="13"/>
  <c r="J73" i="13" l="1"/>
  <c r="K72" i="13"/>
  <c r="J74" i="13" l="1"/>
  <c r="K73" i="13"/>
  <c r="K74" i="13" l="1"/>
  <c r="J75" i="13"/>
  <c r="K75" i="13" l="1"/>
  <c r="J76" i="13"/>
  <c r="K76" i="13" l="1"/>
  <c r="J77" i="13"/>
  <c r="K77" i="13" l="1"/>
  <c r="J78" i="13"/>
  <c r="K78" i="13" l="1"/>
  <c r="J79" i="13"/>
  <c r="K79" i="13" l="1"/>
  <c r="J80" i="13"/>
  <c r="K80" i="13" l="1"/>
  <c r="J81" i="13"/>
  <c r="J82" i="13" l="1"/>
  <c r="K81" i="13"/>
  <c r="K82" i="13" l="1"/>
  <c r="J83" i="13"/>
  <c r="K83" i="13" l="1"/>
  <c r="J84" i="13"/>
  <c r="K84" i="13" l="1"/>
  <c r="J85" i="13"/>
  <c r="J86" i="13" l="1"/>
  <c r="K85" i="13"/>
  <c r="K86" i="13" l="1"/>
  <c r="J87" i="13"/>
  <c r="K87" i="13" l="1"/>
  <c r="J88" i="13"/>
  <c r="K88" i="13" l="1"/>
  <c r="J89" i="13"/>
  <c r="K89" i="13" l="1"/>
  <c r="J90" i="13"/>
  <c r="K90" i="13" l="1"/>
  <c r="J91" i="13"/>
  <c r="K91" i="13" l="1"/>
  <c r="J92" i="13"/>
  <c r="K92" i="13" l="1"/>
  <c r="J93" i="13"/>
  <c r="J94" i="13" l="1"/>
  <c r="K93" i="13"/>
  <c r="K94" i="13" l="1"/>
  <c r="J95" i="13"/>
  <c r="K95" i="13" l="1"/>
  <c r="J96" i="13"/>
  <c r="J97" i="13" l="1"/>
  <c r="K96" i="13"/>
  <c r="K97" i="13" l="1"/>
  <c r="J98" i="13"/>
  <c r="K98" i="13" l="1"/>
  <c r="J99" i="13"/>
  <c r="K99" i="13" l="1"/>
  <c r="J100" i="13"/>
  <c r="K100" i="13" l="1"/>
  <c r="J101" i="13"/>
  <c r="K101" i="13" l="1"/>
  <c r="J102" i="13"/>
  <c r="K102" i="13" l="1"/>
  <c r="J103" i="13"/>
  <c r="K103" i="13" l="1"/>
  <c r="J104" i="13"/>
  <c r="J105" i="13" l="1"/>
  <c r="K104" i="13"/>
  <c r="J106" i="13" l="1"/>
  <c r="K105" i="13"/>
  <c r="K106" i="13" l="1"/>
  <c r="J107" i="13"/>
  <c r="K107" i="13" l="1"/>
  <c r="J108" i="13"/>
  <c r="K108" i="13" l="1"/>
  <c r="J109" i="13"/>
  <c r="K109" i="13" l="1"/>
  <c r="J110" i="13"/>
  <c r="K110" i="13" l="1"/>
  <c r="J111" i="13"/>
  <c r="K111" i="13" l="1"/>
  <c r="J112" i="13"/>
  <c r="K112" i="13" l="1"/>
  <c r="J113" i="13"/>
  <c r="J114" i="13" l="1"/>
  <c r="K113" i="13"/>
  <c r="K114" i="13" l="1"/>
  <c r="K115" i="13" s="1"/>
  <c r="M2" i="13"/>
  <c r="K128" i="1" s="1"/>
  <c r="F53" i="3" l="1"/>
  <c r="F55" i="3" s="1"/>
  <c r="F72" i="1"/>
  <c r="F56" i="3" l="1"/>
  <c r="F75" i="1" s="1"/>
  <c r="F7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dmorgan</author>
    <author>a0272042</author>
    <author>TI User</author>
    <author>bdemsc</author>
  </authors>
  <commentList>
    <comment ref="F27" authorId="0" shapeId="0" xr:uid="{00000000-0006-0000-0100-000001000000}">
      <text>
        <r>
          <rPr>
            <b/>
            <sz val="8"/>
            <color indexed="81"/>
            <rFont val="Tahoma"/>
            <family val="2"/>
          </rPr>
          <t>The minimum system voltage must be no less than 10V.</t>
        </r>
      </text>
    </comment>
    <comment ref="F29" authorId="0" shapeId="0" xr:uid="{00000000-0006-0000-0100-000002000000}">
      <text>
        <r>
          <rPr>
            <b/>
            <sz val="8"/>
            <color indexed="81"/>
            <rFont val="Tahoma"/>
            <family val="2"/>
          </rPr>
          <t>The maximum system voltage must be no greater than 80V.</t>
        </r>
      </text>
    </comment>
    <comment ref="F31" authorId="0" shapeId="0" xr:uid="{00000000-0006-0000-0100-000003000000}">
      <text>
        <r>
          <rPr>
            <b/>
            <sz val="8"/>
            <color indexed="81"/>
            <rFont val="Tahoma"/>
            <family val="2"/>
          </rPr>
          <t xml:space="preserve">This is the capacitance at Vout. This should not be zero. A minimum of 10 </t>
        </r>
        <r>
          <rPr>
            <b/>
            <sz val="8"/>
            <color indexed="81"/>
            <rFont val="Arial"/>
            <family val="2"/>
          </rPr>
          <t>μ</t>
        </r>
        <r>
          <rPr>
            <b/>
            <sz val="8"/>
            <color indexed="81"/>
            <rFont val="Tahoma"/>
            <family val="2"/>
          </rPr>
          <t>F is recommended.</t>
        </r>
      </text>
    </comment>
    <comment ref="F38" authorId="1" shapeId="0" xr:uid="{00000000-0006-0000-0100-000004000000}">
      <text>
        <r>
          <rPr>
            <b/>
            <sz val="9"/>
            <color indexed="81"/>
            <rFont val="Tahoma"/>
            <family val="2"/>
          </rPr>
          <t xml:space="preserve">Using an External Resistor allows the user to fine tune the current limit for a given standard resistor. 
It will add error to the power limit, current limit, and telemetry (1% resistors) and should be avoided if possible. </t>
        </r>
        <r>
          <rPr>
            <sz val="9"/>
            <color indexed="81"/>
            <rFont val="Tahoma"/>
            <family val="2"/>
          </rPr>
          <t xml:space="preserve">
</t>
        </r>
      </text>
    </comment>
    <comment ref="F39" authorId="0" shapeId="0" xr:uid="{00000000-0006-0000-0100-000005000000}">
      <text>
        <r>
          <rPr>
            <b/>
            <sz val="8"/>
            <color indexed="81"/>
            <rFont val="Tahoma"/>
            <family val="2"/>
          </rPr>
          <t xml:space="preserve">When using an external resistor divider, Rs must be larger than the targeted Rs,eff.  Pick the next larger available Rs.  
When not using an external resistor divider, pick the next smallest available sense resistor. </t>
        </r>
      </text>
    </comment>
    <comment ref="F40" authorId="1" shapeId="0" xr:uid="{00000000-0006-0000-0100-000006000000}">
      <text>
        <r>
          <rPr>
            <b/>
            <sz val="9"/>
            <color indexed="81"/>
            <rFont val="Tahoma"/>
            <family val="2"/>
          </rPr>
          <t xml:space="preserve">Cell turns Red if 
When using an external resistor divider, Rs must be larger than the targeted Rs,eff.  Pick the next larger available Rs.  
</t>
        </r>
        <r>
          <rPr>
            <sz val="9"/>
            <color indexed="81"/>
            <rFont val="Tahoma"/>
            <family val="2"/>
          </rPr>
          <t xml:space="preserve">
</t>
        </r>
      </text>
    </comment>
    <comment ref="F45" authorId="1" shapeId="0" xr:uid="{00000000-0006-0000-0100-000007000000}">
      <text>
        <r>
          <rPr>
            <b/>
            <sz val="9"/>
            <color indexed="81"/>
            <rFont val="Tahoma"/>
            <family val="2"/>
          </rPr>
          <t xml:space="preserve">Ensure that the minimum current limit is above maximum load. </t>
        </r>
      </text>
    </comment>
    <comment ref="F48" authorId="0" shapeId="0" xr:uid="{00000000-0006-0000-0100-000008000000}">
      <text>
        <r>
          <rPr>
            <b/>
            <sz val="8"/>
            <color indexed="81"/>
            <rFont val="Tahoma"/>
            <family val="2"/>
          </rPr>
          <t>The power dissipation is calculated using the maximum normal load current.
Ensure the selected resistor is rated for this power dissipation.</t>
        </r>
      </text>
    </comment>
    <comment ref="F52" authorId="1" shapeId="0" xr:uid="{00000000-0006-0000-0100-000009000000}">
      <text>
        <r>
          <rPr>
            <b/>
            <sz val="9"/>
            <color indexed="81"/>
            <rFont val="Tahoma"/>
            <family val="2"/>
          </rPr>
          <t xml:space="preserve">Note that this parameter is heavily dependent on the board layout and amount of copper connected to the Drain of the FET. 
The TI EVM is ~30C / W number and is a good starting point. It's recommended to measure this value again once the boards are built and plugging this back into the calculator. </t>
        </r>
        <r>
          <rPr>
            <sz val="9"/>
            <color indexed="81"/>
            <rFont val="Tahoma"/>
            <family val="2"/>
          </rPr>
          <t xml:space="preserve">
</t>
        </r>
      </text>
    </comment>
    <comment ref="F62" authorId="1" shapeId="0" xr:uid="{00000000-0006-0000-0100-00000A000000}">
      <text>
        <r>
          <rPr>
            <sz val="9"/>
            <color indexed="81"/>
            <rFont val="Tahoma"/>
            <family val="2"/>
          </rPr>
          <t xml:space="preserve">If FET temperature is too high, increase the # of FETs, reduce the load, or reduce the RθJA by adding more heat sinking to MOSFETs. 
</t>
        </r>
      </text>
    </comment>
    <comment ref="F64" authorId="1" shapeId="0" xr:uid="{00000000-0006-0000-0100-00000B000000}">
      <text>
        <r>
          <rPr>
            <sz val="9"/>
            <color indexed="81"/>
            <rFont val="Tahoma"/>
            <family val="2"/>
          </rPr>
          <t xml:space="preserve">Usually this can be set to PLIM,MIN.  If a load is present during start-up a higher Plim, may be preferred. </t>
        </r>
        <r>
          <rPr>
            <b/>
            <sz val="9"/>
            <color indexed="81"/>
            <rFont val="Tahoma"/>
            <family val="2"/>
          </rPr>
          <t xml:space="preserve">
</t>
        </r>
      </text>
    </comment>
    <comment ref="I66" authorId="2" shapeId="0" xr:uid="{00000000-0006-0000-0100-00000C000000}">
      <text>
        <r>
          <rPr>
            <b/>
            <sz val="9"/>
            <color indexed="81"/>
            <rFont val="Tahoma"/>
            <family val="2"/>
          </rPr>
          <t>3 Parameters:
Step 1: Max Ambient Operating Temperature 
Step 3: Estimated MOSFET RQJA
Step 3: FET Power Dissipation at full load 
**This includes air flow</t>
        </r>
      </text>
    </comment>
    <comment ref="F67" authorId="1" shapeId="0" xr:uid="{00000000-0006-0000-0100-00000D000000}">
      <text>
        <r>
          <rPr>
            <sz val="9"/>
            <color indexed="81"/>
            <rFont val="Tahoma"/>
            <family val="2"/>
          </rPr>
          <t xml:space="preserve">Cell turns Red if the actual power limit is below Minimum Power Limit (cell F47)
</t>
        </r>
      </text>
    </comment>
    <comment ref="F69" authorId="3" shapeId="0" xr:uid="{00000000-0006-0000-0100-00000E000000}">
      <text>
        <r>
          <rPr>
            <b/>
            <sz val="8"/>
            <color indexed="81"/>
            <rFont val="Tahoma"/>
            <family val="2"/>
          </rPr>
          <t>Select if the load will draw current during start-up. 
For no Load, choose constant current and set to zero</t>
        </r>
      </text>
    </comment>
    <comment ref="F71" authorId="3" shapeId="0" xr:uid="{00000000-0006-0000-0100-00000F000000}">
      <text>
        <r>
          <rPr>
            <b/>
            <sz val="8"/>
            <color indexed="81"/>
            <rFont val="Tahoma"/>
            <family val="2"/>
          </rPr>
          <t>Yes or No.  Default is No.  However, DV/DT control can be useful in high current applications or applications were COUT is large.
If SOA margin is poor with a PLIM start-up, switching to a soft start can alleviate this problem.</t>
        </r>
      </text>
    </comment>
    <comment ref="F73" authorId="1" shapeId="0" xr:uid="{00000000-0006-0000-0100-000010000000}">
      <text>
        <r>
          <rPr>
            <b/>
            <sz val="9"/>
            <color indexed="81"/>
            <rFont val="Tahoma"/>
            <family val="2"/>
          </rPr>
          <t xml:space="preserve">If IFET - ILOAD margin is too low, there may be start-up issues due to variation in power limit or load profile.  A margin &gt; 25% is recommended. 
If margin is &lt; 25%, the power limit should be increased or the load should be kept completely OFF during start-up. </t>
        </r>
        <r>
          <rPr>
            <sz val="9"/>
            <color indexed="81"/>
            <rFont val="Tahoma"/>
            <family val="2"/>
          </rPr>
          <t xml:space="preserve">
</t>
        </r>
      </text>
    </comment>
    <comment ref="F74" authorId="0" shapeId="0" xr:uid="{00000000-0006-0000-0100-000011000000}">
      <text>
        <r>
          <rPr>
            <b/>
            <sz val="8"/>
            <color indexed="81"/>
            <rFont val="Tahoma"/>
            <family val="2"/>
          </rPr>
          <t xml:space="preserve">To ensure start-up the fault time out must be longer than the start-up time. It is recommended to choose a fault timer that is larger than the typical start-time to account for variations in Plim, timer current, and timer capacitance. </t>
        </r>
      </text>
    </comment>
    <comment ref="F76" authorId="1" shapeId="0" xr:uid="{00000000-0006-0000-0100-000012000000}">
      <text>
        <r>
          <rPr>
            <b/>
            <sz val="9"/>
            <color indexed="81"/>
            <rFont val="Tahoma"/>
            <family val="2"/>
          </rPr>
          <t>Pick closest capacitor that is larger than the Target capacitance</t>
        </r>
        <r>
          <rPr>
            <sz val="9"/>
            <color indexed="81"/>
            <rFont val="Tahoma"/>
            <family val="2"/>
          </rPr>
          <t xml:space="preserve">
</t>
        </r>
      </text>
    </comment>
    <comment ref="F78" authorId="1" shapeId="0" xr:uid="{00000000-0006-0000-0100-000013000000}">
      <text>
        <r>
          <rPr>
            <sz val="9"/>
            <color indexed="81"/>
            <rFont val="Tahoma"/>
            <family val="2"/>
          </rPr>
          <t>A ratio over 1.1 is required and over 1.3 is preferred.  This will account for variation in Power limit and timer
If the margin is poor with a PLIM based start-up, switch to soft start (cell F55)</t>
        </r>
      </text>
    </comment>
    <comment ref="F79" authorId="3" shapeId="0" xr:uid="{00000000-0006-0000-0100-000014000000}">
      <text>
        <r>
          <rPr>
            <b/>
            <sz val="8"/>
            <color indexed="81"/>
            <rFont val="Tahoma"/>
            <family val="2"/>
          </rPr>
          <t xml:space="preserve">This is used to determine the maximum FET case temperature before start-up. 
A "yes" here means that a user may run a board at full current, then unplug the board and plug it back in. In that the FET is hot before hot-plug. 
If this is a "no".  FET temperature just equals the ambient temperature. </t>
        </r>
      </text>
    </comment>
    <comment ref="F80" authorId="1" shapeId="0" xr:uid="{00000000-0006-0000-0100-000015000000}">
      <text>
        <r>
          <rPr>
            <b/>
            <sz val="9"/>
            <color indexed="81"/>
            <rFont val="Tahoma"/>
            <family val="2"/>
          </rPr>
          <t xml:space="preserve">If these cells are red, there is no suitable slew rate for keeping FET whithin SOA. 
Reduce load at start-up or pick FET with better SOA. </t>
        </r>
      </text>
    </comment>
    <comment ref="F81" authorId="1" shapeId="0" xr:uid="{00000000-0006-0000-0100-000016000000}">
      <text>
        <r>
          <rPr>
            <b/>
            <sz val="9"/>
            <color indexed="81"/>
            <rFont val="Tahoma"/>
            <family val="2"/>
          </rPr>
          <t xml:space="preserve">If these cells are red, there is no suitable slew rate for keeping FET whithin SOA. 
Reduce load at start-up or pick FET with better SOA. </t>
        </r>
        <r>
          <rPr>
            <sz val="9"/>
            <color indexed="81"/>
            <rFont val="Tahoma"/>
            <family val="2"/>
          </rPr>
          <t xml:space="preserve">
</t>
        </r>
      </text>
    </comment>
    <comment ref="F82" authorId="1" shapeId="0" xr:uid="{00000000-0006-0000-0100-000017000000}">
      <text>
        <r>
          <rPr>
            <b/>
            <sz val="9"/>
            <color indexed="81"/>
            <rFont val="Tahoma"/>
            <family val="2"/>
          </rPr>
          <t>Ensure that this is lower than max ss slew rate in the cell above</t>
        </r>
        <r>
          <rPr>
            <sz val="9"/>
            <color indexed="81"/>
            <rFont val="Tahoma"/>
            <family val="2"/>
          </rPr>
          <t xml:space="preserve">
</t>
        </r>
      </text>
    </comment>
    <comment ref="F85" authorId="1" shapeId="0" xr:uid="{00000000-0006-0000-0100-000018000000}">
      <text>
        <r>
          <rPr>
            <b/>
            <sz val="9"/>
            <color indexed="81"/>
            <rFont val="Tahoma"/>
            <family val="2"/>
          </rPr>
          <t>Ensure that this is lower than max ss slew rate.</t>
        </r>
      </text>
    </comment>
    <comment ref="F86" authorId="1" shapeId="0" xr:uid="{00000000-0006-0000-0100-000019000000}">
      <text>
        <r>
          <rPr>
            <sz val="9"/>
            <color indexed="81"/>
            <rFont val="Tahoma"/>
            <family val="2"/>
          </rPr>
          <t>A margin of &gt;1.1 is required and a margin of &gt;1.5 is recommended to accout for the variation in the gate current. 
Reduce dv/dt rate to reduce inrush current and increase SOA margin</t>
        </r>
      </text>
    </comment>
    <comment ref="F91" authorId="1" shapeId="0" xr:uid="{00000000-0006-0000-0100-00001A000000}">
      <text>
        <r>
          <rPr>
            <b/>
            <sz val="9"/>
            <color indexed="81"/>
            <rFont val="Tahoma"/>
            <family val="2"/>
          </rPr>
          <t xml:space="preserve">A margin of &gt;1.1 is required and a margin of &gt;1.3 is recommended to accout for the variation in the power limit and timer. 
Reduce Tfault to improve SOA margin. </t>
        </r>
        <r>
          <rPr>
            <sz val="9"/>
            <color indexed="81"/>
            <rFont val="Tahoma"/>
            <family val="2"/>
          </rPr>
          <t xml:space="preserve">
</t>
        </r>
      </text>
    </comment>
    <comment ref="F93" authorId="0" shapeId="0" xr:uid="{00000000-0006-0000-0100-00001B000000}">
      <text>
        <r>
          <rPr>
            <b/>
            <sz val="8"/>
            <color indexed="81"/>
            <rFont val="Tahoma"/>
            <family val="2"/>
          </rPr>
          <t>This calculation applies only when the RETRY option is selected.</t>
        </r>
      </text>
    </comment>
    <comment ref="F94" authorId="3" shapeId="0" xr:uid="{00000000-0006-0000-0100-00001C000000}">
      <text>
        <r>
          <rPr>
            <b/>
            <sz val="8"/>
            <color indexed="81"/>
            <rFont val="Tahoma"/>
            <family val="2"/>
          </rPr>
          <t>See the schematics above to select the appropriate option for setting the input voltage UVLO and OVLO thresholds.</t>
        </r>
      </text>
    </comment>
    <comment ref="F95" authorId="0" shapeId="0" xr:uid="{00000000-0006-0000-0100-00001D000000}">
      <text>
        <r>
          <rPr>
            <b/>
            <sz val="8"/>
            <color indexed="81"/>
            <rFont val="Tahoma"/>
            <family val="2"/>
          </rPr>
          <t>This threshold must be between 10V and 80V.</t>
        </r>
      </text>
    </comment>
    <comment ref="F96" authorId="0" shapeId="0" xr:uid="{00000000-0006-0000-0100-00001E000000}">
      <text>
        <r>
          <rPr>
            <b/>
            <sz val="8"/>
            <color indexed="81"/>
            <rFont val="Tahoma"/>
            <family val="2"/>
          </rPr>
          <t>This threshold must be greater than 10V, and less than the upper UVLO threshold.</t>
        </r>
      </text>
    </comment>
    <comment ref="F97" authorId="0" shapeId="0" xr:uid="{00000000-0006-0000-0100-00001F000000}">
      <text>
        <r>
          <rPr>
            <b/>
            <sz val="8"/>
            <color indexed="81"/>
            <rFont val="Tahoma"/>
            <family val="2"/>
          </rPr>
          <t>This threshold must be greater than the upper UVLO Threshold, and less than 80V.</t>
        </r>
      </text>
    </comment>
    <comment ref="F134" authorId="1" shapeId="0" xr:uid="{00000000-0006-0000-0100-000020000000}">
      <text>
        <r>
          <rPr>
            <sz val="9"/>
            <color indexed="81"/>
            <rFont val="Tahoma"/>
            <family val="2"/>
          </rPr>
          <t xml:space="preserve">TI recommended. Same as LM5066I EVM.
</t>
        </r>
      </text>
    </comment>
    <comment ref="F136" authorId="1" shapeId="0" xr:uid="{00000000-0006-0000-0100-000021000000}">
      <text>
        <r>
          <rPr>
            <b/>
            <sz val="9"/>
            <color indexed="81"/>
            <rFont val="Tahoma"/>
            <family val="2"/>
          </rPr>
          <t xml:space="preserve">TI recomends the SMDJxx TVS.
Pick the proper value based on the input voltage. </t>
        </r>
        <r>
          <rPr>
            <sz val="9"/>
            <color indexed="81"/>
            <rFont val="Tahoma"/>
            <family val="2"/>
          </rPr>
          <t xml:space="preserve">
</t>
        </r>
      </text>
    </comment>
  </commentList>
</comments>
</file>

<file path=xl/sharedStrings.xml><?xml version="1.0" encoding="utf-8"?>
<sst xmlns="http://schemas.openxmlformats.org/spreadsheetml/2006/main" count="722" uniqueCount="496">
  <si>
    <t>Max Rs =</t>
  </si>
  <si>
    <t>Min. Current limit =</t>
  </si>
  <si>
    <t>Typ. Current limit =</t>
  </si>
  <si>
    <t>Max. Current limit =</t>
  </si>
  <si>
    <t>Rs Power Diss. =</t>
  </si>
  <si>
    <t>Resulting Typical Power Limit =</t>
  </si>
  <si>
    <t>Resulting Minimum Power Limit =</t>
  </si>
  <si>
    <t>Resulting Maximum Power Limit =</t>
  </si>
  <si>
    <t>ms</t>
  </si>
  <si>
    <t>Typ. Insertion time =</t>
  </si>
  <si>
    <t>Typ. Restart time =</t>
  </si>
  <si>
    <t>R1 =</t>
  </si>
  <si>
    <t>R2 =</t>
  </si>
  <si>
    <t>R3 =</t>
  </si>
  <si>
    <t>R4 =</t>
  </si>
  <si>
    <t xml:space="preserve">   24% tolerance used in this calculation.</t>
  </si>
  <si>
    <t xml:space="preserve">  10% margin added in this calculation</t>
  </si>
  <si>
    <r>
      <t>R</t>
    </r>
    <r>
      <rPr>
        <vertAlign val="subscript"/>
        <sz val="10"/>
        <rFont val="Arial"/>
        <family val="2"/>
      </rPr>
      <t>PWR</t>
    </r>
    <r>
      <rPr>
        <sz val="10"/>
        <rFont val="Arial"/>
        <family val="2"/>
      </rPr>
      <t xml:space="preserve"> =</t>
    </r>
  </si>
  <si>
    <t>Notes:</t>
  </si>
  <si>
    <t>Option A</t>
  </si>
  <si>
    <t>Option B</t>
  </si>
  <si>
    <t>Select Option A or Option B</t>
  </si>
  <si>
    <t>R2</t>
  </si>
  <si>
    <t>R3</t>
  </si>
  <si>
    <t>R4</t>
  </si>
  <si>
    <t>A</t>
  </si>
  <si>
    <t>B</t>
  </si>
  <si>
    <t>UVLO upper is F40</t>
  </si>
  <si>
    <t>UVLO lower is F41</t>
  </si>
  <si>
    <t>OVLO upper is F42</t>
  </si>
  <si>
    <t>OVLO lower is F43</t>
  </si>
  <si>
    <t xml:space="preserve">R3 = </t>
  </si>
  <si>
    <t xml:space="preserve">R2 = </t>
  </si>
  <si>
    <t xml:space="preserve">R1 = </t>
  </si>
  <si>
    <t xml:space="preserve">R4 = </t>
  </si>
  <si>
    <t>Minimum</t>
  </si>
  <si>
    <t>Typical</t>
  </si>
  <si>
    <t>Maximum</t>
  </si>
  <si>
    <t xml:space="preserve">Resulting upper UVLO Threshold (min) = </t>
  </si>
  <si>
    <t xml:space="preserve">Resulting upper UVLO Threshold (typ) = </t>
  </si>
  <si>
    <t xml:space="preserve">Resulting upper UVLO Threshold (max) = </t>
  </si>
  <si>
    <t xml:space="preserve">Resulting lower UVLO Threshold (min) = </t>
  </si>
  <si>
    <t xml:space="preserve">Resulting lower UVLO Threshold (typ) = </t>
  </si>
  <si>
    <t xml:space="preserve">Resulting lower UVLO Threshold (max) = </t>
  </si>
  <si>
    <t xml:space="preserve">Resulting upper OVLO Threshold (min) = </t>
  </si>
  <si>
    <t xml:space="preserve">Resulting upper OVLO Threshold (typ) = </t>
  </si>
  <si>
    <t xml:space="preserve">Resulting upper OVLO Threshold (max) = </t>
  </si>
  <si>
    <t xml:space="preserve">Resulting lower OVLO Threshold (min) = </t>
  </si>
  <si>
    <t xml:space="preserve">Resulting lower OVLO Threshold (typ) = </t>
  </si>
  <si>
    <t xml:space="preserve">Resulting lower OVLO Threshold (max) = </t>
  </si>
  <si>
    <t>R1 is F48</t>
  </si>
  <si>
    <t>R2 is F49</t>
  </si>
  <si>
    <t>R3 is F50</t>
  </si>
  <si>
    <t>R4 is F51</t>
  </si>
  <si>
    <t>Resulting Thresholds:</t>
  </si>
  <si>
    <r>
      <t>C</t>
    </r>
    <r>
      <rPr>
        <vertAlign val="subscript"/>
        <sz val="10"/>
        <rFont val="Arial"/>
        <family val="2"/>
      </rPr>
      <t>IN</t>
    </r>
    <r>
      <rPr>
        <sz val="10"/>
        <rFont val="Arial"/>
        <family val="2"/>
      </rPr>
      <t xml:space="preserve"> = </t>
    </r>
  </si>
  <si>
    <t>GRAPH:</t>
  </si>
  <si>
    <t>Selected Rs =</t>
  </si>
  <si>
    <r>
      <t>Selected R</t>
    </r>
    <r>
      <rPr>
        <vertAlign val="subscript"/>
        <sz val="10"/>
        <rFont val="Arial"/>
        <family val="2"/>
      </rPr>
      <t>PWR</t>
    </r>
    <r>
      <rPr>
        <sz val="10"/>
        <rFont val="Arial"/>
        <family val="2"/>
      </rPr>
      <t xml:space="preserve"> =</t>
    </r>
  </si>
  <si>
    <t>Max System voltage =</t>
  </si>
  <si>
    <t>Current Lim (min) =</t>
  </si>
  <si>
    <t>Current Lim (typ) =</t>
  </si>
  <si>
    <t>Current Lim (max) =</t>
  </si>
  <si>
    <t>Power Limit (min) =</t>
  </si>
  <si>
    <t>Power Limit (typ) =</t>
  </si>
  <si>
    <t>Power Limit (max) =</t>
  </si>
  <si>
    <t>A) This table calculates the Ids current based</t>
  </si>
  <si>
    <t>B) This table corrrects the table at left so no</t>
  </si>
  <si>
    <t>on power limit only - no current limit info.</t>
  </si>
  <si>
    <t>current is greater than the current limit.</t>
  </si>
  <si>
    <t>Vds</t>
  </si>
  <si>
    <t>Min</t>
  </si>
  <si>
    <t>Typ</t>
  </si>
  <si>
    <t>Max</t>
  </si>
  <si>
    <t>SOA data points from</t>
  </si>
  <si>
    <t>the customer's SOA</t>
  </si>
  <si>
    <t>data he entered.</t>
  </si>
  <si>
    <t>User's</t>
  </si>
  <si>
    <t>Ids</t>
  </si>
  <si>
    <t>x = customer's entry</t>
  </si>
  <si>
    <t>x</t>
  </si>
  <si>
    <t>SOA</t>
  </si>
  <si>
    <t>C) This table creates the</t>
  </si>
  <si>
    <t>µF</t>
  </si>
  <si>
    <r>
      <t>k</t>
    </r>
    <r>
      <rPr>
        <sz val="10"/>
        <rFont val="Symbol"/>
        <family val="1"/>
        <charset val="2"/>
      </rPr>
      <t>W</t>
    </r>
  </si>
  <si>
    <r>
      <t>m</t>
    </r>
    <r>
      <rPr>
        <sz val="10"/>
        <rFont val="Symbol"/>
        <family val="1"/>
        <charset val="2"/>
      </rPr>
      <t>W</t>
    </r>
  </si>
  <si>
    <t>V</t>
  </si>
  <si>
    <t>W</t>
  </si>
  <si>
    <t>D) This table changes ID values to zero for Vds&gt;Vin(max)</t>
  </si>
  <si>
    <t>and adds the SOA curve. This data is plotted.</t>
  </si>
  <si>
    <r>
      <t>1. Although not mandatory, C</t>
    </r>
    <r>
      <rPr>
        <vertAlign val="subscript"/>
        <sz val="10"/>
        <rFont val="Arial"/>
        <family val="2"/>
      </rPr>
      <t>IN</t>
    </r>
    <r>
      <rPr>
        <sz val="10"/>
        <rFont val="Arial"/>
        <family val="2"/>
      </rPr>
      <t xml:space="preserve"> provides transient suppression at the VIN pin</t>
    </r>
  </si>
  <si>
    <t>Resulting Typical Restart Time</t>
  </si>
  <si>
    <t>Desired Upper UVLO Threshold</t>
  </si>
  <si>
    <t>Desired Lower UVLO Threshold</t>
  </si>
  <si>
    <t>Desired Lower OVLO Threshold</t>
  </si>
  <si>
    <t xml:space="preserve">Resulting Upper UVLO Threshold = </t>
  </si>
  <si>
    <t xml:space="preserve">Resulting Lower UVLO Threshold = </t>
  </si>
  <si>
    <t xml:space="preserve">Resulting Upper OVLO Threshold = </t>
  </si>
  <si>
    <t xml:space="preserve">Resulting Lower OVLO Threshold = </t>
  </si>
  <si>
    <t>Resulting Minimum Current Limit</t>
  </si>
  <si>
    <t>Resulting Typical Current Limit</t>
  </si>
  <si>
    <t>Resulting Maximum Current Limit</t>
  </si>
  <si>
    <t>Desired Upper OVLO Threshold</t>
  </si>
  <si>
    <t>Calculated Values are shown in White Cells</t>
  </si>
  <si>
    <t>www.ti.com/hotswap</t>
  </si>
  <si>
    <t xml:space="preserve">Enter the Resistance for R1 </t>
  </si>
  <si>
    <t xml:space="preserve">Enter the Resistance for R2 </t>
  </si>
  <si>
    <t xml:space="preserve">Enter the Resistance for R3 </t>
  </si>
  <si>
    <t xml:space="preserve">Enter the Resistance for R4 </t>
  </si>
  <si>
    <r>
      <t>Enter the Resistance for R</t>
    </r>
    <r>
      <rPr>
        <vertAlign val="subscript"/>
        <sz val="10"/>
        <rFont val="Arial"/>
        <family val="2"/>
      </rPr>
      <t>S</t>
    </r>
  </si>
  <si>
    <t>2. A TVS clamp from VIN to GND is absolutely mandatory to clamp the voltage overshoot upon MOSFET turn-off, e.g. during circuit breaker</t>
  </si>
  <si>
    <r>
      <t>Minimum Input Operating Voltage: V</t>
    </r>
    <r>
      <rPr>
        <vertAlign val="subscript"/>
        <sz val="10"/>
        <rFont val="Arial"/>
        <family val="2"/>
      </rPr>
      <t>IN(MIN)</t>
    </r>
  </si>
  <si>
    <r>
      <t>Maximum Input Operating Voltage: V</t>
    </r>
    <r>
      <rPr>
        <vertAlign val="subscript"/>
        <sz val="10"/>
        <rFont val="Arial"/>
        <family val="2"/>
      </rPr>
      <t>IN(MAX)</t>
    </r>
  </si>
  <si>
    <r>
      <t>Maximum Power Dissipation in R</t>
    </r>
    <r>
      <rPr>
        <vertAlign val="subscript"/>
        <sz val="10"/>
        <rFont val="Arial"/>
        <family val="2"/>
      </rPr>
      <t>S</t>
    </r>
  </si>
  <si>
    <r>
      <t>Enter the Resistance for R</t>
    </r>
    <r>
      <rPr>
        <vertAlign val="subscript"/>
        <sz val="10"/>
        <rFont val="Arial"/>
        <family val="2"/>
      </rPr>
      <t>PG</t>
    </r>
  </si>
  <si>
    <t>Ramp time for output voltage</t>
  </si>
  <si>
    <t>Nominal output voltage</t>
  </si>
  <si>
    <t>Required soft-start capacitance</t>
  </si>
  <si>
    <t>nF</t>
  </si>
  <si>
    <r>
      <t>Nominal Input Operating Voltage: V</t>
    </r>
    <r>
      <rPr>
        <vertAlign val="subscript"/>
        <sz val="10"/>
        <rFont val="Arial"/>
        <family val="2"/>
      </rPr>
      <t>IN(NOM)</t>
    </r>
  </si>
  <si>
    <r>
      <t>Maximum Ambient Operating Temperature: T</t>
    </r>
    <r>
      <rPr>
        <vertAlign val="subscript"/>
        <sz val="10"/>
        <rFont val="Arial"/>
        <family val="2"/>
      </rPr>
      <t>MAX</t>
    </r>
  </si>
  <si>
    <r>
      <t>Maximum Load Current: I</t>
    </r>
    <r>
      <rPr>
        <vertAlign val="subscript"/>
        <sz val="10"/>
        <rFont val="Arial"/>
        <family val="2"/>
      </rPr>
      <t>OUT(MAX)</t>
    </r>
  </si>
  <si>
    <t>Step 3: MOSFET Selection</t>
  </si>
  <si>
    <t>Number of MosFETs</t>
  </si>
  <si>
    <t>#</t>
  </si>
  <si>
    <r>
      <rPr>
        <vertAlign val="superscript"/>
        <sz val="10"/>
        <rFont val="Arial"/>
        <family val="2"/>
      </rPr>
      <t>o</t>
    </r>
    <r>
      <rPr>
        <sz val="10"/>
        <rFont val="Arial"/>
        <family val="2"/>
      </rPr>
      <t>C</t>
    </r>
  </si>
  <si>
    <r>
      <rPr>
        <vertAlign val="superscript"/>
        <sz val="10"/>
        <rFont val="Arial"/>
        <family val="2"/>
      </rPr>
      <t>o</t>
    </r>
    <r>
      <rPr>
        <sz val="10"/>
        <rFont val="Arial"/>
        <family val="2"/>
      </rPr>
      <t>C/W</t>
    </r>
  </si>
  <si>
    <t>Maximum FET Junction Temperature</t>
  </si>
  <si>
    <t>100ms SOA Current Maximum Input Voltage</t>
  </si>
  <si>
    <t>1ms SOA Current Maximum Input Voltage</t>
  </si>
  <si>
    <t>10ms SOA Current Maximum Input Voltage</t>
  </si>
  <si>
    <t>100ms or DC SOA Current at Maximum Input Voltage</t>
  </si>
  <si>
    <t>Current Limit</t>
  </si>
  <si>
    <t>Step 4: Startup</t>
  </si>
  <si>
    <t>Startup Load Type</t>
  </si>
  <si>
    <t>Startup Load Value</t>
  </si>
  <si>
    <t>Constant Current</t>
  </si>
  <si>
    <t>Resistive</t>
  </si>
  <si>
    <t>Vout</t>
  </si>
  <si>
    <t>ILOAD</t>
  </si>
  <si>
    <t xml:space="preserve">Start-up slop </t>
  </si>
  <si>
    <t>QG</t>
  </si>
  <si>
    <t>I_Src</t>
  </si>
  <si>
    <t>RMS</t>
  </si>
  <si>
    <t>PLIM</t>
  </si>
  <si>
    <t>combined</t>
  </si>
  <si>
    <t>I_timer</t>
  </si>
  <si>
    <t>C_timer</t>
  </si>
  <si>
    <t>Final</t>
  </si>
  <si>
    <t>Step 1: Operating Conditions</t>
  </si>
  <si>
    <t>Time</t>
  </si>
  <si>
    <t>Startup</t>
  </si>
  <si>
    <t>FET Selection</t>
  </si>
  <si>
    <t>Nominal</t>
  </si>
  <si>
    <t>Derated at TJ</t>
  </si>
  <si>
    <t>Operating Conditions</t>
  </si>
  <si>
    <t>Input Voltage</t>
  </si>
  <si>
    <t>Sense input Current</t>
  </si>
  <si>
    <t>Units</t>
  </si>
  <si>
    <t>uA</t>
  </si>
  <si>
    <t>Circuit Breaker</t>
  </si>
  <si>
    <t>Timer</t>
  </si>
  <si>
    <t>Upper Threshold</t>
  </si>
  <si>
    <t>Insertion Time Current</t>
  </si>
  <si>
    <t>Fault detection current</t>
  </si>
  <si>
    <t>ICAP</t>
  </si>
  <si>
    <t>Junction Temperature</t>
  </si>
  <si>
    <t>VIN</t>
  </si>
  <si>
    <t>Power Limit</t>
  </si>
  <si>
    <t>mV</t>
  </si>
  <si>
    <t>Minimum Power Limit=</t>
  </si>
  <si>
    <t>Look Up</t>
  </si>
  <si>
    <t>1ms</t>
  </si>
  <si>
    <t>10ms</t>
  </si>
  <si>
    <t>100ms</t>
  </si>
  <si>
    <t>Final SOA</t>
  </si>
  <si>
    <t>time</t>
  </si>
  <si>
    <t>Voltage</t>
  </si>
  <si>
    <t>Lower time</t>
  </si>
  <si>
    <t>Higher timer</t>
  </si>
  <si>
    <t>I (lower time)</t>
  </si>
  <si>
    <t>I (higher time)</t>
  </si>
  <si>
    <t>a</t>
  </si>
  <si>
    <t>m</t>
  </si>
  <si>
    <t>Extr. I</t>
  </si>
  <si>
    <t>Assuming Power vs time is linear on a log-log plot</t>
  </si>
  <si>
    <r>
      <rPr>
        <vertAlign val="superscript"/>
        <sz val="10"/>
        <rFont val="Arial"/>
        <family val="2"/>
      </rPr>
      <t>o</t>
    </r>
    <r>
      <rPr>
        <sz val="10"/>
        <rFont val="Arial"/>
        <family val="2"/>
      </rPr>
      <t>C</t>
    </r>
  </si>
  <si>
    <t>Interpolated Power=</t>
  </si>
  <si>
    <t xml:space="preserve">Max Power with Temp Derating = </t>
  </si>
  <si>
    <t>Load Turn-On Threshold</t>
  </si>
  <si>
    <t>a = iSOA1/tSOA1^m</t>
  </si>
  <si>
    <t>m = log(iSOA1/iSOA2)/log(tSOA1/tSOA2)</t>
  </si>
  <si>
    <t>I = a * t^m</t>
  </si>
  <si>
    <t>Derating factor =</t>
  </si>
  <si>
    <t>No</t>
  </si>
  <si>
    <t>Yes</t>
  </si>
  <si>
    <t>Gate</t>
  </si>
  <si>
    <t>Resulting Typical Insertion Delay Time</t>
  </si>
  <si>
    <r>
      <t>Use External Resistor Divider to Reduce Effecitve R</t>
    </r>
    <r>
      <rPr>
        <vertAlign val="subscript"/>
        <sz val="10"/>
        <rFont val="Arial"/>
        <family val="2"/>
      </rPr>
      <t>S</t>
    </r>
  </si>
  <si>
    <t>V/S</t>
  </si>
  <si>
    <t>Gate Sourcing Current</t>
  </si>
  <si>
    <t>Recommended Value for RCL1</t>
  </si>
  <si>
    <t>Recommended Value for RCL2</t>
  </si>
  <si>
    <t>Enter value for RCL1</t>
  </si>
  <si>
    <t>Enter value for RCL2</t>
  </si>
  <si>
    <t>CLMAX =</t>
  </si>
  <si>
    <t xml:space="preserve">CLNOM = </t>
  </si>
  <si>
    <t>CLMIN =</t>
  </si>
  <si>
    <t>RCL1 Recommended  =</t>
  </si>
  <si>
    <t>RCL2 Recommmended =</t>
  </si>
  <si>
    <t>Effective Rs =</t>
  </si>
  <si>
    <t>Step 5: UVLO, OVLO &amp; PGD Thresholds</t>
  </si>
  <si>
    <r>
      <t>R</t>
    </r>
    <r>
      <rPr>
        <vertAlign val="subscript"/>
        <sz val="11"/>
        <color theme="1"/>
        <rFont val="Arial"/>
        <family val="2"/>
      </rPr>
      <t>CL1</t>
    </r>
    <r>
      <rPr>
        <sz val="11"/>
        <color theme="1"/>
        <rFont val="Arial"/>
        <family val="2"/>
      </rPr>
      <t xml:space="preserve"> =</t>
    </r>
  </si>
  <si>
    <r>
      <t>R</t>
    </r>
    <r>
      <rPr>
        <vertAlign val="subscript"/>
        <sz val="11"/>
        <color theme="1"/>
        <rFont val="Arial"/>
        <family val="2"/>
      </rPr>
      <t>CL2</t>
    </r>
    <r>
      <rPr>
        <sz val="11"/>
        <color theme="1"/>
        <rFont val="Arial"/>
        <family val="2"/>
      </rPr>
      <t xml:space="preserve"> =</t>
    </r>
  </si>
  <si>
    <t>Design Summary</t>
  </si>
  <si>
    <t>Current limit</t>
  </si>
  <si>
    <t>Startup Time</t>
  </si>
  <si>
    <t>Insertion Delay</t>
  </si>
  <si>
    <t>Fault Timeout</t>
  </si>
  <si>
    <t>Restart Time During Fault</t>
  </si>
  <si>
    <t>Upper UVLO Threshold</t>
  </si>
  <si>
    <t>Lower OVLO Threshold</t>
  </si>
  <si>
    <t>Lower UVLO Threshold</t>
  </si>
  <si>
    <t>Upper OVLO Threshold</t>
  </si>
  <si>
    <t>Circuit Breaker Current</t>
  </si>
  <si>
    <t>100us</t>
  </si>
  <si>
    <t>Step 2: Current Limit and Circuit Breaker</t>
  </si>
  <si>
    <t>Circuit Breaker to Current Limit Raitio</t>
  </si>
  <si>
    <r>
      <t>Maximum Output Load Capacitance: C</t>
    </r>
    <r>
      <rPr>
        <vertAlign val="subscript"/>
        <sz val="10"/>
        <rFont val="Arial"/>
        <family val="2"/>
      </rPr>
      <t>LOAD</t>
    </r>
  </si>
  <si>
    <t>Min Insertion time =</t>
  </si>
  <si>
    <t>Max Insertion time =</t>
  </si>
  <si>
    <t xml:space="preserve">Min Restart time = </t>
  </si>
  <si>
    <t>Timer Pin</t>
  </si>
  <si>
    <t>Lower Threshold (Restart)</t>
  </si>
  <si>
    <t>End of Cycle</t>
  </si>
  <si>
    <t>Re-enable threshold</t>
  </si>
  <si>
    <t>Insertion time current</t>
  </si>
  <si>
    <t>Sink current, end of insertion</t>
  </si>
  <si>
    <t>Fault sink current</t>
  </si>
  <si>
    <t>Fault Response</t>
  </si>
  <si>
    <t>Retry</t>
  </si>
  <si>
    <t>Latch Off</t>
  </si>
  <si>
    <t>Power Good</t>
  </si>
  <si>
    <t>PGVOL</t>
  </si>
  <si>
    <t>mA sinking</t>
  </si>
  <si>
    <t>FB Pin</t>
  </si>
  <si>
    <t>FB Threshold</t>
  </si>
  <si>
    <t>FB Hysteresis Current</t>
  </si>
  <si>
    <t>Max PG Threshold =</t>
  </si>
  <si>
    <t>Nom PG Threshold =</t>
  </si>
  <si>
    <t>Min PG Threshold =</t>
  </si>
  <si>
    <t>Max Restart time =</t>
  </si>
  <si>
    <t>Min PG Hysteresis =</t>
  </si>
  <si>
    <t>Nom PG Hysteresis =</t>
  </si>
  <si>
    <t>Max PG Hysteresis =</t>
  </si>
  <si>
    <t>3. Componet tolerances not accounted for in Min/Max Calculations.</t>
  </si>
  <si>
    <t>Recommended Resistance for:  R1</t>
  </si>
  <si>
    <r>
      <t>Estimated MOSFET R</t>
    </r>
    <r>
      <rPr>
        <sz val="10"/>
        <rFont val="Symbol"/>
        <family val="1"/>
        <charset val="2"/>
      </rPr>
      <t>Q</t>
    </r>
    <r>
      <rPr>
        <vertAlign val="subscript"/>
        <sz val="10"/>
        <rFont val="Arial"/>
        <family val="2"/>
      </rPr>
      <t>JA</t>
    </r>
  </si>
  <si>
    <t>Values Used</t>
  </si>
  <si>
    <t xml:space="preserve"> </t>
  </si>
  <si>
    <r>
      <t>Effective Sense Resistance (R</t>
    </r>
    <r>
      <rPr>
        <vertAlign val="subscript"/>
        <sz val="10"/>
        <rFont val="Arial"/>
        <family val="2"/>
      </rPr>
      <t>S,EFF</t>
    </r>
    <r>
      <rPr>
        <sz val="10"/>
        <rFont val="Arial"/>
        <family val="2"/>
      </rPr>
      <t>)</t>
    </r>
  </si>
  <si>
    <t>Maximum Recommended Value for Effective Sense Resistance</t>
  </si>
  <si>
    <r>
      <t>Maximum steady state FET Junction Temperature (T</t>
    </r>
    <r>
      <rPr>
        <vertAlign val="subscript"/>
        <sz val="10"/>
        <rFont val="Arial"/>
        <family val="2"/>
      </rPr>
      <t>J,DC</t>
    </r>
    <r>
      <rPr>
        <sz val="10"/>
        <rFont val="Arial"/>
        <family val="2"/>
      </rPr>
      <t>)</t>
    </r>
  </si>
  <si>
    <r>
      <t>MOSFET On resistance @ T</t>
    </r>
    <r>
      <rPr>
        <vertAlign val="subscript"/>
        <sz val="10"/>
        <rFont val="Arial"/>
        <family val="2"/>
      </rPr>
      <t>J,DC</t>
    </r>
  </si>
  <si>
    <t>Systematic Offset</t>
  </si>
  <si>
    <t>Minimum Recommended Vsns</t>
  </si>
  <si>
    <t>&lt;= I am assuming this would have +/- 50% error at best</t>
  </si>
  <si>
    <t>A_coeff</t>
  </si>
  <si>
    <t>Vsns = Rpwr / (A*Vds) + Vos,syst</t>
  </si>
  <si>
    <t xml:space="preserve">Example: </t>
  </si>
  <si>
    <t>Rpwr</t>
  </si>
  <si>
    <t>Plim</t>
  </si>
  <si>
    <t>Rsns (m-ohm)</t>
  </si>
  <si>
    <t>Vsns (mV)</t>
  </si>
  <si>
    <t xml:space="preserve">Key Equations: </t>
  </si>
  <si>
    <t>How Plim varries vs Vds:</t>
  </si>
  <si>
    <t>Plim (Vds) = Plim (Vin,max) + (Vds - Vin,max)*Vos,syst/Rs</t>
  </si>
  <si>
    <t>Ex: Plim @ 13V = 100W, Rs = 0.5; Plim @ (Vds = 5V) = 100W - 7V * 1mV/0.5mili-ohm = 100W - 14W = 86W</t>
  </si>
  <si>
    <t>Target Power Limit</t>
  </si>
  <si>
    <r>
      <t>Calculated R</t>
    </r>
    <r>
      <rPr>
        <vertAlign val="subscript"/>
        <sz val="10"/>
        <rFont val="Arial"/>
        <family val="2"/>
      </rPr>
      <t>PWR</t>
    </r>
  </si>
  <si>
    <t>Target PLIM</t>
  </si>
  <si>
    <t>k-ohm</t>
  </si>
  <si>
    <r>
      <t>Actual R</t>
    </r>
    <r>
      <rPr>
        <vertAlign val="subscript"/>
        <sz val="10"/>
        <rFont val="Arial"/>
        <family val="2"/>
      </rPr>
      <t>PWR</t>
    </r>
  </si>
  <si>
    <t>Rpwr actual</t>
  </si>
  <si>
    <t>Final Plim</t>
  </si>
  <si>
    <t>Actual PLIM</t>
  </si>
  <si>
    <t>ILIM</t>
  </si>
  <si>
    <t>Load type</t>
  </si>
  <si>
    <t>Load Value</t>
  </si>
  <si>
    <t>Load start</t>
  </si>
  <si>
    <t>Rs</t>
  </si>
  <si>
    <t>Vos,syst</t>
  </si>
  <si>
    <r>
      <rPr>
        <b/>
        <u/>
        <sz val="10"/>
        <rFont val="Symbol"/>
        <family val="1"/>
        <charset val="2"/>
      </rPr>
      <t>D</t>
    </r>
    <r>
      <rPr>
        <b/>
        <u/>
        <sz val="10"/>
        <rFont val="Arial"/>
        <family val="2"/>
      </rPr>
      <t>t</t>
    </r>
  </si>
  <si>
    <t>IFET</t>
  </si>
  <si>
    <t>I_Fet-IL margin</t>
  </si>
  <si>
    <t>Start-time</t>
  </si>
  <si>
    <t>I_fet-I_L margin</t>
  </si>
  <si>
    <t>Slop for calculations</t>
  </si>
  <si>
    <t>Note: We get additional buffer, b/c this is designed for a Vinmax, while typically Vin = Vinnom</t>
  </si>
  <si>
    <t>&lt;= mean root square(T_start_error_Plim, timer_error, cap_error); T_start proportional to 1/Plim =&gt; T_start_error_plim = 1/(1-Plim_err) - 1 = 1/(1-0.4) - 1 = 0.66</t>
  </si>
  <si>
    <t>Computed Start - Up Slop</t>
  </si>
  <si>
    <t>Typical Start Time with Vinmax (Tstart)</t>
  </si>
  <si>
    <t>Target Fault Timer: Tstart + Margin</t>
  </si>
  <si>
    <t>Typical Start time</t>
  </si>
  <si>
    <t>Start-slop</t>
  </si>
  <si>
    <t>Target Fault Timer</t>
  </si>
  <si>
    <t>Target Timer capacitance</t>
  </si>
  <si>
    <t>Selected Timer capacitance</t>
  </si>
  <si>
    <t>IFET - ILOAD margin (lowest for Vout range)</t>
  </si>
  <si>
    <t xml:space="preserve">Selected Timer capacitance </t>
  </si>
  <si>
    <t>Final Fault Timer</t>
  </si>
  <si>
    <t>Note: I added an adjustment for the systematic offset</t>
  </si>
  <si>
    <t>Vos syst</t>
  </si>
  <si>
    <t>Rs (ohm)</t>
  </si>
  <si>
    <t>Vin, max</t>
  </si>
  <si>
    <t>Plim tolerance</t>
  </si>
  <si>
    <t>Temp Derated SOA</t>
  </si>
  <si>
    <t>Derated SOA / PLIM</t>
  </si>
  <si>
    <t>SOA / PLIM</t>
  </si>
  <si>
    <t>IFET_PLIM</t>
  </si>
  <si>
    <t>I_FET_SS</t>
  </si>
  <si>
    <t>SS</t>
  </si>
  <si>
    <t>FET Power dissapation at full load (per FET)</t>
  </si>
  <si>
    <t>With PLIM</t>
  </si>
  <si>
    <t>dv/dt rate</t>
  </si>
  <si>
    <t>V/ms</t>
  </si>
  <si>
    <t>I_Cout</t>
  </si>
  <si>
    <t>With SS</t>
  </si>
  <si>
    <t>To avoid timer running: Iload + Icap,ss &lt; IFET_PLIM / 2 =&gt; SS_RATE &lt; 1/Cout * (IFET_PLIM/2 - ILOAD)</t>
  </si>
  <si>
    <t>Max_SS_Rate</t>
  </si>
  <si>
    <t>FET_ENERGY</t>
  </si>
  <si>
    <t>J</t>
  </si>
  <si>
    <t>Max _allowed SS_rate</t>
  </si>
  <si>
    <t>Power (W)</t>
  </si>
  <si>
    <t>P_ fast_SS</t>
  </si>
  <si>
    <t>P_slow_SS</t>
  </si>
  <si>
    <t>I_g(hi/nom)</t>
  </si>
  <si>
    <t>I_g(low/nom)</t>
  </si>
  <si>
    <t>max_power_typ</t>
  </si>
  <si>
    <t>max_power_low</t>
  </si>
  <si>
    <t>max_power_high</t>
  </si>
  <si>
    <t>typical start time</t>
  </si>
  <si>
    <t>FET Energy dissipated at start-up (EFET)</t>
  </si>
  <si>
    <t>Peak Power dissipated  during start-up (PFET)</t>
  </si>
  <si>
    <t>Equivalent time at peak power - EFET/PFET (t_power)</t>
  </si>
  <si>
    <t>Available SOA for t_power at Vinmax</t>
  </si>
  <si>
    <t>SOA margin</t>
  </si>
  <si>
    <t>SOA Predictor - dv/dt start-up</t>
  </si>
  <si>
    <t>calculated SS capacitance</t>
  </si>
  <si>
    <t>actual SS capacitance</t>
  </si>
  <si>
    <t>actual dv/dt rate</t>
  </si>
  <si>
    <t>Target Fault Time</t>
  </si>
  <si>
    <t xml:space="preserve">Calculated Timer Capacitance </t>
  </si>
  <si>
    <t>Actual Timer Capacitance</t>
  </si>
  <si>
    <t>SOA margin during start-up</t>
  </si>
  <si>
    <t>Covering hot-short, start-into short for SS</t>
  </si>
  <si>
    <r>
      <t>Actual Timer Capacitance ( pick one smaller than C</t>
    </r>
    <r>
      <rPr>
        <vertAlign val="subscript"/>
        <sz val="10"/>
        <rFont val="Arial"/>
        <family val="2"/>
      </rPr>
      <t>T,CALC</t>
    </r>
    <r>
      <rPr>
        <sz val="10"/>
        <rFont val="Arial"/>
        <family val="2"/>
      </rPr>
      <t xml:space="preserve">) </t>
    </r>
  </si>
  <si>
    <t>Available derated SOA for Tfault</t>
  </si>
  <si>
    <t>Actual Fault Time (Tfault)</t>
  </si>
  <si>
    <t>dv/dt rate on Vout</t>
  </si>
  <si>
    <t>SOA Check - Based on Timer</t>
  </si>
  <si>
    <t>Final Fault Timer(Tfault)</t>
  </si>
  <si>
    <t>SOA margin during "hot-short" or "start-into short"</t>
  </si>
  <si>
    <t>timer_constant</t>
  </si>
  <si>
    <t>Enter Values in Green Shaded Cells</t>
  </si>
  <si>
    <t>1s/DC</t>
  </si>
  <si>
    <t>Can a "hot" board be hotplugged</t>
  </si>
  <si>
    <t>Temp for derating</t>
  </si>
  <si>
    <t>board hot?</t>
  </si>
  <si>
    <t>FET_Energy</t>
  </si>
  <si>
    <t>Tiime (ms)</t>
  </si>
  <si>
    <t>Recommended slew Rate (max)</t>
  </si>
  <si>
    <t>Recommended slew Rate (min)</t>
  </si>
  <si>
    <r>
      <t>100</t>
    </r>
    <r>
      <rPr>
        <sz val="10"/>
        <rFont val="Symbol"/>
        <family val="1"/>
        <charset val="2"/>
      </rPr>
      <t>m</t>
    </r>
    <r>
      <rPr>
        <sz val="10"/>
        <rFont val="Arial"/>
        <family val="2"/>
      </rPr>
      <t>s SOA Current (re-use 1ms data if unavailable) @ V</t>
    </r>
    <r>
      <rPr>
        <vertAlign val="subscript"/>
        <sz val="10"/>
        <rFont val="Arial"/>
        <family val="2"/>
      </rPr>
      <t>IN(MAX)</t>
    </r>
  </si>
  <si>
    <r>
      <t>1ms SOA Current @ V</t>
    </r>
    <r>
      <rPr>
        <vertAlign val="subscript"/>
        <sz val="10"/>
        <rFont val="Arial"/>
        <family val="2"/>
      </rPr>
      <t>IN(MAX)</t>
    </r>
  </si>
  <si>
    <r>
      <t>10ms SOA Current @ V</t>
    </r>
    <r>
      <rPr>
        <vertAlign val="subscript"/>
        <sz val="10"/>
        <rFont val="Arial"/>
        <family val="2"/>
      </rPr>
      <t>IN(MAX)</t>
    </r>
  </si>
  <si>
    <t xml:space="preserve">Key Equations for SOA margin estimate: </t>
  </si>
  <si>
    <t>1) Get total Energy = 1/2 CV^2 + E_load (t_worksheet) * t_start / t_ worksheet</t>
  </si>
  <si>
    <t xml:space="preserve">     note:  t_worksheet is the start time from the start-up worksheet.  E_load = Total Energy @ Start-up - 1/2CV^2</t>
  </si>
  <si>
    <t>2) Get peak power:  4 Possible points with peak power</t>
  </si>
  <si>
    <t>Cap Energy (J)</t>
  </si>
  <si>
    <t>slew rate (V/ms)</t>
  </si>
  <si>
    <t>E_load (t_worksheet)  (J)</t>
  </si>
  <si>
    <t>t_worksheet (ms)</t>
  </si>
  <si>
    <t>t_start (ms)</t>
  </si>
  <si>
    <t>I_cap (A)</t>
  </si>
  <si>
    <t>Total FET Energy (J)</t>
  </si>
  <si>
    <t>Power (load on), (W)</t>
  </si>
  <si>
    <t>SOA margin target</t>
  </si>
  <si>
    <t>Power (Vout= 0) , (W)</t>
  </si>
  <si>
    <t xml:space="preserve">                </t>
  </si>
  <si>
    <t xml:space="preserve"> P = (I_cap + Vout/R ) * (Vin - Vout) = Icap * Vin - Icap * Vout +Vin * Vout / R - Vout^2 / R </t>
  </si>
  <si>
    <t>Vout (dP/dVout = 0) (V)</t>
  </si>
  <si>
    <t xml:space="preserve"> =&gt;  dP/dVout =  -Icap + Vin/R -2Vout /R ;  Zero when Vout = -R*I_cap / 2 + Vin / 2</t>
  </si>
  <si>
    <t xml:space="preserve">Power (@ Vout above, if applicable) </t>
  </si>
  <si>
    <t>max power (W)</t>
  </si>
  <si>
    <t>Equivalent time for SOA (ms)</t>
  </si>
  <si>
    <t>SOA Coefficients</t>
  </si>
  <si>
    <t>0.1 to 1 ms</t>
  </si>
  <si>
    <t>1 to 10ms</t>
  </si>
  <si>
    <t>10ms to 100 ms</t>
  </si>
  <si>
    <t>100 ms to 1s</t>
  </si>
  <si>
    <t>t1</t>
  </si>
  <si>
    <t>t2</t>
  </si>
  <si>
    <t>Available SOA (W)</t>
  </si>
  <si>
    <t>Derated for Temp</t>
  </si>
  <si>
    <t>Temp_start_up</t>
  </si>
  <si>
    <t>SOA Margin</t>
  </si>
  <si>
    <t>Copied Inputs</t>
  </si>
  <si>
    <t># of points</t>
  </si>
  <si>
    <t>mult per point</t>
  </si>
  <si>
    <t xml:space="preserve">Pass? </t>
  </si>
  <si>
    <t>first yes</t>
  </si>
  <si>
    <t>2nd yes</t>
  </si>
  <si>
    <t>N</t>
  </si>
  <si>
    <t>Mult 1</t>
  </si>
  <si>
    <t>mult2</t>
  </si>
  <si>
    <t xml:space="preserve">max slew rate </t>
  </si>
  <si>
    <t>min slew rate</t>
  </si>
  <si>
    <t>Initial</t>
  </si>
  <si>
    <t>1.9 x Current Limit</t>
  </si>
  <si>
    <t>3.9 x Current Limit</t>
  </si>
  <si>
    <t xml:space="preserve">      a) At Vin = 0 [mainly if there is no load or constant current load that starts at Vout = 0=</t>
  </si>
  <si>
    <t xml:space="preserve">      b) At Vin = Load start [ constant current=</t>
  </si>
  <si>
    <t xml:space="preserve">      c) When derivative of power = 0  [Peak, applies to resistive loads only=</t>
  </si>
  <si>
    <t>Option C</t>
  </si>
  <si>
    <t>Option D</t>
  </si>
  <si>
    <t>C</t>
  </si>
  <si>
    <t>D</t>
  </si>
  <si>
    <t>Higher time</t>
  </si>
  <si>
    <r>
      <t>R</t>
    </r>
    <r>
      <rPr>
        <vertAlign val="subscript"/>
        <sz val="11"/>
        <color theme="1"/>
        <rFont val="Arial"/>
        <family val="2"/>
      </rPr>
      <t>SNS</t>
    </r>
    <r>
      <rPr>
        <sz val="11"/>
        <color theme="1"/>
        <rFont val="Arial"/>
        <family val="2"/>
      </rPr>
      <t xml:space="preserve"> =</t>
    </r>
  </si>
  <si>
    <r>
      <t>C</t>
    </r>
    <r>
      <rPr>
        <vertAlign val="subscript"/>
        <sz val="10"/>
        <rFont val="Arial"/>
        <family val="2"/>
      </rPr>
      <t>TIMER</t>
    </r>
    <r>
      <rPr>
        <sz val="10"/>
        <rFont val="Arial"/>
        <family val="2"/>
      </rPr>
      <t xml:space="preserve"> =</t>
    </r>
  </si>
  <si>
    <r>
      <t>C</t>
    </r>
    <r>
      <rPr>
        <vertAlign val="subscript"/>
        <sz val="10"/>
        <rFont val="Arial"/>
        <family val="2"/>
      </rPr>
      <t>dv/dt</t>
    </r>
    <r>
      <rPr>
        <sz val="10"/>
        <rFont val="Arial"/>
        <family val="2"/>
      </rPr>
      <t xml:space="preserve"> =</t>
    </r>
  </si>
  <si>
    <t>Note: If any of the cells above are yellow, then these values are outside of the device's operating range. This will result in the device turning either on or off at its operating limits rather than at the user selected values in yellow.</t>
  </si>
  <si>
    <t>&lt;-- Cannot plot zero on a log graph. If slope ~=0, then use 1e-12 as value</t>
  </si>
  <si>
    <t>Settings</t>
  </si>
  <si>
    <t>Upper bound Slew Rate (4ms start-up) (V/ms)</t>
  </si>
  <si>
    <t>Min Slew Rate (400 ms start - up) (V/ms)</t>
  </si>
  <si>
    <t>D2</t>
  </si>
  <si>
    <t>Lower time (adjusted)</t>
  </si>
  <si>
    <t>Higher time (adjusted)</t>
  </si>
  <si>
    <r>
      <t>100ms  Current at @ V</t>
    </r>
    <r>
      <rPr>
        <vertAlign val="subscript"/>
        <sz val="10"/>
        <rFont val="Arial"/>
        <family val="2"/>
      </rPr>
      <t>IN(MAX)</t>
    </r>
    <r>
      <rPr>
        <sz val="10"/>
        <rFont val="Arial"/>
        <family val="2"/>
      </rPr>
      <t xml:space="preserve"> (enter 'NA' if not available)</t>
    </r>
  </si>
  <si>
    <r>
      <t>1s or DC SOA Current at @ V</t>
    </r>
    <r>
      <rPr>
        <vertAlign val="subscript"/>
        <sz val="10"/>
        <rFont val="Arial"/>
        <family val="2"/>
      </rPr>
      <t>IN(MAX)</t>
    </r>
    <r>
      <rPr>
        <sz val="10"/>
        <rFont val="Arial"/>
        <family val="2"/>
      </rPr>
      <t xml:space="preserve"> (enter 'NA' if not available)</t>
    </r>
  </si>
  <si>
    <t>Typical design procedure</t>
  </si>
  <si>
    <t>Typical applications require multiple passes through the design tool using MOSFET factors such as transient</t>
  </si>
  <si>
    <t>thermal response and safe operating area curves. Refer to the following application reports for more detail.</t>
  </si>
  <si>
    <t>The basic design process follows:</t>
  </si>
  <si>
    <t>Notes</t>
  </si>
  <si>
    <t xml:space="preserve">routine, day-to-day calculations.  </t>
  </si>
  <si>
    <t>3. Formulas and device constants used in the spreadsheet are locked to prohibit them from accidentally being overwritten or deleted.</t>
  </si>
  <si>
    <t>© 2014</t>
  </si>
  <si>
    <t xml:space="preserve">Yellow and Red cells highlight potential issues with the design. Red highlights items that are higher risk. </t>
  </si>
  <si>
    <t>2. All worksheets have light green inputs cells, white calculated cells, yellow warning cells and red high-risk cells.</t>
  </si>
  <si>
    <t>1. This worksheet is designed for use with Microsoft Excel 5.0 or later.  Its use is intended to assist power supply designers in their</t>
  </si>
  <si>
    <t>4. Select start up conditions (load and/or soft start). Check whether FET is operating with reasonable margin, within the SOA curve.</t>
  </si>
  <si>
    <t>5. Enter desired UVLO and OVLO values to get recommended resistor values.</t>
  </si>
  <si>
    <t>6. Done</t>
  </si>
  <si>
    <t xml:space="preserve">    If not, try changing start-up conditions (soft start values, timer values), add more FETs in parallel, or switch to FET with better SOA.</t>
  </si>
  <si>
    <t>3. Enter MOSTFET SOA characteristics &amp; power limit.</t>
  </si>
  <si>
    <t>2. Select current limit parameters.</t>
  </si>
  <si>
    <t>1. Enter operating conditions.</t>
  </si>
  <si>
    <t>actual typical dv/dt rate on Vout</t>
  </si>
  <si>
    <t>Note: TI recommends choosing a FET with SOA current specified for 100ms and/or 1s or DC. If choosing a FET without these parameters, this calculator will estimate the values via extrapolation, which leaves an inherent associated risk.</t>
  </si>
  <si>
    <t>Z1</t>
  </si>
  <si>
    <t>D1</t>
  </si>
  <si>
    <t>B380-13-F</t>
  </si>
  <si>
    <t>LM5069 Datasheet (See "Design-In Procedure")</t>
  </si>
  <si>
    <t>55 mV</t>
  </si>
  <si>
    <t>Current Limit Threshold Voltage</t>
  </si>
  <si>
    <r>
      <t>Minimum Power Limit to Ensure Vsns &gt; 5mV (P</t>
    </r>
    <r>
      <rPr>
        <vertAlign val="subscript"/>
        <sz val="10"/>
        <rFont val="Arial"/>
        <family val="2"/>
      </rPr>
      <t>LIM,MIN</t>
    </r>
    <r>
      <rPr>
        <sz val="10"/>
        <rFont val="Arial"/>
        <family val="2"/>
      </rPr>
      <t>)</t>
    </r>
  </si>
  <si>
    <t>Rpwr =  A * [PLIM(Vds) * Rs]</t>
  </si>
  <si>
    <t>Plim (Vds) = 1/Rs * [ Rpwr/A]</t>
  </si>
  <si>
    <r>
      <t xml:space="preserve">                         </t>
    </r>
    <r>
      <rPr>
        <sz val="22"/>
        <color theme="0"/>
        <rFont val="Arial"/>
        <family val="2"/>
      </rPr>
      <t>LM5069 Hot Swap Design Tool</t>
    </r>
  </si>
  <si>
    <t>Q1 FET Name</t>
  </si>
  <si>
    <t>PSMN4R8-100BSE</t>
  </si>
  <si>
    <t>Q1</t>
  </si>
  <si>
    <t>Q2</t>
  </si>
  <si>
    <t>5.0SMDxx</t>
  </si>
  <si>
    <t>Use External Soft-Start Control (dv/dt)</t>
  </si>
  <si>
    <t xml:space="preserve">TEXAS INSTRUMENTS TEXT FILE LICENSE
Copyright (c) 2014 Texas Instruments Incorporated
All rights reserved not granted herein.
Limited License.  
Texas Instruments Incorporated grants a world-wide, royalty-free, non-exclusive license under copyrights and patents it now or hereafter owns or controls to make, have made, use, import, offer to sell and sell ("Utilize") this software subject to the terms herein.  With respect to the foregoing patent license, such license is granted  solely to the extent that any such patent is necessary to Utilize the software alone.  The patent license shall not apply to any combinations which include this software, other than combinations with devices manufactured by or for TI (“TI Devices”).  No hardware patent is licensed hereunder.
Redistributions must preserve existing copyright notices and reproduce this license (including the above copyright notice and the disclaimer and (if applicable) source code license limitations below) in the documentation and/or other materials provided with the distribution
Redistribution and use in binary form, without modification, are permitted provided that the following conditions are met:
* No reverse engineering, decompilation, or disassembly of this software is permitted with respect to any software provided in binary form.
* any redistribution and use are licensed by TI for use only with TI Devices.
* Nothing shall obligate TI to provide you with source code for the software licensed and provided to you in object code.
If software source code is provided to you, modification and redistribution of the source code are permitted provided that the following conditions are met:
* any redistribution and use of the source code, including any resulting derivative works, are licensed by TI for use only with TI Devices.
* any redistribution and use of any object code compiled from the source code and any resulting derivative works, are licensed by TI for use only with TI Devices.
Neither the name of Texas Instruments Incorporated nor the names of its suppliers may be used to endorse or promote products derived from this software without specific prior written permission.
DISCLAIMER.
THIS SOFTWARE IS PROVIDED BY TI AND TI’S LICENSORS "AS IS" AND ANY EXPRESS OR IMPLIED WARRANTIES, INCLUDING, BUT NOT LIMITED TO, THE IMPLIED WARRANTIES OF MERCHANTABILITY AND FITNESS FOR A PARTICULAR PURPOSE ARE DISCLAIMED. IN NO EVENT SHALL TI AND TI’S LICENSORS BE LIABLE FOR ANY DIRECT, INDIRECT, INCIDENTAL, SPECIAL, EXEMPLARY, OR CONSEQUENTIAL DAMAGES (INCLUDING, BUT NOT LIMITED TO, PROCUREMENT OF SUBSTITUTE GOODS OR SERVICES; LOSS OF USE, DATA, OR PROFITS; OR BUSINESS INTERRUPTION) HOWEVER CAUSED AND ON ANY THEORY OF LIABILITY, WHETHER IN CONTRACT, STRICT LIABILITY, OR TORT (INCLUDING NEGLIGENCE OR OTHERWISE) ARISING IN ANY WAY OUT OF THE USE OF THIS SOFTWARE, EVEN IF ADVISED OF THE POSSIBILITY OF SUCH DAMAGE.
</t>
  </si>
  <si>
    <t>Robust Hot Swap Design</t>
  </si>
  <si>
    <t>Step 0: Calculator Tutorials</t>
  </si>
  <si>
    <r>
      <rPr>
        <b/>
        <u/>
        <sz val="12"/>
        <color rgb="FFFF0000"/>
        <rFont val="Arial"/>
        <family val="2"/>
      </rPr>
      <t>Note</t>
    </r>
    <r>
      <rPr>
        <sz val="12"/>
        <color rgb="FFFF0000"/>
        <rFont val="Arial"/>
        <family val="2"/>
      </rPr>
      <t>: Before proceeding, please watch the video tutorials listed to ensure accurate results from this tool!</t>
    </r>
  </si>
  <si>
    <t>Steps 1 &amp; 2: Operating Conditions, Current Limit, &amp; Circuit Breaker (7:41)</t>
  </si>
  <si>
    <t>Step 3: MOSFET Selection (9:58)</t>
  </si>
  <si>
    <t>Step 4: Startup (10:32)</t>
  </si>
  <si>
    <t>Step 5: UVLO, OVLO &amp; PGD Thresholds (4:20)</t>
  </si>
  <si>
    <r>
      <rPr>
        <b/>
        <sz val="11"/>
        <rFont val="Arial"/>
        <family val="2"/>
      </rPr>
      <t>I understand and agree to watch the video tutorials if help is needed.</t>
    </r>
    <r>
      <rPr>
        <sz val="11"/>
        <rFont val="Arial"/>
        <family val="2"/>
      </rPr>
      <t xml:space="preserve"> </t>
    </r>
    <r>
      <rPr>
        <sz val="10"/>
        <rFont val="Arial"/>
        <family val="2"/>
      </rPr>
      <t>(Choose Yes to enable the calculator.)</t>
    </r>
  </si>
  <si>
    <t xml:space="preserve">Assure to follow the layout and application guidelines listed on the datasheet. </t>
  </si>
  <si>
    <r>
      <rPr>
        <sz val="10"/>
        <rFont val="Arial"/>
        <family val="2"/>
      </rPr>
      <t>*For additional questions not addressed in the videos, please post on</t>
    </r>
    <r>
      <rPr>
        <u/>
        <sz val="10"/>
        <color theme="10"/>
        <rFont val="Arial"/>
        <family val="2"/>
      </rPr>
      <t xml:space="preserve"> E2E.ti.com</t>
    </r>
  </si>
  <si>
    <t>LM5069 Datasheet</t>
  </si>
  <si>
    <t>Steps 1 &amp; 2: Operating Conditions, Current Limit, &amp; Circuit Breaker</t>
  </si>
  <si>
    <r>
      <rPr>
        <b/>
        <u/>
        <sz val="10"/>
        <color rgb="FFFF0000"/>
        <rFont val="Arial"/>
        <family val="2"/>
      </rPr>
      <t>Note:</t>
    </r>
    <r>
      <rPr>
        <b/>
        <sz val="10"/>
        <color rgb="FFFF0000"/>
        <rFont val="Arial"/>
        <family val="2"/>
      </rPr>
      <t xml:space="preserve"> Hover here to see the 3 values affecting this curve, consult a thermal expert if you are unsure! </t>
    </r>
  </si>
  <si>
    <t>LM5069 Design Tool- Rev. C</t>
  </si>
  <si>
    <t>behaviou</t>
  </si>
  <si>
    <t>HELLO DESIGNER, PWRGOOD PIN GOES TO ALL VOLTAGE REGULATORS TO IGNORE STARTUP BEHAVIOUR. Use 440 for timer cap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</si>
</sst>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
    <numFmt numFmtId="165" formatCode="0.0"/>
    <numFmt numFmtId="166" formatCode="##0.00E+0"/>
    <numFmt numFmtId="167" formatCode="0.0000"/>
  </numFmts>
  <fonts count="48" x14ac:knownFonts="1">
    <font>
      <sz val="10"/>
      <name val="Arial"/>
    </font>
    <font>
      <sz val="11"/>
      <color theme="1"/>
      <name val="Calibri"/>
      <family val="2"/>
      <scheme val="minor"/>
    </font>
    <font>
      <sz val="10"/>
      <name val="Arial"/>
      <family val="2"/>
    </font>
    <font>
      <b/>
      <sz val="10"/>
      <name val="Arial"/>
      <family val="2"/>
    </font>
    <font>
      <sz val="8"/>
      <name val="Arial"/>
      <family val="2"/>
    </font>
    <font>
      <b/>
      <sz val="8"/>
      <color indexed="81"/>
      <name val="Tahoma"/>
      <family val="2"/>
    </font>
    <font>
      <vertAlign val="subscript"/>
      <sz val="10"/>
      <name val="Arial"/>
      <family val="2"/>
    </font>
    <font>
      <sz val="10"/>
      <name val="Arial"/>
      <family val="2"/>
    </font>
    <font>
      <b/>
      <sz val="10"/>
      <color indexed="10"/>
      <name val="Arial"/>
      <family val="2"/>
    </font>
    <font>
      <sz val="10"/>
      <color indexed="55"/>
      <name val="Arial"/>
      <family val="2"/>
    </font>
    <font>
      <sz val="10"/>
      <name val="Symbol"/>
      <family val="1"/>
      <charset val="2"/>
    </font>
    <font>
      <b/>
      <sz val="9"/>
      <color indexed="81"/>
      <name val="Tahoma"/>
      <family val="2"/>
    </font>
    <font>
      <sz val="9"/>
      <color indexed="81"/>
      <name val="Tahoma"/>
      <family val="2"/>
    </font>
    <font>
      <b/>
      <sz val="12"/>
      <color rgb="FFFF0000"/>
      <name val="Calibri"/>
      <family val="2"/>
    </font>
    <font>
      <u/>
      <sz val="10"/>
      <color theme="10"/>
      <name val="Arial"/>
      <family val="2"/>
    </font>
    <font>
      <u/>
      <sz val="10"/>
      <color theme="0"/>
      <name val="Arial"/>
      <family val="2"/>
    </font>
    <font>
      <sz val="10"/>
      <name val="Calibri"/>
      <family val="2"/>
    </font>
    <font>
      <sz val="24"/>
      <color theme="0"/>
      <name val="Arial"/>
      <family val="2"/>
    </font>
    <font>
      <sz val="26"/>
      <color theme="0"/>
      <name val="Arial"/>
      <family val="2"/>
    </font>
    <font>
      <sz val="10"/>
      <color theme="0"/>
      <name val="Calibri"/>
      <family val="2"/>
    </font>
    <font>
      <b/>
      <sz val="11"/>
      <color rgb="FF0000FF"/>
      <name val="Arial"/>
      <family val="2"/>
    </font>
    <font>
      <sz val="11"/>
      <color theme="1"/>
      <name val="Arial"/>
      <family val="2"/>
    </font>
    <font>
      <vertAlign val="subscript"/>
      <sz val="11"/>
      <color theme="1"/>
      <name val="Arial"/>
      <family val="2"/>
    </font>
    <font>
      <b/>
      <sz val="11"/>
      <name val="Arial"/>
      <family val="2"/>
    </font>
    <font>
      <b/>
      <sz val="8"/>
      <color indexed="81"/>
      <name val="Arial"/>
      <family val="2"/>
    </font>
    <font>
      <vertAlign val="superscript"/>
      <sz val="10"/>
      <name val="Arial"/>
      <family val="2"/>
    </font>
    <font>
      <b/>
      <u/>
      <sz val="10"/>
      <name val="Arial"/>
      <family val="2"/>
    </font>
    <font>
      <u/>
      <sz val="10"/>
      <name val="Arial"/>
      <family val="2"/>
    </font>
    <font>
      <sz val="11"/>
      <color rgb="FF000000"/>
      <name val="Calibri"/>
      <family val="2"/>
      <scheme val="minor"/>
    </font>
    <font>
      <sz val="10"/>
      <color rgb="FFFF0000"/>
      <name val="Arial"/>
      <family val="2"/>
    </font>
    <font>
      <sz val="22"/>
      <color theme="0"/>
      <name val="Arial"/>
      <family val="2"/>
    </font>
    <font>
      <b/>
      <u/>
      <sz val="10"/>
      <name val="Symbol"/>
      <family val="1"/>
      <charset val="2"/>
    </font>
    <font>
      <b/>
      <sz val="10"/>
      <color rgb="FFFF0000"/>
      <name val="Arial"/>
      <family val="2"/>
    </font>
    <font>
      <b/>
      <sz val="24"/>
      <name val="Arial"/>
      <family val="2"/>
    </font>
    <font>
      <sz val="12"/>
      <name val="MS Sans Serif"/>
      <family val="2"/>
    </font>
    <font>
      <b/>
      <sz val="18"/>
      <name val="Arial"/>
      <family val="2"/>
    </font>
    <font>
      <b/>
      <i/>
      <sz val="16"/>
      <name val="Arial"/>
      <family val="2"/>
    </font>
    <font>
      <b/>
      <i/>
      <sz val="11"/>
      <name val="Arial"/>
      <family val="2"/>
    </font>
    <font>
      <b/>
      <i/>
      <sz val="10"/>
      <name val="Arial"/>
      <family val="2"/>
    </font>
    <font>
      <b/>
      <sz val="9"/>
      <color rgb="FFFF0000"/>
      <name val="Arial"/>
      <family val="2"/>
    </font>
    <font>
      <sz val="11"/>
      <color rgb="FF000000"/>
      <name val="Arial"/>
      <family val="2"/>
    </font>
    <font>
      <sz val="12"/>
      <color rgb="FF0000FF"/>
      <name val="Arial"/>
      <family val="2"/>
    </font>
    <font>
      <b/>
      <u/>
      <sz val="12"/>
      <color rgb="FFFF0000"/>
      <name val="Arial"/>
      <family val="2"/>
    </font>
    <font>
      <sz val="12"/>
      <color rgb="FFFF0000"/>
      <name val="Arial"/>
      <family val="2"/>
    </font>
    <font>
      <sz val="12"/>
      <name val="Arial"/>
      <family val="2"/>
    </font>
    <font>
      <u/>
      <sz val="12"/>
      <color theme="10"/>
      <name val="Arial"/>
      <family val="2"/>
    </font>
    <font>
      <sz val="11"/>
      <name val="Arial"/>
      <family val="2"/>
    </font>
    <font>
      <b/>
      <u/>
      <sz val="10"/>
      <color rgb="FFFF0000"/>
      <name val="Arial"/>
      <family val="2"/>
    </font>
  </fonts>
  <fills count="12">
    <fill>
      <patternFill patternType="none"/>
    </fill>
    <fill>
      <patternFill patternType="gray125"/>
    </fill>
    <fill>
      <patternFill patternType="solid">
        <fgColor indexed="65"/>
        <bgColor indexed="64"/>
      </patternFill>
    </fill>
    <fill>
      <patternFill patternType="solid">
        <fgColor theme="0"/>
        <bgColor indexed="64"/>
      </patternFill>
    </fill>
    <fill>
      <patternFill patternType="solid">
        <fgColor rgb="FFFF0000"/>
        <bgColor indexed="64"/>
      </patternFill>
    </fill>
    <fill>
      <patternFill patternType="solid">
        <fgColor rgb="FFFFFF00"/>
        <bgColor indexed="64"/>
      </patternFill>
    </fill>
    <fill>
      <patternFill patternType="solid">
        <fgColor theme="6" tint="0.39997558519241921"/>
        <bgColor indexed="64"/>
      </patternFill>
    </fill>
    <fill>
      <patternFill patternType="solid">
        <fgColor theme="0" tint="-0.14996795556505021"/>
        <bgColor indexed="64"/>
      </patternFill>
    </fill>
    <fill>
      <patternFill patternType="solid">
        <fgColor theme="5" tint="0.39997558519241921"/>
        <bgColor indexed="64"/>
      </patternFill>
    </fill>
    <fill>
      <patternFill patternType="solid">
        <fgColor theme="6" tint="0.39994506668294322"/>
        <bgColor indexed="64"/>
      </patternFill>
    </fill>
    <fill>
      <patternFill patternType="solid">
        <fgColor theme="0" tint="-0.249977111117893"/>
        <bgColor indexed="64"/>
      </patternFill>
    </fill>
    <fill>
      <patternFill patternType="solid">
        <fgColor indexed="13"/>
        <bgColor indexed="64"/>
      </patternFill>
    </fill>
  </fills>
  <borders count="5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auto="1"/>
      </left>
      <right/>
      <top style="medium">
        <color auto="1"/>
      </top>
      <bottom/>
      <diagonal/>
    </border>
    <border>
      <left/>
      <right/>
      <top style="medium">
        <color auto="1"/>
      </top>
      <bottom/>
      <diagonal/>
    </border>
    <border>
      <left style="medium">
        <color indexed="64"/>
      </left>
      <right/>
      <top/>
      <bottom/>
      <diagonal/>
    </border>
    <border>
      <left/>
      <right/>
      <top/>
      <bottom style="medium">
        <color auto="1"/>
      </bottom>
      <diagonal/>
    </border>
    <border>
      <left style="medium">
        <color indexed="64"/>
      </left>
      <right/>
      <top/>
      <bottom style="medium">
        <color auto="1"/>
      </bottom>
      <diagonal/>
    </border>
    <border>
      <left/>
      <right style="medium">
        <color auto="1"/>
      </right>
      <top style="medium">
        <color auto="1"/>
      </top>
      <bottom/>
      <diagonal/>
    </border>
    <border>
      <left/>
      <right style="medium">
        <color auto="1"/>
      </right>
      <top/>
      <bottom/>
      <diagonal/>
    </border>
    <border>
      <left/>
      <right style="medium">
        <color auto="1"/>
      </right>
      <top/>
      <bottom style="medium">
        <color auto="1"/>
      </bottom>
      <diagonal/>
    </border>
    <border>
      <left style="thin">
        <color indexed="64"/>
      </left>
      <right style="thin">
        <color indexed="64"/>
      </right>
      <top/>
      <bottom style="medium">
        <color auto="1"/>
      </bottom>
      <diagonal/>
    </border>
    <border>
      <left/>
      <right style="thin">
        <color indexed="64"/>
      </right>
      <top/>
      <bottom style="medium">
        <color auto="1"/>
      </bottom>
      <diagonal/>
    </border>
    <border>
      <left style="thin">
        <color indexed="64"/>
      </left>
      <right style="thin">
        <color indexed="64"/>
      </right>
      <top style="medium">
        <color auto="1"/>
      </top>
      <bottom/>
      <diagonal/>
    </border>
    <border>
      <left/>
      <right style="thin">
        <color auto="1"/>
      </right>
      <top style="medium">
        <color auto="1"/>
      </top>
      <bottom/>
      <diagonal/>
    </border>
    <border>
      <left style="thick">
        <color indexed="39"/>
      </left>
      <right/>
      <top style="thick">
        <color indexed="39"/>
      </top>
      <bottom/>
      <diagonal/>
    </border>
    <border>
      <left/>
      <right/>
      <top style="thick">
        <color indexed="39"/>
      </top>
      <bottom/>
      <diagonal/>
    </border>
    <border>
      <left/>
      <right style="thick">
        <color indexed="39"/>
      </right>
      <top style="thick">
        <color indexed="39"/>
      </top>
      <bottom/>
      <diagonal/>
    </border>
    <border>
      <left style="thick">
        <color indexed="39"/>
      </left>
      <right/>
      <top/>
      <bottom/>
      <diagonal/>
    </border>
    <border>
      <left/>
      <right style="thick">
        <color indexed="39"/>
      </right>
      <top/>
      <bottom/>
      <diagonal/>
    </border>
    <border>
      <left style="thick">
        <color indexed="39"/>
      </left>
      <right/>
      <top/>
      <bottom style="thick">
        <color indexed="39"/>
      </bottom>
      <diagonal/>
    </border>
    <border>
      <left/>
      <right/>
      <top/>
      <bottom style="thick">
        <color indexed="39"/>
      </bottom>
      <diagonal/>
    </border>
    <border>
      <left/>
      <right style="thick">
        <color indexed="39"/>
      </right>
      <top/>
      <bottom style="thick">
        <color indexed="39"/>
      </bottom>
      <diagonal/>
    </border>
    <border>
      <left style="medium">
        <color theme="0" tint="-0.499984740745262"/>
      </left>
      <right style="thin">
        <color indexed="64"/>
      </right>
      <top style="medium">
        <color theme="0" tint="-0.499984740745262"/>
      </top>
      <bottom style="medium">
        <color theme="0" tint="-0.499984740745262"/>
      </bottom>
      <diagonal/>
    </border>
    <border>
      <left style="thin">
        <color indexed="64"/>
      </left>
      <right style="thin">
        <color indexed="64"/>
      </right>
      <top style="medium">
        <color theme="0" tint="-0.499984740745262"/>
      </top>
      <bottom style="medium">
        <color theme="0" tint="-0.499984740745262"/>
      </bottom>
      <diagonal/>
    </border>
    <border>
      <left/>
      <right style="medium">
        <color theme="0" tint="-0.499984740745262"/>
      </right>
      <top style="medium">
        <color theme="0" tint="-0.499984740745262"/>
      </top>
      <bottom style="medium">
        <color theme="0" tint="-0.499984740745262"/>
      </bottom>
      <diagonal/>
    </border>
    <border>
      <left style="thin">
        <color indexed="64"/>
      </left>
      <right style="medium">
        <color theme="0" tint="-0.499984740745262"/>
      </right>
      <top style="medium">
        <color theme="0" tint="-0.499984740745262"/>
      </top>
      <bottom style="medium">
        <color theme="0" tint="-0.499984740745262"/>
      </bottom>
      <diagonal/>
    </border>
    <border>
      <left style="medium">
        <color theme="0" tint="-0.499984740745262"/>
      </left>
      <right style="medium">
        <color theme="0" tint="-0.499984740745262"/>
      </right>
      <top style="medium">
        <color theme="0" tint="-0.499984740745262"/>
      </top>
      <bottom style="medium">
        <color theme="0" tint="-0.499984740745262"/>
      </bottom>
      <diagonal/>
    </border>
    <border>
      <left style="medium">
        <color theme="0" tint="-0.499984740745262"/>
      </left>
      <right/>
      <top style="medium">
        <color theme="0" tint="-0.499984740745262"/>
      </top>
      <bottom style="medium">
        <color theme="0" tint="-0.499984740745262"/>
      </bottom>
      <diagonal/>
    </border>
    <border>
      <left/>
      <right/>
      <top style="medium">
        <color theme="0" tint="-0.499984740745262"/>
      </top>
      <bottom style="medium">
        <color theme="0" tint="-0.499984740745262"/>
      </bottom>
      <diagonal/>
    </border>
  </borders>
  <cellStyleXfs count="12">
    <xf numFmtId="0" fontId="0" fillId="0" borderId="0"/>
    <xf numFmtId="0" fontId="14" fillId="0" borderId="0" applyNumberFormat="0" applyFill="0" applyBorder="0" applyAlignment="0" applyProtection="0">
      <alignment vertical="top"/>
      <protection locked="0"/>
    </xf>
    <xf numFmtId="0" fontId="2" fillId="0" borderId="0"/>
    <xf numFmtId="0" fontId="2" fillId="2" borderId="0">
      <alignment horizontal="center"/>
    </xf>
    <xf numFmtId="0" fontId="2" fillId="2" borderId="0">
      <alignment horizontal="center"/>
    </xf>
    <xf numFmtId="0" fontId="2" fillId="5" borderId="1">
      <alignment horizontal="center" vertical="center"/>
      <protection locked="0"/>
    </xf>
    <xf numFmtId="0" fontId="2" fillId="9" borderId="1">
      <alignment horizontal="center" vertical="center"/>
      <protection locked="0"/>
    </xf>
    <xf numFmtId="0" fontId="2" fillId="0" borderId="13"/>
    <xf numFmtId="0" fontId="2" fillId="9" borderId="1">
      <alignment horizontal="center" vertical="center"/>
      <protection locked="0"/>
    </xf>
    <xf numFmtId="0" fontId="2" fillId="9" borderId="1">
      <alignment horizontal="center" vertical="center"/>
      <protection locked="0"/>
    </xf>
    <xf numFmtId="0" fontId="2" fillId="9" borderId="1">
      <alignment horizontal="center" vertical="center"/>
      <protection locked="0"/>
    </xf>
    <xf numFmtId="0" fontId="1" fillId="0" borderId="0"/>
  </cellStyleXfs>
  <cellXfs count="358">
    <xf numFmtId="0" fontId="0" fillId="0" borderId="0" xfId="0"/>
    <xf numFmtId="0" fontId="0" fillId="0" borderId="0" xfId="0" applyAlignment="1">
      <alignment horizontal="center"/>
    </xf>
    <xf numFmtId="0" fontId="0" fillId="0" borderId="0" xfId="0" applyAlignment="1">
      <alignment horizontal="right"/>
    </xf>
    <xf numFmtId="0" fontId="0" fillId="0" borderId="0" xfId="0" applyFill="1" applyBorder="1" applyAlignment="1">
      <alignment horizontal="right"/>
    </xf>
    <xf numFmtId="2" fontId="0" fillId="0" borderId="0" xfId="0" applyNumberFormat="1"/>
    <xf numFmtId="0" fontId="0" fillId="0" borderId="1" xfId="0" applyBorder="1" applyAlignment="1">
      <alignment horizontal="center"/>
    </xf>
    <xf numFmtId="164" fontId="0" fillId="0" borderId="0" xfId="0" applyNumberFormat="1" applyAlignment="1">
      <alignment horizontal="center"/>
    </xf>
    <xf numFmtId="10" fontId="0" fillId="0" borderId="0" xfId="0" applyNumberFormat="1"/>
    <xf numFmtId="0" fontId="0" fillId="0" borderId="2" xfId="0" applyBorder="1" applyAlignment="1">
      <alignment horizontal="center"/>
    </xf>
    <xf numFmtId="0" fontId="0" fillId="0" borderId="0" xfId="0" applyBorder="1"/>
    <xf numFmtId="0" fontId="0" fillId="0" borderId="3" xfId="0" applyBorder="1"/>
    <xf numFmtId="0" fontId="0" fillId="0" borderId="4" xfId="0" applyBorder="1"/>
    <xf numFmtId="0" fontId="0" fillId="0" borderId="5" xfId="0" applyFill="1" applyBorder="1" applyAlignment="1">
      <alignment horizontal="right"/>
    </xf>
    <xf numFmtId="0" fontId="0" fillId="0" borderId="6" xfId="0" applyBorder="1"/>
    <xf numFmtId="0" fontId="0" fillId="0" borderId="7" xfId="0" applyFill="1" applyBorder="1" applyAlignment="1">
      <alignment horizontal="right"/>
    </xf>
    <xf numFmtId="0" fontId="0" fillId="0" borderId="8" xfId="0" applyBorder="1"/>
    <xf numFmtId="0" fontId="0" fillId="0" borderId="9" xfId="0" applyBorder="1"/>
    <xf numFmtId="0" fontId="0" fillId="0" borderId="10" xfId="0" applyFill="1" applyBorder="1" applyAlignment="1">
      <alignment horizontal="right"/>
    </xf>
    <xf numFmtId="2" fontId="0" fillId="0" borderId="0" xfId="0" applyNumberFormat="1" applyAlignment="1">
      <alignment horizontal="center"/>
    </xf>
    <xf numFmtId="0" fontId="0" fillId="2" borderId="0" xfId="0" applyFill="1"/>
    <xf numFmtId="0" fontId="0" fillId="2" borderId="0" xfId="0" applyFill="1" applyAlignment="1">
      <alignment horizontal="center"/>
    </xf>
    <xf numFmtId="0" fontId="0" fillId="2" borderId="1" xfId="0" applyFill="1" applyBorder="1" applyAlignment="1">
      <alignment horizontal="center"/>
    </xf>
    <xf numFmtId="0" fontId="0" fillId="2" borderId="0" xfId="0" applyFill="1" applyBorder="1" applyAlignment="1">
      <alignment horizontal="right"/>
    </xf>
    <xf numFmtId="0" fontId="0" fillId="2" borderId="0" xfId="0" applyFill="1" applyBorder="1"/>
    <xf numFmtId="0" fontId="9" fillId="2" borderId="0" xfId="0" applyFont="1" applyFill="1" applyAlignment="1">
      <alignment horizontal="left"/>
    </xf>
    <xf numFmtId="14" fontId="9" fillId="2" borderId="0" xfId="0" applyNumberFormat="1" applyFont="1" applyFill="1" applyAlignment="1">
      <alignment horizontal="left"/>
    </xf>
    <xf numFmtId="0" fontId="0" fillId="0" borderId="1" xfId="0" applyFill="1" applyBorder="1" applyAlignment="1">
      <alignment horizontal="center"/>
    </xf>
    <xf numFmtId="0" fontId="3" fillId="0" borderId="0" xfId="0" applyFont="1"/>
    <xf numFmtId="2" fontId="0" fillId="0" borderId="1" xfId="0" applyNumberFormat="1" applyBorder="1" applyAlignment="1">
      <alignment horizontal="center"/>
    </xf>
    <xf numFmtId="0" fontId="0" fillId="0" borderId="11" xfId="0" applyBorder="1" applyAlignment="1">
      <alignment horizontal="center"/>
    </xf>
    <xf numFmtId="0" fontId="0" fillId="0" borderId="14" xfId="0" applyFill="1" applyBorder="1" applyAlignment="1">
      <alignment horizontal="center"/>
    </xf>
    <xf numFmtId="0" fontId="0" fillId="2" borderId="0" xfId="0" applyFill="1" applyProtection="1">
      <protection locked="0"/>
    </xf>
    <xf numFmtId="0" fontId="0" fillId="2" borderId="0" xfId="0" applyFill="1" applyProtection="1"/>
    <xf numFmtId="0" fontId="2" fillId="0" borderId="0" xfId="0" applyFont="1"/>
    <xf numFmtId="0" fontId="2" fillId="0" borderId="0" xfId="0" applyFont="1" applyAlignment="1">
      <alignment horizontal="right"/>
    </xf>
    <xf numFmtId="0" fontId="2" fillId="2" borderId="0" xfId="0" applyFont="1" applyFill="1" applyBorder="1" applyAlignment="1">
      <alignment horizontal="left"/>
    </xf>
    <xf numFmtId="0" fontId="0" fillId="3" borderId="0" xfId="0" applyFill="1"/>
    <xf numFmtId="0" fontId="2" fillId="2" borderId="0" xfId="0" applyFont="1" applyFill="1" applyBorder="1" applyAlignment="1">
      <alignment horizontal="right"/>
    </xf>
    <xf numFmtId="0" fontId="15" fillId="2" borderId="0" xfId="1" applyFont="1" applyFill="1" applyAlignment="1" applyProtection="1"/>
    <xf numFmtId="0" fontId="16" fillId="3" borderId="0" xfId="0" applyFont="1" applyFill="1" applyProtection="1"/>
    <xf numFmtId="0" fontId="19" fillId="3" borderId="0" xfId="0" applyFont="1" applyFill="1" applyBorder="1" applyProtection="1"/>
    <xf numFmtId="0" fontId="19" fillId="3" borderId="0" xfId="0" applyFont="1" applyFill="1" applyProtection="1"/>
    <xf numFmtId="0" fontId="18" fillId="3" borderId="24" xfId="0" applyFont="1" applyFill="1" applyBorder="1" applyAlignment="1" applyProtection="1">
      <alignment horizontal="center" vertical="center"/>
    </xf>
    <xf numFmtId="0" fontId="20" fillId="2" borderId="0" xfId="0" applyFont="1" applyFill="1"/>
    <xf numFmtId="0" fontId="23" fillId="2" borderId="0" xfId="0" applyFont="1" applyFill="1"/>
    <xf numFmtId="0" fontId="0" fillId="2" borderId="1" xfId="0" applyFill="1" applyBorder="1" applyAlignment="1">
      <alignment horizontal="center" vertical="center"/>
    </xf>
    <xf numFmtId="0" fontId="0" fillId="2" borderId="1" xfId="0" applyNumberFormat="1" applyFill="1" applyBorder="1" applyAlignment="1">
      <alignment horizontal="center" vertical="center"/>
    </xf>
    <xf numFmtId="0" fontId="0" fillId="2" borderId="11" xfId="0" applyNumberFormat="1" applyFill="1" applyBorder="1" applyAlignment="1">
      <alignment horizontal="center" vertical="center"/>
    </xf>
    <xf numFmtId="165" fontId="0" fillId="2" borderId="11" xfId="0" applyNumberFormat="1" applyFill="1" applyBorder="1" applyAlignment="1">
      <alignment horizontal="center" vertical="center"/>
    </xf>
    <xf numFmtId="2" fontId="0" fillId="2" borderId="11" xfId="0" applyNumberFormat="1" applyFill="1" applyBorder="1" applyAlignment="1">
      <alignment horizontal="center" vertical="center"/>
    </xf>
    <xf numFmtId="1" fontId="0" fillId="2" borderId="11" xfId="0" applyNumberFormat="1" applyFill="1" applyBorder="1" applyAlignment="1">
      <alignment horizontal="center" vertical="center"/>
    </xf>
    <xf numFmtId="2" fontId="0" fillId="2" borderId="15" xfId="0" applyNumberFormat="1" applyFill="1" applyBorder="1" applyAlignment="1">
      <alignment horizontal="center" vertical="center"/>
    </xf>
    <xf numFmtId="2" fontId="0" fillId="2" borderId="16" xfId="0" applyNumberFormat="1" applyFill="1" applyBorder="1" applyAlignment="1">
      <alignment horizontal="center" vertical="center"/>
    </xf>
    <xf numFmtId="2" fontId="0" fillId="2" borderId="17" xfId="0" applyNumberFormat="1" applyFill="1" applyBorder="1" applyAlignment="1">
      <alignment horizontal="center" vertical="center"/>
    </xf>
    <xf numFmtId="2" fontId="0" fillId="2" borderId="18" xfId="0" applyNumberFormat="1" applyFill="1" applyBorder="1" applyAlignment="1">
      <alignment horizontal="center" vertical="center"/>
    </xf>
    <xf numFmtId="2" fontId="0" fillId="2" borderId="1" xfId="0" applyNumberFormat="1" applyFill="1" applyBorder="1" applyAlignment="1">
      <alignment horizontal="center" vertical="center"/>
    </xf>
    <xf numFmtId="2" fontId="0" fillId="2" borderId="19" xfId="0" applyNumberFormat="1" applyFill="1" applyBorder="1" applyAlignment="1">
      <alignment horizontal="center" vertical="center"/>
    </xf>
    <xf numFmtId="2" fontId="0" fillId="2" borderId="20" xfId="0" applyNumberFormat="1" applyFill="1" applyBorder="1" applyAlignment="1">
      <alignment horizontal="center" vertical="center"/>
    </xf>
    <xf numFmtId="2" fontId="0" fillId="2" borderId="21" xfId="0" applyNumberFormat="1" applyFill="1" applyBorder="1" applyAlignment="1">
      <alignment horizontal="center" vertical="center"/>
    </xf>
    <xf numFmtId="2" fontId="0" fillId="2" borderId="22" xfId="0" applyNumberFormat="1" applyFill="1" applyBorder="1" applyAlignment="1">
      <alignment horizontal="center" vertical="center"/>
    </xf>
    <xf numFmtId="2" fontId="0" fillId="2" borderId="12" xfId="0" applyNumberFormat="1" applyFill="1" applyBorder="1" applyAlignment="1">
      <alignment horizontal="center" vertical="center"/>
    </xf>
    <xf numFmtId="2" fontId="0" fillId="0" borderId="1" xfId="0" applyNumberFormat="1" applyBorder="1" applyAlignment="1">
      <alignment horizontal="center" vertical="center"/>
    </xf>
    <xf numFmtId="1" fontId="0" fillId="2" borderId="1" xfId="0" applyNumberFormat="1" applyFill="1" applyBorder="1" applyAlignment="1">
      <alignment horizontal="center" vertical="center"/>
    </xf>
    <xf numFmtId="165" fontId="0" fillId="2" borderId="1" xfId="0" applyNumberFormat="1" applyFill="1" applyBorder="1" applyAlignment="1">
      <alignment horizontal="center" vertical="center"/>
    </xf>
    <xf numFmtId="0" fontId="0" fillId="2" borderId="0" xfId="0" applyFill="1" applyBorder="1" applyAlignment="1">
      <alignment horizontal="right" vertical="center"/>
    </xf>
    <xf numFmtId="0" fontId="2" fillId="2" borderId="0" xfId="0" applyFont="1" applyFill="1" applyBorder="1" applyAlignment="1">
      <alignment horizontal="right" vertical="center"/>
    </xf>
    <xf numFmtId="0" fontId="2" fillId="2" borderId="0" xfId="0" applyFont="1" applyFill="1" applyAlignment="1">
      <alignment horizontal="right"/>
    </xf>
    <xf numFmtId="0" fontId="0" fillId="0" borderId="1" xfId="0" applyFill="1" applyBorder="1" applyAlignment="1" applyProtection="1">
      <alignment horizontal="center" vertical="center"/>
      <protection locked="0"/>
    </xf>
    <xf numFmtId="0" fontId="2" fillId="0" borderId="0" xfId="2" applyAlignment="1" applyProtection="1">
      <alignment horizontal="center"/>
    </xf>
    <xf numFmtId="0" fontId="2" fillId="0" borderId="0" xfId="2"/>
    <xf numFmtId="164" fontId="2" fillId="0" borderId="0" xfId="2" applyNumberFormat="1" applyAlignment="1" applyProtection="1">
      <alignment horizontal="center"/>
    </xf>
    <xf numFmtId="166" fontId="2" fillId="0" borderId="0" xfId="2" applyNumberFormat="1" applyAlignment="1" applyProtection="1">
      <alignment horizontal="center"/>
    </xf>
    <xf numFmtId="2" fontId="2" fillId="0" borderId="25" xfId="2" applyNumberFormat="1" applyBorder="1" applyAlignment="1" applyProtection="1">
      <alignment horizontal="center"/>
    </xf>
    <xf numFmtId="0" fontId="2" fillId="0" borderId="1" xfId="2" applyFont="1" applyBorder="1"/>
    <xf numFmtId="0" fontId="2" fillId="0" borderId="1" xfId="2" applyBorder="1"/>
    <xf numFmtId="0" fontId="2" fillId="0" borderId="0" xfId="0" applyFont="1" applyFill="1" applyBorder="1"/>
    <xf numFmtId="0" fontId="0" fillId="0" borderId="0" xfId="0" applyFill="1" applyBorder="1" applyAlignment="1" applyProtection="1">
      <alignment horizontal="center" vertical="center"/>
      <protection locked="0"/>
    </xf>
    <xf numFmtId="0" fontId="2" fillId="0" borderId="0" xfId="0" applyFont="1" applyFill="1" applyAlignment="1">
      <alignment horizontal="right"/>
    </xf>
    <xf numFmtId="166" fontId="2" fillId="0" borderId="0" xfId="2" applyNumberFormat="1" applyAlignment="1">
      <alignment horizontal="center"/>
    </xf>
    <xf numFmtId="2" fontId="2" fillId="0" borderId="0" xfId="2" applyNumberFormat="1" applyAlignment="1">
      <alignment horizontal="center"/>
    </xf>
    <xf numFmtId="0" fontId="2" fillId="0" borderId="0" xfId="0" applyFont="1" applyAlignment="1">
      <alignment horizontal="center"/>
    </xf>
    <xf numFmtId="0" fontId="0" fillId="0" borderId="1" xfId="0" applyBorder="1"/>
    <xf numFmtId="0" fontId="0" fillId="0" borderId="0" xfId="0" applyFill="1" applyBorder="1" applyAlignment="1">
      <alignment horizontal="center"/>
    </xf>
    <xf numFmtId="0" fontId="2" fillId="0" borderId="1" xfId="0" applyFont="1" applyBorder="1"/>
    <xf numFmtId="0" fontId="0" fillId="0" borderId="0" xfId="0" applyBorder="1" applyAlignment="1">
      <alignment horizontal="center"/>
    </xf>
    <xf numFmtId="2" fontId="0" fillId="0" borderId="0" xfId="0" applyNumberFormat="1" applyBorder="1" applyAlignment="1">
      <alignment horizontal="center"/>
    </xf>
    <xf numFmtId="2" fontId="0" fillId="0" borderId="1" xfId="0" applyNumberFormat="1" applyBorder="1"/>
    <xf numFmtId="2" fontId="0" fillId="0" borderId="0" xfId="0" applyNumberFormat="1" applyBorder="1" applyAlignment="1">
      <alignment horizontal="center"/>
    </xf>
    <xf numFmtId="0" fontId="2" fillId="0" borderId="0" xfId="0" applyFont="1" applyBorder="1"/>
    <xf numFmtId="0" fontId="27" fillId="0" borderId="0" xfId="0" applyFont="1"/>
    <xf numFmtId="0" fontId="28" fillId="0" borderId="0" xfId="0" applyFont="1" applyBorder="1" applyAlignment="1">
      <alignment horizontal="center"/>
    </xf>
    <xf numFmtId="0" fontId="0" fillId="0" borderId="0" xfId="0" applyBorder="1" applyAlignment="1">
      <alignment horizontal="center"/>
    </xf>
    <xf numFmtId="2" fontId="0" fillId="0" borderId="0" xfId="0" applyNumberFormat="1" applyBorder="1"/>
    <xf numFmtId="0" fontId="2" fillId="0" borderId="0" xfId="0" applyFont="1" applyBorder="1" applyAlignment="1">
      <alignment horizontal="right"/>
    </xf>
    <xf numFmtId="2" fontId="2" fillId="0" borderId="0" xfId="0" applyNumberFormat="1" applyFont="1" applyBorder="1" applyAlignment="1">
      <alignment horizontal="left"/>
    </xf>
    <xf numFmtId="0" fontId="2" fillId="0" borderId="0" xfId="0" applyFont="1" applyBorder="1" applyAlignment="1">
      <alignment horizontal="center"/>
    </xf>
    <xf numFmtId="0" fontId="0" fillId="2" borderId="24" xfId="0" applyFill="1" applyBorder="1"/>
    <xf numFmtId="0" fontId="2" fillId="2" borderId="24" xfId="0" applyFont="1" applyFill="1" applyBorder="1" applyAlignment="1">
      <alignment horizontal="right" vertical="center"/>
    </xf>
    <xf numFmtId="0" fontId="20" fillId="2" borderId="25" xfId="0" applyFont="1" applyFill="1" applyBorder="1"/>
    <xf numFmtId="0" fontId="0" fillId="2" borderId="25" xfId="0" applyFill="1" applyBorder="1"/>
    <xf numFmtId="0" fontId="0" fillId="2" borderId="27" xfId="0" applyFill="1" applyBorder="1"/>
    <xf numFmtId="0" fontId="0" fillId="2" borderId="26" xfId="0" applyFill="1" applyBorder="1"/>
    <xf numFmtId="0" fontId="2" fillId="2" borderId="26" xfId="0" applyFont="1" applyFill="1" applyBorder="1" applyAlignment="1">
      <alignment horizontal="right" vertical="center"/>
    </xf>
    <xf numFmtId="0" fontId="3" fillId="2" borderId="25" xfId="0" applyFont="1" applyFill="1" applyBorder="1"/>
    <xf numFmtId="0" fontId="2" fillId="2" borderId="24" xfId="0" applyFont="1" applyFill="1" applyBorder="1" applyAlignment="1">
      <alignment horizontal="right"/>
    </xf>
    <xf numFmtId="0" fontId="0" fillId="0" borderId="25" xfId="0" applyBorder="1"/>
    <xf numFmtId="0" fontId="0" fillId="0" borderId="0" xfId="0" applyAlignment="1">
      <alignment horizontal="left"/>
    </xf>
    <xf numFmtId="2" fontId="2" fillId="0" borderId="1" xfId="0" applyNumberFormat="1" applyFont="1" applyFill="1" applyBorder="1" applyAlignment="1" applyProtection="1">
      <alignment horizontal="center" vertical="center"/>
    </xf>
    <xf numFmtId="0" fontId="2" fillId="0" borderId="1" xfId="0" applyFont="1" applyFill="1" applyBorder="1" applyAlignment="1" applyProtection="1">
      <alignment horizontal="center" vertical="center"/>
    </xf>
    <xf numFmtId="0" fontId="0" fillId="2" borderId="16" xfId="0" applyFill="1" applyBorder="1" applyAlignment="1">
      <alignment horizontal="center" vertical="center"/>
    </xf>
    <xf numFmtId="0" fontId="0" fillId="2" borderId="24" xfId="0" applyFill="1" applyBorder="1" applyAlignment="1">
      <alignment horizontal="right" vertical="center"/>
    </xf>
    <xf numFmtId="0" fontId="0" fillId="2" borderId="29" xfId="0" applyFill="1" applyBorder="1"/>
    <xf numFmtId="0" fontId="3" fillId="2" borderId="0" xfId="0" applyFont="1" applyFill="1" applyBorder="1" applyAlignment="1">
      <alignment horizontal="right"/>
    </xf>
    <xf numFmtId="0" fontId="3" fillId="2" borderId="0" xfId="0" applyFont="1" applyFill="1" applyBorder="1" applyAlignment="1">
      <alignment horizontal="center"/>
    </xf>
    <xf numFmtId="0" fontId="8" fillId="2" borderId="0" xfId="0" applyFont="1" applyFill="1" applyBorder="1"/>
    <xf numFmtId="0" fontId="0" fillId="2" borderId="30" xfId="0" applyFill="1" applyBorder="1"/>
    <xf numFmtId="0" fontId="2" fillId="2" borderId="29" xfId="0" applyFont="1" applyFill="1" applyBorder="1"/>
    <xf numFmtId="0" fontId="21" fillId="2" borderId="0" xfId="0" applyFont="1" applyFill="1" applyBorder="1" applyAlignment="1">
      <alignment horizontal="right" vertical="center"/>
    </xf>
    <xf numFmtId="0" fontId="0" fillId="2" borderId="14" xfId="0" applyFill="1" applyBorder="1" applyAlignment="1">
      <alignment horizontal="center" vertical="center"/>
    </xf>
    <xf numFmtId="0" fontId="0" fillId="2" borderId="7" xfId="0" applyFill="1" applyBorder="1" applyAlignment="1">
      <alignment horizontal="right" vertical="center"/>
    </xf>
    <xf numFmtId="0" fontId="2" fillId="2" borderId="13" xfId="0" applyFont="1" applyFill="1" applyBorder="1" applyAlignment="1">
      <alignment horizontal="right" vertical="center"/>
    </xf>
    <xf numFmtId="0" fontId="2" fillId="2" borderId="7" xfId="0" applyFont="1" applyFill="1" applyBorder="1" applyAlignment="1">
      <alignment horizontal="right" vertical="center"/>
    </xf>
    <xf numFmtId="0" fontId="0" fillId="3" borderId="0" xfId="0" applyFill="1" applyBorder="1"/>
    <xf numFmtId="0" fontId="0" fillId="0" borderId="0" xfId="0" applyFill="1" applyBorder="1" applyAlignment="1" applyProtection="1">
      <alignment horizontal="center"/>
    </xf>
    <xf numFmtId="0" fontId="0" fillId="3" borderId="0" xfId="0" applyFill="1" applyBorder="1" applyAlignment="1">
      <alignment horizontal="center"/>
    </xf>
    <xf numFmtId="0" fontId="0" fillId="5" borderId="0" xfId="0" applyFill="1" applyBorder="1"/>
    <xf numFmtId="0" fontId="2" fillId="5" borderId="0" xfId="0" applyFont="1" applyFill="1" applyBorder="1" applyAlignment="1">
      <alignment horizontal="right" vertical="center"/>
    </xf>
    <xf numFmtId="0" fontId="0" fillId="6" borderId="0" xfId="0" applyFill="1" applyBorder="1"/>
    <xf numFmtId="0" fontId="2" fillId="6" borderId="0" xfId="0" applyFont="1" applyFill="1" applyBorder="1" applyAlignment="1">
      <alignment horizontal="right" vertical="center"/>
    </xf>
    <xf numFmtId="0" fontId="16" fillId="0" borderId="0" xfId="0" applyFont="1" applyFill="1" applyBorder="1" applyProtection="1"/>
    <xf numFmtId="0" fontId="0" fillId="2" borderId="28" xfId="0" applyFill="1" applyBorder="1"/>
    <xf numFmtId="0" fontId="2" fillId="2" borderId="0" xfId="0" applyFont="1" applyFill="1" applyBorder="1"/>
    <xf numFmtId="0" fontId="21" fillId="2" borderId="24" xfId="0" applyFont="1" applyFill="1" applyBorder="1" applyAlignment="1">
      <alignment horizontal="right" vertical="center"/>
    </xf>
    <xf numFmtId="14" fontId="2" fillId="2" borderId="0" xfId="0" applyNumberFormat="1" applyFont="1" applyFill="1" applyBorder="1" applyAlignment="1">
      <alignment horizontal="center"/>
    </xf>
    <xf numFmtId="0" fontId="2" fillId="2" borderId="26" xfId="0" applyFont="1" applyFill="1" applyBorder="1" applyAlignment="1">
      <alignment horizontal="left"/>
    </xf>
    <xf numFmtId="0" fontId="2" fillId="2" borderId="0" xfId="0" applyFont="1" applyFill="1" applyBorder="1" applyAlignment="1">
      <alignment horizontal="center"/>
    </xf>
    <xf numFmtId="0" fontId="3" fillId="2" borderId="0" xfId="0" applyFont="1" applyFill="1" applyBorder="1"/>
    <xf numFmtId="0" fontId="3" fillId="2" borderId="29" xfId="0" applyFont="1" applyFill="1" applyBorder="1" applyAlignment="1">
      <alignment horizontal="left"/>
    </xf>
    <xf numFmtId="164" fontId="2" fillId="2" borderId="0" xfId="0" applyNumberFormat="1" applyFont="1" applyFill="1" applyBorder="1" applyAlignment="1">
      <alignment horizontal="right"/>
    </xf>
    <xf numFmtId="165" fontId="0" fillId="2" borderId="16" xfId="0" applyNumberFormat="1" applyFill="1" applyBorder="1" applyAlignment="1">
      <alignment horizontal="center"/>
    </xf>
    <xf numFmtId="1" fontId="0" fillId="2" borderId="1" xfId="0" applyNumberFormat="1" applyFill="1" applyBorder="1" applyAlignment="1">
      <alignment horizontal="center"/>
    </xf>
    <xf numFmtId="164" fontId="0" fillId="2" borderId="1" xfId="0" applyNumberFormat="1" applyFill="1" applyBorder="1" applyAlignment="1">
      <alignment horizontal="center"/>
    </xf>
    <xf numFmtId="0" fontId="29" fillId="0" borderId="0" xfId="0" applyFont="1"/>
    <xf numFmtId="0" fontId="2" fillId="2" borderId="32" xfId="0" applyFont="1" applyFill="1" applyBorder="1" applyAlignment="1">
      <alignment horizontal="right" vertical="center"/>
    </xf>
    <xf numFmtId="165" fontId="0" fillId="2" borderId="18" xfId="0" applyNumberFormat="1" applyFill="1" applyBorder="1" applyAlignment="1">
      <alignment horizontal="center"/>
    </xf>
    <xf numFmtId="165" fontId="0" fillId="2" borderId="1" xfId="0" applyNumberFormat="1" applyFill="1" applyBorder="1" applyAlignment="1">
      <alignment horizontal="center"/>
    </xf>
    <xf numFmtId="0" fontId="0" fillId="7" borderId="24" xfId="0" applyFill="1" applyBorder="1"/>
    <xf numFmtId="2" fontId="0" fillId="2" borderId="1" xfId="0" applyNumberFormat="1" applyFill="1" applyBorder="1" applyAlignment="1">
      <alignment horizontal="center"/>
    </xf>
    <xf numFmtId="164" fontId="0" fillId="2" borderId="11" xfId="0" applyNumberFormat="1" applyFill="1" applyBorder="1" applyAlignment="1">
      <alignment horizontal="center"/>
    </xf>
    <xf numFmtId="1" fontId="2" fillId="2" borderId="0" xfId="0" applyNumberFormat="1" applyFont="1" applyFill="1" applyBorder="1" applyAlignment="1">
      <alignment horizontal="center" vertical="center"/>
    </xf>
    <xf numFmtId="0" fontId="0" fillId="0" borderId="0" xfId="0" applyFill="1"/>
    <xf numFmtId="2" fontId="0" fillId="3" borderId="1" xfId="0" applyNumberFormat="1" applyFill="1" applyBorder="1" applyAlignment="1" applyProtection="1">
      <alignment horizontal="center" vertical="center"/>
    </xf>
    <xf numFmtId="0" fontId="0" fillId="8" borderId="0" xfId="0" applyFill="1" applyBorder="1"/>
    <xf numFmtId="0" fontId="2" fillId="8" borderId="0" xfId="0" applyFont="1" applyFill="1" applyBorder="1" applyAlignment="1">
      <alignment horizontal="right" vertical="center"/>
    </xf>
    <xf numFmtId="0" fontId="23" fillId="7" borderId="23" xfId="0" applyFont="1" applyFill="1" applyBorder="1"/>
    <xf numFmtId="0" fontId="0" fillId="3" borderId="29" xfId="0" applyFill="1" applyBorder="1"/>
    <xf numFmtId="0" fontId="0" fillId="0" borderId="0" xfId="0" applyAlignment="1">
      <alignment horizontal="center"/>
    </xf>
    <xf numFmtId="0" fontId="0" fillId="0" borderId="0" xfId="0" applyAlignment="1">
      <alignment horizontal="center"/>
    </xf>
    <xf numFmtId="0" fontId="2" fillId="0" borderId="1" xfId="0" applyFont="1" applyBorder="1" applyAlignment="1">
      <alignment horizontal="center"/>
    </xf>
    <xf numFmtId="0" fontId="2" fillId="0" borderId="0" xfId="0" applyFont="1" applyAlignment="1">
      <alignment horizontal="left"/>
    </xf>
    <xf numFmtId="11" fontId="0" fillId="0" borderId="0" xfId="0" applyNumberFormat="1" applyAlignment="1">
      <alignment horizontal="center"/>
    </xf>
    <xf numFmtId="167" fontId="0" fillId="0" borderId="0" xfId="0" applyNumberFormat="1"/>
    <xf numFmtId="1" fontId="0" fillId="0" borderId="0" xfId="0" applyNumberFormat="1"/>
    <xf numFmtId="2" fontId="2" fillId="0" borderId="0" xfId="2" applyNumberFormat="1"/>
    <xf numFmtId="0" fontId="26" fillId="0" borderId="0" xfId="2" applyFont="1"/>
    <xf numFmtId="0" fontId="26" fillId="0" borderId="0" xfId="2" applyFont="1" applyAlignment="1" applyProtection="1">
      <alignment horizontal="center"/>
    </xf>
    <xf numFmtId="0" fontId="26" fillId="0" borderId="0" xfId="2" applyFont="1" applyAlignment="1">
      <alignment horizontal="center"/>
    </xf>
    <xf numFmtId="10" fontId="2" fillId="0" borderId="0" xfId="2" applyNumberFormat="1"/>
    <xf numFmtId="0" fontId="0" fillId="0" borderId="0" xfId="0" applyAlignment="1">
      <alignment horizontal="center"/>
    </xf>
    <xf numFmtId="9" fontId="0" fillId="2" borderId="1" xfId="0" applyNumberFormat="1" applyFill="1" applyBorder="1" applyAlignment="1">
      <alignment horizontal="center" vertical="center"/>
    </xf>
    <xf numFmtId="0" fontId="2" fillId="0" borderId="1" xfId="0" applyFont="1" applyFill="1" applyBorder="1" applyAlignment="1">
      <alignment horizontal="center"/>
    </xf>
    <xf numFmtId="0" fontId="2" fillId="0" borderId="6" xfId="0" applyFont="1" applyFill="1" applyBorder="1" applyAlignment="1">
      <alignment horizontal="center"/>
    </xf>
    <xf numFmtId="0" fontId="27" fillId="0" borderId="0" xfId="2" applyFont="1"/>
    <xf numFmtId="165" fontId="0" fillId="0" borderId="1" xfId="0" applyNumberFormat="1" applyFill="1" applyBorder="1" applyAlignment="1" applyProtection="1">
      <alignment horizontal="center" vertical="center"/>
    </xf>
    <xf numFmtId="0" fontId="27" fillId="0" borderId="0" xfId="0" applyFont="1" applyBorder="1" applyAlignment="1">
      <alignment horizontal="center"/>
    </xf>
    <xf numFmtId="0" fontId="2" fillId="3" borderId="0" xfId="0" applyFont="1" applyFill="1" applyBorder="1" applyAlignment="1">
      <alignment horizontal="right" vertical="center"/>
    </xf>
    <xf numFmtId="0" fontId="2" fillId="3" borderId="0" xfId="0" applyFont="1" applyFill="1" applyAlignment="1">
      <alignment horizontal="right"/>
    </xf>
    <xf numFmtId="0" fontId="2" fillId="0" borderId="13" xfId="0" applyFont="1" applyBorder="1" applyAlignment="1">
      <alignment horizontal="center"/>
    </xf>
    <xf numFmtId="0" fontId="2" fillId="2" borderId="33" xfId="0" applyFont="1" applyFill="1" applyBorder="1" applyAlignment="1">
      <alignment horizontal="center" vertical="center"/>
    </xf>
    <xf numFmtId="0" fontId="2" fillId="2" borderId="13" xfId="0" applyFont="1" applyFill="1" applyBorder="1" applyAlignment="1">
      <alignment horizontal="center" vertical="center"/>
    </xf>
    <xf numFmtId="0" fontId="0" fillId="2" borderId="13" xfId="0" applyFill="1" applyBorder="1" applyAlignment="1">
      <alignment horizontal="center" vertical="center"/>
    </xf>
    <xf numFmtId="0" fontId="2" fillId="2" borderId="31" xfId="0" applyFont="1" applyFill="1" applyBorder="1" applyAlignment="1">
      <alignment horizontal="center" vertical="center"/>
    </xf>
    <xf numFmtId="0" fontId="10" fillId="2" borderId="13" xfId="0" applyFont="1" applyFill="1" applyBorder="1" applyAlignment="1">
      <alignment horizontal="center" vertical="center"/>
    </xf>
    <xf numFmtId="0" fontId="0" fillId="2" borderId="33" xfId="0" applyFill="1" applyBorder="1" applyAlignment="1">
      <alignment horizontal="center" vertical="center"/>
    </xf>
    <xf numFmtId="0" fontId="7" fillId="2" borderId="13" xfId="0" applyFont="1" applyFill="1" applyBorder="1" applyAlignment="1">
      <alignment horizontal="center" vertical="center"/>
    </xf>
    <xf numFmtId="0" fontId="0" fillId="2" borderId="34" xfId="0" applyFill="1" applyBorder="1" applyAlignment="1">
      <alignment horizontal="center" vertical="center"/>
    </xf>
    <xf numFmtId="0" fontId="2" fillId="2" borderId="7" xfId="0" applyFont="1" applyFill="1" applyBorder="1" applyAlignment="1">
      <alignment horizontal="center" vertical="center"/>
    </xf>
    <xf numFmtId="0" fontId="7" fillId="2" borderId="7" xfId="0" applyFont="1" applyFill="1" applyBorder="1" applyAlignment="1">
      <alignment horizontal="center" vertical="center"/>
    </xf>
    <xf numFmtId="0" fontId="0" fillId="2" borderId="7" xfId="0" applyFill="1" applyBorder="1" applyAlignment="1">
      <alignment horizontal="center"/>
    </xf>
    <xf numFmtId="0" fontId="7" fillId="2" borderId="7" xfId="0" applyFont="1" applyFill="1" applyBorder="1" applyAlignment="1">
      <alignment horizontal="center"/>
    </xf>
    <xf numFmtId="0" fontId="2" fillId="2" borderId="0" xfId="0" applyFont="1" applyFill="1" applyBorder="1" applyAlignment="1">
      <alignment horizontal="center" vertical="center"/>
    </xf>
    <xf numFmtId="0" fontId="0" fillId="2" borderId="0" xfId="0" applyFill="1" applyBorder="1" applyAlignment="1">
      <alignment horizontal="center"/>
    </xf>
    <xf numFmtId="0" fontId="0" fillId="2" borderId="26" xfId="0" applyFill="1" applyBorder="1" applyAlignment="1">
      <alignment horizontal="center"/>
    </xf>
    <xf numFmtId="0" fontId="0" fillId="3" borderId="0" xfId="0" applyFill="1" applyAlignment="1">
      <alignment horizontal="center"/>
    </xf>
    <xf numFmtId="0" fontId="2" fillId="0" borderId="0" xfId="0" applyFont="1" applyFill="1" applyBorder="1" applyAlignment="1">
      <alignment horizontal="right"/>
    </xf>
    <xf numFmtId="0" fontId="27" fillId="0" borderId="0" xfId="0" applyFont="1" applyBorder="1" applyAlignment="1">
      <alignment horizontal="left"/>
    </xf>
    <xf numFmtId="0" fontId="0" fillId="0" borderId="0" xfId="0" applyAlignment="1">
      <alignment horizontal="center"/>
    </xf>
    <xf numFmtId="0" fontId="0" fillId="9" borderId="16" xfId="0" applyFill="1" applyBorder="1" applyAlignment="1" applyProtection="1">
      <alignment horizontal="center" vertical="center"/>
      <protection locked="0"/>
    </xf>
    <xf numFmtId="0" fontId="0" fillId="9" borderId="1" xfId="0" applyFill="1" applyBorder="1" applyAlignment="1" applyProtection="1">
      <alignment horizontal="center" vertical="center"/>
      <protection locked="0"/>
    </xf>
    <xf numFmtId="0" fontId="2" fillId="2" borderId="0" xfId="0" applyFont="1" applyFill="1"/>
    <xf numFmtId="0" fontId="2" fillId="6" borderId="1" xfId="0" applyFont="1" applyFill="1" applyBorder="1" applyAlignment="1" applyProtection="1">
      <alignment horizontal="center" vertical="center"/>
      <protection locked="0"/>
    </xf>
    <xf numFmtId="0" fontId="0" fillId="6" borderId="1" xfId="0" applyFill="1" applyBorder="1" applyAlignment="1" applyProtection="1">
      <alignment horizontal="center" vertical="center"/>
      <protection locked="0"/>
    </xf>
    <xf numFmtId="0" fontId="0" fillId="6" borderId="16" xfId="0" applyFill="1" applyBorder="1" applyAlignment="1" applyProtection="1">
      <alignment horizontal="center" vertical="center"/>
      <protection locked="0"/>
    </xf>
    <xf numFmtId="0" fontId="0" fillId="6" borderId="1" xfId="0" applyNumberFormat="1" applyFill="1" applyBorder="1" applyAlignment="1" applyProtection="1">
      <alignment horizontal="center" vertical="center"/>
      <protection locked="0"/>
    </xf>
    <xf numFmtId="0" fontId="0" fillId="6" borderId="1" xfId="0" applyFill="1" applyBorder="1" applyAlignment="1" applyProtection="1">
      <alignment horizontal="center"/>
      <protection locked="0"/>
    </xf>
    <xf numFmtId="0" fontId="0" fillId="6" borderId="1" xfId="0" applyFill="1" applyBorder="1" applyAlignment="1" applyProtection="1">
      <alignment horizontal="center"/>
    </xf>
    <xf numFmtId="0" fontId="0" fillId="0" borderId="11" xfId="0" applyBorder="1"/>
    <xf numFmtId="0" fontId="2" fillId="0" borderId="1" xfId="0" applyFont="1" applyFill="1" applyBorder="1"/>
    <xf numFmtId="0" fontId="27" fillId="0" borderId="0" xfId="0" applyFont="1" applyAlignment="1">
      <alignment horizontal="center"/>
    </xf>
    <xf numFmtId="0" fontId="2" fillId="0" borderId="0" xfId="0" applyFont="1" applyAlignment="1">
      <alignment horizontal="center"/>
    </xf>
    <xf numFmtId="0" fontId="0" fillId="0" borderId="0" xfId="0" applyAlignment="1">
      <alignment horizontal="center"/>
    </xf>
    <xf numFmtId="2" fontId="0" fillId="0" borderId="0" xfId="0" applyNumberFormat="1" applyBorder="1" applyAlignment="1">
      <alignment horizontal="center"/>
    </xf>
    <xf numFmtId="0" fontId="0" fillId="0" borderId="0" xfId="0" applyBorder="1" applyAlignment="1">
      <alignment horizontal="center"/>
    </xf>
    <xf numFmtId="0" fontId="0" fillId="2" borderId="6" xfId="0" applyFill="1" applyBorder="1"/>
    <xf numFmtId="165" fontId="2" fillId="0" borderId="0" xfId="2" applyNumberFormat="1" applyAlignment="1">
      <alignment horizontal="center"/>
    </xf>
    <xf numFmtId="165" fontId="2" fillId="0" borderId="0" xfId="2" applyNumberFormat="1"/>
    <xf numFmtId="0" fontId="27" fillId="10" borderId="0" xfId="0" applyFont="1" applyFill="1"/>
    <xf numFmtId="2" fontId="27" fillId="0" borderId="0" xfId="0" applyNumberFormat="1" applyFont="1" applyBorder="1" applyAlignment="1">
      <alignment horizontal="center"/>
    </xf>
    <xf numFmtId="0" fontId="0" fillId="0" borderId="0" xfId="0" applyAlignment="1">
      <alignment horizontal="center"/>
    </xf>
    <xf numFmtId="0" fontId="29" fillId="4" borderId="1" xfId="0" applyFont="1" applyFill="1" applyBorder="1" applyAlignment="1">
      <alignment horizontal="center"/>
    </xf>
    <xf numFmtId="0" fontId="0" fillId="5" borderId="1" xfId="0" applyFill="1" applyBorder="1" applyAlignment="1">
      <alignment horizontal="center"/>
    </xf>
    <xf numFmtId="2" fontId="2" fillId="0" borderId="0" xfId="2" applyNumberFormat="1" applyAlignment="1" applyProtection="1">
      <alignment horizontal="center"/>
    </xf>
    <xf numFmtId="11" fontId="0" fillId="0" borderId="0" xfId="0" applyNumberFormat="1" applyFill="1" applyBorder="1" applyAlignment="1" applyProtection="1">
      <alignment horizontal="center" vertical="center"/>
      <protection locked="0"/>
    </xf>
    <xf numFmtId="0" fontId="0" fillId="0" borderId="0" xfId="0" applyFill="1" applyAlignment="1">
      <alignment horizontal="right"/>
    </xf>
    <xf numFmtId="2" fontId="0" fillId="0" borderId="0" xfId="0" applyNumberFormat="1" applyFill="1"/>
    <xf numFmtId="0" fontId="0" fillId="0" borderId="0" xfId="0" applyFill="1" applyAlignment="1">
      <alignment horizontal="center"/>
    </xf>
    <xf numFmtId="0" fontId="2" fillId="0" borderId="0" xfId="0" applyFont="1" applyFill="1"/>
    <xf numFmtId="0" fontId="3" fillId="0" borderId="0" xfId="0" applyFont="1" applyFill="1" applyAlignment="1">
      <alignment horizontal="center"/>
    </xf>
    <xf numFmtId="0" fontId="2" fillId="0" borderId="0" xfId="0" applyFont="1" applyFill="1" applyAlignment="1">
      <alignment horizontal="center"/>
    </xf>
    <xf numFmtId="0" fontId="26" fillId="0" borderId="0" xfId="0" applyFont="1" applyFill="1" applyAlignment="1">
      <alignment horizontal="center"/>
    </xf>
    <xf numFmtId="2" fontId="2" fillId="0" borderId="0" xfId="0" applyNumberFormat="1" applyFont="1" applyFill="1"/>
    <xf numFmtId="0" fontId="3" fillId="0" borderId="0" xfId="0" applyFont="1" applyFill="1"/>
    <xf numFmtId="2" fontId="0" fillId="0" borderId="0" xfId="0" applyNumberFormat="1" applyFill="1" applyAlignment="1">
      <alignment horizontal="center"/>
    </xf>
    <xf numFmtId="0" fontId="0" fillId="0" borderId="4" xfId="0" applyFill="1" applyBorder="1"/>
    <xf numFmtId="0" fontId="0" fillId="0" borderId="0" xfId="0" applyFill="1" applyBorder="1"/>
    <xf numFmtId="0" fontId="0" fillId="0" borderId="9" xfId="0" applyFill="1" applyBorder="1"/>
    <xf numFmtId="0" fontId="0" fillId="0" borderId="0" xfId="0" applyBorder="1" applyAlignment="1"/>
    <xf numFmtId="0" fontId="3" fillId="2" borderId="0" xfId="0" applyFont="1" applyFill="1" applyBorder="1" applyAlignment="1">
      <alignment horizontal="left"/>
    </xf>
    <xf numFmtId="2" fontId="0" fillId="0" borderId="0" xfId="0" applyNumberFormat="1" applyBorder="1" applyAlignment="1">
      <alignment horizontal="center"/>
    </xf>
    <xf numFmtId="0" fontId="0" fillId="2" borderId="25" xfId="0" applyFill="1" applyBorder="1" applyAlignment="1">
      <alignment wrapText="1"/>
    </xf>
    <xf numFmtId="0" fontId="0" fillId="2" borderId="25" xfId="0" applyFill="1" applyBorder="1" applyAlignment="1"/>
    <xf numFmtId="0" fontId="0" fillId="11" borderId="35" xfId="0" applyFill="1" applyBorder="1" applyProtection="1"/>
    <xf numFmtId="0" fontId="0" fillId="11" borderId="36" xfId="0" applyFill="1" applyBorder="1" applyProtection="1"/>
    <xf numFmtId="0" fontId="0" fillId="11" borderId="37" xfId="0" applyFill="1" applyBorder="1" applyProtection="1"/>
    <xf numFmtId="0" fontId="0" fillId="11" borderId="38" xfId="0" applyFill="1" applyBorder="1" applyProtection="1"/>
    <xf numFmtId="0" fontId="0" fillId="11" borderId="0" xfId="0" applyFill="1" applyBorder="1" applyProtection="1"/>
    <xf numFmtId="0" fontId="0" fillId="11" borderId="39" xfId="0" applyFill="1" applyBorder="1" applyProtection="1"/>
    <xf numFmtId="0" fontId="33" fillId="11" borderId="0" xfId="0" applyFont="1" applyFill="1" applyBorder="1" applyProtection="1"/>
    <xf numFmtId="0" fontId="34" fillId="11" borderId="0" xfId="0" applyFont="1" applyFill="1" applyBorder="1" applyProtection="1"/>
    <xf numFmtId="0" fontId="35" fillId="11" borderId="0" xfId="0" applyFont="1" applyFill="1" applyBorder="1" applyProtection="1"/>
    <xf numFmtId="0" fontId="36" fillId="11" borderId="0" xfId="0" applyFont="1" applyFill="1" applyProtection="1"/>
    <xf numFmtId="0" fontId="0" fillId="11" borderId="0" xfId="0" applyFill="1" applyProtection="1"/>
    <xf numFmtId="0" fontId="37" fillId="11" borderId="0" xfId="0" applyFont="1" applyFill="1" applyAlignment="1" applyProtection="1"/>
    <xf numFmtId="0" fontId="37" fillId="11" borderId="0" xfId="0" applyFont="1" applyFill="1" applyAlignment="1" applyProtection="1">
      <alignment wrapText="1"/>
    </xf>
    <xf numFmtId="0" fontId="38" fillId="11" borderId="0" xfId="0" applyFont="1" applyFill="1" applyAlignment="1" applyProtection="1">
      <alignment vertical="center"/>
    </xf>
    <xf numFmtId="0" fontId="38" fillId="11" borderId="0" xfId="0" applyFont="1" applyFill="1" applyProtection="1"/>
    <xf numFmtId="0" fontId="0" fillId="11" borderId="40" xfId="0" applyFill="1" applyBorder="1" applyProtection="1"/>
    <xf numFmtId="0" fontId="0" fillId="11" borderId="41" xfId="0" applyFill="1" applyBorder="1" applyProtection="1"/>
    <xf numFmtId="0" fontId="0" fillId="11" borderId="42" xfId="0" applyFill="1" applyBorder="1" applyProtection="1"/>
    <xf numFmtId="0" fontId="2" fillId="11" borderId="0" xfId="0" applyFont="1" applyFill="1" applyBorder="1" applyProtection="1"/>
    <xf numFmtId="0" fontId="0" fillId="5" borderId="1" xfId="0" applyFill="1" applyBorder="1" applyAlignment="1" applyProtection="1">
      <alignment horizontal="center" vertical="center"/>
      <protection locked="0"/>
    </xf>
    <xf numFmtId="0" fontId="0" fillId="2" borderId="25" xfId="0" applyFill="1" applyBorder="1" applyAlignment="1">
      <alignment horizontal="right"/>
    </xf>
    <xf numFmtId="0" fontId="0" fillId="3" borderId="34" xfId="0" applyFill="1" applyBorder="1" applyAlignment="1">
      <alignment horizontal="center" vertical="center"/>
    </xf>
    <xf numFmtId="0" fontId="2" fillId="3" borderId="24" xfId="0" applyFont="1" applyFill="1" applyBorder="1" applyAlignment="1" applyProtection="1">
      <alignment horizontal="right" vertical="center"/>
    </xf>
    <xf numFmtId="0" fontId="2" fillId="3" borderId="16" xfId="0" applyFont="1" applyFill="1" applyBorder="1" applyAlignment="1" applyProtection="1">
      <alignment horizontal="center" vertical="center"/>
    </xf>
    <xf numFmtId="0" fontId="2" fillId="0" borderId="7" xfId="0" applyFont="1" applyFill="1" applyBorder="1" applyAlignment="1">
      <alignment horizontal="center"/>
    </xf>
    <xf numFmtId="164" fontId="0" fillId="2" borderId="0" xfId="0" applyNumberFormat="1" applyFill="1" applyBorder="1" applyAlignment="1">
      <alignment horizontal="center"/>
    </xf>
    <xf numFmtId="11" fontId="0" fillId="0" borderId="0" xfId="0" applyNumberFormat="1" applyFill="1"/>
    <xf numFmtId="0" fontId="2" fillId="2" borderId="24" xfId="2" applyFont="1" applyFill="1" applyBorder="1" applyAlignment="1">
      <alignment horizontal="right"/>
    </xf>
    <xf numFmtId="0" fontId="2" fillId="2" borderId="0" xfId="2" applyFont="1" applyFill="1" applyBorder="1" applyAlignment="1">
      <alignment horizontal="right" vertical="center"/>
    </xf>
    <xf numFmtId="1" fontId="2" fillId="2" borderId="1" xfId="2" applyNumberFormat="1" applyFont="1" applyFill="1" applyBorder="1" applyAlignment="1">
      <alignment horizontal="center" vertical="center"/>
    </xf>
    <xf numFmtId="0" fontId="7" fillId="2" borderId="33" xfId="0" applyFont="1" applyFill="1" applyBorder="1" applyAlignment="1">
      <alignment horizontal="center" vertical="center"/>
    </xf>
    <xf numFmtId="0" fontId="2" fillId="6" borderId="16" xfId="2" applyFont="1" applyFill="1" applyBorder="1" applyAlignment="1" applyProtection="1">
      <alignment horizontal="center" vertical="center"/>
      <protection locked="0"/>
    </xf>
    <xf numFmtId="2" fontId="0" fillId="6" borderId="1" xfId="0" applyNumberFormat="1" applyFill="1" applyBorder="1" applyAlignment="1" applyProtection="1">
      <alignment horizontal="center" vertical="center"/>
      <protection locked="0"/>
    </xf>
    <xf numFmtId="0" fontId="2" fillId="3" borderId="11" xfId="0" applyFont="1" applyFill="1" applyBorder="1" applyAlignment="1" applyProtection="1">
      <alignment horizontal="center" vertical="center"/>
    </xf>
    <xf numFmtId="0" fontId="2" fillId="3" borderId="21" xfId="0" applyFont="1" applyFill="1" applyBorder="1" applyAlignment="1" applyProtection="1">
      <alignment horizontal="center" vertical="center"/>
    </xf>
    <xf numFmtId="0" fontId="2" fillId="2" borderId="0" xfId="2" applyFill="1" applyBorder="1"/>
    <xf numFmtId="0" fontId="2" fillId="2" borderId="0" xfId="2" applyFont="1" applyFill="1" applyBorder="1" applyAlignment="1">
      <alignment horizontal="right" vertical="center"/>
    </xf>
    <xf numFmtId="0" fontId="2" fillId="2" borderId="24" xfId="2" applyFill="1" applyBorder="1"/>
    <xf numFmtId="0" fontId="2" fillId="2" borderId="25" xfId="2" applyFill="1" applyBorder="1"/>
    <xf numFmtId="0" fontId="2" fillId="2" borderId="27" xfId="2" applyFill="1" applyBorder="1"/>
    <xf numFmtId="0" fontId="2" fillId="2" borderId="26" xfId="2" applyFill="1" applyBorder="1"/>
    <xf numFmtId="0" fontId="2" fillId="2" borderId="29" xfId="2" applyFill="1" applyBorder="1"/>
    <xf numFmtId="0" fontId="2" fillId="2" borderId="30" xfId="2" applyFill="1" applyBorder="1"/>
    <xf numFmtId="0" fontId="2" fillId="2" borderId="28" xfId="2" applyFill="1" applyBorder="1"/>
    <xf numFmtId="0" fontId="2" fillId="2" borderId="0" xfId="2" applyFont="1" applyFill="1" applyBorder="1"/>
    <xf numFmtId="0" fontId="23" fillId="7" borderId="23" xfId="2" applyFont="1" applyFill="1" applyBorder="1"/>
    <xf numFmtId="0" fontId="23" fillId="3" borderId="25" xfId="2" applyFont="1" applyFill="1" applyBorder="1"/>
    <xf numFmtId="0" fontId="44" fillId="2" borderId="0" xfId="2" applyFont="1" applyFill="1" applyBorder="1"/>
    <xf numFmtId="0" fontId="44" fillId="2" borderId="0" xfId="2" applyFont="1" applyFill="1" applyBorder="1" applyAlignment="1">
      <alignment horizontal="right" vertical="center"/>
    </xf>
    <xf numFmtId="0" fontId="2" fillId="2" borderId="26" xfId="2" applyFont="1" applyFill="1" applyBorder="1" applyAlignment="1">
      <alignment horizontal="center" vertical="center"/>
    </xf>
    <xf numFmtId="0" fontId="2" fillId="2" borderId="26" xfId="2" applyFont="1" applyFill="1" applyBorder="1"/>
    <xf numFmtId="0" fontId="45" fillId="2" borderId="0" xfId="1" applyFont="1" applyFill="1" applyBorder="1" applyAlignment="1" applyProtection="1">
      <alignment horizontal="left"/>
    </xf>
    <xf numFmtId="0" fontId="41" fillId="2" borderId="25" xfId="2" applyFont="1" applyFill="1" applyBorder="1" applyAlignment="1">
      <alignment vertical="top" wrapText="1"/>
    </xf>
    <xf numFmtId="0" fontId="2" fillId="2" borderId="0" xfId="2" applyFont="1" applyFill="1" applyBorder="1" applyAlignment="1">
      <alignment horizontal="center" vertical="center"/>
    </xf>
    <xf numFmtId="0" fontId="45" fillId="2" borderId="24" xfId="1" applyFont="1" applyFill="1" applyBorder="1" applyAlignment="1" applyProtection="1">
      <alignment wrapText="1"/>
    </xf>
    <xf numFmtId="0" fontId="45" fillId="2" borderId="0" xfId="1" applyFont="1" applyFill="1" applyBorder="1" applyAlignment="1" applyProtection="1">
      <alignment horizontal="left" wrapText="1"/>
    </xf>
    <xf numFmtId="0" fontId="44" fillId="3" borderId="0" xfId="2" applyFont="1" applyFill="1" applyBorder="1"/>
    <xf numFmtId="0" fontId="44" fillId="3" borderId="24" xfId="2" applyFont="1" applyFill="1" applyBorder="1"/>
    <xf numFmtId="0" fontId="2" fillId="2" borderId="26" xfId="2" applyFont="1" applyFill="1" applyBorder="1" applyAlignment="1">
      <alignment vertical="top" wrapText="1"/>
    </xf>
    <xf numFmtId="0" fontId="37" fillId="6" borderId="45" xfId="2" applyFont="1" applyFill="1" applyBorder="1" applyAlignment="1" applyProtection="1">
      <alignment horizontal="center" vertical="top"/>
      <protection locked="0"/>
    </xf>
    <xf numFmtId="0" fontId="37" fillId="6" borderId="47" xfId="2" applyFont="1" applyFill="1" applyBorder="1" applyAlignment="1" applyProtection="1">
      <alignment horizontal="center" vertical="top"/>
      <protection locked="0"/>
    </xf>
    <xf numFmtId="0" fontId="14" fillId="2" borderId="0" xfId="1" applyFill="1" applyBorder="1" applyAlignment="1" applyProtection="1"/>
    <xf numFmtId="0" fontId="0" fillId="9" borderId="11" xfId="0" applyFill="1" applyBorder="1" applyAlignment="1" applyProtection="1">
      <alignment horizontal="center" vertical="center"/>
      <protection locked="0"/>
    </xf>
    <xf numFmtId="0" fontId="2" fillId="2" borderId="32" xfId="0" applyFont="1" applyFill="1" applyBorder="1" applyAlignment="1">
      <alignment horizontal="center" vertical="center"/>
    </xf>
    <xf numFmtId="0" fontId="0" fillId="3" borderId="11" xfId="0" applyFill="1" applyBorder="1" applyAlignment="1" applyProtection="1">
      <alignment horizontal="center" vertical="center"/>
      <protection locked="0"/>
    </xf>
    <xf numFmtId="0" fontId="0" fillId="3" borderId="21" xfId="0" applyFill="1" applyBorder="1" applyAlignment="1" applyProtection="1">
      <alignment horizontal="center" vertical="center"/>
      <protection locked="0"/>
    </xf>
    <xf numFmtId="0" fontId="14" fillId="3" borderId="25" xfId="1" applyFont="1" applyFill="1" applyBorder="1" applyAlignment="1" applyProtection="1">
      <alignment vertical="top" wrapText="1"/>
    </xf>
    <xf numFmtId="0" fontId="39" fillId="2" borderId="25" xfId="0" applyFont="1" applyFill="1" applyBorder="1" applyAlignment="1">
      <alignment vertical="top" wrapText="1"/>
    </xf>
    <xf numFmtId="0" fontId="14" fillId="3" borderId="25" xfId="1" applyFill="1" applyBorder="1" applyAlignment="1" applyProtection="1">
      <alignment vertical="top" wrapText="1"/>
    </xf>
    <xf numFmtId="0" fontId="14" fillId="3" borderId="25" xfId="1" applyFill="1" applyBorder="1" applyAlignment="1" applyProtection="1">
      <alignment horizontal="left"/>
    </xf>
    <xf numFmtId="0" fontId="14" fillId="3" borderId="25" xfId="1" applyFill="1" applyBorder="1" applyAlignment="1" applyProtection="1"/>
    <xf numFmtId="0" fontId="14" fillId="0" borderId="0" xfId="1" applyAlignment="1" applyProtection="1"/>
    <xf numFmtId="0" fontId="14" fillId="5" borderId="0" xfId="1" applyFill="1" applyAlignment="1" applyProtection="1"/>
    <xf numFmtId="0" fontId="40" fillId="0" borderId="23" xfId="0" applyFont="1" applyBorder="1" applyAlignment="1">
      <alignment horizontal="center" vertical="center" wrapText="1"/>
    </xf>
    <xf numFmtId="0" fontId="40" fillId="0" borderId="24" xfId="0" applyFont="1" applyBorder="1" applyAlignment="1">
      <alignment horizontal="center" vertical="center" wrapText="1"/>
    </xf>
    <xf numFmtId="0" fontId="40" fillId="0" borderId="28" xfId="0" applyFont="1" applyBorder="1" applyAlignment="1">
      <alignment horizontal="center" vertical="center" wrapText="1"/>
    </xf>
    <xf numFmtId="0" fontId="40" fillId="0" borderId="25" xfId="0" applyFont="1" applyBorder="1" applyAlignment="1">
      <alignment horizontal="center" vertical="center" wrapText="1"/>
    </xf>
    <xf numFmtId="0" fontId="40" fillId="0" borderId="0" xfId="0" applyFont="1" applyBorder="1" applyAlignment="1">
      <alignment horizontal="center" vertical="center" wrapText="1"/>
    </xf>
    <xf numFmtId="0" fontId="40" fillId="0" borderId="29" xfId="0" applyFont="1" applyBorder="1" applyAlignment="1">
      <alignment horizontal="center" vertical="center" wrapText="1"/>
    </xf>
    <xf numFmtId="0" fontId="40" fillId="0" borderId="27" xfId="0" applyFont="1" applyBorder="1" applyAlignment="1">
      <alignment horizontal="center" vertical="center" wrapText="1"/>
    </xf>
    <xf numFmtId="0" fontId="40" fillId="0" borderId="26" xfId="0" applyFont="1" applyBorder="1" applyAlignment="1">
      <alignment horizontal="center" vertical="center" wrapText="1"/>
    </xf>
    <xf numFmtId="0" fontId="40" fillId="0" borderId="30" xfId="0" applyFont="1" applyBorder="1" applyAlignment="1">
      <alignment horizontal="center" vertical="center" wrapText="1"/>
    </xf>
    <xf numFmtId="0" fontId="14" fillId="11" borderId="0" xfId="1" applyFill="1" applyAlignment="1" applyProtection="1">
      <alignment horizontal="left"/>
    </xf>
    <xf numFmtId="0" fontId="14" fillId="3" borderId="25" xfId="1" applyFill="1" applyBorder="1" applyAlignment="1" applyProtection="1">
      <alignment horizontal="left" wrapText="1"/>
    </xf>
    <xf numFmtId="0" fontId="32" fillId="2" borderId="0" xfId="0" applyFont="1" applyFill="1" applyBorder="1" applyAlignment="1">
      <alignment horizontal="left" vertical="top" wrapText="1"/>
    </xf>
    <xf numFmtId="0" fontId="0" fillId="2" borderId="0" xfId="0" applyFill="1" applyBorder="1" applyAlignment="1">
      <alignment horizontal="left" vertical="top" wrapText="1"/>
    </xf>
    <xf numFmtId="0" fontId="0" fillId="2" borderId="26" xfId="0" applyFill="1" applyBorder="1" applyAlignment="1">
      <alignment horizontal="left" vertical="top" wrapText="1"/>
    </xf>
    <xf numFmtId="0" fontId="39" fillId="2" borderId="25" xfId="0" applyFont="1" applyFill="1" applyBorder="1" applyAlignment="1">
      <alignment horizontal="left" vertical="top" wrapText="1"/>
    </xf>
    <xf numFmtId="0" fontId="8" fillId="2" borderId="0" xfId="0" applyFont="1" applyFill="1" applyBorder="1" applyAlignment="1">
      <alignment horizontal="left" wrapText="1"/>
    </xf>
    <xf numFmtId="0" fontId="8" fillId="2" borderId="7" xfId="0" applyFont="1" applyFill="1" applyBorder="1" applyAlignment="1">
      <alignment horizontal="left" wrapText="1"/>
    </xf>
    <xf numFmtId="0" fontId="13" fillId="3" borderId="0" xfId="0" applyFont="1" applyFill="1" applyBorder="1" applyAlignment="1" applyProtection="1">
      <alignment horizontal="center" vertical="center"/>
    </xf>
    <xf numFmtId="0" fontId="17" fillId="4" borderId="23" xfId="0" applyFont="1" applyFill="1" applyBorder="1" applyAlignment="1" applyProtection="1">
      <alignment horizontal="left" vertical="center"/>
    </xf>
    <xf numFmtId="0" fontId="17" fillId="4" borderId="24" xfId="0" applyFont="1" applyFill="1" applyBorder="1" applyAlignment="1" applyProtection="1">
      <alignment horizontal="left" vertical="center"/>
    </xf>
    <xf numFmtId="0" fontId="2" fillId="2" borderId="6" xfId="0" applyFont="1" applyFill="1" applyBorder="1" applyAlignment="1">
      <alignment horizontal="left" vertical="center" wrapText="1"/>
    </xf>
    <xf numFmtId="0" fontId="2" fillId="2" borderId="0" xfId="0" applyFont="1" applyFill="1" applyAlignment="1">
      <alignment horizontal="left" vertical="center" wrapText="1"/>
    </xf>
    <xf numFmtId="0" fontId="32" fillId="2" borderId="25" xfId="0" applyFont="1" applyFill="1" applyBorder="1" applyAlignment="1">
      <alignment horizontal="left" vertical="top" wrapText="1"/>
    </xf>
    <xf numFmtId="0" fontId="43" fillId="2" borderId="25" xfId="2" applyFont="1" applyFill="1" applyBorder="1" applyAlignment="1">
      <alignment horizontal="left" vertical="top" wrapText="1"/>
    </xf>
    <xf numFmtId="0" fontId="43" fillId="2" borderId="24" xfId="1" applyFont="1" applyFill="1" applyBorder="1" applyAlignment="1" applyProtection="1">
      <alignment horizontal="left" wrapText="1"/>
    </xf>
    <xf numFmtId="0" fontId="43" fillId="2" borderId="0" xfId="1" applyFont="1" applyFill="1" applyBorder="1" applyAlignment="1" applyProtection="1">
      <alignment horizontal="left" wrapText="1"/>
    </xf>
    <xf numFmtId="0" fontId="46" fillId="5" borderId="43" xfId="2" applyFont="1" applyFill="1" applyBorder="1" applyAlignment="1">
      <alignment horizontal="left" vertical="top" wrapText="1"/>
    </xf>
    <xf numFmtId="0" fontId="46" fillId="5" borderId="44" xfId="2" applyFont="1" applyFill="1" applyBorder="1" applyAlignment="1">
      <alignment horizontal="left" vertical="top" wrapText="1"/>
    </xf>
    <xf numFmtId="0" fontId="46" fillId="5" borderId="46" xfId="2" applyFont="1" applyFill="1" applyBorder="1" applyAlignment="1">
      <alignment horizontal="left" vertical="top" wrapText="1"/>
    </xf>
    <xf numFmtId="0" fontId="14" fillId="2" borderId="0" xfId="1" applyFill="1" applyBorder="1" applyAlignment="1" applyProtection="1">
      <alignment horizontal="left" wrapText="1"/>
    </xf>
    <xf numFmtId="0" fontId="45" fillId="2" borderId="0" xfId="1" applyFont="1" applyFill="1" applyBorder="1" applyAlignment="1" applyProtection="1">
      <alignment horizontal="left"/>
    </xf>
    <xf numFmtId="0" fontId="23" fillId="5" borderId="48" xfId="2" applyFont="1" applyFill="1" applyBorder="1" applyAlignment="1">
      <alignment horizontal="left" wrapText="1"/>
    </xf>
    <xf numFmtId="0" fontId="2" fillId="5" borderId="49" xfId="2" applyFill="1" applyBorder="1" applyAlignment="1">
      <alignment horizontal="left" wrapText="1"/>
    </xf>
    <xf numFmtId="0" fontId="2" fillId="5" borderId="45" xfId="2" applyFill="1" applyBorder="1" applyAlignment="1">
      <alignment horizontal="left" wrapText="1"/>
    </xf>
    <xf numFmtId="0" fontId="0" fillId="0" borderId="0" xfId="0" applyAlignment="1">
      <alignment horizontal="center"/>
    </xf>
    <xf numFmtId="0" fontId="26" fillId="0" borderId="0" xfId="0" applyFont="1" applyFill="1" applyAlignment="1">
      <alignment horizontal="center"/>
    </xf>
    <xf numFmtId="0" fontId="27" fillId="0" borderId="0" xfId="0" applyFont="1" applyFill="1" applyAlignment="1">
      <alignment horizontal="center"/>
    </xf>
    <xf numFmtId="0" fontId="3" fillId="0" borderId="0" xfId="0" applyFont="1" applyFill="1" applyAlignment="1">
      <alignment horizontal="center"/>
    </xf>
    <xf numFmtId="0" fontId="26" fillId="0" borderId="1" xfId="2" applyFont="1" applyBorder="1" applyAlignment="1">
      <alignment horizontal="center"/>
    </xf>
    <xf numFmtId="0" fontId="2" fillId="0" borderId="11" xfId="0" applyFont="1" applyBorder="1" applyAlignment="1">
      <alignment horizontal="center"/>
    </xf>
    <xf numFmtId="0" fontId="0" fillId="0" borderId="11" xfId="0" applyBorder="1" applyAlignment="1">
      <alignment horizontal="center"/>
    </xf>
    <xf numFmtId="0" fontId="27" fillId="0" borderId="0" xfId="0" applyFont="1" applyBorder="1" applyAlignment="1">
      <alignment horizontal="center"/>
    </xf>
    <xf numFmtId="2" fontId="2" fillId="0" borderId="0" xfId="0" applyNumberFormat="1" applyFont="1" applyBorder="1" applyAlignment="1">
      <alignment horizontal="center"/>
    </xf>
    <xf numFmtId="2" fontId="0" fillId="0" borderId="0" xfId="0" applyNumberFormat="1" applyBorder="1" applyAlignment="1">
      <alignment horizontal="center"/>
    </xf>
  </cellXfs>
  <cellStyles count="12">
    <cellStyle name="ENTER VALUE" xfId="6" xr:uid="{00000000-0005-0000-0000-000000000000}"/>
    <cellStyle name="ENTER VALUE 2" xfId="10" xr:uid="{00000000-0005-0000-0000-000001000000}"/>
    <cellStyle name="ENTER VALUE 3" xfId="9" xr:uid="{00000000-0005-0000-0000-000002000000}"/>
    <cellStyle name="ENTER VALUE 4" xfId="8" xr:uid="{00000000-0005-0000-0000-000003000000}"/>
    <cellStyle name="Hyperlink" xfId="1" builtinId="8"/>
    <cellStyle name="Normal" xfId="0" builtinId="0"/>
    <cellStyle name="Normal 2" xfId="2" xr:uid="{00000000-0005-0000-0000-000006000000}"/>
    <cellStyle name="Normal 3" xfId="11" xr:uid="{00000000-0005-0000-0000-000007000000}"/>
    <cellStyle name="Style 1" xfId="3" xr:uid="{00000000-0005-0000-0000-000008000000}"/>
    <cellStyle name="Style 1 2" xfId="4" xr:uid="{00000000-0005-0000-0000-000009000000}"/>
    <cellStyle name="Style 2" xfId="5" xr:uid="{00000000-0005-0000-0000-00000A000000}"/>
    <cellStyle name="UNIT" xfId="7" xr:uid="{00000000-0005-0000-0000-00000B000000}"/>
  </cellStyles>
  <dxfs count="37">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
      <fill>
        <patternFill>
          <bgColor rgb="FFFF0000"/>
        </patternFill>
      </fill>
    </dxf>
    <dxf>
      <fill>
        <patternFill>
          <bgColor rgb="FFFFFF00"/>
        </patternFill>
      </fill>
    </dxf>
    <dxf>
      <fill>
        <patternFill>
          <bgColor rgb="FFFFFF00"/>
        </patternFill>
      </fill>
    </dxf>
    <dxf>
      <fill>
        <patternFill>
          <bgColor rgb="FFFF0000"/>
        </patternFill>
      </fill>
    </dxf>
    <dxf>
      <fill>
        <patternFill>
          <bgColor rgb="FFFF0000"/>
        </patternFill>
      </fill>
    </dxf>
    <dxf>
      <font>
        <color theme="0"/>
      </font>
      <fill>
        <patternFill>
          <bgColor theme="0"/>
        </patternFill>
      </fill>
    </dxf>
    <dxf>
      <font>
        <color theme="0"/>
      </font>
      <fill>
        <patternFill>
          <bgColor theme="0"/>
        </patternFill>
      </fill>
    </dxf>
    <dxf>
      <font>
        <color theme="0"/>
      </font>
      <fill>
        <patternFill patternType="solid">
          <bgColor theme="0"/>
        </patternFill>
      </fill>
      <border>
        <left/>
        <right/>
      </border>
    </dxf>
    <dxf>
      <fill>
        <patternFill>
          <bgColor rgb="FFFF0000"/>
        </patternFill>
      </fill>
    </dxf>
    <dxf>
      <fill>
        <patternFill>
          <bgColor rgb="FFFF0000"/>
        </patternFill>
      </fill>
    </dxf>
    <dxf>
      <fill>
        <patternFill>
          <bgColor rgb="FFFF0000"/>
        </patternFill>
      </fill>
    </dxf>
    <dxf>
      <font>
        <color theme="0"/>
      </font>
      <fill>
        <patternFill>
          <fgColor theme="0"/>
          <bgColor theme="0"/>
        </patternFill>
      </fill>
    </dxf>
    <dxf>
      <font>
        <strike val="0"/>
        <color theme="0"/>
      </font>
      <fill>
        <patternFill patternType="none">
          <bgColor auto="1"/>
        </patternFill>
      </fill>
    </dxf>
    <dxf>
      <font>
        <strike/>
        <color theme="0" tint="-0.24994659260841701"/>
      </font>
      <fill>
        <patternFill patternType="none">
          <bgColor auto="1"/>
        </patternFill>
      </fill>
    </dxf>
    <dxf>
      <font>
        <color theme="0"/>
      </font>
      <fill>
        <patternFill patternType="solid">
          <bgColor theme="0"/>
        </patternFill>
      </fill>
      <border>
        <left/>
        <right/>
      </border>
    </dxf>
    <dxf>
      <fill>
        <patternFill>
          <bgColor rgb="FFFFFF00"/>
        </patternFill>
      </fill>
    </dxf>
    <dxf>
      <fill>
        <patternFill>
          <bgColor rgb="FFFF0000"/>
        </patternFill>
      </fill>
    </dxf>
    <dxf>
      <fill>
        <patternFill>
          <bgColor rgb="FFFF0000"/>
        </patternFill>
      </fill>
    </dxf>
    <dxf>
      <fill>
        <patternFill>
          <bgColor rgb="FFFF0000"/>
        </patternFill>
      </fill>
    </dxf>
    <dxf>
      <fill>
        <patternFill>
          <bgColor theme="5" tint="-0.24994659260841701"/>
        </patternFill>
      </fill>
    </dxf>
    <dxf>
      <fill>
        <patternFill>
          <bgColor rgb="FFFF0000"/>
        </patternFill>
      </fill>
    </dxf>
    <dxf>
      <font>
        <color theme="0"/>
      </font>
    </dxf>
    <dxf>
      <font>
        <color theme="0"/>
      </font>
    </dxf>
    <dxf>
      <font>
        <color theme="0"/>
      </font>
    </dxf>
    <dxf>
      <fill>
        <patternFill>
          <bgColor rgb="FFFFFF00"/>
        </patternFill>
      </fill>
    </dxf>
    <dxf>
      <fill>
        <patternFill>
          <bgColor indexed="10"/>
        </patternFill>
      </fill>
    </dxf>
    <dxf>
      <font>
        <condense val="0"/>
        <extend val="0"/>
        <color indexed="9"/>
      </font>
      <fill>
        <patternFill>
          <bgColor indexed="9"/>
        </patternFill>
      </fill>
      <border>
        <left/>
        <right/>
        <top style="thin">
          <color indexed="64"/>
        </top>
        <bottom/>
      </border>
    </dxf>
    <dxf>
      <font>
        <condense val="0"/>
        <extend val="0"/>
        <color indexed="9"/>
      </font>
      <fill>
        <patternFill>
          <bgColor indexed="9"/>
        </patternFill>
      </fill>
      <border>
        <left/>
        <right/>
        <top style="thin">
          <color auto="1"/>
        </top>
        <bottom style="thin">
          <color auto="1"/>
        </bottom>
      </border>
    </dxf>
    <dxf>
      <font>
        <condense val="0"/>
        <extend val="0"/>
        <color indexed="9"/>
      </font>
      <fill>
        <patternFill>
          <bgColor indexed="9"/>
        </patternFill>
      </fill>
      <border>
        <left/>
        <right/>
        <top/>
        <bottom style="thin">
          <color auto="1"/>
        </bottom>
      </border>
    </dxf>
    <dxf>
      <font>
        <condense val="0"/>
        <extend val="0"/>
        <color indexed="9"/>
      </font>
      <fill>
        <patternFill>
          <bgColor indexed="9"/>
        </patternFill>
      </fill>
      <border>
        <left/>
        <right/>
        <top/>
        <bottom/>
      </border>
    </dxf>
    <dxf>
      <fill>
        <patternFill>
          <bgColor indexed="10"/>
        </patternFill>
      </fill>
    </dxf>
  </dxfs>
  <tableStyles count="0" defaultTableStyle="TableStyleMedium9" defaultPivotStyle="PivotStyleLight16"/>
  <colors>
    <mruColors>
      <color rgb="FF0053FA"/>
      <color rgb="FFFF5050"/>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1" Type="http://schemas.openxmlformats.org/officeDocument/2006/relationships/themeOverride" Target="../theme/themeOverrid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0.1267237229923697"/>
          <c:y val="0.10613723813134238"/>
          <c:w val="0.83144069779259888"/>
          <c:h val="0.76916929287639557"/>
        </c:manualLayout>
      </c:layout>
      <c:scatterChart>
        <c:scatterStyle val="lineMarker"/>
        <c:varyColors val="0"/>
        <c:ser>
          <c:idx val="3"/>
          <c:order val="0"/>
          <c:tx>
            <c:v>Tem Derated FET SOA</c:v>
          </c:tx>
          <c:spPr>
            <a:ln w="25400">
              <a:solidFill>
                <a:srgbClr val="008000"/>
              </a:solidFill>
              <a:prstDash val="solid"/>
            </a:ln>
          </c:spPr>
          <c:marker>
            <c:symbol val="none"/>
          </c:marker>
          <c:xVal>
            <c:numRef>
              <c:f>Equations!$R$193:$R$272</c:f>
              <c:numCache>
                <c:formatCode>General</c:formatCode>
                <c:ptCount val="8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numCache>
            </c:numRef>
          </c:xVal>
          <c:yVal>
            <c:numRef>
              <c:f>Equations!$V$193:$V$272</c:f>
              <c:numCache>
                <c:formatCode>0.00</c:formatCode>
                <c:ptCount val="80"/>
                <c:pt idx="0">
                  <c:v>124.51937904388622</c:v>
                </c:pt>
                <c:pt idx="1">
                  <c:v>62.259689521943109</c:v>
                </c:pt>
                <c:pt idx="2">
                  <c:v>41.506459681295404</c:v>
                </c:pt>
                <c:pt idx="3">
                  <c:v>31.129844760971555</c:v>
                </c:pt>
                <c:pt idx="4">
                  <c:v>24.903875808777244</c:v>
                </c:pt>
                <c:pt idx="5">
                  <c:v>20.753229840647702</c:v>
                </c:pt>
                <c:pt idx="6">
                  <c:v>17.788482720555173</c:v>
                </c:pt>
                <c:pt idx="7">
                  <c:v>15.564922380485777</c:v>
                </c:pt>
                <c:pt idx="8">
                  <c:v>13.835486560431802</c:v>
                </c:pt>
                <c:pt idx="9">
                  <c:v>12.451937904388622</c:v>
                </c:pt>
                <c:pt idx="10">
                  <c:v>11.319943549444202</c:v>
                </c:pt>
                <c:pt idx="11">
                  <c:v>10.376614920323851</c:v>
                </c:pt>
                <c:pt idx="12">
                  <c:v>9.5784137726066323</c:v>
                </c:pt>
                <c:pt idx="13">
                  <c:v>8.8942413602775865</c:v>
                </c:pt>
                <c:pt idx="14">
                  <c:v>8.3012919362590818</c:v>
                </c:pt>
                <c:pt idx="15">
                  <c:v>7.7824611902428886</c:v>
                </c:pt>
                <c:pt idx="16">
                  <c:v>7.3246693555227189</c:v>
                </c:pt>
                <c:pt idx="17">
                  <c:v>6.9177432802159009</c:v>
                </c:pt>
                <c:pt idx="18">
                  <c:v>6.5536515286255907</c:v>
                </c:pt>
                <c:pt idx="19">
                  <c:v>6.2259689521943109</c:v>
                </c:pt>
                <c:pt idx="20">
                  <c:v>5.9294942401850577</c:v>
                </c:pt>
                <c:pt idx="21">
                  <c:v>5.6599717747221012</c:v>
                </c:pt>
                <c:pt idx="22">
                  <c:v>5.4138860453863575</c:v>
                </c:pt>
                <c:pt idx="23">
                  <c:v>5.1883074601619255</c:v>
                </c:pt>
                <c:pt idx="24">
                  <c:v>4.9807751617554485</c:v>
                </c:pt>
                <c:pt idx="25">
                  <c:v>4.7892068863033161</c:v>
                </c:pt>
                <c:pt idx="26">
                  <c:v>4.6118288534772676</c:v>
                </c:pt>
                <c:pt idx="27">
                  <c:v>4.4471206801387932</c:v>
                </c:pt>
                <c:pt idx="28">
                  <c:v>4.29377169116849</c:v>
                </c:pt>
                <c:pt idx="29">
                  <c:v>4.1506459681295409</c:v>
                </c:pt>
                <c:pt idx="30">
                  <c:v>4.0167541627060066</c:v>
                </c:pt>
                <c:pt idx="31">
                  <c:v>3.8912305951214443</c:v>
                </c:pt>
                <c:pt idx="32">
                  <c:v>3.7733145164814004</c:v>
                </c:pt>
                <c:pt idx="33">
                  <c:v>3.6623346777613595</c:v>
                </c:pt>
                <c:pt idx="34">
                  <c:v>3.5576965441110349</c:v>
                </c:pt>
                <c:pt idx="35">
                  <c:v>3.4588716401079505</c:v>
                </c:pt>
                <c:pt idx="36">
                  <c:v>3.3653886228077354</c:v>
                </c:pt>
                <c:pt idx="37">
                  <c:v>3.2768257643127954</c:v>
                </c:pt>
                <c:pt idx="38">
                  <c:v>3.1928045908688776</c:v>
                </c:pt>
                <c:pt idx="39">
                  <c:v>3.1129844760971555</c:v>
                </c:pt>
                <c:pt idx="40">
                  <c:v>3.0370580254606394</c:v>
                </c:pt>
                <c:pt idx="41">
                  <c:v>2.9647471200925288</c:v>
                </c:pt>
                <c:pt idx="42">
                  <c:v>2.8957995126485168</c:v>
                </c:pt>
                <c:pt idx="43">
                  <c:v>2.8299858873610506</c:v>
                </c:pt>
                <c:pt idx="44">
                  <c:v>2.7670973120863604</c:v>
                </c:pt>
                <c:pt idx="45">
                  <c:v>2.7069430226931788</c:v>
                </c:pt>
                <c:pt idx="46">
                  <c:v>2.6493484902954516</c:v>
                </c:pt>
                <c:pt idx="47">
                  <c:v>2.5941537300809627</c:v>
                </c:pt>
                <c:pt idx="48">
                  <c:v>2.5412118172221678</c:v>
                </c:pt>
                <c:pt idx="49">
                  <c:v>2.4903875808777243</c:v>
                </c:pt>
                <c:pt idx="50">
                  <c:v>2.4415564518409063</c:v>
                </c:pt>
                <c:pt idx="51">
                  <c:v>2.3946034431516581</c:v>
                </c:pt>
                <c:pt idx="52">
                  <c:v>2.3494222461110605</c:v>
                </c:pt>
                <c:pt idx="53">
                  <c:v>2.3059144267386338</c:v>
                </c:pt>
                <c:pt idx="54">
                  <c:v>2.2639887098888405</c:v>
                </c:pt>
                <c:pt idx="55">
                  <c:v>2.2235603400693966</c:v>
                </c:pt>
                <c:pt idx="56">
                  <c:v>2.1845505095418636</c:v>
                </c:pt>
                <c:pt idx="57">
                  <c:v>2.146885845584245</c:v>
                </c:pt>
                <c:pt idx="58">
                  <c:v>2.1104979498963767</c:v>
                </c:pt>
                <c:pt idx="59">
                  <c:v>2.0753229840647704</c:v>
                </c:pt>
                <c:pt idx="60">
                  <c:v>2.0413012958014134</c:v>
                </c:pt>
                <c:pt idx="61">
                  <c:v>2.0083770813530033</c:v>
                </c:pt>
                <c:pt idx="62">
                  <c:v>1.976498080061686</c:v>
                </c:pt>
                <c:pt idx="63">
                  <c:v>1.9456152975607222</c:v>
                </c:pt>
                <c:pt idx="64">
                  <c:v>1.9156827545213264</c:v>
                </c:pt>
                <c:pt idx="65">
                  <c:v>1.8866572582407002</c:v>
                </c:pt>
                <c:pt idx="66">
                  <c:v>1.8584981946848689</c:v>
                </c:pt>
                <c:pt idx="67">
                  <c:v>1.8311673388806797</c:v>
                </c:pt>
                <c:pt idx="68">
                  <c:v>1.8046286817954524</c:v>
                </c:pt>
                <c:pt idx="69">
                  <c:v>1.7788482720555174</c:v>
                </c:pt>
                <c:pt idx="70">
                  <c:v>1.753794071040651</c:v>
                </c:pt>
                <c:pt idx="71">
                  <c:v>1.7294358200539752</c:v>
                </c:pt>
                <c:pt idx="72">
                  <c:v>1.7057449184094002</c:v>
                </c:pt>
                <c:pt idx="73">
                  <c:v>1.6826943114038677</c:v>
                </c:pt>
                <c:pt idx="74">
                  <c:v>1.6602583872518162</c:v>
                </c:pt>
                <c:pt idx="75">
                  <c:v>1.6384128821563977</c:v>
                </c:pt>
                <c:pt idx="76">
                  <c:v>1.6171347927777431</c:v>
                </c:pt>
                <c:pt idx="77">
                  <c:v>1.5964022954344388</c:v>
                </c:pt>
                <c:pt idx="78">
                  <c:v>1.5761946714415977</c:v>
                </c:pt>
                <c:pt idx="79">
                  <c:v>1.5564922380485777</c:v>
                </c:pt>
              </c:numCache>
            </c:numRef>
          </c:yVal>
          <c:smooth val="0"/>
          <c:extLst>
            <c:ext xmlns:c16="http://schemas.microsoft.com/office/drawing/2014/chart" uri="{C3380CC4-5D6E-409C-BE32-E72D297353CC}">
              <c16:uniqueId val="{00000000-8522-4E37-8675-0010F43902BB}"/>
            </c:ext>
          </c:extLst>
        </c:ser>
        <c:ser>
          <c:idx val="1"/>
          <c:order val="1"/>
          <c:tx>
            <c:v>Typ Device SOA Limit</c:v>
          </c:tx>
          <c:spPr>
            <a:ln w="25400">
              <a:solidFill>
                <a:srgbClr val="FF0000"/>
              </a:solidFill>
              <a:prstDash val="solid"/>
            </a:ln>
          </c:spPr>
          <c:marker>
            <c:symbol val="none"/>
          </c:marker>
          <c:xVal>
            <c:numRef>
              <c:f>Equations!$R$193:$R$272</c:f>
              <c:numCache>
                <c:formatCode>General</c:formatCode>
                <c:ptCount val="8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numCache>
            </c:numRef>
          </c:xVal>
          <c:yVal>
            <c:numRef>
              <c:f>Equations!$T$193:$T$272</c:f>
              <c:numCache>
                <c:formatCode>0.00</c:formatCode>
                <c:ptCount val="80"/>
                <c:pt idx="0">
                  <c:v>22.797499999999999</c:v>
                </c:pt>
                <c:pt idx="1">
                  <c:v>22.797499999999999</c:v>
                </c:pt>
                <c:pt idx="2">
                  <c:v>22.797499999999999</c:v>
                </c:pt>
                <c:pt idx="3">
                  <c:v>22.797499999999999</c:v>
                </c:pt>
                <c:pt idx="4">
                  <c:v>22.291810000000002</c:v>
                </c:pt>
                <c:pt idx="5">
                  <c:v>18.645591666666668</c:v>
                </c:pt>
                <c:pt idx="6">
                  <c:v>16.041150000000002</c:v>
                </c:pt>
                <c:pt idx="7">
                  <c:v>14.08781875</c:v>
                </c:pt>
                <c:pt idx="8">
                  <c:v>12.568561111111112</c:v>
                </c:pt>
                <c:pt idx="9">
                  <c:v>11.353155000000001</c:v>
                </c:pt>
                <c:pt idx="10">
                  <c:v>10.35873181818182</c:v>
                </c:pt>
                <c:pt idx="11">
                  <c:v>9.5300458333333342</c:v>
                </c:pt>
                <c:pt idx="12">
                  <c:v>8.828850000000001</c:v>
                </c:pt>
                <c:pt idx="13">
                  <c:v>8.2278250000000011</c:v>
                </c:pt>
                <c:pt idx="14">
                  <c:v>7.7069366666666674</c:v>
                </c:pt>
                <c:pt idx="15">
                  <c:v>7.2511593750000003</c:v>
                </c:pt>
                <c:pt idx="16">
                  <c:v>6.8490029411764715</c:v>
                </c:pt>
                <c:pt idx="17">
                  <c:v>6.4915305555555562</c:v>
                </c:pt>
                <c:pt idx="18">
                  <c:v>6.171686842105264</c:v>
                </c:pt>
                <c:pt idx="19">
                  <c:v>5.8838275000000007</c:v>
                </c:pt>
                <c:pt idx="20">
                  <c:v>5.6233833333333338</c:v>
                </c:pt>
                <c:pt idx="21">
                  <c:v>5.38661590909091</c:v>
                </c:pt>
                <c:pt idx="22">
                  <c:v>5.1704369565217396</c:v>
                </c:pt>
                <c:pt idx="23">
                  <c:v>4.9722729166666673</c:v>
                </c:pt>
                <c:pt idx="24">
                  <c:v>4.7899620000000001</c:v>
                </c:pt>
                <c:pt idx="25">
                  <c:v>4.6216750000000006</c:v>
                </c:pt>
                <c:pt idx="26">
                  <c:v>4.4658537037037043</c:v>
                </c:pt>
                <c:pt idx="27">
                  <c:v>4.3211625000000007</c:v>
                </c:pt>
                <c:pt idx="28">
                  <c:v>4.1864500000000007</c:v>
                </c:pt>
                <c:pt idx="29">
                  <c:v>4.060718333333333</c:v>
                </c:pt>
                <c:pt idx="30">
                  <c:v>3.9430983870967742</c:v>
                </c:pt>
                <c:pt idx="31">
                  <c:v>3.8328296875000003</c:v>
                </c:pt>
                <c:pt idx="32">
                  <c:v>3.7292439393939398</c:v>
                </c:pt>
                <c:pt idx="33">
                  <c:v>3.6317514705882354</c:v>
                </c:pt>
                <c:pt idx="34">
                  <c:v>3.5398300000000003</c:v>
                </c:pt>
                <c:pt idx="35">
                  <c:v>3.4530152777777783</c:v>
                </c:pt>
                <c:pt idx="36">
                  <c:v>3.3708932432432435</c:v>
                </c:pt>
                <c:pt idx="37">
                  <c:v>3.2930934210526317</c:v>
                </c:pt>
                <c:pt idx="38">
                  <c:v>3.2192833333333337</c:v>
                </c:pt>
                <c:pt idx="39">
                  <c:v>3.1491637500000005</c:v>
                </c:pt>
                <c:pt idx="40">
                  <c:v>3.0824646341463415</c:v>
                </c:pt>
                <c:pt idx="41">
                  <c:v>3.0189416666666666</c:v>
                </c:pt>
                <c:pt idx="42">
                  <c:v>5.0000000000000003E-10</c:v>
                </c:pt>
                <c:pt idx="43">
                  <c:v>5.0000000000000003E-10</c:v>
                </c:pt>
                <c:pt idx="44">
                  <c:v>5.0000000000000003E-10</c:v>
                </c:pt>
                <c:pt idx="45">
                  <c:v>5.0000000000000003E-10</c:v>
                </c:pt>
                <c:pt idx="46">
                  <c:v>5.0000000000000003E-10</c:v>
                </c:pt>
                <c:pt idx="47">
                  <c:v>5.0000000000000003E-10</c:v>
                </c:pt>
                <c:pt idx="48">
                  <c:v>5.0000000000000003E-10</c:v>
                </c:pt>
                <c:pt idx="49">
                  <c:v>5.0000000000000003E-10</c:v>
                </c:pt>
                <c:pt idx="50">
                  <c:v>5.0000000000000003E-10</c:v>
                </c:pt>
                <c:pt idx="51">
                  <c:v>5.0000000000000003E-10</c:v>
                </c:pt>
                <c:pt idx="52">
                  <c:v>5.0000000000000003E-10</c:v>
                </c:pt>
                <c:pt idx="53">
                  <c:v>5.0000000000000003E-10</c:v>
                </c:pt>
                <c:pt idx="54">
                  <c:v>5.0000000000000003E-10</c:v>
                </c:pt>
                <c:pt idx="55">
                  <c:v>5.0000000000000003E-10</c:v>
                </c:pt>
                <c:pt idx="56">
                  <c:v>5.0000000000000003E-10</c:v>
                </c:pt>
                <c:pt idx="57">
                  <c:v>5.0000000000000003E-10</c:v>
                </c:pt>
                <c:pt idx="58">
                  <c:v>5.0000000000000003E-10</c:v>
                </c:pt>
                <c:pt idx="59">
                  <c:v>5.0000000000000003E-10</c:v>
                </c:pt>
                <c:pt idx="60">
                  <c:v>5.0000000000000003E-10</c:v>
                </c:pt>
                <c:pt idx="61">
                  <c:v>5.0000000000000003E-10</c:v>
                </c:pt>
                <c:pt idx="62">
                  <c:v>5.0000000000000003E-10</c:v>
                </c:pt>
                <c:pt idx="63">
                  <c:v>5.0000000000000003E-10</c:v>
                </c:pt>
                <c:pt idx="64">
                  <c:v>5.0000000000000003E-10</c:v>
                </c:pt>
                <c:pt idx="65">
                  <c:v>5.0000000000000003E-10</c:v>
                </c:pt>
                <c:pt idx="66">
                  <c:v>5.0000000000000003E-10</c:v>
                </c:pt>
                <c:pt idx="67">
                  <c:v>5.0000000000000003E-10</c:v>
                </c:pt>
                <c:pt idx="68">
                  <c:v>5.0000000000000003E-10</c:v>
                </c:pt>
                <c:pt idx="69">
                  <c:v>5.0000000000000003E-10</c:v>
                </c:pt>
                <c:pt idx="70">
                  <c:v>5.0000000000000003E-10</c:v>
                </c:pt>
                <c:pt idx="71">
                  <c:v>5.0000000000000003E-10</c:v>
                </c:pt>
                <c:pt idx="72">
                  <c:v>5.0000000000000003E-10</c:v>
                </c:pt>
                <c:pt idx="73">
                  <c:v>5.0000000000000003E-10</c:v>
                </c:pt>
                <c:pt idx="74">
                  <c:v>5.0000000000000003E-10</c:v>
                </c:pt>
                <c:pt idx="75">
                  <c:v>5.0000000000000003E-10</c:v>
                </c:pt>
                <c:pt idx="76">
                  <c:v>5.0000000000000003E-10</c:v>
                </c:pt>
                <c:pt idx="77">
                  <c:v>5.0000000000000003E-10</c:v>
                </c:pt>
                <c:pt idx="78">
                  <c:v>5.0000000000000003E-10</c:v>
                </c:pt>
                <c:pt idx="79">
                  <c:v>5.0000000000000003E-10</c:v>
                </c:pt>
              </c:numCache>
            </c:numRef>
          </c:yVal>
          <c:smooth val="0"/>
          <c:extLst>
            <c:ext xmlns:c16="http://schemas.microsoft.com/office/drawing/2014/chart" uri="{C3380CC4-5D6E-409C-BE32-E72D297353CC}">
              <c16:uniqueId val="{00000001-8522-4E37-8675-0010F43902BB}"/>
            </c:ext>
          </c:extLst>
        </c:ser>
        <c:dLbls>
          <c:showLegendKey val="0"/>
          <c:showVal val="0"/>
          <c:showCatName val="0"/>
          <c:showSerName val="0"/>
          <c:showPercent val="0"/>
          <c:showBubbleSize val="0"/>
        </c:dLbls>
        <c:axId val="340050304"/>
        <c:axId val="340052224"/>
      </c:scatterChart>
      <c:valAx>
        <c:axId val="340050304"/>
        <c:scaling>
          <c:logBase val="10"/>
          <c:orientation val="minMax"/>
          <c:max val="100"/>
          <c:min val="1"/>
        </c:scaling>
        <c:delete val="0"/>
        <c:axPos val="b"/>
        <c:majorGridlines>
          <c:spPr>
            <a:ln w="3175">
              <a:solidFill>
                <a:srgbClr val="000000"/>
              </a:solidFill>
              <a:prstDash val="solid"/>
            </a:ln>
          </c:spPr>
        </c:majorGridlines>
        <c:minorGridlines>
          <c:spPr>
            <a:ln w="3175">
              <a:solidFill>
                <a:srgbClr val="000000"/>
              </a:solidFill>
              <a:prstDash val="solid"/>
            </a:ln>
          </c:spPr>
        </c:minorGridlines>
        <c:title>
          <c:tx>
            <c:rich>
              <a:bodyPr/>
              <a:lstStyle/>
              <a:p>
                <a:pPr>
                  <a:defRPr sz="1125" b="0" i="0" u="none" strike="noStrike" baseline="0">
                    <a:solidFill>
                      <a:srgbClr val="000000"/>
                    </a:solidFill>
                    <a:latin typeface="Calibri"/>
                    <a:ea typeface="Calibri"/>
                    <a:cs typeface="Calibri"/>
                  </a:defRPr>
                </a:pPr>
                <a:r>
                  <a:rPr lang="en-US" sz="900" b="1" i="0" u="none" strike="noStrike" baseline="0">
                    <a:solidFill>
                      <a:srgbClr val="000000"/>
                    </a:solidFill>
                    <a:latin typeface="Arial"/>
                    <a:cs typeface="Arial"/>
                  </a:rPr>
                  <a:t>V</a:t>
                </a:r>
                <a:r>
                  <a:rPr lang="en-US" sz="900" b="1" i="0" u="none" strike="noStrike" baseline="-25000">
                    <a:solidFill>
                      <a:srgbClr val="000000"/>
                    </a:solidFill>
                    <a:latin typeface="Arial"/>
                    <a:cs typeface="Arial"/>
                  </a:rPr>
                  <a:t>DS</a:t>
                </a:r>
                <a:r>
                  <a:rPr lang="en-US" sz="900" b="1" i="0" u="none" strike="noStrike" baseline="0">
                    <a:solidFill>
                      <a:srgbClr val="000000"/>
                    </a:solidFill>
                    <a:latin typeface="Arial"/>
                    <a:cs typeface="Arial"/>
                  </a:rPr>
                  <a:t> - Drain-to-Source Voltage - V</a:t>
                </a:r>
              </a:p>
            </c:rich>
          </c:tx>
          <c:layout>
            <c:manualLayout>
              <c:xMode val="edge"/>
              <c:yMode val="edge"/>
              <c:x val="0.37459064370200507"/>
              <c:y val="0.94029461520736024"/>
            </c:manualLayout>
          </c:layout>
          <c:overlay val="0"/>
          <c:spPr>
            <a:noFill/>
            <a:ln w="25400">
              <a:noFill/>
            </a:ln>
          </c:spPr>
        </c:title>
        <c:numFmt formatCode="General" sourceLinked="1"/>
        <c:majorTickMark val="none"/>
        <c:minorTickMark val="none"/>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340052224"/>
        <c:crossesAt val="0.1"/>
        <c:crossBetween val="midCat"/>
      </c:valAx>
      <c:valAx>
        <c:axId val="340052224"/>
        <c:scaling>
          <c:logBase val="10"/>
          <c:orientation val="minMax"/>
          <c:max val="1000"/>
          <c:min val="1"/>
        </c:scaling>
        <c:delete val="0"/>
        <c:axPos val="l"/>
        <c:majorGridlines>
          <c:spPr>
            <a:ln w="3175">
              <a:solidFill>
                <a:srgbClr val="000000"/>
              </a:solidFill>
              <a:prstDash val="solid"/>
            </a:ln>
          </c:spPr>
        </c:majorGridlines>
        <c:minorGridlines>
          <c:spPr>
            <a:ln w="3175">
              <a:solidFill>
                <a:srgbClr val="000000"/>
              </a:solidFill>
              <a:prstDash val="solid"/>
            </a:ln>
          </c:spPr>
        </c:minorGridlines>
        <c:title>
          <c:tx>
            <c:rich>
              <a:bodyPr/>
              <a:lstStyle/>
              <a:p>
                <a:pPr>
                  <a:defRPr sz="1125" b="0" i="0" u="none" strike="noStrike" baseline="0">
                    <a:solidFill>
                      <a:srgbClr val="000000"/>
                    </a:solidFill>
                    <a:latin typeface="Calibri"/>
                    <a:ea typeface="Calibri"/>
                    <a:cs typeface="Calibri"/>
                  </a:defRPr>
                </a:pPr>
                <a:r>
                  <a:rPr lang="en-US" sz="900" b="1" i="0" u="none" strike="noStrike" baseline="0">
                    <a:solidFill>
                      <a:srgbClr val="000000"/>
                    </a:solidFill>
                    <a:latin typeface="Arial"/>
                    <a:cs typeface="Arial"/>
                  </a:rPr>
                  <a:t>I</a:t>
                </a:r>
                <a:r>
                  <a:rPr lang="en-US" sz="900" b="1" i="0" u="none" strike="noStrike" baseline="-25000">
                    <a:solidFill>
                      <a:srgbClr val="000000"/>
                    </a:solidFill>
                    <a:latin typeface="Arial"/>
                    <a:cs typeface="Arial"/>
                  </a:rPr>
                  <a:t>DS</a:t>
                </a:r>
                <a:r>
                  <a:rPr lang="en-US" sz="900" b="1" i="0" u="none" strike="noStrike" baseline="0">
                    <a:solidFill>
                      <a:srgbClr val="000000"/>
                    </a:solidFill>
                    <a:latin typeface="Arial"/>
                    <a:cs typeface="Arial"/>
                  </a:rPr>
                  <a:t> - Drain-to-Source Current - A</a:t>
                </a:r>
              </a:p>
            </c:rich>
          </c:tx>
          <c:layout>
            <c:manualLayout>
              <c:xMode val="edge"/>
              <c:yMode val="edge"/>
              <c:x val="2.0103885280763262E-2"/>
              <c:y val="0.21497860712616401"/>
            </c:manualLayout>
          </c:layout>
          <c:overlay val="0"/>
          <c:spPr>
            <a:noFill/>
            <a:ln w="25400">
              <a:noFill/>
            </a:ln>
          </c:spPr>
        </c:title>
        <c:numFmt formatCode="General" sourceLinked="0"/>
        <c:majorTickMark val="none"/>
        <c:minorTickMark val="none"/>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340050304"/>
        <c:crosses val="autoZero"/>
        <c:crossBetween val="midCat"/>
      </c:valAx>
      <c:spPr>
        <a:solidFill>
          <a:srgbClr val="FFFFFF"/>
        </a:solidFill>
        <a:ln w="12700">
          <a:solidFill>
            <a:srgbClr val="808080"/>
          </a:solidFill>
          <a:prstDash val="solid"/>
        </a:ln>
      </c:spPr>
    </c:plotArea>
    <c:legend>
      <c:legendPos val="r"/>
      <c:layout>
        <c:manualLayout>
          <c:xMode val="edge"/>
          <c:yMode val="edge"/>
          <c:x val="0.43686657794363282"/>
          <c:y val="5.8933081466572397E-2"/>
          <c:w val="0.5171341264823649"/>
          <c:h val="0.23827095430172604"/>
        </c:manualLayout>
      </c:layout>
      <c:overlay val="0"/>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legend>
    <c:plotVisOnly val="0"/>
    <c:dispBlanksAs val="gap"/>
    <c:showDLblsOverMax val="0"/>
  </c:chart>
  <c:spPr>
    <a:solidFill>
      <a:srgbClr val="FFFFFF"/>
    </a:solidFill>
    <a:ln w="12700">
      <a:solidFill>
        <a:srgbClr val="000000"/>
      </a:solidFill>
      <a:prstDash val="solid"/>
    </a:ln>
  </c:spPr>
  <c:txPr>
    <a:bodyPr/>
    <a:lstStyle/>
    <a:p>
      <a:pPr>
        <a:defRPr sz="950" b="0" i="0" u="none" strike="noStrike" baseline="0">
          <a:solidFill>
            <a:srgbClr val="000000"/>
          </a:solidFill>
          <a:latin typeface="Arial"/>
          <a:ea typeface="Arial"/>
          <a:cs typeface="Arial"/>
        </a:defRPr>
      </a:pPr>
      <a:endParaRPr lang="en-US"/>
    </a:p>
  </c:txPr>
  <c:printSettings>
    <c:headerFooter alignWithMargins="0"/>
    <c:pageMargins b="1" l="0.75000000000000233" r="0.75000000000000233"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marL="0" marR="0" indent="0" algn="ctr" defTabSz="914400" rtl="0" eaLnBrk="1" fontAlgn="auto" latinLnBrk="0" hangingPunct="1">
              <a:lnSpc>
                <a:spcPct val="100000"/>
              </a:lnSpc>
              <a:spcBef>
                <a:spcPts val="0"/>
              </a:spcBef>
              <a:spcAft>
                <a:spcPts val="0"/>
              </a:spcAft>
              <a:buClrTx/>
              <a:buSzTx/>
              <a:buFontTx/>
              <a:buNone/>
              <a:tabLst/>
              <a:defRPr sz="1800" b="1" i="0" u="none" strike="noStrike" kern="1200" baseline="0">
                <a:solidFill>
                  <a:sysClr val="windowText" lastClr="000000"/>
                </a:solidFill>
                <a:latin typeface="+mn-lt"/>
                <a:ea typeface="+mn-ea"/>
                <a:cs typeface="+mn-cs"/>
              </a:defRPr>
            </a:pPr>
            <a:r>
              <a:rPr lang="en-US" sz="1600"/>
              <a:t>I</a:t>
            </a:r>
            <a:r>
              <a:rPr lang="en-US" sz="1600" baseline="-25000"/>
              <a:t>LOAD</a:t>
            </a:r>
            <a:r>
              <a:rPr lang="en-US" sz="1600" baseline="0"/>
              <a:t> and I</a:t>
            </a:r>
            <a:r>
              <a:rPr lang="en-US" sz="1600" baseline="-25000"/>
              <a:t>FET</a:t>
            </a:r>
            <a:r>
              <a:rPr lang="en-US" sz="1600" baseline="0"/>
              <a:t> vs Vout </a:t>
            </a:r>
            <a:r>
              <a:rPr lang="en-US" sz="1600" b="1" i="0" baseline="0">
                <a:effectLst/>
              </a:rPr>
              <a:t>(V</a:t>
            </a:r>
            <a:r>
              <a:rPr lang="en-US" sz="1600" b="1" i="0" baseline="-25000">
                <a:effectLst/>
              </a:rPr>
              <a:t>IN</a:t>
            </a:r>
            <a:r>
              <a:rPr lang="en-US" sz="1600" b="1" i="0" baseline="0">
                <a:effectLst/>
              </a:rPr>
              <a:t> = V</a:t>
            </a:r>
            <a:r>
              <a:rPr lang="en-US" sz="1600" b="1" i="0" baseline="-25000">
                <a:effectLst/>
              </a:rPr>
              <a:t>INMAX</a:t>
            </a:r>
            <a:r>
              <a:rPr lang="en-US" sz="1600" b="1" i="0" baseline="0">
                <a:effectLst/>
              </a:rPr>
              <a:t>)</a:t>
            </a:r>
            <a:r>
              <a:rPr lang="en-US" sz="1600" baseline="0"/>
              <a:t>                                               </a:t>
            </a:r>
            <a:endParaRPr lang="en-US" sz="1600" baseline="-25000"/>
          </a:p>
        </c:rich>
      </c:tx>
      <c:layout>
        <c:manualLayout>
          <c:xMode val="edge"/>
          <c:yMode val="edge"/>
          <c:x val="0.16494063286351637"/>
          <c:y val="3.0591748387251084E-2"/>
        </c:manualLayout>
      </c:layout>
      <c:overlay val="1"/>
      <c:spPr>
        <a:solidFill>
          <a:schemeClr val="bg1"/>
        </a:solidFill>
      </c:spPr>
    </c:title>
    <c:autoTitleDeleted val="0"/>
    <c:plotArea>
      <c:layout>
        <c:manualLayout>
          <c:layoutTarget val="inner"/>
          <c:xMode val="edge"/>
          <c:yMode val="edge"/>
          <c:x val="0.15203109554174482"/>
          <c:y val="0.13835811263066838"/>
          <c:w val="0.76865751103613689"/>
          <c:h val="0.70165890209112658"/>
        </c:manualLayout>
      </c:layout>
      <c:scatterChart>
        <c:scatterStyle val="smoothMarker"/>
        <c:varyColors val="0"/>
        <c:ser>
          <c:idx val="0"/>
          <c:order val="0"/>
          <c:tx>
            <c:strRef>
              <c:f>Start_up!$C$7</c:f>
              <c:strCache>
                <c:ptCount val="1"/>
                <c:pt idx="0">
                  <c:v>ILOAD</c:v>
                </c:pt>
              </c:strCache>
            </c:strRef>
          </c:tx>
          <c:marker>
            <c:symbol val="none"/>
          </c:marker>
          <c:xVal>
            <c:numRef>
              <c:f>Start_up!$B$10:$B$111</c:f>
              <c:numCache>
                <c:formatCode>0.00</c:formatCode>
                <c:ptCount val="102"/>
                <c:pt idx="0">
                  <c:v>0</c:v>
                </c:pt>
                <c:pt idx="1">
                  <c:v>0.4086538461538462</c:v>
                </c:pt>
                <c:pt idx="2">
                  <c:v>0.8173076923076924</c:v>
                </c:pt>
                <c:pt idx="3">
                  <c:v>1.2259615384615385</c:v>
                </c:pt>
                <c:pt idx="4">
                  <c:v>1.6346153846153848</c:v>
                </c:pt>
                <c:pt idx="5">
                  <c:v>2.0432692307692308</c:v>
                </c:pt>
                <c:pt idx="6">
                  <c:v>2.4519230769230771</c:v>
                </c:pt>
                <c:pt idx="7">
                  <c:v>2.8605769230769229</c:v>
                </c:pt>
                <c:pt idx="8">
                  <c:v>3.2692307692307696</c:v>
                </c:pt>
                <c:pt idx="9">
                  <c:v>3.6778846153846154</c:v>
                </c:pt>
                <c:pt idx="10">
                  <c:v>4.0865384615384617</c:v>
                </c:pt>
                <c:pt idx="11">
                  <c:v>4.4951923076923075</c:v>
                </c:pt>
                <c:pt idx="12">
                  <c:v>4.9038461538461542</c:v>
                </c:pt>
                <c:pt idx="13">
                  <c:v>5.3125</c:v>
                </c:pt>
                <c:pt idx="14">
                  <c:v>5.7211538461538458</c:v>
                </c:pt>
                <c:pt idx="15">
                  <c:v>6.1298076923076916</c:v>
                </c:pt>
                <c:pt idx="16">
                  <c:v>6.5384615384615392</c:v>
                </c:pt>
                <c:pt idx="17">
                  <c:v>6.947115384615385</c:v>
                </c:pt>
                <c:pt idx="18">
                  <c:v>7.3557692307692308</c:v>
                </c:pt>
                <c:pt idx="19">
                  <c:v>7.7644230769230766</c:v>
                </c:pt>
                <c:pt idx="20">
                  <c:v>8.1730769230769234</c:v>
                </c:pt>
                <c:pt idx="21">
                  <c:v>8.5817307692307701</c:v>
                </c:pt>
                <c:pt idx="22">
                  <c:v>8.990384615384615</c:v>
                </c:pt>
                <c:pt idx="23">
                  <c:v>9.3990384615384617</c:v>
                </c:pt>
                <c:pt idx="24">
                  <c:v>9.8076923076923084</c:v>
                </c:pt>
                <c:pt idx="25">
                  <c:v>10.216346153846153</c:v>
                </c:pt>
                <c:pt idx="26">
                  <c:v>10.625</c:v>
                </c:pt>
                <c:pt idx="27">
                  <c:v>11.033653846153847</c:v>
                </c:pt>
                <c:pt idx="28">
                  <c:v>11.442307692307692</c:v>
                </c:pt>
                <c:pt idx="29">
                  <c:v>11.850961538461538</c:v>
                </c:pt>
                <c:pt idx="30">
                  <c:v>12.259615384615383</c:v>
                </c:pt>
                <c:pt idx="31">
                  <c:v>12.66826923076923</c:v>
                </c:pt>
                <c:pt idx="32">
                  <c:v>13.076923076923078</c:v>
                </c:pt>
                <c:pt idx="33">
                  <c:v>13.485576923076922</c:v>
                </c:pt>
                <c:pt idx="34">
                  <c:v>13.89423076923077</c:v>
                </c:pt>
                <c:pt idx="35">
                  <c:v>14.302884615384617</c:v>
                </c:pt>
                <c:pt idx="36">
                  <c:v>14.711538461538462</c:v>
                </c:pt>
                <c:pt idx="37">
                  <c:v>15.120192307692308</c:v>
                </c:pt>
                <c:pt idx="38">
                  <c:v>15.528846153846153</c:v>
                </c:pt>
                <c:pt idx="39">
                  <c:v>15.9375</c:v>
                </c:pt>
                <c:pt idx="40">
                  <c:v>16.346153846153847</c:v>
                </c:pt>
                <c:pt idx="41">
                  <c:v>16.754807692307693</c:v>
                </c:pt>
                <c:pt idx="42">
                  <c:v>17.16346153846154</c:v>
                </c:pt>
                <c:pt idx="43">
                  <c:v>17.572115384615383</c:v>
                </c:pt>
                <c:pt idx="44">
                  <c:v>17.98076923076923</c:v>
                </c:pt>
                <c:pt idx="45">
                  <c:v>18.389423076923077</c:v>
                </c:pt>
                <c:pt idx="46">
                  <c:v>18.798076923076923</c:v>
                </c:pt>
                <c:pt idx="47">
                  <c:v>19.20673076923077</c:v>
                </c:pt>
                <c:pt idx="48">
                  <c:v>19.615384615384617</c:v>
                </c:pt>
                <c:pt idx="49">
                  <c:v>20.02403846153846</c:v>
                </c:pt>
                <c:pt idx="50">
                  <c:v>20.432692307692307</c:v>
                </c:pt>
                <c:pt idx="51">
                  <c:v>20.841346153846153</c:v>
                </c:pt>
                <c:pt idx="52">
                  <c:v>21.25</c:v>
                </c:pt>
                <c:pt idx="53">
                  <c:v>21.658653846153843</c:v>
                </c:pt>
                <c:pt idx="54">
                  <c:v>22.067307692307693</c:v>
                </c:pt>
                <c:pt idx="55">
                  <c:v>22.47596153846154</c:v>
                </c:pt>
                <c:pt idx="56">
                  <c:v>22.884615384615383</c:v>
                </c:pt>
                <c:pt idx="57">
                  <c:v>23.293269230769234</c:v>
                </c:pt>
                <c:pt idx="58">
                  <c:v>23.701923076923077</c:v>
                </c:pt>
                <c:pt idx="59">
                  <c:v>24.110576923076923</c:v>
                </c:pt>
                <c:pt idx="60">
                  <c:v>24.519230769230766</c:v>
                </c:pt>
                <c:pt idx="61">
                  <c:v>24.927884615384617</c:v>
                </c:pt>
                <c:pt idx="62">
                  <c:v>25.33653846153846</c:v>
                </c:pt>
                <c:pt idx="63">
                  <c:v>25.745192307692307</c:v>
                </c:pt>
                <c:pt idx="64">
                  <c:v>26.153846153846157</c:v>
                </c:pt>
                <c:pt idx="65">
                  <c:v>26.5625</c:v>
                </c:pt>
                <c:pt idx="66">
                  <c:v>26.971153846153843</c:v>
                </c:pt>
                <c:pt idx="67">
                  <c:v>27.379807692307693</c:v>
                </c:pt>
                <c:pt idx="68">
                  <c:v>27.78846153846154</c:v>
                </c:pt>
                <c:pt idx="69">
                  <c:v>28.197115384615383</c:v>
                </c:pt>
                <c:pt idx="70">
                  <c:v>28.605769230769234</c:v>
                </c:pt>
                <c:pt idx="71">
                  <c:v>29.014423076923077</c:v>
                </c:pt>
                <c:pt idx="72">
                  <c:v>29.423076923076923</c:v>
                </c:pt>
                <c:pt idx="73">
                  <c:v>29.831730769230766</c:v>
                </c:pt>
                <c:pt idx="74">
                  <c:v>30.240384615384617</c:v>
                </c:pt>
                <c:pt idx="75">
                  <c:v>30.64903846153846</c:v>
                </c:pt>
                <c:pt idx="76">
                  <c:v>31.057692307692307</c:v>
                </c:pt>
                <c:pt idx="77">
                  <c:v>31.466346153846157</c:v>
                </c:pt>
                <c:pt idx="78">
                  <c:v>31.875</c:v>
                </c:pt>
                <c:pt idx="79">
                  <c:v>32.283653846153847</c:v>
                </c:pt>
                <c:pt idx="80">
                  <c:v>32.692307692307693</c:v>
                </c:pt>
                <c:pt idx="81">
                  <c:v>33.10096153846154</c:v>
                </c:pt>
                <c:pt idx="82">
                  <c:v>33.509615384615387</c:v>
                </c:pt>
                <c:pt idx="83">
                  <c:v>33.918269230769234</c:v>
                </c:pt>
                <c:pt idx="84">
                  <c:v>34.32692307692308</c:v>
                </c:pt>
                <c:pt idx="85">
                  <c:v>34.73557692307692</c:v>
                </c:pt>
                <c:pt idx="86">
                  <c:v>35.144230769230766</c:v>
                </c:pt>
                <c:pt idx="87">
                  <c:v>35.552884615384613</c:v>
                </c:pt>
                <c:pt idx="88">
                  <c:v>35.96153846153846</c:v>
                </c:pt>
                <c:pt idx="89">
                  <c:v>36.370192307692307</c:v>
                </c:pt>
                <c:pt idx="90">
                  <c:v>36.778846153846153</c:v>
                </c:pt>
                <c:pt idx="91">
                  <c:v>37.1875</c:v>
                </c:pt>
                <c:pt idx="92">
                  <c:v>37.596153846153847</c:v>
                </c:pt>
                <c:pt idx="93">
                  <c:v>38.004807692307693</c:v>
                </c:pt>
                <c:pt idx="94">
                  <c:v>38.41346153846154</c:v>
                </c:pt>
                <c:pt idx="95">
                  <c:v>38.822115384615387</c:v>
                </c:pt>
                <c:pt idx="96">
                  <c:v>39.230769230769234</c:v>
                </c:pt>
                <c:pt idx="97">
                  <c:v>39.63942307692308</c:v>
                </c:pt>
                <c:pt idx="98">
                  <c:v>40.04807692307692</c:v>
                </c:pt>
                <c:pt idx="99">
                  <c:v>40.456730769230766</c:v>
                </c:pt>
                <c:pt idx="100">
                  <c:v>40.865384615384613</c:v>
                </c:pt>
                <c:pt idx="101">
                  <c:v>41.27403846153846</c:v>
                </c:pt>
              </c:numCache>
            </c:numRef>
          </c:xVal>
          <c:yVal>
            <c:numRef>
              <c:f>Start_up!$C$10:$C$111</c:f>
              <c:numCache>
                <c:formatCode>0.000</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4</c:v>
                </c:pt>
                <c:pt idx="41">
                  <c:v>4</c:v>
                </c:pt>
                <c:pt idx="42">
                  <c:v>4</c:v>
                </c:pt>
                <c:pt idx="43">
                  <c:v>4</c:v>
                </c:pt>
                <c:pt idx="44">
                  <c:v>4</c:v>
                </c:pt>
                <c:pt idx="45">
                  <c:v>4</c:v>
                </c:pt>
                <c:pt idx="46">
                  <c:v>4</c:v>
                </c:pt>
                <c:pt idx="47">
                  <c:v>4</c:v>
                </c:pt>
                <c:pt idx="48">
                  <c:v>4</c:v>
                </c:pt>
                <c:pt idx="49">
                  <c:v>4</c:v>
                </c:pt>
                <c:pt idx="50">
                  <c:v>4</c:v>
                </c:pt>
                <c:pt idx="51">
                  <c:v>4</c:v>
                </c:pt>
                <c:pt idx="52">
                  <c:v>4</c:v>
                </c:pt>
                <c:pt idx="53">
                  <c:v>4</c:v>
                </c:pt>
                <c:pt idx="54">
                  <c:v>4</c:v>
                </c:pt>
                <c:pt idx="55">
                  <c:v>4</c:v>
                </c:pt>
                <c:pt idx="56">
                  <c:v>4</c:v>
                </c:pt>
                <c:pt idx="57">
                  <c:v>4</c:v>
                </c:pt>
                <c:pt idx="58">
                  <c:v>4</c:v>
                </c:pt>
                <c:pt idx="59">
                  <c:v>4</c:v>
                </c:pt>
                <c:pt idx="60">
                  <c:v>4</c:v>
                </c:pt>
                <c:pt idx="61">
                  <c:v>4</c:v>
                </c:pt>
                <c:pt idx="62">
                  <c:v>4</c:v>
                </c:pt>
                <c:pt idx="63">
                  <c:v>4</c:v>
                </c:pt>
                <c:pt idx="64">
                  <c:v>4</c:v>
                </c:pt>
                <c:pt idx="65">
                  <c:v>4</c:v>
                </c:pt>
                <c:pt idx="66">
                  <c:v>4</c:v>
                </c:pt>
                <c:pt idx="67">
                  <c:v>4</c:v>
                </c:pt>
                <c:pt idx="68">
                  <c:v>4</c:v>
                </c:pt>
                <c:pt idx="69">
                  <c:v>4</c:v>
                </c:pt>
                <c:pt idx="70">
                  <c:v>4</c:v>
                </c:pt>
                <c:pt idx="71">
                  <c:v>4</c:v>
                </c:pt>
                <c:pt idx="72">
                  <c:v>4</c:v>
                </c:pt>
                <c:pt idx="73">
                  <c:v>4</c:v>
                </c:pt>
                <c:pt idx="74">
                  <c:v>4</c:v>
                </c:pt>
                <c:pt idx="75">
                  <c:v>4</c:v>
                </c:pt>
                <c:pt idx="76">
                  <c:v>4</c:v>
                </c:pt>
                <c:pt idx="77">
                  <c:v>4</c:v>
                </c:pt>
                <c:pt idx="78">
                  <c:v>4</c:v>
                </c:pt>
                <c:pt idx="79">
                  <c:v>4</c:v>
                </c:pt>
                <c:pt idx="80">
                  <c:v>4</c:v>
                </c:pt>
                <c:pt idx="81">
                  <c:v>4</c:v>
                </c:pt>
                <c:pt idx="82">
                  <c:v>4</c:v>
                </c:pt>
                <c:pt idx="83">
                  <c:v>4</c:v>
                </c:pt>
                <c:pt idx="84">
                  <c:v>4</c:v>
                </c:pt>
                <c:pt idx="85">
                  <c:v>4</c:v>
                </c:pt>
                <c:pt idx="86">
                  <c:v>4</c:v>
                </c:pt>
                <c:pt idx="87">
                  <c:v>4</c:v>
                </c:pt>
                <c:pt idx="88">
                  <c:v>4</c:v>
                </c:pt>
                <c:pt idx="89">
                  <c:v>4</c:v>
                </c:pt>
                <c:pt idx="90">
                  <c:v>4</c:v>
                </c:pt>
                <c:pt idx="91">
                  <c:v>4</c:v>
                </c:pt>
                <c:pt idx="92">
                  <c:v>4</c:v>
                </c:pt>
                <c:pt idx="93">
                  <c:v>4</c:v>
                </c:pt>
                <c:pt idx="94">
                  <c:v>4</c:v>
                </c:pt>
                <c:pt idx="95">
                  <c:v>4</c:v>
                </c:pt>
                <c:pt idx="96">
                  <c:v>4</c:v>
                </c:pt>
                <c:pt idx="97">
                  <c:v>4</c:v>
                </c:pt>
                <c:pt idx="98">
                  <c:v>4</c:v>
                </c:pt>
                <c:pt idx="99">
                  <c:v>4</c:v>
                </c:pt>
                <c:pt idx="100">
                  <c:v>4</c:v>
                </c:pt>
                <c:pt idx="101">
                  <c:v>4</c:v>
                </c:pt>
              </c:numCache>
            </c:numRef>
          </c:yVal>
          <c:smooth val="1"/>
          <c:extLst>
            <c:ext xmlns:c16="http://schemas.microsoft.com/office/drawing/2014/chart" uri="{C3380CC4-5D6E-409C-BE32-E72D297353CC}">
              <c16:uniqueId val="{00000000-E98A-4CE1-B5A3-CB258CF52C94}"/>
            </c:ext>
          </c:extLst>
        </c:ser>
        <c:ser>
          <c:idx val="1"/>
          <c:order val="1"/>
          <c:tx>
            <c:strRef>
              <c:f>Start_up!$G$7</c:f>
              <c:strCache>
                <c:ptCount val="1"/>
                <c:pt idx="0">
                  <c:v>IFET</c:v>
                </c:pt>
              </c:strCache>
            </c:strRef>
          </c:tx>
          <c:marker>
            <c:symbol val="none"/>
          </c:marker>
          <c:xVal>
            <c:numRef>
              <c:f>Start_up!$B$10:$B$111</c:f>
              <c:numCache>
                <c:formatCode>0.00</c:formatCode>
                <c:ptCount val="102"/>
                <c:pt idx="0">
                  <c:v>0</c:v>
                </c:pt>
                <c:pt idx="1">
                  <c:v>0.4086538461538462</c:v>
                </c:pt>
                <c:pt idx="2">
                  <c:v>0.8173076923076924</c:v>
                </c:pt>
                <c:pt idx="3">
                  <c:v>1.2259615384615385</c:v>
                </c:pt>
                <c:pt idx="4">
                  <c:v>1.6346153846153848</c:v>
                </c:pt>
                <c:pt idx="5">
                  <c:v>2.0432692307692308</c:v>
                </c:pt>
                <c:pt idx="6">
                  <c:v>2.4519230769230771</c:v>
                </c:pt>
                <c:pt idx="7">
                  <c:v>2.8605769230769229</c:v>
                </c:pt>
                <c:pt idx="8">
                  <c:v>3.2692307692307696</c:v>
                </c:pt>
                <c:pt idx="9">
                  <c:v>3.6778846153846154</c:v>
                </c:pt>
                <c:pt idx="10">
                  <c:v>4.0865384615384617</c:v>
                </c:pt>
                <c:pt idx="11">
                  <c:v>4.4951923076923075</c:v>
                </c:pt>
                <c:pt idx="12">
                  <c:v>4.9038461538461542</c:v>
                </c:pt>
                <c:pt idx="13">
                  <c:v>5.3125</c:v>
                </c:pt>
                <c:pt idx="14">
                  <c:v>5.7211538461538458</c:v>
                </c:pt>
                <c:pt idx="15">
                  <c:v>6.1298076923076916</c:v>
                </c:pt>
                <c:pt idx="16">
                  <c:v>6.5384615384615392</c:v>
                </c:pt>
                <c:pt idx="17">
                  <c:v>6.947115384615385</c:v>
                </c:pt>
                <c:pt idx="18">
                  <c:v>7.3557692307692308</c:v>
                </c:pt>
                <c:pt idx="19">
                  <c:v>7.7644230769230766</c:v>
                </c:pt>
                <c:pt idx="20">
                  <c:v>8.1730769230769234</c:v>
                </c:pt>
                <c:pt idx="21">
                  <c:v>8.5817307692307701</c:v>
                </c:pt>
                <c:pt idx="22">
                  <c:v>8.990384615384615</c:v>
                </c:pt>
                <c:pt idx="23">
                  <c:v>9.3990384615384617</c:v>
                </c:pt>
                <c:pt idx="24">
                  <c:v>9.8076923076923084</c:v>
                </c:pt>
                <c:pt idx="25">
                  <c:v>10.216346153846153</c:v>
                </c:pt>
                <c:pt idx="26">
                  <c:v>10.625</c:v>
                </c:pt>
                <c:pt idx="27">
                  <c:v>11.033653846153847</c:v>
                </c:pt>
                <c:pt idx="28">
                  <c:v>11.442307692307692</c:v>
                </c:pt>
                <c:pt idx="29">
                  <c:v>11.850961538461538</c:v>
                </c:pt>
                <c:pt idx="30">
                  <c:v>12.259615384615383</c:v>
                </c:pt>
                <c:pt idx="31">
                  <c:v>12.66826923076923</c:v>
                </c:pt>
                <c:pt idx="32">
                  <c:v>13.076923076923078</c:v>
                </c:pt>
                <c:pt idx="33">
                  <c:v>13.485576923076922</c:v>
                </c:pt>
                <c:pt idx="34">
                  <c:v>13.89423076923077</c:v>
                </c:pt>
                <c:pt idx="35">
                  <c:v>14.302884615384617</c:v>
                </c:pt>
                <c:pt idx="36">
                  <c:v>14.711538461538462</c:v>
                </c:pt>
                <c:pt idx="37">
                  <c:v>15.120192307692308</c:v>
                </c:pt>
                <c:pt idx="38">
                  <c:v>15.528846153846153</c:v>
                </c:pt>
                <c:pt idx="39">
                  <c:v>15.9375</c:v>
                </c:pt>
                <c:pt idx="40">
                  <c:v>16.346153846153847</c:v>
                </c:pt>
                <c:pt idx="41">
                  <c:v>16.754807692307693</c:v>
                </c:pt>
                <c:pt idx="42">
                  <c:v>17.16346153846154</c:v>
                </c:pt>
                <c:pt idx="43">
                  <c:v>17.572115384615383</c:v>
                </c:pt>
                <c:pt idx="44">
                  <c:v>17.98076923076923</c:v>
                </c:pt>
                <c:pt idx="45">
                  <c:v>18.389423076923077</c:v>
                </c:pt>
                <c:pt idx="46">
                  <c:v>18.798076923076923</c:v>
                </c:pt>
                <c:pt idx="47">
                  <c:v>19.20673076923077</c:v>
                </c:pt>
                <c:pt idx="48">
                  <c:v>19.615384615384617</c:v>
                </c:pt>
                <c:pt idx="49">
                  <c:v>20.02403846153846</c:v>
                </c:pt>
                <c:pt idx="50">
                  <c:v>20.432692307692307</c:v>
                </c:pt>
                <c:pt idx="51">
                  <c:v>20.841346153846153</c:v>
                </c:pt>
                <c:pt idx="52">
                  <c:v>21.25</c:v>
                </c:pt>
                <c:pt idx="53">
                  <c:v>21.658653846153843</c:v>
                </c:pt>
                <c:pt idx="54">
                  <c:v>22.067307692307693</c:v>
                </c:pt>
                <c:pt idx="55">
                  <c:v>22.47596153846154</c:v>
                </c:pt>
                <c:pt idx="56">
                  <c:v>22.884615384615383</c:v>
                </c:pt>
                <c:pt idx="57">
                  <c:v>23.293269230769234</c:v>
                </c:pt>
                <c:pt idx="58">
                  <c:v>23.701923076923077</c:v>
                </c:pt>
                <c:pt idx="59">
                  <c:v>24.110576923076923</c:v>
                </c:pt>
                <c:pt idx="60">
                  <c:v>24.519230769230766</c:v>
                </c:pt>
                <c:pt idx="61">
                  <c:v>24.927884615384617</c:v>
                </c:pt>
                <c:pt idx="62">
                  <c:v>25.33653846153846</c:v>
                </c:pt>
                <c:pt idx="63">
                  <c:v>25.745192307692307</c:v>
                </c:pt>
                <c:pt idx="64">
                  <c:v>26.153846153846157</c:v>
                </c:pt>
                <c:pt idx="65">
                  <c:v>26.5625</c:v>
                </c:pt>
                <c:pt idx="66">
                  <c:v>26.971153846153843</c:v>
                </c:pt>
                <c:pt idx="67">
                  <c:v>27.379807692307693</c:v>
                </c:pt>
                <c:pt idx="68">
                  <c:v>27.78846153846154</c:v>
                </c:pt>
                <c:pt idx="69">
                  <c:v>28.197115384615383</c:v>
                </c:pt>
                <c:pt idx="70">
                  <c:v>28.605769230769234</c:v>
                </c:pt>
                <c:pt idx="71">
                  <c:v>29.014423076923077</c:v>
                </c:pt>
                <c:pt idx="72">
                  <c:v>29.423076923076923</c:v>
                </c:pt>
                <c:pt idx="73">
                  <c:v>29.831730769230766</c:v>
                </c:pt>
                <c:pt idx="74">
                  <c:v>30.240384615384617</c:v>
                </c:pt>
                <c:pt idx="75">
                  <c:v>30.64903846153846</c:v>
                </c:pt>
                <c:pt idx="76">
                  <c:v>31.057692307692307</c:v>
                </c:pt>
                <c:pt idx="77">
                  <c:v>31.466346153846157</c:v>
                </c:pt>
                <c:pt idx="78">
                  <c:v>31.875</c:v>
                </c:pt>
                <c:pt idx="79">
                  <c:v>32.283653846153847</c:v>
                </c:pt>
                <c:pt idx="80">
                  <c:v>32.692307692307693</c:v>
                </c:pt>
                <c:pt idx="81">
                  <c:v>33.10096153846154</c:v>
                </c:pt>
                <c:pt idx="82">
                  <c:v>33.509615384615387</c:v>
                </c:pt>
                <c:pt idx="83">
                  <c:v>33.918269230769234</c:v>
                </c:pt>
                <c:pt idx="84">
                  <c:v>34.32692307692308</c:v>
                </c:pt>
                <c:pt idx="85">
                  <c:v>34.73557692307692</c:v>
                </c:pt>
                <c:pt idx="86">
                  <c:v>35.144230769230766</c:v>
                </c:pt>
                <c:pt idx="87">
                  <c:v>35.552884615384613</c:v>
                </c:pt>
                <c:pt idx="88">
                  <c:v>35.96153846153846</c:v>
                </c:pt>
                <c:pt idx="89">
                  <c:v>36.370192307692307</c:v>
                </c:pt>
                <c:pt idx="90">
                  <c:v>36.778846153846153</c:v>
                </c:pt>
                <c:pt idx="91">
                  <c:v>37.1875</c:v>
                </c:pt>
                <c:pt idx="92">
                  <c:v>37.596153846153847</c:v>
                </c:pt>
                <c:pt idx="93">
                  <c:v>38.004807692307693</c:v>
                </c:pt>
                <c:pt idx="94">
                  <c:v>38.41346153846154</c:v>
                </c:pt>
                <c:pt idx="95">
                  <c:v>38.822115384615387</c:v>
                </c:pt>
                <c:pt idx="96">
                  <c:v>39.230769230769234</c:v>
                </c:pt>
                <c:pt idx="97">
                  <c:v>39.63942307692308</c:v>
                </c:pt>
                <c:pt idx="98">
                  <c:v>40.04807692307692</c:v>
                </c:pt>
                <c:pt idx="99">
                  <c:v>40.456730769230766</c:v>
                </c:pt>
                <c:pt idx="100">
                  <c:v>40.865384615384613</c:v>
                </c:pt>
                <c:pt idx="101">
                  <c:v>41.27403846153846</c:v>
                </c:pt>
              </c:numCache>
            </c:numRef>
          </c:xVal>
          <c:yVal>
            <c:numRef>
              <c:f>Start_up!$G$10:$G$112</c:f>
              <c:numCache>
                <c:formatCode>General</c:formatCode>
                <c:ptCount val="103"/>
                <c:pt idx="0">
                  <c:v>2.9883011764705882</c:v>
                </c:pt>
                <c:pt idx="1">
                  <c:v>3.0173138092518563</c:v>
                </c:pt>
                <c:pt idx="2">
                  <c:v>3.0468953171856983</c:v>
                </c:pt>
                <c:pt idx="3">
                  <c:v>3.0770625975538732</c:v>
                </c:pt>
                <c:pt idx="4">
                  <c:v>3.1078332235294122</c:v>
                </c:pt>
                <c:pt idx="5">
                  <c:v>3.1392254783125377</c:v>
                </c:pt>
                <c:pt idx="6">
                  <c:v>3.1712583913565431</c:v>
                </c:pt>
                <c:pt idx="7">
                  <c:v>3.2039517768344452</c:v>
                </c:pt>
                <c:pt idx="8">
                  <c:v>3.2373262745098037</c:v>
                </c:pt>
                <c:pt idx="9">
                  <c:v>3.2714033931888546</c:v>
                </c:pt>
                <c:pt idx="10">
                  <c:v>3.3062055569461828</c:v>
                </c:pt>
                <c:pt idx="11">
                  <c:v>3.341756154332701</c:v>
                </c:pt>
                <c:pt idx="12">
                  <c:v>3.3780795907928391</c:v>
                </c:pt>
                <c:pt idx="13">
                  <c:v>3.4152013445378153</c:v>
                </c:pt>
                <c:pt idx="14">
                  <c:v>3.4531480261437912</c:v>
                </c:pt>
                <c:pt idx="15">
                  <c:v>3.4919474421678789</c:v>
                </c:pt>
                <c:pt idx="16">
                  <c:v>3.5316286631016047</c:v>
                </c:pt>
                <c:pt idx="17">
                  <c:v>3.5722220960108184</c:v>
                </c:pt>
                <c:pt idx="18">
                  <c:v>3.6137595622435024</c:v>
                </c:pt>
                <c:pt idx="19">
                  <c:v>3.6562743806228379</c:v>
                </c:pt>
                <c:pt idx="20">
                  <c:v>3.6998014565826329</c:v>
                </c:pt>
                <c:pt idx="21">
                  <c:v>3.7443773777462801</c:v>
                </c:pt>
                <c:pt idx="22">
                  <c:v>3.7900405164992828</c:v>
                </c:pt>
                <c:pt idx="23">
                  <c:v>3.8368311401597675</c:v>
                </c:pt>
                <c:pt idx="24">
                  <c:v>3.884791529411765</c:v>
                </c:pt>
                <c:pt idx="25">
                  <c:v>3.933966105733433</c:v>
                </c:pt>
                <c:pt idx="26">
                  <c:v>3.9844015686274514</c:v>
                </c:pt>
                <c:pt idx="27">
                  <c:v>4.0361470435446911</c:v>
                </c:pt>
                <c:pt idx="28">
                  <c:v>4.0892542414860689</c:v>
                </c:pt>
                <c:pt idx="29">
                  <c:v>4.1437776313725498</c:v>
                </c:pt>
                <c:pt idx="30">
                  <c:v>4.1997746263910969</c:v>
                </c:pt>
                <c:pt idx="31">
                  <c:v>4.2573057856567287</c:v>
                </c:pt>
                <c:pt idx="32">
                  <c:v>4.3164350326797392</c:v>
                </c:pt>
                <c:pt idx="33">
                  <c:v>4.3772298922949462</c:v>
                </c:pt>
                <c:pt idx="34">
                  <c:v>4.4397617478991602</c:v>
                </c:pt>
                <c:pt idx="35">
                  <c:v>4.5041061210571192</c:v>
                </c:pt>
                <c:pt idx="36">
                  <c:v>4.570342975778547</c:v>
                </c:pt>
                <c:pt idx="37">
                  <c:v>4.6385570500438984</c:v>
                </c:pt>
                <c:pt idx="38">
                  <c:v>4.7088382174688057</c:v>
                </c:pt>
                <c:pt idx="39">
                  <c:v>4.7812818823529417</c:v>
                </c:pt>
                <c:pt idx="40">
                  <c:v>4.855989411764706</c:v>
                </c:pt>
                <c:pt idx="41">
                  <c:v>4.9330686087768445</c:v>
                </c:pt>
                <c:pt idx="42">
                  <c:v>5.0126342314990522</c:v>
                </c:pt>
                <c:pt idx="43">
                  <c:v>5.09480856316297</c:v>
                </c:pt>
                <c:pt idx="44">
                  <c:v>5.1797220392156866</c:v>
                </c:pt>
                <c:pt idx="45">
                  <c:v>5.2675139381854441</c:v>
                </c:pt>
                <c:pt idx="46">
                  <c:v>5.3583331440162274</c:v>
                </c:pt>
                <c:pt idx="47">
                  <c:v>5.4523389886480915</c:v>
                </c:pt>
                <c:pt idx="48">
                  <c:v>5.5497021848739498</c:v>
                </c:pt>
                <c:pt idx="49">
                  <c:v>5.6506058609625667</c:v>
                </c:pt>
                <c:pt idx="50">
                  <c:v>5.7552467102396516</c:v>
                </c:pt>
                <c:pt idx="51">
                  <c:v>5.8638362708102107</c:v>
                </c:pt>
                <c:pt idx="52">
                  <c:v>5.9766023529411765</c:v>
                </c:pt>
                <c:pt idx="53">
                  <c:v>6.0937906343713948</c:v>
                </c:pt>
                <c:pt idx="54">
                  <c:v>6.2156664470588243</c:v>
                </c:pt>
                <c:pt idx="55">
                  <c:v>6.3425167827130862</c:v>
                </c:pt>
                <c:pt idx="56">
                  <c:v>6.4746525490196074</c:v>
                </c:pt>
                <c:pt idx="57">
                  <c:v>6.6124111138923665</c:v>
                </c:pt>
                <c:pt idx="58">
                  <c:v>6.7561591815856783</c:v>
                </c:pt>
                <c:pt idx="59">
                  <c:v>6.9062960522875825</c:v>
                </c:pt>
                <c:pt idx="60">
                  <c:v>7.0632573262032077</c:v>
                </c:pt>
                <c:pt idx="61">
                  <c:v>7.2275191244870047</c:v>
                </c:pt>
                <c:pt idx="62">
                  <c:v>7.3996029131652659</c:v>
                </c:pt>
                <c:pt idx="63">
                  <c:v>7.5800810329985655</c:v>
                </c:pt>
                <c:pt idx="64">
                  <c:v>7.7695830588235317</c:v>
                </c:pt>
                <c:pt idx="65">
                  <c:v>7.9688031372549029</c:v>
                </c:pt>
                <c:pt idx="66">
                  <c:v>8.178508482972136</c:v>
                </c:pt>
                <c:pt idx="67">
                  <c:v>8.3995492527821956</c:v>
                </c:pt>
                <c:pt idx="68">
                  <c:v>8.6328700653594783</c:v>
                </c:pt>
                <c:pt idx="69">
                  <c:v>8.8795234957983187</c:v>
                </c:pt>
                <c:pt idx="70">
                  <c:v>9.1406859515570957</c:v>
                </c:pt>
                <c:pt idx="71">
                  <c:v>9.4176764349376114</c:v>
                </c:pt>
                <c:pt idx="72">
                  <c:v>9.711978823529412</c:v>
                </c:pt>
                <c:pt idx="73">
                  <c:v>10.025268462998101</c:v>
                </c:pt>
                <c:pt idx="74">
                  <c:v>10.359444078431375</c:v>
                </c:pt>
                <c:pt idx="75">
                  <c:v>10.716666288032453</c:v>
                </c:pt>
                <c:pt idx="76">
                  <c:v>11.099404369747898</c:v>
                </c:pt>
                <c:pt idx="77">
                  <c:v>11.510493420479307</c:v>
                </c:pt>
                <c:pt idx="78">
                  <c:v>11.953204705882353</c:v>
                </c:pt>
                <c:pt idx="79">
                  <c:v>12.431332894117649</c:v>
                </c:pt>
                <c:pt idx="80">
                  <c:v>12.949305098039218</c:v>
                </c:pt>
                <c:pt idx="81">
                  <c:v>13.512318363171358</c:v>
                </c:pt>
                <c:pt idx="82">
                  <c:v>14.126514652406421</c:v>
                </c:pt>
                <c:pt idx="83">
                  <c:v>14.799205826330537</c:v>
                </c:pt>
                <c:pt idx="84">
                  <c:v>15.539166117647065</c:v>
                </c:pt>
                <c:pt idx="85">
                  <c:v>16.357016965944265</c:v>
                </c:pt>
                <c:pt idx="86">
                  <c:v>17.26574013071895</c:v>
                </c:pt>
                <c:pt idx="87">
                  <c:v>18.281371903114181</c:v>
                </c:pt>
                <c:pt idx="88">
                  <c:v>19.42395764705882</c:v>
                </c:pt>
                <c:pt idx="89">
                  <c:v>20.718888156862743</c:v>
                </c:pt>
                <c:pt idx="90">
                  <c:v>22.198808739495796</c:v>
                </c:pt>
                <c:pt idx="91">
                  <c:v>22.797499999999999</c:v>
                </c:pt>
                <c:pt idx="92">
                  <c:v>22.797499999999999</c:v>
                </c:pt>
                <c:pt idx="93">
                  <c:v>22.797499999999999</c:v>
                </c:pt>
                <c:pt idx="94">
                  <c:v>22.797499999999999</c:v>
                </c:pt>
                <c:pt idx="95">
                  <c:v>22.797499999999999</c:v>
                </c:pt>
                <c:pt idx="96">
                  <c:v>22.797499999999999</c:v>
                </c:pt>
                <c:pt idx="97">
                  <c:v>22.797499999999999</c:v>
                </c:pt>
                <c:pt idx="98">
                  <c:v>22.797499999999999</c:v>
                </c:pt>
                <c:pt idx="99">
                  <c:v>22.797499999999999</c:v>
                </c:pt>
                <c:pt idx="100">
                  <c:v>22.797499999999999</c:v>
                </c:pt>
                <c:pt idx="101">
                  <c:v>22.797499999999999</c:v>
                </c:pt>
                <c:pt idx="102">
                  <c:v>22.797499999999999</c:v>
                </c:pt>
              </c:numCache>
            </c:numRef>
          </c:yVal>
          <c:smooth val="1"/>
          <c:extLst>
            <c:ext xmlns:c16="http://schemas.microsoft.com/office/drawing/2014/chart" uri="{C3380CC4-5D6E-409C-BE32-E72D297353CC}">
              <c16:uniqueId val="{00000001-E98A-4CE1-B5A3-CB258CF52C94}"/>
            </c:ext>
          </c:extLst>
        </c:ser>
        <c:dLbls>
          <c:showLegendKey val="0"/>
          <c:showVal val="0"/>
          <c:showCatName val="0"/>
          <c:showSerName val="0"/>
          <c:showPercent val="0"/>
          <c:showBubbleSize val="0"/>
        </c:dLbls>
        <c:axId val="340069376"/>
        <c:axId val="340100224"/>
      </c:scatterChart>
      <c:valAx>
        <c:axId val="340069376"/>
        <c:scaling>
          <c:orientation val="minMax"/>
        </c:scaling>
        <c:delete val="0"/>
        <c:axPos val="b"/>
        <c:majorGridlines/>
        <c:minorGridlines/>
        <c:title>
          <c:tx>
            <c:rich>
              <a:bodyPr/>
              <a:lstStyle/>
              <a:p>
                <a:pPr>
                  <a:defRPr/>
                </a:pPr>
                <a:r>
                  <a:rPr lang="en-US"/>
                  <a:t>Output</a:t>
                </a:r>
                <a:r>
                  <a:rPr lang="en-US" baseline="0"/>
                  <a:t> Voltage (V)</a:t>
                </a:r>
                <a:endParaRPr lang="en-US"/>
              </a:p>
            </c:rich>
          </c:tx>
          <c:layout>
            <c:manualLayout>
              <c:xMode val="edge"/>
              <c:yMode val="edge"/>
              <c:x val="0.40914479681091759"/>
              <c:y val="0.92545001031614371"/>
            </c:manualLayout>
          </c:layout>
          <c:overlay val="0"/>
        </c:title>
        <c:numFmt formatCode="0.00" sourceLinked="1"/>
        <c:majorTickMark val="out"/>
        <c:minorTickMark val="none"/>
        <c:tickLblPos val="nextTo"/>
        <c:txPr>
          <a:bodyPr/>
          <a:lstStyle/>
          <a:p>
            <a:pPr>
              <a:defRPr b="1"/>
            </a:pPr>
            <a:endParaRPr lang="en-US"/>
          </a:p>
        </c:txPr>
        <c:crossAx val="340100224"/>
        <c:crosses val="autoZero"/>
        <c:crossBetween val="midCat"/>
      </c:valAx>
      <c:valAx>
        <c:axId val="340100224"/>
        <c:scaling>
          <c:orientation val="minMax"/>
          <c:min val="0"/>
        </c:scaling>
        <c:delete val="0"/>
        <c:axPos val="l"/>
        <c:majorGridlines/>
        <c:minorGridlines/>
        <c:title>
          <c:tx>
            <c:rich>
              <a:bodyPr rot="-5400000" vert="horz"/>
              <a:lstStyle/>
              <a:p>
                <a:pPr>
                  <a:defRPr/>
                </a:pPr>
                <a:r>
                  <a:rPr lang="en-US"/>
                  <a:t>Current (A)</a:t>
                </a:r>
              </a:p>
            </c:rich>
          </c:tx>
          <c:layout>
            <c:manualLayout>
              <c:xMode val="edge"/>
              <c:yMode val="edge"/>
              <c:x val="2.5894125229633976E-2"/>
              <c:y val="0.40230013499530876"/>
            </c:manualLayout>
          </c:layout>
          <c:overlay val="0"/>
        </c:title>
        <c:numFmt formatCode="0.00" sourceLinked="0"/>
        <c:majorTickMark val="out"/>
        <c:minorTickMark val="none"/>
        <c:tickLblPos val="nextTo"/>
        <c:txPr>
          <a:bodyPr/>
          <a:lstStyle/>
          <a:p>
            <a:pPr>
              <a:defRPr b="1"/>
            </a:pPr>
            <a:endParaRPr lang="en-US"/>
          </a:p>
        </c:txPr>
        <c:crossAx val="340069376"/>
        <c:crosses val="autoZero"/>
        <c:crossBetween val="midCat"/>
      </c:valAx>
    </c:plotArea>
    <c:legend>
      <c:legendPos val="r"/>
      <c:layout>
        <c:manualLayout>
          <c:xMode val="edge"/>
          <c:yMode val="edge"/>
          <c:x val="0.69663816666481315"/>
          <c:y val="0.3081804569940747"/>
          <c:w val="0.21462230092985587"/>
          <c:h val="0.18516649249275954"/>
        </c:manualLayout>
      </c:layout>
      <c:overlay val="0"/>
      <c:spPr>
        <a:solidFill>
          <a:sysClr val="window" lastClr="FFFFFF"/>
        </a:solidFill>
        <a:ln>
          <a:solidFill>
            <a:schemeClr val="tx1"/>
          </a:solidFill>
        </a:ln>
      </c:spPr>
      <c:txPr>
        <a:bodyPr/>
        <a:lstStyle/>
        <a:p>
          <a:pPr>
            <a:defRPr>
              <a:ln>
                <a:solidFill>
                  <a:sysClr val="windowText" lastClr="000000"/>
                </a:solidFill>
              </a:ln>
            </a:defRPr>
          </a:pPr>
          <a:endParaRPr lang="en-US"/>
        </a:p>
      </c:txPr>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marL="0" marR="0" indent="0" algn="ctr" defTabSz="914400" rtl="0" eaLnBrk="1" fontAlgn="auto" latinLnBrk="0" hangingPunct="1">
              <a:lnSpc>
                <a:spcPct val="100000"/>
              </a:lnSpc>
              <a:spcBef>
                <a:spcPts val="0"/>
              </a:spcBef>
              <a:spcAft>
                <a:spcPts val="0"/>
              </a:spcAft>
              <a:buClrTx/>
              <a:buSzTx/>
              <a:buFontTx/>
              <a:buNone/>
              <a:tabLst/>
              <a:defRPr sz="1800" b="1" i="0" u="none" strike="noStrike" kern="1200" baseline="0">
                <a:solidFill>
                  <a:sysClr val="windowText" lastClr="000000"/>
                </a:solidFill>
                <a:latin typeface="+mn-lt"/>
                <a:ea typeface="+mn-ea"/>
                <a:cs typeface="+mn-cs"/>
              </a:defRPr>
            </a:pPr>
            <a:r>
              <a:rPr lang="en-US" sz="1600"/>
              <a:t>Start</a:t>
            </a:r>
            <a:r>
              <a:rPr lang="en-US" sz="1600" baseline="0"/>
              <a:t> - up: </a:t>
            </a:r>
            <a:r>
              <a:rPr lang="en-US" sz="1600"/>
              <a:t>FET</a:t>
            </a:r>
            <a:r>
              <a:rPr lang="en-US" sz="1600" baseline="0"/>
              <a:t> Power (</a:t>
            </a:r>
            <a:r>
              <a:rPr lang="en-US" sz="1600" b="1" i="0" u="none" strike="noStrike" baseline="0">
                <a:effectLst/>
              </a:rPr>
              <a:t>V</a:t>
            </a:r>
            <a:r>
              <a:rPr lang="en-US" sz="1600" b="1" i="0" u="none" strike="noStrike" baseline="-25000">
                <a:effectLst/>
              </a:rPr>
              <a:t>IN</a:t>
            </a:r>
            <a:r>
              <a:rPr lang="en-US" sz="1600" b="1" i="0" u="none" strike="noStrike" baseline="0">
                <a:effectLst/>
              </a:rPr>
              <a:t> = </a:t>
            </a:r>
            <a:r>
              <a:rPr lang="en-US" sz="1600" b="1" i="0" baseline="0">
                <a:effectLst/>
              </a:rPr>
              <a:t>V</a:t>
            </a:r>
            <a:r>
              <a:rPr lang="en-US" sz="1600" b="1" i="0" baseline="-25000">
                <a:effectLst/>
              </a:rPr>
              <a:t>INMAX</a:t>
            </a:r>
            <a:r>
              <a:rPr lang="en-US" sz="1600" b="1" i="0" u="none" strike="noStrike" baseline="0">
                <a:effectLst/>
              </a:rPr>
              <a:t>)</a:t>
            </a:r>
            <a:endParaRPr lang="en-US" sz="1600"/>
          </a:p>
        </c:rich>
      </c:tx>
      <c:layout>
        <c:manualLayout>
          <c:xMode val="edge"/>
          <c:yMode val="edge"/>
          <c:x val="0.17168280846180337"/>
          <c:y val="4.7012757938160914E-3"/>
        </c:manualLayout>
      </c:layout>
      <c:overlay val="0"/>
      <c:spPr>
        <a:solidFill>
          <a:schemeClr val="bg1"/>
        </a:solidFill>
      </c:spPr>
    </c:title>
    <c:autoTitleDeleted val="0"/>
    <c:plotArea>
      <c:layout>
        <c:manualLayout>
          <c:layoutTarget val="inner"/>
          <c:xMode val="edge"/>
          <c:yMode val="edge"/>
          <c:x val="0.13282996456702728"/>
          <c:y val="0.1721780614790322"/>
          <c:w val="0.77382819618555254"/>
          <c:h val="0.62754538725316988"/>
        </c:manualLayout>
      </c:layout>
      <c:scatterChart>
        <c:scatterStyle val="lineMarker"/>
        <c:varyColors val="0"/>
        <c:ser>
          <c:idx val="0"/>
          <c:order val="0"/>
          <c:tx>
            <c:v>FET power dissipation</c:v>
          </c:tx>
          <c:marker>
            <c:symbol val="none"/>
          </c:marker>
          <c:xVal>
            <c:numRef>
              <c:f>Start_up!$K$8:$K$115</c:f>
              <c:numCache>
                <c:formatCode>0.00</c:formatCode>
                <c:ptCount val="108"/>
                <c:pt idx="0" formatCode="0.0">
                  <c:v>-1</c:v>
                </c:pt>
                <c:pt idx="1">
                  <c:v>-0.01</c:v>
                </c:pt>
                <c:pt idx="2" formatCode="0.0">
                  <c:v>0</c:v>
                </c:pt>
                <c:pt idx="3" formatCode="0.0">
                  <c:v>2.9795988033521063E-2</c:v>
                </c:pt>
                <c:pt idx="4" formatCode="0.0">
                  <c:v>5.9302694629823474E-2</c:v>
                </c:pt>
                <c:pt idx="5" formatCode="0.0">
                  <c:v>8.8520119788907226E-2</c:v>
                </c:pt>
                <c:pt idx="6" formatCode="0.0">
                  <c:v>0.11744826351077234</c:v>
                </c:pt>
                <c:pt idx="7" formatCode="0.0">
                  <c:v>0.1460871257954188</c:v>
                </c:pt>
                <c:pt idx="8" formatCode="0.0">
                  <c:v>0.17443670664284661</c:v>
                </c:pt>
                <c:pt idx="9" formatCode="0.0">
                  <c:v>0.20249700605305573</c:v>
                </c:pt>
                <c:pt idx="10" formatCode="0.0">
                  <c:v>0.23026802402604629</c:v>
                </c:pt>
                <c:pt idx="11" formatCode="0.0">
                  <c:v>0.25774976056181809</c:v>
                </c:pt>
                <c:pt idx="12" formatCode="0.0">
                  <c:v>0.28494221566037137</c:v>
                </c:pt>
                <c:pt idx="13" formatCode="0.0">
                  <c:v>0.31184538932170591</c:v>
                </c:pt>
                <c:pt idx="14" formatCode="0.0">
                  <c:v>0.33845928154582183</c:v>
                </c:pt>
                <c:pt idx="15" formatCode="0.0">
                  <c:v>0.36478389233271902</c:v>
                </c:pt>
                <c:pt idx="16" formatCode="0.0">
                  <c:v>0.39081922168239763</c:v>
                </c:pt>
                <c:pt idx="17" formatCode="0.0">
                  <c:v>0.41656526959485751</c:v>
                </c:pt>
                <c:pt idx="18" formatCode="0.0">
                  <c:v>0.44202203607009893</c:v>
                </c:pt>
                <c:pt idx="19" formatCode="0.0">
                  <c:v>0.46718952110812156</c:v>
                </c:pt>
                <c:pt idx="20" formatCode="0.0">
                  <c:v>0.49206772470892557</c:v>
                </c:pt>
                <c:pt idx="21" formatCode="0.0">
                  <c:v>0.51665664687251089</c:v>
                </c:pt>
                <c:pt idx="22" formatCode="0.0">
                  <c:v>0.54095628759887748</c:v>
                </c:pt>
                <c:pt idx="23" formatCode="0.0">
                  <c:v>0.56496664688802567</c:v>
                </c:pt>
                <c:pt idx="24" formatCode="0.0">
                  <c:v>0.58868772473995501</c:v>
                </c:pt>
                <c:pt idx="25" formatCode="0.0">
                  <c:v>0.61211952115466572</c:v>
                </c:pt>
                <c:pt idx="26" formatCode="0.0">
                  <c:v>0.63526203613215781</c:v>
                </c:pt>
                <c:pt idx="27" formatCode="0.0">
                  <c:v>0.65811526967243117</c:v>
                </c:pt>
                <c:pt idx="28" formatCode="0.0">
                  <c:v>0.68067922177548601</c:v>
                </c:pt>
                <c:pt idx="29" formatCode="0.0">
                  <c:v>0.70295389244132223</c:v>
                </c:pt>
                <c:pt idx="30" formatCode="0.0">
                  <c:v>0.72493928166993959</c:v>
                </c:pt>
                <c:pt idx="31" formatCode="0.0">
                  <c:v>0.74663538946133845</c:v>
                </c:pt>
                <c:pt idx="32" formatCode="0.0">
                  <c:v>0.76804221581551857</c:v>
                </c:pt>
                <c:pt idx="33" formatCode="0.0">
                  <c:v>0.78915976073248018</c:v>
                </c:pt>
                <c:pt idx="34" formatCode="0.0">
                  <c:v>0.80998802421222316</c:v>
                </c:pt>
                <c:pt idx="35" formatCode="0.0">
                  <c:v>0.83052700625474718</c:v>
                </c:pt>
                <c:pt idx="36" formatCode="0.0">
                  <c:v>0.85077670686005291</c:v>
                </c:pt>
                <c:pt idx="37" formatCode="0.0">
                  <c:v>0.87073712602813991</c:v>
                </c:pt>
                <c:pt idx="38" formatCode="0.0">
                  <c:v>0.89040826375900806</c:v>
                </c:pt>
                <c:pt idx="39" formatCode="0.0">
                  <c:v>0.9097901200526578</c:v>
                </c:pt>
                <c:pt idx="40" formatCode="0.0">
                  <c:v>0.92888269490908859</c:v>
                </c:pt>
                <c:pt idx="41" formatCode="0.0">
                  <c:v>0.94768598832830098</c:v>
                </c:pt>
                <c:pt idx="42" formatCode="0.0">
                  <c:v>1.052715145135861</c:v>
                </c:pt>
                <c:pt idx="43" formatCode="0.0">
                  <c:v>1.14906802348604</c:v>
                </c:pt>
                <c:pt idx="44" formatCode="0.0">
                  <c:v>1.2378501753798756</c:v>
                </c:pt>
                <c:pt idx="45" formatCode="0.0">
                  <c:v>1.3199685010660647</c:v>
                </c:pt>
                <c:pt idx="46" formatCode="0.0">
                  <c:v>1.3961761526698415</c:v>
                </c:pt>
                <c:pt idx="47" formatCode="0.0">
                  <c:v>1.4671054288264029</c:v>
                </c:pt>
                <c:pt idx="48" formatCode="0.0">
                  <c:v>1.5332923186552301</c:v>
                </c:pt>
                <c:pt idx="49" formatCode="0.0">
                  <c:v>1.5951951160438298</c:v>
                </c:pt>
                <c:pt idx="50" formatCode="0.0">
                  <c:v>1.6532087441017647</c:v>
                </c:pt>
                <c:pt idx="51" formatCode="0.0">
                  <c:v>1.7076759238689667</c:v>
                </c:pt>
                <c:pt idx="52" formatCode="0.0">
                  <c:v>1.7588959863418774</c:v>
                </c:pt>
                <c:pt idx="53" formatCode="0.0">
                  <c:v>1.8071319003874631</c:v>
                </c:pt>
                <c:pt idx="54" formatCode="0.0">
                  <c:v>1.8526159331369283</c:v>
                </c:pt>
                <c:pt idx="55" formatCode="0.0">
                  <c:v>1.8955542502150524</c:v>
                </c:pt>
                <c:pt idx="56" formatCode="0.0">
                  <c:v>1.9361306854782165</c:v>
                </c:pt>
                <c:pt idx="57" formatCode="0.0">
                  <c:v>1.974509853908216</c:v>
                </c:pt>
                <c:pt idx="58" formatCode="0.0">
                  <c:v>2.0108397403763036</c:v>
                </c:pt>
                <c:pt idx="59" formatCode="0.0">
                  <c:v>2.0452538667271498</c:v>
                </c:pt>
                <c:pt idx="60" formatCode="0.0">
                  <c:v>2.0778731170064906</c:v>
                </c:pt>
                <c:pt idx="61" formatCode="0.0">
                  <c:v>2.1088072835663914</c:v>
                </c:pt>
                <c:pt idx="62" formatCode="0.0">
                  <c:v>2.138156383749652</c:v>
                </c:pt>
                <c:pt idx="63" formatCode="0.0">
                  <c:v>2.1660117868274371</c:v>
                </c:pt>
                <c:pt idx="64" formatCode="0.0">
                  <c:v>2.1924571830840662</c:v>
                </c:pt>
                <c:pt idx="65" formatCode="0.0">
                  <c:v>2.2175694208589039</c:v>
                </c:pt>
                <c:pt idx="66" formatCode="0.0">
                  <c:v>2.2414192325624573</c:v>
                </c:pt>
                <c:pt idx="67" formatCode="0.0">
                  <c:v>2.2640718668818378</c:v>
                </c:pt>
                <c:pt idx="68" formatCode="0.0">
                  <c:v>2.2855876413550056</c:v>
                </c:pt>
                <c:pt idx="69" formatCode="0.0">
                  <c:v>2.3060224270542435</c:v>
                </c:pt>
                <c:pt idx="70" formatCode="0.0">
                  <c:v>2.3254280751482983</c:v>
                </c:pt>
                <c:pt idx="71" formatCode="0.0">
                  <c:v>2.3438527935109126</c:v>
                </c:pt>
                <c:pt idx="72" formatCode="0.0">
                  <c:v>2.361341480235029</c:v>
                </c:pt>
                <c:pt idx="73" formatCode="0.0">
                  <c:v>2.3779360198376658</c:v>
                </c:pt>
                <c:pt idx="74" formatCode="0.0">
                  <c:v>2.3936755470543121</c:v>
                </c:pt>
                <c:pt idx="75" formatCode="0.0">
                  <c:v>2.408596682387278</c:v>
                </c:pt>
                <c:pt idx="76" formatCode="0.0">
                  <c:v>2.4227337429612934</c:v>
                </c:pt>
                <c:pt idx="77" formatCode="0.0">
                  <c:v>2.4361189317288274</c:v>
                </c:pt>
                <c:pt idx="78" formatCode="0.0">
                  <c:v>2.4487825076390748</c:v>
                </c:pt>
                <c:pt idx="79" formatCode="0.0">
                  <c:v>2.4607529390236098</c:v>
                </c:pt>
                <c:pt idx="80" formatCode="0.0">
                  <c:v>2.4720570421466377</c:v>
                </c:pt>
                <c:pt idx="81" formatCode="0.0">
                  <c:v>2.4827201066090279</c:v>
                </c:pt>
                <c:pt idx="82" formatCode="0.0">
                  <c:v>2.4927660090750803</c:v>
                </c:pt>
                <c:pt idx="83" formatCode="0.0">
                  <c:v>2.5022173166030037</c:v>
                </c:pt>
                <c:pt idx="84" formatCode="0.0">
                  <c:v>2.5110953806990728</c:v>
                </c:pt>
                <c:pt idx="85" formatCode="0.0">
                  <c:v>2.5194204230771557</c:v>
                </c:pt>
                <c:pt idx="86" formatCode="0.0">
                  <c:v>2.5272116139862075</c:v>
                </c:pt>
                <c:pt idx="87" formatCode="0.0">
                  <c:v>2.5344871438654346</c:v>
                </c:pt>
                <c:pt idx="88" formatCode="0.0">
                  <c:v>2.541264288997779</c:v>
                </c:pt>
                <c:pt idx="89" formatCode="0.0">
                  <c:v>2.547559471754993</c:v>
                </c:pt>
                <c:pt idx="90" formatCode="0.0">
                  <c:v>2.553388315960293</c:v>
                </c:pt>
                <c:pt idx="91" formatCode="0.0">
                  <c:v>2.5587656978358302</c:v>
                </c:pt>
                <c:pt idx="92" formatCode="0.0">
                  <c:v>2.5637057929508877</c:v>
                </c:pt>
                <c:pt idx="93" formatCode="0.0">
                  <c:v>2.5684885484318745</c:v>
                </c:pt>
                <c:pt idx="94" formatCode="0.0">
                  <c:v>2.5732713039128612</c:v>
                </c:pt>
                <c:pt idx="95" formatCode="0.0">
                  <c:v>2.5780540593938479</c:v>
                </c:pt>
                <c:pt idx="96" formatCode="0.0">
                  <c:v>2.5828368148748351</c:v>
                </c:pt>
                <c:pt idx="97" formatCode="0.0">
                  <c:v>2.5876195703558218</c:v>
                </c:pt>
                <c:pt idx="98" formatCode="0.0">
                  <c:v>2.5924023258368085</c:v>
                </c:pt>
                <c:pt idx="99" formatCode="0.0">
                  <c:v>2.5971850813177957</c:v>
                </c:pt>
                <c:pt idx="100" formatCode="0.0">
                  <c:v>2.601967836798782</c:v>
                </c:pt>
                <c:pt idx="101" formatCode="0.0">
                  <c:v>2.6067505922797687</c:v>
                </c:pt>
                <c:pt idx="102" formatCode="0.0">
                  <c:v>2.6115333477607554</c:v>
                </c:pt>
                <c:pt idx="103" formatCode="0.0">
                  <c:v>2.6163161032417426</c:v>
                </c:pt>
                <c:pt idx="104" formatCode="0.0">
                  <c:v>2.6210988587227293</c:v>
                </c:pt>
                <c:pt idx="105" formatCode="0.0">
                  <c:v>2.625881614203716</c:v>
                </c:pt>
                <c:pt idx="106" formatCode="0.0">
                  <c:v>2.6306643696847032</c:v>
                </c:pt>
                <c:pt idx="107" formatCode="0.0">
                  <c:v>3.1306643696847032</c:v>
                </c:pt>
              </c:numCache>
            </c:numRef>
          </c:xVal>
          <c:yVal>
            <c:numRef>
              <c:f>Start_up!$O$8:$O$115</c:f>
              <c:numCache>
                <c:formatCode>General</c:formatCode>
                <c:ptCount val="108"/>
                <c:pt idx="0">
                  <c:v>0</c:v>
                </c:pt>
                <c:pt idx="1">
                  <c:v>0</c:v>
                </c:pt>
                <c:pt idx="2">
                  <c:v>127.00279999999999</c:v>
                </c:pt>
                <c:pt idx="3">
                  <c:v>127.00280000000001</c:v>
                </c:pt>
                <c:pt idx="4">
                  <c:v>127.00280000000002</c:v>
                </c:pt>
                <c:pt idx="5">
                  <c:v>127.00280000000001</c:v>
                </c:pt>
                <c:pt idx="6">
                  <c:v>127.00280000000001</c:v>
                </c:pt>
                <c:pt idx="7">
                  <c:v>127.00280000000002</c:v>
                </c:pt>
                <c:pt idx="8">
                  <c:v>127.00280000000001</c:v>
                </c:pt>
                <c:pt idx="9">
                  <c:v>127.00280000000001</c:v>
                </c:pt>
                <c:pt idx="10">
                  <c:v>127.00279999999999</c:v>
                </c:pt>
                <c:pt idx="11">
                  <c:v>127.00280000000001</c:v>
                </c:pt>
                <c:pt idx="12">
                  <c:v>127.00280000000001</c:v>
                </c:pt>
                <c:pt idx="13">
                  <c:v>127.00280000000001</c:v>
                </c:pt>
                <c:pt idx="14">
                  <c:v>127.00280000000001</c:v>
                </c:pt>
                <c:pt idx="15">
                  <c:v>127.00280000000001</c:v>
                </c:pt>
                <c:pt idx="16">
                  <c:v>127.00280000000001</c:v>
                </c:pt>
                <c:pt idx="17">
                  <c:v>127.00280000000001</c:v>
                </c:pt>
                <c:pt idx="18">
                  <c:v>127.00280000000001</c:v>
                </c:pt>
                <c:pt idx="19">
                  <c:v>127.00280000000001</c:v>
                </c:pt>
                <c:pt idx="20">
                  <c:v>127.00280000000001</c:v>
                </c:pt>
                <c:pt idx="21">
                  <c:v>127.00280000000001</c:v>
                </c:pt>
                <c:pt idx="22">
                  <c:v>127.00280000000001</c:v>
                </c:pt>
                <c:pt idx="23">
                  <c:v>127.00280000000001</c:v>
                </c:pt>
                <c:pt idx="24">
                  <c:v>127.00280000000001</c:v>
                </c:pt>
                <c:pt idx="25">
                  <c:v>127.00280000000001</c:v>
                </c:pt>
                <c:pt idx="26">
                  <c:v>127.00280000000001</c:v>
                </c:pt>
                <c:pt idx="27">
                  <c:v>127.00280000000001</c:v>
                </c:pt>
                <c:pt idx="28">
                  <c:v>127.00280000000001</c:v>
                </c:pt>
                <c:pt idx="29">
                  <c:v>127.00280000000001</c:v>
                </c:pt>
                <c:pt idx="30">
                  <c:v>127.00280000000002</c:v>
                </c:pt>
                <c:pt idx="31">
                  <c:v>127.00280000000002</c:v>
                </c:pt>
                <c:pt idx="32">
                  <c:v>127.00280000000001</c:v>
                </c:pt>
                <c:pt idx="33">
                  <c:v>127.00280000000001</c:v>
                </c:pt>
                <c:pt idx="34">
                  <c:v>127.00280000000001</c:v>
                </c:pt>
                <c:pt idx="35">
                  <c:v>127.00280000000002</c:v>
                </c:pt>
                <c:pt idx="36">
                  <c:v>127.00280000000001</c:v>
                </c:pt>
                <c:pt idx="37">
                  <c:v>127.00280000000001</c:v>
                </c:pt>
                <c:pt idx="38">
                  <c:v>127.00280000000002</c:v>
                </c:pt>
                <c:pt idx="39">
                  <c:v>127.00280000000001</c:v>
                </c:pt>
                <c:pt idx="40">
                  <c:v>127.00280000000001</c:v>
                </c:pt>
                <c:pt idx="41">
                  <c:v>127.00280000000001</c:v>
                </c:pt>
                <c:pt idx="42">
                  <c:v>127.00279999999999</c:v>
                </c:pt>
                <c:pt idx="43">
                  <c:v>127.00280000000001</c:v>
                </c:pt>
                <c:pt idx="44">
                  <c:v>127.00280000000002</c:v>
                </c:pt>
                <c:pt idx="45">
                  <c:v>127.00280000000001</c:v>
                </c:pt>
                <c:pt idx="46">
                  <c:v>127.00280000000001</c:v>
                </c:pt>
                <c:pt idx="47">
                  <c:v>127.00280000000001</c:v>
                </c:pt>
                <c:pt idx="48">
                  <c:v>127.00280000000001</c:v>
                </c:pt>
                <c:pt idx="49">
                  <c:v>127.00280000000001</c:v>
                </c:pt>
                <c:pt idx="50">
                  <c:v>127.00279999999999</c:v>
                </c:pt>
                <c:pt idx="51">
                  <c:v>127.00280000000001</c:v>
                </c:pt>
                <c:pt idx="52">
                  <c:v>127.00280000000001</c:v>
                </c:pt>
                <c:pt idx="53">
                  <c:v>127.00279999999999</c:v>
                </c:pt>
                <c:pt idx="54">
                  <c:v>127.00279999999999</c:v>
                </c:pt>
                <c:pt idx="55">
                  <c:v>127.00280000000001</c:v>
                </c:pt>
                <c:pt idx="56">
                  <c:v>127.00280000000001</c:v>
                </c:pt>
                <c:pt idx="57">
                  <c:v>127.00280000000001</c:v>
                </c:pt>
                <c:pt idx="58">
                  <c:v>127.00279999999999</c:v>
                </c:pt>
                <c:pt idx="59">
                  <c:v>127.00280000000001</c:v>
                </c:pt>
                <c:pt idx="60">
                  <c:v>127.00280000000001</c:v>
                </c:pt>
                <c:pt idx="61">
                  <c:v>127.00280000000001</c:v>
                </c:pt>
                <c:pt idx="62">
                  <c:v>127.00280000000001</c:v>
                </c:pt>
                <c:pt idx="63">
                  <c:v>127.00280000000001</c:v>
                </c:pt>
                <c:pt idx="64">
                  <c:v>127.00280000000001</c:v>
                </c:pt>
                <c:pt idx="65">
                  <c:v>127.00280000000001</c:v>
                </c:pt>
                <c:pt idx="66">
                  <c:v>127.00280000000001</c:v>
                </c:pt>
                <c:pt idx="67">
                  <c:v>127.00280000000001</c:v>
                </c:pt>
                <c:pt idx="68">
                  <c:v>127.00280000000002</c:v>
                </c:pt>
                <c:pt idx="69">
                  <c:v>127.00280000000002</c:v>
                </c:pt>
                <c:pt idx="70">
                  <c:v>127.00280000000001</c:v>
                </c:pt>
                <c:pt idx="71">
                  <c:v>127.00280000000001</c:v>
                </c:pt>
                <c:pt idx="72">
                  <c:v>127.00280000000001</c:v>
                </c:pt>
                <c:pt idx="73">
                  <c:v>127.00280000000001</c:v>
                </c:pt>
                <c:pt idx="74">
                  <c:v>127.00279999999999</c:v>
                </c:pt>
                <c:pt idx="75">
                  <c:v>127.00280000000001</c:v>
                </c:pt>
                <c:pt idx="76">
                  <c:v>127.00280000000002</c:v>
                </c:pt>
                <c:pt idx="77">
                  <c:v>127.00280000000001</c:v>
                </c:pt>
                <c:pt idx="78">
                  <c:v>127.00279999999999</c:v>
                </c:pt>
                <c:pt idx="79">
                  <c:v>127.00280000000001</c:v>
                </c:pt>
                <c:pt idx="80">
                  <c:v>127.00279999999999</c:v>
                </c:pt>
                <c:pt idx="81">
                  <c:v>127.00280000000001</c:v>
                </c:pt>
                <c:pt idx="82">
                  <c:v>127.00280000000001</c:v>
                </c:pt>
                <c:pt idx="83">
                  <c:v>127.00280000000001</c:v>
                </c:pt>
                <c:pt idx="84">
                  <c:v>127.00280000000001</c:v>
                </c:pt>
                <c:pt idx="85">
                  <c:v>127.00280000000001</c:v>
                </c:pt>
                <c:pt idx="86">
                  <c:v>127.00280000000001</c:v>
                </c:pt>
                <c:pt idx="87">
                  <c:v>127.00279999999999</c:v>
                </c:pt>
                <c:pt idx="88">
                  <c:v>127.00280000000001</c:v>
                </c:pt>
                <c:pt idx="89">
                  <c:v>127.00279999999999</c:v>
                </c:pt>
                <c:pt idx="90">
                  <c:v>127.00280000000001</c:v>
                </c:pt>
                <c:pt idx="91">
                  <c:v>127.00280000000001</c:v>
                </c:pt>
                <c:pt idx="92">
                  <c:v>127.00279999999999</c:v>
                </c:pt>
                <c:pt idx="93">
                  <c:v>121.11171874999999</c:v>
                </c:pt>
                <c:pt idx="94">
                  <c:v>111.79543269230767</c:v>
                </c:pt>
                <c:pt idx="95">
                  <c:v>102.47914663461536</c:v>
                </c:pt>
                <c:pt idx="96">
                  <c:v>93.162860576923038</c:v>
                </c:pt>
                <c:pt idx="97">
                  <c:v>83.846574519230714</c:v>
                </c:pt>
                <c:pt idx="98">
                  <c:v>74.530288461538404</c:v>
                </c:pt>
                <c:pt idx="99">
                  <c:v>65.214002403846081</c:v>
                </c:pt>
                <c:pt idx="100">
                  <c:v>55.897716346153921</c:v>
                </c:pt>
                <c:pt idx="101">
                  <c:v>46.581430288461597</c:v>
                </c:pt>
                <c:pt idx="102">
                  <c:v>37.26514423076928</c:v>
                </c:pt>
                <c:pt idx="103">
                  <c:v>27.94885817307696</c:v>
                </c:pt>
                <c:pt idx="104">
                  <c:v>18.63257211538464</c:v>
                </c:pt>
                <c:pt idx="105">
                  <c:v>9.3162860576923201</c:v>
                </c:pt>
                <c:pt idx="106">
                  <c:v>0</c:v>
                </c:pt>
                <c:pt idx="107">
                  <c:v>0</c:v>
                </c:pt>
              </c:numCache>
            </c:numRef>
          </c:yVal>
          <c:smooth val="0"/>
          <c:extLst>
            <c:ext xmlns:c16="http://schemas.microsoft.com/office/drawing/2014/chart" uri="{C3380CC4-5D6E-409C-BE32-E72D297353CC}">
              <c16:uniqueId val="{00000000-DF7D-4259-8571-15EF0B02AB54}"/>
            </c:ext>
          </c:extLst>
        </c:ser>
        <c:dLbls>
          <c:showLegendKey val="0"/>
          <c:showVal val="0"/>
          <c:showCatName val="0"/>
          <c:showSerName val="0"/>
          <c:showPercent val="0"/>
          <c:showBubbleSize val="0"/>
        </c:dLbls>
        <c:axId val="340407808"/>
        <c:axId val="340409728"/>
      </c:scatterChart>
      <c:valAx>
        <c:axId val="340407808"/>
        <c:scaling>
          <c:orientation val="minMax"/>
          <c:min val="-1"/>
        </c:scaling>
        <c:delete val="0"/>
        <c:axPos val="b"/>
        <c:minorGridlines/>
        <c:title>
          <c:tx>
            <c:rich>
              <a:bodyPr/>
              <a:lstStyle/>
              <a:p>
                <a:pPr>
                  <a:defRPr/>
                </a:pPr>
                <a:r>
                  <a:rPr lang="en-US"/>
                  <a:t>Time (ms)</a:t>
                </a:r>
              </a:p>
            </c:rich>
          </c:tx>
          <c:layout>
            <c:manualLayout>
              <c:xMode val="edge"/>
              <c:yMode val="edge"/>
              <c:x val="0.44799096768442925"/>
              <c:y val="0.90583847854517363"/>
            </c:manualLayout>
          </c:layout>
          <c:overlay val="0"/>
        </c:title>
        <c:numFmt formatCode="0.0" sourceLinked="1"/>
        <c:majorTickMark val="out"/>
        <c:minorTickMark val="none"/>
        <c:tickLblPos val="nextTo"/>
        <c:txPr>
          <a:bodyPr/>
          <a:lstStyle/>
          <a:p>
            <a:pPr>
              <a:defRPr b="1"/>
            </a:pPr>
            <a:endParaRPr lang="en-US"/>
          </a:p>
        </c:txPr>
        <c:crossAx val="340409728"/>
        <c:crosses val="autoZero"/>
        <c:crossBetween val="midCat"/>
      </c:valAx>
      <c:valAx>
        <c:axId val="340409728"/>
        <c:scaling>
          <c:orientation val="minMax"/>
          <c:min val="0"/>
        </c:scaling>
        <c:delete val="0"/>
        <c:axPos val="l"/>
        <c:majorGridlines/>
        <c:minorGridlines/>
        <c:title>
          <c:tx>
            <c:rich>
              <a:bodyPr rot="-5400000" vert="horz"/>
              <a:lstStyle/>
              <a:p>
                <a:pPr>
                  <a:defRPr/>
                </a:pPr>
                <a:r>
                  <a:rPr lang="en-US"/>
                  <a:t>FET Power (W)</a:t>
                </a:r>
              </a:p>
            </c:rich>
          </c:tx>
          <c:layout>
            <c:manualLayout>
              <c:xMode val="edge"/>
              <c:yMode val="edge"/>
              <c:x val="1.2836103229293341E-2"/>
              <c:y val="0.25775146359374557"/>
            </c:manualLayout>
          </c:layout>
          <c:overlay val="0"/>
        </c:title>
        <c:numFmt formatCode="General" sourceLinked="1"/>
        <c:majorTickMark val="out"/>
        <c:minorTickMark val="none"/>
        <c:tickLblPos val="nextTo"/>
        <c:txPr>
          <a:bodyPr/>
          <a:lstStyle/>
          <a:p>
            <a:pPr>
              <a:defRPr b="1"/>
            </a:pPr>
            <a:endParaRPr lang="en-US"/>
          </a:p>
        </c:txPr>
        <c:crossAx val="340407808"/>
        <c:crossesAt val="-1"/>
        <c:crossBetween val="midCat"/>
      </c:valAx>
    </c:plotArea>
    <c:legend>
      <c:legendPos val="r"/>
      <c:layout>
        <c:manualLayout>
          <c:xMode val="edge"/>
          <c:yMode val="edge"/>
          <c:x val="0.59835330214444382"/>
          <c:y val="0.52994902761778084"/>
          <c:w val="0.39515213037394709"/>
          <c:h val="0.10848830734152082"/>
        </c:manualLayout>
      </c:layout>
      <c:overlay val="0"/>
      <c:spPr>
        <a:solidFill>
          <a:schemeClr val="bg1"/>
        </a:solidFill>
        <a:ln>
          <a:solidFill>
            <a:schemeClr val="tx1"/>
          </a:solidFill>
        </a:ln>
      </c:spPr>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Load and FET</a:t>
            </a:r>
            <a:r>
              <a:rPr lang="en-US" baseline="0"/>
              <a:t> current vs Vout</a:t>
            </a:r>
            <a:endParaRPr lang="en-US"/>
          </a:p>
        </c:rich>
      </c:tx>
      <c:overlay val="1"/>
    </c:title>
    <c:autoTitleDeleted val="0"/>
    <c:plotArea>
      <c:layout>
        <c:manualLayout>
          <c:layoutTarget val="inner"/>
          <c:xMode val="edge"/>
          <c:yMode val="edge"/>
          <c:x val="0.20280211116986058"/>
          <c:y val="0.14177960397727438"/>
          <c:w val="0.69967132057676096"/>
          <c:h val="0.7119118368882501"/>
        </c:manualLayout>
      </c:layout>
      <c:scatterChart>
        <c:scatterStyle val="smoothMarker"/>
        <c:varyColors val="0"/>
        <c:ser>
          <c:idx val="0"/>
          <c:order val="0"/>
          <c:tx>
            <c:strRef>
              <c:f>Start_up!$C$7</c:f>
              <c:strCache>
                <c:ptCount val="1"/>
                <c:pt idx="0">
                  <c:v>ILOAD</c:v>
                </c:pt>
              </c:strCache>
            </c:strRef>
          </c:tx>
          <c:marker>
            <c:symbol val="none"/>
          </c:marker>
          <c:xVal>
            <c:numRef>
              <c:f>Start_up!$B$10:$B$111</c:f>
              <c:numCache>
                <c:formatCode>0.00</c:formatCode>
                <c:ptCount val="102"/>
                <c:pt idx="0">
                  <c:v>0</c:v>
                </c:pt>
                <c:pt idx="1">
                  <c:v>0.4086538461538462</c:v>
                </c:pt>
                <c:pt idx="2">
                  <c:v>0.8173076923076924</c:v>
                </c:pt>
                <c:pt idx="3">
                  <c:v>1.2259615384615385</c:v>
                </c:pt>
                <c:pt idx="4">
                  <c:v>1.6346153846153848</c:v>
                </c:pt>
                <c:pt idx="5">
                  <c:v>2.0432692307692308</c:v>
                </c:pt>
                <c:pt idx="6">
                  <c:v>2.4519230769230771</c:v>
                </c:pt>
                <c:pt idx="7">
                  <c:v>2.8605769230769229</c:v>
                </c:pt>
                <c:pt idx="8">
                  <c:v>3.2692307692307696</c:v>
                </c:pt>
                <c:pt idx="9">
                  <c:v>3.6778846153846154</c:v>
                </c:pt>
                <c:pt idx="10">
                  <c:v>4.0865384615384617</c:v>
                </c:pt>
                <c:pt idx="11">
                  <c:v>4.4951923076923075</c:v>
                </c:pt>
                <c:pt idx="12">
                  <c:v>4.9038461538461542</c:v>
                </c:pt>
                <c:pt idx="13">
                  <c:v>5.3125</c:v>
                </c:pt>
                <c:pt idx="14">
                  <c:v>5.7211538461538458</c:v>
                </c:pt>
                <c:pt idx="15">
                  <c:v>6.1298076923076916</c:v>
                </c:pt>
                <c:pt idx="16">
                  <c:v>6.5384615384615392</c:v>
                </c:pt>
                <c:pt idx="17">
                  <c:v>6.947115384615385</c:v>
                </c:pt>
                <c:pt idx="18">
                  <c:v>7.3557692307692308</c:v>
                </c:pt>
                <c:pt idx="19">
                  <c:v>7.7644230769230766</c:v>
                </c:pt>
                <c:pt idx="20">
                  <c:v>8.1730769230769234</c:v>
                </c:pt>
                <c:pt idx="21">
                  <c:v>8.5817307692307701</c:v>
                </c:pt>
                <c:pt idx="22">
                  <c:v>8.990384615384615</c:v>
                </c:pt>
                <c:pt idx="23">
                  <c:v>9.3990384615384617</c:v>
                </c:pt>
                <c:pt idx="24">
                  <c:v>9.8076923076923084</c:v>
                </c:pt>
                <c:pt idx="25">
                  <c:v>10.216346153846153</c:v>
                </c:pt>
                <c:pt idx="26">
                  <c:v>10.625</c:v>
                </c:pt>
                <c:pt idx="27">
                  <c:v>11.033653846153847</c:v>
                </c:pt>
                <c:pt idx="28">
                  <c:v>11.442307692307692</c:v>
                </c:pt>
                <c:pt idx="29">
                  <c:v>11.850961538461538</c:v>
                </c:pt>
                <c:pt idx="30">
                  <c:v>12.259615384615383</c:v>
                </c:pt>
                <c:pt idx="31">
                  <c:v>12.66826923076923</c:v>
                </c:pt>
                <c:pt idx="32">
                  <c:v>13.076923076923078</c:v>
                </c:pt>
                <c:pt idx="33">
                  <c:v>13.485576923076922</c:v>
                </c:pt>
                <c:pt idx="34">
                  <c:v>13.89423076923077</c:v>
                </c:pt>
                <c:pt idx="35">
                  <c:v>14.302884615384617</c:v>
                </c:pt>
                <c:pt idx="36">
                  <c:v>14.711538461538462</c:v>
                </c:pt>
                <c:pt idx="37">
                  <c:v>15.120192307692308</c:v>
                </c:pt>
                <c:pt idx="38">
                  <c:v>15.528846153846153</c:v>
                </c:pt>
                <c:pt idx="39">
                  <c:v>15.9375</c:v>
                </c:pt>
                <c:pt idx="40">
                  <c:v>16.346153846153847</c:v>
                </c:pt>
                <c:pt idx="41">
                  <c:v>16.754807692307693</c:v>
                </c:pt>
                <c:pt idx="42">
                  <c:v>17.16346153846154</c:v>
                </c:pt>
                <c:pt idx="43">
                  <c:v>17.572115384615383</c:v>
                </c:pt>
                <c:pt idx="44">
                  <c:v>17.98076923076923</c:v>
                </c:pt>
                <c:pt idx="45">
                  <c:v>18.389423076923077</c:v>
                </c:pt>
                <c:pt idx="46">
                  <c:v>18.798076923076923</c:v>
                </c:pt>
                <c:pt idx="47">
                  <c:v>19.20673076923077</c:v>
                </c:pt>
                <c:pt idx="48">
                  <c:v>19.615384615384617</c:v>
                </c:pt>
                <c:pt idx="49">
                  <c:v>20.02403846153846</c:v>
                </c:pt>
                <c:pt idx="50">
                  <c:v>20.432692307692307</c:v>
                </c:pt>
                <c:pt idx="51">
                  <c:v>20.841346153846153</c:v>
                </c:pt>
                <c:pt idx="52">
                  <c:v>21.25</c:v>
                </c:pt>
                <c:pt idx="53">
                  <c:v>21.658653846153843</c:v>
                </c:pt>
                <c:pt idx="54">
                  <c:v>22.067307692307693</c:v>
                </c:pt>
                <c:pt idx="55">
                  <c:v>22.47596153846154</c:v>
                </c:pt>
                <c:pt idx="56">
                  <c:v>22.884615384615383</c:v>
                </c:pt>
                <c:pt idx="57">
                  <c:v>23.293269230769234</c:v>
                </c:pt>
                <c:pt idx="58">
                  <c:v>23.701923076923077</c:v>
                </c:pt>
                <c:pt idx="59">
                  <c:v>24.110576923076923</c:v>
                </c:pt>
                <c:pt idx="60">
                  <c:v>24.519230769230766</c:v>
                </c:pt>
                <c:pt idx="61">
                  <c:v>24.927884615384617</c:v>
                </c:pt>
                <c:pt idx="62">
                  <c:v>25.33653846153846</c:v>
                </c:pt>
                <c:pt idx="63">
                  <c:v>25.745192307692307</c:v>
                </c:pt>
                <c:pt idx="64">
                  <c:v>26.153846153846157</c:v>
                </c:pt>
                <c:pt idx="65">
                  <c:v>26.5625</c:v>
                </c:pt>
                <c:pt idx="66">
                  <c:v>26.971153846153843</c:v>
                </c:pt>
                <c:pt idx="67">
                  <c:v>27.379807692307693</c:v>
                </c:pt>
                <c:pt idx="68">
                  <c:v>27.78846153846154</c:v>
                </c:pt>
                <c:pt idx="69">
                  <c:v>28.197115384615383</c:v>
                </c:pt>
                <c:pt idx="70">
                  <c:v>28.605769230769234</c:v>
                </c:pt>
                <c:pt idx="71">
                  <c:v>29.014423076923077</c:v>
                </c:pt>
                <c:pt idx="72">
                  <c:v>29.423076923076923</c:v>
                </c:pt>
                <c:pt idx="73">
                  <c:v>29.831730769230766</c:v>
                </c:pt>
                <c:pt idx="74">
                  <c:v>30.240384615384617</c:v>
                </c:pt>
                <c:pt idx="75">
                  <c:v>30.64903846153846</c:v>
                </c:pt>
                <c:pt idx="76">
                  <c:v>31.057692307692307</c:v>
                </c:pt>
                <c:pt idx="77">
                  <c:v>31.466346153846157</c:v>
                </c:pt>
                <c:pt idx="78">
                  <c:v>31.875</c:v>
                </c:pt>
                <c:pt idx="79">
                  <c:v>32.283653846153847</c:v>
                </c:pt>
                <c:pt idx="80">
                  <c:v>32.692307692307693</c:v>
                </c:pt>
                <c:pt idx="81">
                  <c:v>33.10096153846154</c:v>
                </c:pt>
                <c:pt idx="82">
                  <c:v>33.509615384615387</c:v>
                </c:pt>
                <c:pt idx="83">
                  <c:v>33.918269230769234</c:v>
                </c:pt>
                <c:pt idx="84">
                  <c:v>34.32692307692308</c:v>
                </c:pt>
                <c:pt idx="85">
                  <c:v>34.73557692307692</c:v>
                </c:pt>
                <c:pt idx="86">
                  <c:v>35.144230769230766</c:v>
                </c:pt>
                <c:pt idx="87">
                  <c:v>35.552884615384613</c:v>
                </c:pt>
                <c:pt idx="88">
                  <c:v>35.96153846153846</c:v>
                </c:pt>
                <c:pt idx="89">
                  <c:v>36.370192307692307</c:v>
                </c:pt>
                <c:pt idx="90">
                  <c:v>36.778846153846153</c:v>
                </c:pt>
                <c:pt idx="91">
                  <c:v>37.1875</c:v>
                </c:pt>
                <c:pt idx="92">
                  <c:v>37.596153846153847</c:v>
                </c:pt>
                <c:pt idx="93">
                  <c:v>38.004807692307693</c:v>
                </c:pt>
                <c:pt idx="94">
                  <c:v>38.41346153846154</c:v>
                </c:pt>
                <c:pt idx="95">
                  <c:v>38.822115384615387</c:v>
                </c:pt>
                <c:pt idx="96">
                  <c:v>39.230769230769234</c:v>
                </c:pt>
                <c:pt idx="97">
                  <c:v>39.63942307692308</c:v>
                </c:pt>
                <c:pt idx="98">
                  <c:v>40.04807692307692</c:v>
                </c:pt>
                <c:pt idx="99">
                  <c:v>40.456730769230766</c:v>
                </c:pt>
                <c:pt idx="100">
                  <c:v>40.865384615384613</c:v>
                </c:pt>
                <c:pt idx="101">
                  <c:v>41.27403846153846</c:v>
                </c:pt>
              </c:numCache>
            </c:numRef>
          </c:xVal>
          <c:yVal>
            <c:numRef>
              <c:f>Start_up!$C$10:$C$111</c:f>
              <c:numCache>
                <c:formatCode>0.000</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4</c:v>
                </c:pt>
                <c:pt idx="41">
                  <c:v>4</c:v>
                </c:pt>
                <c:pt idx="42">
                  <c:v>4</c:v>
                </c:pt>
                <c:pt idx="43">
                  <c:v>4</c:v>
                </c:pt>
                <c:pt idx="44">
                  <c:v>4</c:v>
                </c:pt>
                <c:pt idx="45">
                  <c:v>4</c:v>
                </c:pt>
                <c:pt idx="46">
                  <c:v>4</c:v>
                </c:pt>
                <c:pt idx="47">
                  <c:v>4</c:v>
                </c:pt>
                <c:pt idx="48">
                  <c:v>4</c:v>
                </c:pt>
                <c:pt idx="49">
                  <c:v>4</c:v>
                </c:pt>
                <c:pt idx="50">
                  <c:v>4</c:v>
                </c:pt>
                <c:pt idx="51">
                  <c:v>4</c:v>
                </c:pt>
                <c:pt idx="52">
                  <c:v>4</c:v>
                </c:pt>
                <c:pt idx="53">
                  <c:v>4</c:v>
                </c:pt>
                <c:pt idx="54">
                  <c:v>4</c:v>
                </c:pt>
                <c:pt idx="55">
                  <c:v>4</c:v>
                </c:pt>
                <c:pt idx="56">
                  <c:v>4</c:v>
                </c:pt>
                <c:pt idx="57">
                  <c:v>4</c:v>
                </c:pt>
                <c:pt idx="58">
                  <c:v>4</c:v>
                </c:pt>
                <c:pt idx="59">
                  <c:v>4</c:v>
                </c:pt>
                <c:pt idx="60">
                  <c:v>4</c:v>
                </c:pt>
                <c:pt idx="61">
                  <c:v>4</c:v>
                </c:pt>
                <c:pt idx="62">
                  <c:v>4</c:v>
                </c:pt>
                <c:pt idx="63">
                  <c:v>4</c:v>
                </c:pt>
                <c:pt idx="64">
                  <c:v>4</c:v>
                </c:pt>
                <c:pt idx="65">
                  <c:v>4</c:v>
                </c:pt>
                <c:pt idx="66">
                  <c:v>4</c:v>
                </c:pt>
                <c:pt idx="67">
                  <c:v>4</c:v>
                </c:pt>
                <c:pt idx="68">
                  <c:v>4</c:v>
                </c:pt>
                <c:pt idx="69">
                  <c:v>4</c:v>
                </c:pt>
                <c:pt idx="70">
                  <c:v>4</c:v>
                </c:pt>
                <c:pt idx="71">
                  <c:v>4</c:v>
                </c:pt>
                <c:pt idx="72">
                  <c:v>4</c:v>
                </c:pt>
                <c:pt idx="73">
                  <c:v>4</c:v>
                </c:pt>
                <c:pt idx="74">
                  <c:v>4</c:v>
                </c:pt>
                <c:pt idx="75">
                  <c:v>4</c:v>
                </c:pt>
                <c:pt idx="76">
                  <c:v>4</c:v>
                </c:pt>
                <c:pt idx="77">
                  <c:v>4</c:v>
                </c:pt>
                <c:pt idx="78">
                  <c:v>4</c:v>
                </c:pt>
                <c:pt idx="79">
                  <c:v>4</c:v>
                </c:pt>
                <c:pt idx="80">
                  <c:v>4</c:v>
                </c:pt>
                <c:pt idx="81">
                  <c:v>4</c:v>
                </c:pt>
                <c:pt idx="82">
                  <c:v>4</c:v>
                </c:pt>
                <c:pt idx="83">
                  <c:v>4</c:v>
                </c:pt>
                <c:pt idx="84">
                  <c:v>4</c:v>
                </c:pt>
                <c:pt idx="85">
                  <c:v>4</c:v>
                </c:pt>
                <c:pt idx="86">
                  <c:v>4</c:v>
                </c:pt>
                <c:pt idx="87">
                  <c:v>4</c:v>
                </c:pt>
                <c:pt idx="88">
                  <c:v>4</c:v>
                </c:pt>
                <c:pt idx="89">
                  <c:v>4</c:v>
                </c:pt>
                <c:pt idx="90">
                  <c:v>4</c:v>
                </c:pt>
                <c:pt idx="91">
                  <c:v>4</c:v>
                </c:pt>
                <c:pt idx="92">
                  <c:v>4</c:v>
                </c:pt>
                <c:pt idx="93">
                  <c:v>4</c:v>
                </c:pt>
                <c:pt idx="94">
                  <c:v>4</c:v>
                </c:pt>
                <c:pt idx="95">
                  <c:v>4</c:v>
                </c:pt>
                <c:pt idx="96">
                  <c:v>4</c:v>
                </c:pt>
                <c:pt idx="97">
                  <c:v>4</c:v>
                </c:pt>
                <c:pt idx="98">
                  <c:v>4</c:v>
                </c:pt>
                <c:pt idx="99">
                  <c:v>4</c:v>
                </c:pt>
                <c:pt idx="100">
                  <c:v>4</c:v>
                </c:pt>
                <c:pt idx="101">
                  <c:v>4</c:v>
                </c:pt>
              </c:numCache>
            </c:numRef>
          </c:yVal>
          <c:smooth val="1"/>
          <c:extLst>
            <c:ext xmlns:c16="http://schemas.microsoft.com/office/drawing/2014/chart" uri="{C3380CC4-5D6E-409C-BE32-E72D297353CC}">
              <c16:uniqueId val="{00000000-C1BD-4368-9542-6A2970FFC435}"/>
            </c:ext>
          </c:extLst>
        </c:ser>
        <c:ser>
          <c:idx val="1"/>
          <c:order val="1"/>
          <c:tx>
            <c:strRef>
              <c:f>Start_up!$G$7</c:f>
              <c:strCache>
                <c:ptCount val="1"/>
                <c:pt idx="0">
                  <c:v>IFET</c:v>
                </c:pt>
              </c:strCache>
            </c:strRef>
          </c:tx>
          <c:marker>
            <c:symbol val="none"/>
          </c:marker>
          <c:xVal>
            <c:numRef>
              <c:f>Start_up!$B$10:$B$111</c:f>
              <c:numCache>
                <c:formatCode>0.00</c:formatCode>
                <c:ptCount val="102"/>
                <c:pt idx="0">
                  <c:v>0</c:v>
                </c:pt>
                <c:pt idx="1">
                  <c:v>0.4086538461538462</c:v>
                </c:pt>
                <c:pt idx="2">
                  <c:v>0.8173076923076924</c:v>
                </c:pt>
                <c:pt idx="3">
                  <c:v>1.2259615384615385</c:v>
                </c:pt>
                <c:pt idx="4">
                  <c:v>1.6346153846153848</c:v>
                </c:pt>
                <c:pt idx="5">
                  <c:v>2.0432692307692308</c:v>
                </c:pt>
                <c:pt idx="6">
                  <c:v>2.4519230769230771</c:v>
                </c:pt>
                <c:pt idx="7">
                  <c:v>2.8605769230769229</c:v>
                </c:pt>
                <c:pt idx="8">
                  <c:v>3.2692307692307696</c:v>
                </c:pt>
                <c:pt idx="9">
                  <c:v>3.6778846153846154</c:v>
                </c:pt>
                <c:pt idx="10">
                  <c:v>4.0865384615384617</c:v>
                </c:pt>
                <c:pt idx="11">
                  <c:v>4.4951923076923075</c:v>
                </c:pt>
                <c:pt idx="12">
                  <c:v>4.9038461538461542</c:v>
                </c:pt>
                <c:pt idx="13">
                  <c:v>5.3125</c:v>
                </c:pt>
                <c:pt idx="14">
                  <c:v>5.7211538461538458</c:v>
                </c:pt>
                <c:pt idx="15">
                  <c:v>6.1298076923076916</c:v>
                </c:pt>
                <c:pt idx="16">
                  <c:v>6.5384615384615392</c:v>
                </c:pt>
                <c:pt idx="17">
                  <c:v>6.947115384615385</c:v>
                </c:pt>
                <c:pt idx="18">
                  <c:v>7.3557692307692308</c:v>
                </c:pt>
                <c:pt idx="19">
                  <c:v>7.7644230769230766</c:v>
                </c:pt>
                <c:pt idx="20">
                  <c:v>8.1730769230769234</c:v>
                </c:pt>
                <c:pt idx="21">
                  <c:v>8.5817307692307701</c:v>
                </c:pt>
                <c:pt idx="22">
                  <c:v>8.990384615384615</c:v>
                </c:pt>
                <c:pt idx="23">
                  <c:v>9.3990384615384617</c:v>
                </c:pt>
                <c:pt idx="24">
                  <c:v>9.8076923076923084</c:v>
                </c:pt>
                <c:pt idx="25">
                  <c:v>10.216346153846153</c:v>
                </c:pt>
                <c:pt idx="26">
                  <c:v>10.625</c:v>
                </c:pt>
                <c:pt idx="27">
                  <c:v>11.033653846153847</c:v>
                </c:pt>
                <c:pt idx="28">
                  <c:v>11.442307692307692</c:v>
                </c:pt>
                <c:pt idx="29">
                  <c:v>11.850961538461538</c:v>
                </c:pt>
                <c:pt idx="30">
                  <c:v>12.259615384615383</c:v>
                </c:pt>
                <c:pt idx="31">
                  <c:v>12.66826923076923</c:v>
                </c:pt>
                <c:pt idx="32">
                  <c:v>13.076923076923078</c:v>
                </c:pt>
                <c:pt idx="33">
                  <c:v>13.485576923076922</c:v>
                </c:pt>
                <c:pt idx="34">
                  <c:v>13.89423076923077</c:v>
                </c:pt>
                <c:pt idx="35">
                  <c:v>14.302884615384617</c:v>
                </c:pt>
                <c:pt idx="36">
                  <c:v>14.711538461538462</c:v>
                </c:pt>
                <c:pt idx="37">
                  <c:v>15.120192307692308</c:v>
                </c:pt>
                <c:pt idx="38">
                  <c:v>15.528846153846153</c:v>
                </c:pt>
                <c:pt idx="39">
                  <c:v>15.9375</c:v>
                </c:pt>
                <c:pt idx="40">
                  <c:v>16.346153846153847</c:v>
                </c:pt>
                <c:pt idx="41">
                  <c:v>16.754807692307693</c:v>
                </c:pt>
                <c:pt idx="42">
                  <c:v>17.16346153846154</c:v>
                </c:pt>
                <c:pt idx="43">
                  <c:v>17.572115384615383</c:v>
                </c:pt>
                <c:pt idx="44">
                  <c:v>17.98076923076923</c:v>
                </c:pt>
                <c:pt idx="45">
                  <c:v>18.389423076923077</c:v>
                </c:pt>
                <c:pt idx="46">
                  <c:v>18.798076923076923</c:v>
                </c:pt>
                <c:pt idx="47">
                  <c:v>19.20673076923077</c:v>
                </c:pt>
                <c:pt idx="48">
                  <c:v>19.615384615384617</c:v>
                </c:pt>
                <c:pt idx="49">
                  <c:v>20.02403846153846</c:v>
                </c:pt>
                <c:pt idx="50">
                  <c:v>20.432692307692307</c:v>
                </c:pt>
                <c:pt idx="51">
                  <c:v>20.841346153846153</c:v>
                </c:pt>
                <c:pt idx="52">
                  <c:v>21.25</c:v>
                </c:pt>
                <c:pt idx="53">
                  <c:v>21.658653846153843</c:v>
                </c:pt>
                <c:pt idx="54">
                  <c:v>22.067307692307693</c:v>
                </c:pt>
                <c:pt idx="55">
                  <c:v>22.47596153846154</c:v>
                </c:pt>
                <c:pt idx="56">
                  <c:v>22.884615384615383</c:v>
                </c:pt>
                <c:pt idx="57">
                  <c:v>23.293269230769234</c:v>
                </c:pt>
                <c:pt idx="58">
                  <c:v>23.701923076923077</c:v>
                </c:pt>
                <c:pt idx="59">
                  <c:v>24.110576923076923</c:v>
                </c:pt>
                <c:pt idx="60">
                  <c:v>24.519230769230766</c:v>
                </c:pt>
                <c:pt idx="61">
                  <c:v>24.927884615384617</c:v>
                </c:pt>
                <c:pt idx="62">
                  <c:v>25.33653846153846</c:v>
                </c:pt>
                <c:pt idx="63">
                  <c:v>25.745192307692307</c:v>
                </c:pt>
                <c:pt idx="64">
                  <c:v>26.153846153846157</c:v>
                </c:pt>
                <c:pt idx="65">
                  <c:v>26.5625</c:v>
                </c:pt>
                <c:pt idx="66">
                  <c:v>26.971153846153843</c:v>
                </c:pt>
                <c:pt idx="67">
                  <c:v>27.379807692307693</c:v>
                </c:pt>
                <c:pt idx="68">
                  <c:v>27.78846153846154</c:v>
                </c:pt>
                <c:pt idx="69">
                  <c:v>28.197115384615383</c:v>
                </c:pt>
                <c:pt idx="70">
                  <c:v>28.605769230769234</c:v>
                </c:pt>
                <c:pt idx="71">
                  <c:v>29.014423076923077</c:v>
                </c:pt>
                <c:pt idx="72">
                  <c:v>29.423076923076923</c:v>
                </c:pt>
                <c:pt idx="73">
                  <c:v>29.831730769230766</c:v>
                </c:pt>
                <c:pt idx="74">
                  <c:v>30.240384615384617</c:v>
                </c:pt>
                <c:pt idx="75">
                  <c:v>30.64903846153846</c:v>
                </c:pt>
                <c:pt idx="76">
                  <c:v>31.057692307692307</c:v>
                </c:pt>
                <c:pt idx="77">
                  <c:v>31.466346153846157</c:v>
                </c:pt>
                <c:pt idx="78">
                  <c:v>31.875</c:v>
                </c:pt>
                <c:pt idx="79">
                  <c:v>32.283653846153847</c:v>
                </c:pt>
                <c:pt idx="80">
                  <c:v>32.692307692307693</c:v>
                </c:pt>
                <c:pt idx="81">
                  <c:v>33.10096153846154</c:v>
                </c:pt>
                <c:pt idx="82">
                  <c:v>33.509615384615387</c:v>
                </c:pt>
                <c:pt idx="83">
                  <c:v>33.918269230769234</c:v>
                </c:pt>
                <c:pt idx="84">
                  <c:v>34.32692307692308</c:v>
                </c:pt>
                <c:pt idx="85">
                  <c:v>34.73557692307692</c:v>
                </c:pt>
                <c:pt idx="86">
                  <c:v>35.144230769230766</c:v>
                </c:pt>
                <c:pt idx="87">
                  <c:v>35.552884615384613</c:v>
                </c:pt>
                <c:pt idx="88">
                  <c:v>35.96153846153846</c:v>
                </c:pt>
                <c:pt idx="89">
                  <c:v>36.370192307692307</c:v>
                </c:pt>
                <c:pt idx="90">
                  <c:v>36.778846153846153</c:v>
                </c:pt>
                <c:pt idx="91">
                  <c:v>37.1875</c:v>
                </c:pt>
                <c:pt idx="92">
                  <c:v>37.596153846153847</c:v>
                </c:pt>
                <c:pt idx="93">
                  <c:v>38.004807692307693</c:v>
                </c:pt>
                <c:pt idx="94">
                  <c:v>38.41346153846154</c:v>
                </c:pt>
                <c:pt idx="95">
                  <c:v>38.822115384615387</c:v>
                </c:pt>
                <c:pt idx="96">
                  <c:v>39.230769230769234</c:v>
                </c:pt>
                <c:pt idx="97">
                  <c:v>39.63942307692308</c:v>
                </c:pt>
                <c:pt idx="98">
                  <c:v>40.04807692307692</c:v>
                </c:pt>
                <c:pt idx="99">
                  <c:v>40.456730769230766</c:v>
                </c:pt>
                <c:pt idx="100">
                  <c:v>40.865384615384613</c:v>
                </c:pt>
                <c:pt idx="101">
                  <c:v>41.27403846153846</c:v>
                </c:pt>
              </c:numCache>
            </c:numRef>
          </c:xVal>
          <c:yVal>
            <c:numRef>
              <c:f>Start_up!$G$10:$G$112</c:f>
              <c:numCache>
                <c:formatCode>General</c:formatCode>
                <c:ptCount val="103"/>
                <c:pt idx="0">
                  <c:v>2.9883011764705882</c:v>
                </c:pt>
                <c:pt idx="1">
                  <c:v>3.0173138092518563</c:v>
                </c:pt>
                <c:pt idx="2">
                  <c:v>3.0468953171856983</c:v>
                </c:pt>
                <c:pt idx="3">
                  <c:v>3.0770625975538732</c:v>
                </c:pt>
                <c:pt idx="4">
                  <c:v>3.1078332235294122</c:v>
                </c:pt>
                <c:pt idx="5">
                  <c:v>3.1392254783125377</c:v>
                </c:pt>
                <c:pt idx="6">
                  <c:v>3.1712583913565431</c:v>
                </c:pt>
                <c:pt idx="7">
                  <c:v>3.2039517768344452</c:v>
                </c:pt>
                <c:pt idx="8">
                  <c:v>3.2373262745098037</c:v>
                </c:pt>
                <c:pt idx="9">
                  <c:v>3.2714033931888546</c:v>
                </c:pt>
                <c:pt idx="10">
                  <c:v>3.3062055569461828</c:v>
                </c:pt>
                <c:pt idx="11">
                  <c:v>3.341756154332701</c:v>
                </c:pt>
                <c:pt idx="12">
                  <c:v>3.3780795907928391</c:v>
                </c:pt>
                <c:pt idx="13">
                  <c:v>3.4152013445378153</c:v>
                </c:pt>
                <c:pt idx="14">
                  <c:v>3.4531480261437912</c:v>
                </c:pt>
                <c:pt idx="15">
                  <c:v>3.4919474421678789</c:v>
                </c:pt>
                <c:pt idx="16">
                  <c:v>3.5316286631016047</c:v>
                </c:pt>
                <c:pt idx="17">
                  <c:v>3.5722220960108184</c:v>
                </c:pt>
                <c:pt idx="18">
                  <c:v>3.6137595622435024</c:v>
                </c:pt>
                <c:pt idx="19">
                  <c:v>3.6562743806228379</c:v>
                </c:pt>
                <c:pt idx="20">
                  <c:v>3.6998014565826329</c:v>
                </c:pt>
                <c:pt idx="21">
                  <c:v>3.7443773777462801</c:v>
                </c:pt>
                <c:pt idx="22">
                  <c:v>3.7900405164992828</c:v>
                </c:pt>
                <c:pt idx="23">
                  <c:v>3.8368311401597675</c:v>
                </c:pt>
                <c:pt idx="24">
                  <c:v>3.884791529411765</c:v>
                </c:pt>
                <c:pt idx="25">
                  <c:v>3.933966105733433</c:v>
                </c:pt>
                <c:pt idx="26">
                  <c:v>3.9844015686274514</c:v>
                </c:pt>
                <c:pt idx="27">
                  <c:v>4.0361470435446911</c:v>
                </c:pt>
                <c:pt idx="28">
                  <c:v>4.0892542414860689</c:v>
                </c:pt>
                <c:pt idx="29">
                  <c:v>4.1437776313725498</c:v>
                </c:pt>
                <c:pt idx="30">
                  <c:v>4.1997746263910969</c:v>
                </c:pt>
                <c:pt idx="31">
                  <c:v>4.2573057856567287</c:v>
                </c:pt>
                <c:pt idx="32">
                  <c:v>4.3164350326797392</c:v>
                </c:pt>
                <c:pt idx="33">
                  <c:v>4.3772298922949462</c:v>
                </c:pt>
                <c:pt idx="34">
                  <c:v>4.4397617478991602</c:v>
                </c:pt>
                <c:pt idx="35">
                  <c:v>4.5041061210571192</c:v>
                </c:pt>
                <c:pt idx="36">
                  <c:v>4.570342975778547</c:v>
                </c:pt>
                <c:pt idx="37">
                  <c:v>4.6385570500438984</c:v>
                </c:pt>
                <c:pt idx="38">
                  <c:v>4.7088382174688057</c:v>
                </c:pt>
                <c:pt idx="39">
                  <c:v>4.7812818823529417</c:v>
                </c:pt>
                <c:pt idx="40">
                  <c:v>4.855989411764706</c:v>
                </c:pt>
                <c:pt idx="41">
                  <c:v>4.9330686087768445</c:v>
                </c:pt>
                <c:pt idx="42">
                  <c:v>5.0126342314990522</c:v>
                </c:pt>
                <c:pt idx="43">
                  <c:v>5.09480856316297</c:v>
                </c:pt>
                <c:pt idx="44">
                  <c:v>5.1797220392156866</c:v>
                </c:pt>
                <c:pt idx="45">
                  <c:v>5.2675139381854441</c:v>
                </c:pt>
                <c:pt idx="46">
                  <c:v>5.3583331440162274</c:v>
                </c:pt>
                <c:pt idx="47">
                  <c:v>5.4523389886480915</c:v>
                </c:pt>
                <c:pt idx="48">
                  <c:v>5.5497021848739498</c:v>
                </c:pt>
                <c:pt idx="49">
                  <c:v>5.6506058609625667</c:v>
                </c:pt>
                <c:pt idx="50">
                  <c:v>5.7552467102396516</c:v>
                </c:pt>
                <c:pt idx="51">
                  <c:v>5.8638362708102107</c:v>
                </c:pt>
                <c:pt idx="52">
                  <c:v>5.9766023529411765</c:v>
                </c:pt>
                <c:pt idx="53">
                  <c:v>6.0937906343713948</c:v>
                </c:pt>
                <c:pt idx="54">
                  <c:v>6.2156664470588243</c:v>
                </c:pt>
                <c:pt idx="55">
                  <c:v>6.3425167827130862</c:v>
                </c:pt>
                <c:pt idx="56">
                  <c:v>6.4746525490196074</c:v>
                </c:pt>
                <c:pt idx="57">
                  <c:v>6.6124111138923665</c:v>
                </c:pt>
                <c:pt idx="58">
                  <c:v>6.7561591815856783</c:v>
                </c:pt>
                <c:pt idx="59">
                  <c:v>6.9062960522875825</c:v>
                </c:pt>
                <c:pt idx="60">
                  <c:v>7.0632573262032077</c:v>
                </c:pt>
                <c:pt idx="61">
                  <c:v>7.2275191244870047</c:v>
                </c:pt>
                <c:pt idx="62">
                  <c:v>7.3996029131652659</c:v>
                </c:pt>
                <c:pt idx="63">
                  <c:v>7.5800810329985655</c:v>
                </c:pt>
                <c:pt idx="64">
                  <c:v>7.7695830588235317</c:v>
                </c:pt>
                <c:pt idx="65">
                  <c:v>7.9688031372549029</c:v>
                </c:pt>
                <c:pt idx="66">
                  <c:v>8.178508482972136</c:v>
                </c:pt>
                <c:pt idx="67">
                  <c:v>8.3995492527821956</c:v>
                </c:pt>
                <c:pt idx="68">
                  <c:v>8.6328700653594783</c:v>
                </c:pt>
                <c:pt idx="69">
                  <c:v>8.8795234957983187</c:v>
                </c:pt>
                <c:pt idx="70">
                  <c:v>9.1406859515570957</c:v>
                </c:pt>
                <c:pt idx="71">
                  <c:v>9.4176764349376114</c:v>
                </c:pt>
                <c:pt idx="72">
                  <c:v>9.711978823529412</c:v>
                </c:pt>
                <c:pt idx="73">
                  <c:v>10.025268462998101</c:v>
                </c:pt>
                <c:pt idx="74">
                  <c:v>10.359444078431375</c:v>
                </c:pt>
                <c:pt idx="75">
                  <c:v>10.716666288032453</c:v>
                </c:pt>
                <c:pt idx="76">
                  <c:v>11.099404369747898</c:v>
                </c:pt>
                <c:pt idx="77">
                  <c:v>11.510493420479307</c:v>
                </c:pt>
                <c:pt idx="78">
                  <c:v>11.953204705882353</c:v>
                </c:pt>
                <c:pt idx="79">
                  <c:v>12.431332894117649</c:v>
                </c:pt>
                <c:pt idx="80">
                  <c:v>12.949305098039218</c:v>
                </c:pt>
                <c:pt idx="81">
                  <c:v>13.512318363171358</c:v>
                </c:pt>
                <c:pt idx="82">
                  <c:v>14.126514652406421</c:v>
                </c:pt>
                <c:pt idx="83">
                  <c:v>14.799205826330537</c:v>
                </c:pt>
                <c:pt idx="84">
                  <c:v>15.539166117647065</c:v>
                </c:pt>
                <c:pt idx="85">
                  <c:v>16.357016965944265</c:v>
                </c:pt>
                <c:pt idx="86">
                  <c:v>17.26574013071895</c:v>
                </c:pt>
                <c:pt idx="87">
                  <c:v>18.281371903114181</c:v>
                </c:pt>
                <c:pt idx="88">
                  <c:v>19.42395764705882</c:v>
                </c:pt>
                <c:pt idx="89">
                  <c:v>20.718888156862743</c:v>
                </c:pt>
                <c:pt idx="90">
                  <c:v>22.198808739495796</c:v>
                </c:pt>
                <c:pt idx="91">
                  <c:v>22.797499999999999</c:v>
                </c:pt>
                <c:pt idx="92">
                  <c:v>22.797499999999999</c:v>
                </c:pt>
                <c:pt idx="93">
                  <c:v>22.797499999999999</c:v>
                </c:pt>
                <c:pt idx="94">
                  <c:v>22.797499999999999</c:v>
                </c:pt>
                <c:pt idx="95">
                  <c:v>22.797499999999999</c:v>
                </c:pt>
                <c:pt idx="96">
                  <c:v>22.797499999999999</c:v>
                </c:pt>
                <c:pt idx="97">
                  <c:v>22.797499999999999</c:v>
                </c:pt>
                <c:pt idx="98">
                  <c:v>22.797499999999999</c:v>
                </c:pt>
                <c:pt idx="99">
                  <c:v>22.797499999999999</c:v>
                </c:pt>
                <c:pt idx="100">
                  <c:v>22.797499999999999</c:v>
                </c:pt>
                <c:pt idx="101">
                  <c:v>22.797499999999999</c:v>
                </c:pt>
                <c:pt idx="102">
                  <c:v>22.797499999999999</c:v>
                </c:pt>
              </c:numCache>
            </c:numRef>
          </c:yVal>
          <c:smooth val="1"/>
          <c:extLst>
            <c:ext xmlns:c16="http://schemas.microsoft.com/office/drawing/2014/chart" uri="{C3380CC4-5D6E-409C-BE32-E72D297353CC}">
              <c16:uniqueId val="{00000001-C1BD-4368-9542-6A2970FFC435}"/>
            </c:ext>
          </c:extLst>
        </c:ser>
        <c:dLbls>
          <c:showLegendKey val="0"/>
          <c:showVal val="0"/>
          <c:showCatName val="0"/>
          <c:showSerName val="0"/>
          <c:showPercent val="0"/>
          <c:showBubbleSize val="0"/>
        </c:dLbls>
        <c:axId val="352111616"/>
        <c:axId val="389465216"/>
      </c:scatterChart>
      <c:valAx>
        <c:axId val="352111616"/>
        <c:scaling>
          <c:orientation val="minMax"/>
        </c:scaling>
        <c:delete val="0"/>
        <c:axPos val="b"/>
        <c:title>
          <c:tx>
            <c:rich>
              <a:bodyPr/>
              <a:lstStyle/>
              <a:p>
                <a:pPr>
                  <a:defRPr/>
                </a:pPr>
                <a:r>
                  <a:rPr lang="en-US"/>
                  <a:t>Output</a:t>
                </a:r>
                <a:r>
                  <a:rPr lang="en-US" baseline="0"/>
                  <a:t> Voltage (V)</a:t>
                </a:r>
                <a:endParaRPr lang="en-US"/>
              </a:p>
            </c:rich>
          </c:tx>
          <c:overlay val="0"/>
        </c:title>
        <c:numFmt formatCode="0.00" sourceLinked="1"/>
        <c:majorTickMark val="out"/>
        <c:minorTickMark val="none"/>
        <c:tickLblPos val="nextTo"/>
        <c:crossAx val="389465216"/>
        <c:crosses val="autoZero"/>
        <c:crossBetween val="midCat"/>
      </c:valAx>
      <c:valAx>
        <c:axId val="389465216"/>
        <c:scaling>
          <c:orientation val="minMax"/>
          <c:min val="0"/>
        </c:scaling>
        <c:delete val="0"/>
        <c:axPos val="l"/>
        <c:majorGridlines/>
        <c:title>
          <c:tx>
            <c:rich>
              <a:bodyPr rot="-5400000" vert="horz"/>
              <a:lstStyle/>
              <a:p>
                <a:pPr>
                  <a:defRPr/>
                </a:pPr>
                <a:r>
                  <a:rPr lang="en-US"/>
                  <a:t>Current (A)</a:t>
                </a:r>
              </a:p>
            </c:rich>
          </c:tx>
          <c:overlay val="0"/>
        </c:title>
        <c:numFmt formatCode="0.000" sourceLinked="1"/>
        <c:majorTickMark val="out"/>
        <c:minorTickMark val="none"/>
        <c:tickLblPos val="nextTo"/>
        <c:crossAx val="352111616"/>
        <c:crosses val="autoZero"/>
        <c:crossBetween val="midCat"/>
      </c:valAx>
    </c:plotArea>
    <c:legend>
      <c:legendPos val="r"/>
      <c:layout>
        <c:manualLayout>
          <c:xMode val="edge"/>
          <c:yMode val="edge"/>
          <c:x val="0.34624252358789726"/>
          <c:y val="0.24479126489117176"/>
          <c:w val="0.21462230092985587"/>
          <c:h val="0.16792443955258282"/>
        </c:manualLayout>
      </c:layout>
      <c:overlay val="0"/>
      <c:spPr>
        <a:solidFill>
          <a:sysClr val="window" lastClr="FFFFFF"/>
        </a:solidFill>
        <a:ln>
          <a:solidFill>
            <a:schemeClr val="tx1"/>
          </a:solidFill>
        </a:ln>
      </c:spPr>
      <c:txPr>
        <a:bodyPr/>
        <a:lstStyle/>
        <a:p>
          <a:pPr>
            <a:defRPr>
              <a:ln>
                <a:solidFill>
                  <a:sysClr val="windowText" lastClr="000000"/>
                </a:solidFill>
              </a:ln>
            </a:defRPr>
          </a:pPr>
          <a:endParaRPr lang="en-US"/>
        </a:p>
      </c:txPr>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wmf"/></Relationships>
</file>

<file path=xl/drawings/_rels/drawing2.xml.rels><?xml version="1.0" encoding="UTF-8" standalone="yes"?>
<Relationships xmlns="http://schemas.openxmlformats.org/package/2006/relationships"><Relationship Id="rId8" Type="http://schemas.openxmlformats.org/officeDocument/2006/relationships/chart" Target="../charts/chart3.xml"/><Relationship Id="rId13" Type="http://schemas.openxmlformats.org/officeDocument/2006/relationships/image" Target="../media/image8.png"/><Relationship Id="rId18" Type="http://schemas.openxmlformats.org/officeDocument/2006/relationships/image" Target="../media/image13.png"/><Relationship Id="rId26" Type="http://schemas.openxmlformats.org/officeDocument/2006/relationships/hyperlink" Target="https://training.ti.com/node/1133664" TargetMode="External"/><Relationship Id="rId3" Type="http://schemas.openxmlformats.org/officeDocument/2006/relationships/image" Target="../media/image2.png"/><Relationship Id="rId21" Type="http://schemas.openxmlformats.org/officeDocument/2006/relationships/image" Target="../media/image15.png"/><Relationship Id="rId7" Type="http://schemas.openxmlformats.org/officeDocument/2006/relationships/chart" Target="../charts/chart2.xml"/><Relationship Id="rId12" Type="http://schemas.openxmlformats.org/officeDocument/2006/relationships/image" Target="../media/image7.jpeg"/><Relationship Id="rId17" Type="http://schemas.openxmlformats.org/officeDocument/2006/relationships/image" Target="../media/image12.emf"/><Relationship Id="rId25" Type="http://schemas.openxmlformats.org/officeDocument/2006/relationships/image" Target="../media/image17.png"/><Relationship Id="rId2" Type="http://schemas.openxmlformats.org/officeDocument/2006/relationships/hyperlink" Target="http://www.ti.com/" TargetMode="External"/><Relationship Id="rId16" Type="http://schemas.openxmlformats.org/officeDocument/2006/relationships/image" Target="../media/image11.png"/><Relationship Id="rId20" Type="http://schemas.openxmlformats.org/officeDocument/2006/relationships/hyperlink" Target="http://www.ti.com/power-management/protection-monitoring-hot-swap/controllers/support-training.html#videos" TargetMode="External"/><Relationship Id="rId29" Type="http://schemas.openxmlformats.org/officeDocument/2006/relationships/image" Target="../media/image19.png"/><Relationship Id="rId1" Type="http://schemas.openxmlformats.org/officeDocument/2006/relationships/hyperlink" Target="http://www.ti.com/lit/gpn/lm5069" TargetMode="External"/><Relationship Id="rId6" Type="http://schemas.openxmlformats.org/officeDocument/2006/relationships/chart" Target="../charts/chart1.xml"/><Relationship Id="rId11" Type="http://schemas.openxmlformats.org/officeDocument/2006/relationships/hyperlink" Target="http://www.ti.com/product/lm5069" TargetMode="External"/><Relationship Id="rId24" Type="http://schemas.openxmlformats.org/officeDocument/2006/relationships/hyperlink" Target="https://training.ti.com/node/1133673" TargetMode="External"/><Relationship Id="rId5" Type="http://schemas.openxmlformats.org/officeDocument/2006/relationships/image" Target="../media/image4.png"/><Relationship Id="rId15" Type="http://schemas.openxmlformats.org/officeDocument/2006/relationships/image" Target="../media/image10.emf"/><Relationship Id="rId23" Type="http://schemas.openxmlformats.org/officeDocument/2006/relationships/image" Target="../media/image16.png"/><Relationship Id="rId28" Type="http://schemas.openxmlformats.org/officeDocument/2006/relationships/hyperlink" Target="https://training.ti.com/node/1133681" TargetMode="External"/><Relationship Id="rId10" Type="http://schemas.openxmlformats.org/officeDocument/2006/relationships/image" Target="../media/image6.gif"/><Relationship Id="rId19" Type="http://schemas.openxmlformats.org/officeDocument/2006/relationships/image" Target="../media/image14.png"/><Relationship Id="rId4" Type="http://schemas.openxmlformats.org/officeDocument/2006/relationships/image" Target="../media/image3.emf"/><Relationship Id="rId9" Type="http://schemas.openxmlformats.org/officeDocument/2006/relationships/image" Target="../media/image5.gif"/><Relationship Id="rId14" Type="http://schemas.openxmlformats.org/officeDocument/2006/relationships/image" Target="../media/image9.png"/><Relationship Id="rId22" Type="http://schemas.openxmlformats.org/officeDocument/2006/relationships/hyperlink" Target="https://training.ti.com/node/1133677" TargetMode="External"/><Relationship Id="rId27" Type="http://schemas.openxmlformats.org/officeDocument/2006/relationships/image" Target="../media/image18.png"/></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104775</xdr:rowOff>
    </xdr:from>
    <xdr:to>
      <xdr:col>15</xdr:col>
      <xdr:colOff>581025</xdr:colOff>
      <xdr:row>5</xdr:row>
      <xdr:rowOff>38100</xdr:rowOff>
    </xdr:to>
    <xdr:sp macro="" textlink="">
      <xdr:nvSpPr>
        <xdr:cNvPr id="2" name="Rectangle 1">
          <a:extLst>
            <a:ext uri="{FF2B5EF4-FFF2-40B4-BE49-F238E27FC236}">
              <a16:creationId xmlns:a16="http://schemas.microsoft.com/office/drawing/2014/main" id="{00000000-0008-0000-0000-000002000000}"/>
            </a:ext>
          </a:extLst>
        </xdr:cNvPr>
        <xdr:cNvSpPr>
          <a:spLocks noChangeArrowheads="1"/>
        </xdr:cNvSpPr>
      </xdr:nvSpPr>
      <xdr:spPr bwMode="auto">
        <a:xfrm>
          <a:off x="0" y="257175"/>
          <a:ext cx="9725025" cy="93345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editAs="oneCell">
    <xdr:from>
      <xdr:col>0</xdr:col>
      <xdr:colOff>142875</xdr:colOff>
      <xdr:row>2</xdr:row>
      <xdr:rowOff>28575</xdr:rowOff>
    </xdr:from>
    <xdr:to>
      <xdr:col>4</xdr:col>
      <xdr:colOff>28575</xdr:colOff>
      <xdr:row>4</xdr:row>
      <xdr:rowOff>133350</xdr:rowOff>
    </xdr:to>
    <xdr:pic>
      <xdr:nvPicPr>
        <xdr:cNvPr id="4" name="Picture 3">
          <a:extLst>
            <a:ext uri="{FF2B5EF4-FFF2-40B4-BE49-F238E27FC236}">
              <a16:creationId xmlns:a16="http://schemas.microsoft.com/office/drawing/2014/main" id="{00000000-0008-0000-0000-000004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42875" y="342900"/>
          <a:ext cx="2324100" cy="7810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64769</xdr:colOff>
      <xdr:row>1</xdr:row>
      <xdr:rowOff>104775</xdr:rowOff>
    </xdr:from>
    <xdr:to>
      <xdr:col>7</xdr:col>
      <xdr:colOff>19050</xdr:colOff>
      <xdr:row>7</xdr:row>
      <xdr:rowOff>0</xdr:rowOff>
    </xdr:to>
    <xdr:sp macro="" textlink="">
      <xdr:nvSpPr>
        <xdr:cNvPr id="1025" name="Text Box 1">
          <a:hlinkClick xmlns:r="http://schemas.openxmlformats.org/officeDocument/2006/relationships" r:id="rId1"/>
          <a:extLst>
            <a:ext uri="{FF2B5EF4-FFF2-40B4-BE49-F238E27FC236}">
              <a16:creationId xmlns:a16="http://schemas.microsoft.com/office/drawing/2014/main" id="{00000000-0008-0000-0100-000001040000}"/>
            </a:ext>
          </a:extLst>
        </xdr:cNvPr>
        <xdr:cNvSpPr txBox="1">
          <a:spLocks noChangeArrowheads="1"/>
        </xdr:cNvSpPr>
      </xdr:nvSpPr>
      <xdr:spPr bwMode="auto">
        <a:xfrm>
          <a:off x="64769" y="876300"/>
          <a:ext cx="6497956" cy="904875"/>
        </a:xfrm>
        <a:prstGeom prst="rect">
          <a:avLst/>
        </a:prstGeom>
        <a:solidFill>
          <a:srgbClr val="FFFFFF"/>
        </a:solidFill>
        <a:ln w="9525">
          <a:solidFill>
            <a:srgbClr val="000000"/>
          </a:solidFill>
          <a:miter lim="800000"/>
          <a:headEnd/>
          <a:tailEnd/>
        </a:ln>
      </xdr:spPr>
      <xdr:txBody>
        <a:bodyPr vertOverflow="clip" wrap="square" lIns="36576" tIns="22860" rIns="0" bIns="0" anchor="t" upright="1"/>
        <a:lstStyle/>
        <a:p>
          <a:pPr algn="l" rtl="0">
            <a:defRPr sz="1000"/>
          </a:pPr>
          <a:r>
            <a:rPr lang="en-US" sz="1200" b="1" i="0" u="sng" strike="noStrike" baseline="0">
              <a:solidFill>
                <a:srgbClr val="FF0000"/>
              </a:solidFill>
              <a:latin typeface="Arial"/>
              <a:cs typeface="Arial"/>
            </a:rPr>
            <a:t>Note</a:t>
          </a:r>
          <a:r>
            <a:rPr lang="en-US" sz="1200" b="1" i="0" u="none" strike="noStrike" baseline="0">
              <a:solidFill>
                <a:srgbClr val="FF0000"/>
              </a:solidFill>
              <a:latin typeface="Arial"/>
              <a:cs typeface="Arial"/>
            </a:rPr>
            <a:t>:</a:t>
          </a:r>
          <a:r>
            <a:rPr lang="en-US" sz="1200" b="0" i="0" u="none" strike="noStrike" baseline="0">
              <a:solidFill>
                <a:srgbClr val="FF0000"/>
              </a:solidFill>
              <a:latin typeface="Arial"/>
              <a:cs typeface="Arial"/>
            </a:rPr>
            <a:t> The components calculated in this worksheet are reasonable starting values for a design using the LM5069 Hot-swap Controller. As such, they are not optimized for any particular performance attribute. Tolerances of the components are not included in the calculations. See the Instructions tab for additional information.</a:t>
          </a:r>
        </a:p>
        <a:p>
          <a:pPr algn="l" rtl="0">
            <a:defRPr sz="1000"/>
          </a:pPr>
          <a:r>
            <a:rPr lang="en-US" sz="1200" b="1" i="0" u="none" strike="noStrike" baseline="0">
              <a:solidFill>
                <a:sysClr val="windowText" lastClr="000000"/>
              </a:solidFill>
              <a:latin typeface="Arial"/>
              <a:cs typeface="Arial"/>
            </a:rPr>
            <a:t>Consult the LM5069 datasheet for more detail.</a:t>
          </a:r>
        </a:p>
      </xdr:txBody>
    </xdr:sp>
    <xdr:clientData/>
  </xdr:twoCellAnchor>
  <xdr:twoCellAnchor>
    <xdr:from>
      <xdr:col>39</xdr:col>
      <xdr:colOff>0</xdr:colOff>
      <xdr:row>60</xdr:row>
      <xdr:rowOff>0</xdr:rowOff>
    </xdr:from>
    <xdr:to>
      <xdr:col>39</xdr:col>
      <xdr:colOff>0</xdr:colOff>
      <xdr:row>67</xdr:row>
      <xdr:rowOff>0</xdr:rowOff>
    </xdr:to>
    <xdr:sp macro="" textlink="">
      <xdr:nvSpPr>
        <xdr:cNvPr id="1056" name="Text Box 32">
          <a:extLst>
            <a:ext uri="{FF2B5EF4-FFF2-40B4-BE49-F238E27FC236}">
              <a16:creationId xmlns:a16="http://schemas.microsoft.com/office/drawing/2014/main" id="{00000000-0008-0000-0100-000020040000}"/>
            </a:ext>
          </a:extLst>
        </xdr:cNvPr>
        <xdr:cNvSpPr txBox="1">
          <a:spLocks noChangeArrowheads="1"/>
        </xdr:cNvSpPr>
      </xdr:nvSpPr>
      <xdr:spPr bwMode="auto">
        <a:xfrm>
          <a:off x="16821150" y="4267200"/>
          <a:ext cx="2276475" cy="847725"/>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Max R</a:t>
          </a:r>
          <a:r>
            <a:rPr lang="en-US" sz="1000" b="0" i="0" u="none" strike="noStrike" baseline="-25000">
              <a:solidFill>
                <a:srgbClr val="000000"/>
              </a:solidFill>
              <a:latin typeface="Arial"/>
              <a:cs typeface="Arial"/>
            </a:rPr>
            <a:t>S</a:t>
          </a:r>
          <a:r>
            <a:rPr lang="en-US" sz="1000" b="0" i="0" u="none" strike="noStrike" baseline="0">
              <a:solidFill>
                <a:srgbClr val="000000"/>
              </a:solidFill>
              <a:latin typeface="Arial"/>
              <a:cs typeface="Arial"/>
            </a:rPr>
            <a:t> = </a:t>
          </a:r>
          <a:r>
            <a:rPr lang="en-US" sz="1000" b="0" i="0" u="sng" strike="noStrike" baseline="0">
              <a:solidFill>
                <a:srgbClr val="000000"/>
              </a:solidFill>
              <a:latin typeface="Arial"/>
              <a:cs typeface="Arial"/>
            </a:rPr>
            <a:t>            45 mV                 </a:t>
          </a: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                (Max Load Current x 1.01)</a:t>
          </a:r>
        </a:p>
        <a:p>
          <a:pPr algn="l" rtl="0">
            <a:defRPr sz="1000"/>
          </a:pPr>
          <a:endParaRPr lang="en-US" sz="1000" b="0" i="0" u="none" strike="noStrike" baseline="0">
            <a:solidFill>
              <a:srgbClr val="000000"/>
            </a:solidFill>
            <a:latin typeface="Arial"/>
            <a:cs typeface="Arial"/>
          </a:endParaRPr>
        </a:p>
        <a:p>
          <a:pPr algn="l" rtl="0">
            <a:defRPr sz="1000"/>
          </a:pPr>
          <a:r>
            <a:rPr lang="en-US" sz="800" b="0" i="0" u="none" strike="noStrike" baseline="0">
              <a:solidFill>
                <a:srgbClr val="000000"/>
              </a:solidFill>
              <a:latin typeface="Arial"/>
              <a:cs typeface="Arial"/>
            </a:rPr>
            <a:t>The 1.01 factor provides 1% margin from the max. normal load current.</a:t>
          </a:r>
        </a:p>
      </xdr:txBody>
    </xdr:sp>
    <xdr:clientData/>
  </xdr:twoCellAnchor>
  <xdr:twoCellAnchor>
    <xdr:from>
      <xdr:col>39</xdr:col>
      <xdr:colOff>0</xdr:colOff>
      <xdr:row>115</xdr:row>
      <xdr:rowOff>0</xdr:rowOff>
    </xdr:from>
    <xdr:to>
      <xdr:col>39</xdr:col>
      <xdr:colOff>0</xdr:colOff>
      <xdr:row>149</xdr:row>
      <xdr:rowOff>93355</xdr:rowOff>
    </xdr:to>
    <xdr:sp macro="" textlink="">
      <xdr:nvSpPr>
        <xdr:cNvPr id="1069" name="Text Box 45">
          <a:extLst>
            <a:ext uri="{FF2B5EF4-FFF2-40B4-BE49-F238E27FC236}">
              <a16:creationId xmlns:a16="http://schemas.microsoft.com/office/drawing/2014/main" id="{00000000-0008-0000-0100-00002D040000}"/>
            </a:ext>
          </a:extLst>
        </xdr:cNvPr>
        <xdr:cNvSpPr txBox="1">
          <a:spLocks noChangeArrowheads="1"/>
        </xdr:cNvSpPr>
      </xdr:nvSpPr>
      <xdr:spPr bwMode="auto">
        <a:xfrm>
          <a:off x="11777870" y="19497261"/>
          <a:ext cx="0" cy="6404703"/>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0">
            <a:defRPr sz="1000"/>
          </a:pPr>
          <a:r>
            <a:rPr lang="en-US" sz="1000" b="1" i="0" u="none" strike="noStrike" baseline="0">
              <a:solidFill>
                <a:srgbClr val="000000"/>
              </a:solidFill>
              <a:latin typeface="Arial"/>
              <a:cs typeface="Arial"/>
            </a:rPr>
            <a:t>Option B</a:t>
          </a: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R1 = </a:t>
          </a:r>
          <a:r>
            <a:rPr lang="en-US" sz="1000" b="0" i="0" u="sng" strike="noStrike" baseline="0">
              <a:solidFill>
                <a:srgbClr val="000000"/>
              </a:solidFill>
              <a:latin typeface="Arial"/>
              <a:cs typeface="Arial"/>
            </a:rPr>
            <a:t> UVLO</a:t>
          </a:r>
          <a:r>
            <a:rPr lang="en-US" sz="800" b="0" i="0" u="sng" strike="noStrike" baseline="0">
              <a:solidFill>
                <a:srgbClr val="000000"/>
              </a:solidFill>
              <a:latin typeface="Arial"/>
              <a:cs typeface="Arial"/>
            </a:rPr>
            <a:t>(upper)</a:t>
          </a:r>
          <a:r>
            <a:rPr lang="en-US" sz="1000" b="0" i="0" u="sng" strike="noStrike" baseline="0">
              <a:solidFill>
                <a:srgbClr val="000000"/>
              </a:solidFill>
              <a:latin typeface="Arial"/>
              <a:cs typeface="Arial"/>
            </a:rPr>
            <a:t> - UVLO</a:t>
          </a:r>
          <a:r>
            <a:rPr lang="en-US" sz="800" b="0" i="0" u="sng" strike="noStrike" baseline="0">
              <a:solidFill>
                <a:srgbClr val="000000"/>
              </a:solidFill>
              <a:latin typeface="Arial"/>
              <a:cs typeface="Arial"/>
            </a:rPr>
            <a:t>(lower)</a:t>
          </a:r>
          <a:r>
            <a:rPr lang="en-US" sz="1000" b="0" i="0" u="sng" strike="noStrike" baseline="0">
              <a:solidFill>
                <a:srgbClr val="000000"/>
              </a:solidFill>
              <a:latin typeface="Arial"/>
              <a:cs typeface="Arial"/>
            </a:rPr>
            <a:t>  </a:t>
          </a:r>
          <a:r>
            <a:rPr lang="en-US" sz="1000" b="0" i="0" u="none" strike="noStrike" baseline="0">
              <a:solidFill>
                <a:srgbClr val="000000"/>
              </a:solidFill>
              <a:latin typeface="Arial"/>
              <a:cs typeface="Arial"/>
            </a:rPr>
            <a:t>         </a:t>
          </a:r>
        </a:p>
        <a:p>
          <a:pPr algn="l" rtl="0">
            <a:defRPr sz="1000"/>
          </a:pPr>
          <a:r>
            <a:rPr lang="en-US" sz="1000" b="0" i="0" u="none" strike="noStrike" baseline="0">
              <a:solidFill>
                <a:srgbClr val="000000"/>
              </a:solidFill>
              <a:latin typeface="Arial"/>
              <a:cs typeface="Arial"/>
            </a:rPr>
            <a:t>                     20 uA </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R2 =  </a:t>
          </a:r>
          <a:r>
            <a:rPr lang="en-US" sz="1000" b="0" i="0" u="sng" strike="noStrike" baseline="0">
              <a:solidFill>
                <a:srgbClr val="000000"/>
              </a:solidFill>
              <a:latin typeface="Arial"/>
              <a:cs typeface="Arial"/>
            </a:rPr>
            <a:t>       1.17V  x  R1      </a:t>
          </a: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          UVLO</a:t>
          </a:r>
          <a:r>
            <a:rPr lang="en-US" sz="800" b="0" i="0" u="none" strike="noStrike" baseline="0">
              <a:solidFill>
                <a:srgbClr val="000000"/>
              </a:solidFill>
              <a:latin typeface="Arial"/>
              <a:cs typeface="Arial"/>
            </a:rPr>
            <a:t>(lower)</a:t>
          </a:r>
          <a:r>
            <a:rPr lang="en-US" sz="1000" b="0" i="0" u="none" strike="noStrike" baseline="0">
              <a:solidFill>
                <a:srgbClr val="000000"/>
              </a:solidFill>
              <a:latin typeface="Arial"/>
              <a:cs typeface="Arial"/>
            </a:rPr>
            <a:t> - 1.17V</a:t>
          </a: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R3 = </a:t>
          </a:r>
          <a:r>
            <a:rPr lang="en-US" sz="1000" b="0" i="0" u="sng" strike="noStrike" baseline="0">
              <a:solidFill>
                <a:srgbClr val="000000"/>
              </a:solidFill>
              <a:latin typeface="Arial"/>
              <a:cs typeface="Arial"/>
            </a:rPr>
            <a:t> OVLO(upper) - OVLO(lower) </a:t>
          </a:r>
          <a:r>
            <a:rPr lang="en-US" sz="1000" b="0" i="0" u="none" strike="noStrike" baseline="0">
              <a:solidFill>
                <a:srgbClr val="000000"/>
              </a:solidFill>
              <a:latin typeface="Arial"/>
              <a:cs typeface="Arial"/>
            </a:rPr>
            <a:t>          </a:t>
          </a:r>
        </a:p>
        <a:p>
          <a:pPr algn="l" rtl="0">
            <a:defRPr sz="1000"/>
          </a:pPr>
          <a:r>
            <a:rPr lang="en-US" sz="1000" b="0" i="0" u="none" strike="noStrike" baseline="0">
              <a:solidFill>
                <a:srgbClr val="000000"/>
              </a:solidFill>
              <a:latin typeface="Arial"/>
              <a:cs typeface="Arial"/>
            </a:rPr>
            <a:t>                     20 uA </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R4 =  </a:t>
          </a:r>
          <a:r>
            <a:rPr lang="en-US" sz="1000" b="0" i="0" u="sng" strike="noStrike" baseline="0">
              <a:solidFill>
                <a:srgbClr val="000000"/>
              </a:solidFill>
              <a:latin typeface="Arial"/>
              <a:cs typeface="Arial"/>
            </a:rPr>
            <a:t>       1.16V  x  R3      </a:t>
          </a: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          OVLO</a:t>
          </a:r>
          <a:r>
            <a:rPr lang="en-US" sz="800" b="0" i="0" u="none" strike="noStrike" baseline="0">
              <a:solidFill>
                <a:srgbClr val="000000"/>
              </a:solidFill>
              <a:latin typeface="Arial"/>
              <a:cs typeface="Arial"/>
            </a:rPr>
            <a:t>(upper)</a:t>
          </a:r>
          <a:r>
            <a:rPr lang="en-US" sz="1000" b="0" i="0" u="none" strike="noStrike" baseline="0">
              <a:solidFill>
                <a:srgbClr val="000000"/>
              </a:solidFill>
              <a:latin typeface="Arial"/>
              <a:cs typeface="Arial"/>
            </a:rPr>
            <a:t> - 1.16V</a:t>
          </a: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Typical UVLO</a:t>
          </a:r>
          <a:r>
            <a:rPr lang="en-US" sz="800" b="0" i="0" u="none" strike="noStrike" baseline="0">
              <a:solidFill>
                <a:srgbClr val="000000"/>
              </a:solidFill>
              <a:latin typeface="Arial"/>
              <a:cs typeface="Arial"/>
            </a:rPr>
            <a:t>(upper)</a:t>
          </a:r>
          <a:r>
            <a:rPr lang="en-US" sz="1000" b="0" i="0" u="none" strike="noStrike" baseline="0">
              <a:solidFill>
                <a:srgbClr val="000000"/>
              </a:solidFill>
              <a:latin typeface="Arial"/>
              <a:cs typeface="Arial"/>
            </a:rPr>
            <a:t> = 1.17V + (R1 x  </a:t>
          </a:r>
          <a:r>
            <a:rPr lang="en-US" sz="1000" b="0" i="0" u="sng" strike="noStrike" baseline="0">
              <a:solidFill>
                <a:srgbClr val="000000"/>
              </a:solidFill>
              <a:latin typeface="Arial"/>
              <a:cs typeface="Arial"/>
            </a:rPr>
            <a:t>( 1.17V     </a:t>
          </a:r>
          <a:r>
            <a:rPr lang="en-US" sz="1000" b="0" i="0" u="none" strike="noStrike" baseline="0">
              <a:solidFill>
                <a:srgbClr val="000000"/>
              </a:solidFill>
              <a:latin typeface="Arial"/>
              <a:cs typeface="Arial"/>
            </a:rPr>
            <a:t> +  20uA)</a:t>
          </a:r>
        </a:p>
        <a:p>
          <a:pPr algn="l" rtl="0">
            <a:defRPr sz="1000"/>
          </a:pPr>
          <a:r>
            <a:rPr lang="en-US" sz="1000" b="0" i="0" u="none" strike="noStrike" baseline="0">
              <a:solidFill>
                <a:srgbClr val="000000"/>
              </a:solidFill>
              <a:latin typeface="Arial"/>
              <a:cs typeface="Arial"/>
            </a:rPr>
            <a:t>                                                            R2</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Typical UVLO</a:t>
          </a:r>
          <a:r>
            <a:rPr lang="en-US" sz="800" b="0" i="0" u="none" strike="noStrike" baseline="0">
              <a:solidFill>
                <a:srgbClr val="000000"/>
              </a:solidFill>
              <a:latin typeface="Arial"/>
              <a:cs typeface="Arial"/>
            </a:rPr>
            <a:t>(lower)</a:t>
          </a:r>
          <a:r>
            <a:rPr lang="en-US" sz="1000" b="0" i="0" u="none" strike="noStrike" baseline="0">
              <a:solidFill>
                <a:srgbClr val="000000"/>
              </a:solidFill>
              <a:latin typeface="Arial"/>
              <a:cs typeface="Arial"/>
            </a:rPr>
            <a:t> = 1.17V x (R1 + R2)/R2</a:t>
          </a: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Typical OVLO</a:t>
          </a:r>
          <a:r>
            <a:rPr lang="en-US" sz="800" b="0" i="0" u="none" strike="noStrike" baseline="0">
              <a:solidFill>
                <a:srgbClr val="000000"/>
              </a:solidFill>
              <a:latin typeface="Arial"/>
              <a:cs typeface="Arial"/>
            </a:rPr>
            <a:t>(upper)</a:t>
          </a:r>
          <a:r>
            <a:rPr lang="en-US" sz="1000" b="0" i="0" u="none" strike="noStrike" baseline="0">
              <a:solidFill>
                <a:srgbClr val="000000"/>
              </a:solidFill>
              <a:latin typeface="Arial"/>
              <a:cs typeface="Arial"/>
            </a:rPr>
            <a:t> = </a:t>
          </a:r>
          <a:r>
            <a:rPr lang="en-US" sz="1000" b="0" i="0" u="sng" strike="noStrike" baseline="0">
              <a:solidFill>
                <a:srgbClr val="000000"/>
              </a:solidFill>
              <a:latin typeface="Arial"/>
              <a:cs typeface="Arial"/>
            </a:rPr>
            <a:t>  1.16V x (R3 + R4) </a:t>
          </a: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                                                   R4</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Typical UVLO</a:t>
          </a:r>
          <a:r>
            <a:rPr lang="en-US" sz="800" b="0" i="0" u="none" strike="noStrike" baseline="0">
              <a:solidFill>
                <a:srgbClr val="000000"/>
              </a:solidFill>
              <a:latin typeface="Arial"/>
              <a:cs typeface="Arial"/>
            </a:rPr>
            <a:t>(lower)</a:t>
          </a:r>
          <a:r>
            <a:rPr lang="en-US" sz="1000" b="0" i="0" u="none" strike="noStrike" baseline="0">
              <a:solidFill>
                <a:srgbClr val="000000"/>
              </a:solidFill>
              <a:latin typeface="Arial"/>
              <a:cs typeface="Arial"/>
            </a:rPr>
            <a:t> = (R3 x ((</a:t>
          </a:r>
          <a:r>
            <a:rPr lang="en-US" sz="1000" b="0" i="0" u="sng" strike="noStrike" baseline="0">
              <a:solidFill>
                <a:srgbClr val="000000"/>
              </a:solidFill>
              <a:latin typeface="Arial"/>
              <a:cs typeface="Arial"/>
            </a:rPr>
            <a:t> 1.16V)</a:t>
          </a:r>
          <a:r>
            <a:rPr lang="en-US" sz="1000" b="0" i="0" u="none" strike="noStrike" baseline="0">
              <a:solidFill>
                <a:srgbClr val="000000"/>
              </a:solidFill>
              <a:latin typeface="Arial"/>
              <a:cs typeface="Arial"/>
            </a:rPr>
            <a:t>  -  20uA)) + 1.16V</a:t>
          </a:r>
        </a:p>
        <a:p>
          <a:pPr algn="l" rtl="0">
            <a:defRPr sz="1000"/>
          </a:pPr>
          <a:r>
            <a:rPr lang="en-US" sz="1000" b="0" i="0" u="none" strike="noStrike" baseline="0">
              <a:solidFill>
                <a:srgbClr val="000000"/>
              </a:solidFill>
              <a:latin typeface="Arial"/>
              <a:cs typeface="Arial"/>
            </a:rPr>
            <a:t>                                              R4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0</xdr:col>
      <xdr:colOff>76200</xdr:colOff>
      <xdr:row>0</xdr:row>
      <xdr:rowOff>171450</xdr:rowOff>
    </xdr:from>
    <xdr:to>
      <xdr:col>1</xdr:col>
      <xdr:colOff>1657687</xdr:colOff>
      <xdr:row>0</xdr:row>
      <xdr:rowOff>609600</xdr:rowOff>
    </xdr:to>
    <xdr:pic>
      <xdr:nvPicPr>
        <xdr:cNvPr id="10" name="Picture 9">
          <a:hlinkClick xmlns:r="http://schemas.openxmlformats.org/officeDocument/2006/relationships" r:id="rId2"/>
          <a:extLst>
            <a:ext uri="{FF2B5EF4-FFF2-40B4-BE49-F238E27FC236}">
              <a16:creationId xmlns:a16="http://schemas.microsoft.com/office/drawing/2014/main" id="{00000000-0008-0000-0100-00000A000000}"/>
            </a:ext>
          </a:extLst>
        </xdr:cNvPr>
        <xdr:cNvPicPr/>
      </xdr:nvPicPr>
      <xdr:blipFill>
        <a:blip xmlns:r="http://schemas.openxmlformats.org/officeDocument/2006/relationships" r:embed="rId3" cstate="print"/>
        <a:srcRect r="26499"/>
        <a:stretch>
          <a:fillRect/>
        </a:stretch>
      </xdr:blipFill>
      <xdr:spPr bwMode="auto">
        <a:xfrm>
          <a:off x="76200" y="171450"/>
          <a:ext cx="1657687" cy="438150"/>
        </a:xfrm>
        <a:prstGeom prst="rect">
          <a:avLst/>
        </a:prstGeom>
        <a:noFill/>
        <a:ln w="9525">
          <a:noFill/>
          <a:miter lim="800000"/>
          <a:headEnd/>
          <a:tailEnd/>
        </a:ln>
      </xdr:spPr>
    </xdr:pic>
    <xdr:clientData/>
  </xdr:twoCellAnchor>
  <xdr:twoCellAnchor editAs="oneCell">
    <xdr:from>
      <xdr:col>5</xdr:col>
      <xdr:colOff>95251</xdr:colOff>
      <xdr:row>151</xdr:row>
      <xdr:rowOff>95251</xdr:rowOff>
    </xdr:from>
    <xdr:to>
      <xdr:col>10</xdr:col>
      <xdr:colOff>556641</xdr:colOff>
      <xdr:row>151</xdr:row>
      <xdr:rowOff>97409</xdr:rowOff>
    </xdr:to>
    <xdr:pic>
      <xdr:nvPicPr>
        <xdr:cNvPr id="3" name="Picture 216">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4" cstate="print"/>
        <a:srcRect/>
        <a:stretch>
          <a:fillRect/>
        </a:stretch>
      </xdr:blipFill>
      <xdr:spPr bwMode="auto">
        <a:xfrm>
          <a:off x="5467351" y="15116176"/>
          <a:ext cx="4019549" cy="653471"/>
        </a:xfrm>
        <a:prstGeom prst="rect">
          <a:avLst/>
        </a:prstGeom>
        <a:noFill/>
      </xdr:spPr>
    </xdr:pic>
    <xdr:clientData/>
  </xdr:twoCellAnchor>
  <xdr:twoCellAnchor>
    <xdr:from>
      <xdr:col>16</xdr:col>
      <xdr:colOff>714375</xdr:colOff>
      <xdr:row>0</xdr:row>
      <xdr:rowOff>114871</xdr:rowOff>
    </xdr:from>
    <xdr:to>
      <xdr:col>16</xdr:col>
      <xdr:colOff>2247900</xdr:colOff>
      <xdr:row>0</xdr:row>
      <xdr:rowOff>516906</xdr:rowOff>
    </xdr:to>
    <xdr:pic>
      <xdr:nvPicPr>
        <xdr:cNvPr id="11" name="Picture 84">
          <a:extLst>
            <a:ext uri="{FF2B5EF4-FFF2-40B4-BE49-F238E27FC236}">
              <a16:creationId xmlns:a16="http://schemas.microsoft.com/office/drawing/2014/main" id="{00000000-0008-0000-0100-00000B000000}"/>
            </a:ext>
          </a:extLst>
        </xdr:cNvPr>
        <xdr:cNvPicPr>
          <a:picLocks noChangeAspect="1" noChangeArrowheads="1"/>
        </xdr:cNvPicPr>
      </xdr:nvPicPr>
      <xdr:blipFill>
        <a:blip xmlns:r="http://schemas.openxmlformats.org/officeDocument/2006/relationships" r:embed="rId5" cstate="print"/>
        <a:srcRect/>
        <a:stretch>
          <a:fillRect/>
        </a:stretch>
      </xdr:blipFill>
      <xdr:spPr bwMode="auto">
        <a:xfrm>
          <a:off x="10982325" y="114871"/>
          <a:ext cx="1533525" cy="402035"/>
        </a:xfrm>
        <a:prstGeom prst="rect">
          <a:avLst/>
        </a:prstGeom>
        <a:noFill/>
        <a:ln w="1">
          <a:noFill/>
          <a:miter lim="800000"/>
          <a:headEnd/>
          <a:tailEnd type="none" w="med" len="med"/>
        </a:ln>
        <a:effectLst/>
      </xdr:spPr>
    </xdr:pic>
    <xdr:clientData/>
  </xdr:twoCellAnchor>
  <xdr:twoCellAnchor>
    <xdr:from>
      <xdr:col>7</xdr:col>
      <xdr:colOff>274320</xdr:colOff>
      <xdr:row>50</xdr:row>
      <xdr:rowOff>76202</xdr:rowOff>
    </xdr:from>
    <xdr:to>
      <xdr:col>38</xdr:col>
      <xdr:colOff>373530</xdr:colOff>
      <xdr:row>63</xdr:row>
      <xdr:rowOff>171823</xdr:rowOff>
    </xdr:to>
    <xdr:graphicFrame macro="">
      <xdr:nvGraphicFramePr>
        <xdr:cNvPr id="19" name="Chart 100">
          <a:extLst>
            <a:ext uri="{FF2B5EF4-FFF2-40B4-BE49-F238E27FC236}">
              <a16:creationId xmlns:a16="http://schemas.microsoft.com/office/drawing/2014/main" id="{00000000-0008-0000-0100-00001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oneCellAnchor>
    <xdr:from>
      <xdr:col>8</xdr:col>
      <xdr:colOff>53340</xdr:colOff>
      <xdr:row>42</xdr:row>
      <xdr:rowOff>175260</xdr:rowOff>
    </xdr:from>
    <xdr:ext cx="184731" cy="264560"/>
    <xdr:sp macro="" textlink="">
      <xdr:nvSpPr>
        <xdr:cNvPr id="4" name="TextBox 3">
          <a:extLst>
            <a:ext uri="{FF2B5EF4-FFF2-40B4-BE49-F238E27FC236}">
              <a16:creationId xmlns:a16="http://schemas.microsoft.com/office/drawing/2014/main" id="{00000000-0008-0000-0100-000004000000}"/>
            </a:ext>
          </a:extLst>
        </xdr:cNvPr>
        <xdr:cNvSpPr txBox="1"/>
      </xdr:nvSpPr>
      <xdr:spPr>
        <a:xfrm>
          <a:off x="7726680" y="519684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twoCellAnchor>
    <xdr:from>
      <xdr:col>7</xdr:col>
      <xdr:colOff>220084</xdr:colOff>
      <xdr:row>67</xdr:row>
      <xdr:rowOff>94131</xdr:rowOff>
    </xdr:from>
    <xdr:to>
      <xdr:col>38</xdr:col>
      <xdr:colOff>215153</xdr:colOff>
      <xdr:row>81</xdr:row>
      <xdr:rowOff>71718</xdr:rowOff>
    </xdr:to>
    <xdr:graphicFrame macro="">
      <xdr:nvGraphicFramePr>
        <xdr:cNvPr id="16" name="Chart 15">
          <a:extLst>
            <a:ext uri="{FF2B5EF4-FFF2-40B4-BE49-F238E27FC236}">
              <a16:creationId xmlns:a16="http://schemas.microsoft.com/office/drawing/2014/main" id="{00000000-0008-0000-0100-00001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oneCellAnchor>
    <xdr:from>
      <xdr:col>11</xdr:col>
      <xdr:colOff>434340</xdr:colOff>
      <xdr:row>56</xdr:row>
      <xdr:rowOff>91440</xdr:rowOff>
    </xdr:from>
    <xdr:ext cx="184731" cy="264560"/>
    <xdr:sp macro="" textlink="">
      <xdr:nvSpPr>
        <xdr:cNvPr id="5" name="TextBox 4">
          <a:extLst>
            <a:ext uri="{FF2B5EF4-FFF2-40B4-BE49-F238E27FC236}">
              <a16:creationId xmlns:a16="http://schemas.microsoft.com/office/drawing/2014/main" id="{00000000-0008-0000-0100-000005000000}"/>
            </a:ext>
          </a:extLst>
        </xdr:cNvPr>
        <xdr:cNvSpPr txBox="1"/>
      </xdr:nvSpPr>
      <xdr:spPr>
        <a:xfrm>
          <a:off x="10309860" y="774192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twoCellAnchor>
    <xdr:from>
      <xdr:col>7</xdr:col>
      <xdr:colOff>192079</xdr:colOff>
      <xdr:row>81</xdr:row>
      <xdr:rowOff>125506</xdr:rowOff>
    </xdr:from>
    <xdr:to>
      <xdr:col>38</xdr:col>
      <xdr:colOff>282193</xdr:colOff>
      <xdr:row>92</xdr:row>
      <xdr:rowOff>60610</xdr:rowOff>
    </xdr:to>
    <xdr:graphicFrame macro="">
      <xdr:nvGraphicFramePr>
        <xdr:cNvPr id="18" name="Chart 17">
          <a:extLst>
            <a:ext uri="{FF2B5EF4-FFF2-40B4-BE49-F238E27FC236}">
              <a16:creationId xmlns:a16="http://schemas.microsoft.com/office/drawing/2014/main" id="{00000000-0008-0000-0100-00001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oneCellAnchor>
    <xdr:from>
      <xdr:col>12</xdr:col>
      <xdr:colOff>662940</xdr:colOff>
      <xdr:row>69</xdr:row>
      <xdr:rowOff>30480</xdr:rowOff>
    </xdr:from>
    <xdr:ext cx="184731" cy="264560"/>
    <xdr:sp macro="" textlink="">
      <xdr:nvSpPr>
        <xdr:cNvPr id="2" name="TextBox 1">
          <a:extLst>
            <a:ext uri="{FF2B5EF4-FFF2-40B4-BE49-F238E27FC236}">
              <a16:creationId xmlns:a16="http://schemas.microsoft.com/office/drawing/2014/main" id="{00000000-0008-0000-0100-000002000000}"/>
            </a:ext>
          </a:extLst>
        </xdr:cNvPr>
        <xdr:cNvSpPr txBox="1"/>
      </xdr:nvSpPr>
      <xdr:spPr>
        <a:xfrm>
          <a:off x="11193780" y="986028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twoCellAnchor editAs="oneCell">
    <xdr:from>
      <xdr:col>12</xdr:col>
      <xdr:colOff>0</xdr:colOff>
      <xdr:row>10</xdr:row>
      <xdr:rowOff>0</xdr:rowOff>
    </xdr:from>
    <xdr:to>
      <xdr:col>12</xdr:col>
      <xdr:colOff>9525</xdr:colOff>
      <xdr:row>10</xdr:row>
      <xdr:rowOff>9525</xdr:rowOff>
    </xdr:to>
    <xdr:pic>
      <xdr:nvPicPr>
        <xdr:cNvPr id="24" name="Picture 23" descr="http://d.adroll.com/cm/w/out">
          <a:extLst>
            <a:ext uri="{FF2B5EF4-FFF2-40B4-BE49-F238E27FC236}">
              <a16:creationId xmlns:a16="http://schemas.microsoft.com/office/drawing/2014/main" id="{00000000-0008-0000-0100-000018000000}"/>
            </a:ext>
          </a:extLst>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10334625" y="237172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19050</xdr:colOff>
      <xdr:row>10</xdr:row>
      <xdr:rowOff>0</xdr:rowOff>
    </xdr:from>
    <xdr:to>
      <xdr:col>12</xdr:col>
      <xdr:colOff>28575</xdr:colOff>
      <xdr:row>10</xdr:row>
      <xdr:rowOff>9525</xdr:rowOff>
    </xdr:to>
    <xdr:sp macro="" textlink="">
      <xdr:nvSpPr>
        <xdr:cNvPr id="1351" name="AutoShape 327" descr="http://d.adroll.com/cm/x/out">
          <a:extLst>
            <a:ext uri="{FF2B5EF4-FFF2-40B4-BE49-F238E27FC236}">
              <a16:creationId xmlns:a16="http://schemas.microsoft.com/office/drawing/2014/main" id="{00000000-0008-0000-0100-000047050000}"/>
            </a:ext>
          </a:extLst>
        </xdr:cNvPr>
        <xdr:cNvSpPr>
          <a:spLocks noChangeAspect="1" noChangeArrowheads="1"/>
        </xdr:cNvSpPr>
      </xdr:nvSpPr>
      <xdr:spPr bwMode="auto">
        <a:xfrm>
          <a:off x="10353675" y="2371725"/>
          <a:ext cx="9525" cy="95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12</xdr:col>
      <xdr:colOff>38100</xdr:colOff>
      <xdr:row>10</xdr:row>
      <xdr:rowOff>0</xdr:rowOff>
    </xdr:from>
    <xdr:to>
      <xdr:col>12</xdr:col>
      <xdr:colOff>47625</xdr:colOff>
      <xdr:row>10</xdr:row>
      <xdr:rowOff>9525</xdr:rowOff>
    </xdr:to>
    <xdr:pic>
      <xdr:nvPicPr>
        <xdr:cNvPr id="25" name="Picture 24" descr="http://www.googleadservices.com/pagead/conversion/1011350631/?label=RVMHCInF3gYQ5_if4gM&amp;guid=ON&amp;script=0&amp;ord=7961155264590054">
          <a:extLst>
            <a:ext uri="{FF2B5EF4-FFF2-40B4-BE49-F238E27FC236}">
              <a16:creationId xmlns:a16="http://schemas.microsoft.com/office/drawing/2014/main" id="{00000000-0008-0000-0100-000019000000}"/>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10372725" y="237172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57150</xdr:colOff>
      <xdr:row>10</xdr:row>
      <xdr:rowOff>0</xdr:rowOff>
    </xdr:from>
    <xdr:to>
      <xdr:col>12</xdr:col>
      <xdr:colOff>66675</xdr:colOff>
      <xdr:row>10</xdr:row>
      <xdr:rowOff>9525</xdr:rowOff>
    </xdr:to>
    <xdr:sp macro="" textlink="">
      <xdr:nvSpPr>
        <xdr:cNvPr id="1353" name="AutoShape 329" descr="http://d.adroll.com/cm/g/out?google_nid=adroll2">
          <a:extLst>
            <a:ext uri="{FF2B5EF4-FFF2-40B4-BE49-F238E27FC236}">
              <a16:creationId xmlns:a16="http://schemas.microsoft.com/office/drawing/2014/main" id="{00000000-0008-0000-0100-000049050000}"/>
            </a:ext>
          </a:extLst>
        </xdr:cNvPr>
        <xdr:cNvSpPr>
          <a:spLocks noChangeAspect="1" noChangeArrowheads="1"/>
        </xdr:cNvSpPr>
      </xdr:nvSpPr>
      <xdr:spPr bwMode="auto">
        <a:xfrm>
          <a:off x="10391775" y="2371725"/>
          <a:ext cx="9525" cy="95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12</xdr:col>
      <xdr:colOff>76200</xdr:colOff>
      <xdr:row>10</xdr:row>
      <xdr:rowOff>0</xdr:rowOff>
    </xdr:from>
    <xdr:to>
      <xdr:col>12</xdr:col>
      <xdr:colOff>85725</xdr:colOff>
      <xdr:row>10</xdr:row>
      <xdr:rowOff>9525</xdr:rowOff>
    </xdr:to>
    <xdr:sp macro="" textlink="">
      <xdr:nvSpPr>
        <xdr:cNvPr id="1354" name="AutoShape 330" descr="http://ib.adnxs.com/seg?add=556715&amp;t=2">
          <a:extLst>
            <a:ext uri="{FF2B5EF4-FFF2-40B4-BE49-F238E27FC236}">
              <a16:creationId xmlns:a16="http://schemas.microsoft.com/office/drawing/2014/main" id="{00000000-0008-0000-0100-00004A050000}"/>
            </a:ext>
          </a:extLst>
        </xdr:cNvPr>
        <xdr:cNvSpPr>
          <a:spLocks noChangeAspect="1" noChangeArrowheads="1"/>
        </xdr:cNvSpPr>
      </xdr:nvSpPr>
      <xdr:spPr bwMode="auto">
        <a:xfrm>
          <a:off x="10410825" y="2371725"/>
          <a:ext cx="9525" cy="95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11</xdr:col>
      <xdr:colOff>0</xdr:colOff>
      <xdr:row>9</xdr:row>
      <xdr:rowOff>0</xdr:rowOff>
    </xdr:from>
    <xdr:to>
      <xdr:col>11</xdr:col>
      <xdr:colOff>9525</xdr:colOff>
      <xdr:row>9</xdr:row>
      <xdr:rowOff>9525</xdr:rowOff>
    </xdr:to>
    <xdr:pic>
      <xdr:nvPicPr>
        <xdr:cNvPr id="31" name="Picture 30" descr="http://d.adroll.com/cm/w/out">
          <a:extLst>
            <a:ext uri="{FF2B5EF4-FFF2-40B4-BE49-F238E27FC236}">
              <a16:creationId xmlns:a16="http://schemas.microsoft.com/office/drawing/2014/main" id="{00000000-0008-0000-0100-00001F000000}"/>
            </a:ext>
          </a:extLst>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9744075" y="218122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19050</xdr:colOff>
      <xdr:row>9</xdr:row>
      <xdr:rowOff>0</xdr:rowOff>
    </xdr:from>
    <xdr:to>
      <xdr:col>11</xdr:col>
      <xdr:colOff>28575</xdr:colOff>
      <xdr:row>9</xdr:row>
      <xdr:rowOff>9525</xdr:rowOff>
    </xdr:to>
    <xdr:sp macro="" textlink="">
      <xdr:nvSpPr>
        <xdr:cNvPr id="1357" name="AutoShape 333" descr="http://d.adroll.com/cm/x/out">
          <a:extLst>
            <a:ext uri="{FF2B5EF4-FFF2-40B4-BE49-F238E27FC236}">
              <a16:creationId xmlns:a16="http://schemas.microsoft.com/office/drawing/2014/main" id="{00000000-0008-0000-0100-00004D050000}"/>
            </a:ext>
          </a:extLst>
        </xdr:cNvPr>
        <xdr:cNvSpPr>
          <a:spLocks noChangeAspect="1" noChangeArrowheads="1"/>
        </xdr:cNvSpPr>
      </xdr:nvSpPr>
      <xdr:spPr bwMode="auto">
        <a:xfrm>
          <a:off x="9763125" y="2181225"/>
          <a:ext cx="9525" cy="95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11</xdr:col>
      <xdr:colOff>38100</xdr:colOff>
      <xdr:row>9</xdr:row>
      <xdr:rowOff>0</xdr:rowOff>
    </xdr:from>
    <xdr:to>
      <xdr:col>11</xdr:col>
      <xdr:colOff>47625</xdr:colOff>
      <xdr:row>9</xdr:row>
      <xdr:rowOff>9525</xdr:rowOff>
    </xdr:to>
    <xdr:pic>
      <xdr:nvPicPr>
        <xdr:cNvPr id="33" name="Picture 32" descr="http://www.googleadservices.com/pagead/conversion/1011350631/?label=RVMHCInF3gYQ5_if4gM&amp;guid=ON&amp;script=0&amp;ord=8507963758213217">
          <a:extLst>
            <a:ext uri="{FF2B5EF4-FFF2-40B4-BE49-F238E27FC236}">
              <a16:creationId xmlns:a16="http://schemas.microsoft.com/office/drawing/2014/main" id="{00000000-0008-0000-0100-000021000000}"/>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9782175" y="218122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57150</xdr:colOff>
      <xdr:row>9</xdr:row>
      <xdr:rowOff>0</xdr:rowOff>
    </xdr:from>
    <xdr:to>
      <xdr:col>11</xdr:col>
      <xdr:colOff>66675</xdr:colOff>
      <xdr:row>9</xdr:row>
      <xdr:rowOff>9525</xdr:rowOff>
    </xdr:to>
    <xdr:sp macro="" textlink="">
      <xdr:nvSpPr>
        <xdr:cNvPr id="1359" name="AutoShape 335" descr="http://d.adroll.com/cm/g/out?google_nid=adroll2">
          <a:extLst>
            <a:ext uri="{FF2B5EF4-FFF2-40B4-BE49-F238E27FC236}">
              <a16:creationId xmlns:a16="http://schemas.microsoft.com/office/drawing/2014/main" id="{00000000-0008-0000-0100-00004F050000}"/>
            </a:ext>
          </a:extLst>
        </xdr:cNvPr>
        <xdr:cNvSpPr>
          <a:spLocks noChangeAspect="1" noChangeArrowheads="1"/>
        </xdr:cNvSpPr>
      </xdr:nvSpPr>
      <xdr:spPr bwMode="auto">
        <a:xfrm>
          <a:off x="9801225" y="2181225"/>
          <a:ext cx="9525" cy="95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11</xdr:col>
      <xdr:colOff>76200</xdr:colOff>
      <xdr:row>9</xdr:row>
      <xdr:rowOff>0</xdr:rowOff>
    </xdr:from>
    <xdr:to>
      <xdr:col>11</xdr:col>
      <xdr:colOff>85725</xdr:colOff>
      <xdr:row>9</xdr:row>
      <xdr:rowOff>9525</xdr:rowOff>
    </xdr:to>
    <xdr:sp macro="" textlink="">
      <xdr:nvSpPr>
        <xdr:cNvPr id="1360" name="AutoShape 336" descr="http://ib.adnxs.com/seg?add=556715&amp;t=2">
          <a:extLst>
            <a:ext uri="{FF2B5EF4-FFF2-40B4-BE49-F238E27FC236}">
              <a16:creationId xmlns:a16="http://schemas.microsoft.com/office/drawing/2014/main" id="{00000000-0008-0000-0100-000050050000}"/>
            </a:ext>
          </a:extLst>
        </xdr:cNvPr>
        <xdr:cNvSpPr>
          <a:spLocks noChangeAspect="1" noChangeArrowheads="1"/>
        </xdr:cNvSpPr>
      </xdr:nvSpPr>
      <xdr:spPr bwMode="auto">
        <a:xfrm>
          <a:off x="9820275" y="2181225"/>
          <a:ext cx="9525" cy="95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8</xdr:col>
      <xdr:colOff>198783</xdr:colOff>
      <xdr:row>2</xdr:row>
      <xdr:rowOff>140812</xdr:rowOff>
    </xdr:from>
    <xdr:to>
      <xdr:col>10</xdr:col>
      <xdr:colOff>576469</xdr:colOff>
      <xdr:row>10</xdr:row>
      <xdr:rowOff>160691</xdr:rowOff>
    </xdr:to>
    <xdr:pic>
      <xdr:nvPicPr>
        <xdr:cNvPr id="36" name="Picture 35" descr="Positive High Voltage Hot Swap / Inrush Current Controller with Power Limiting - LM5069">
          <a:hlinkClick xmlns:r="http://schemas.openxmlformats.org/officeDocument/2006/relationships" r:id="rId11"/>
          <a:extLst>
            <a:ext uri="{FF2B5EF4-FFF2-40B4-BE49-F238E27FC236}">
              <a16:creationId xmlns:a16="http://schemas.microsoft.com/office/drawing/2014/main" id="{00000000-0008-0000-0100-000024000000}"/>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7793935" y="1109877"/>
          <a:ext cx="1851991" cy="14362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8</xdr:col>
      <xdr:colOff>405845</xdr:colOff>
      <xdr:row>35</xdr:row>
      <xdr:rowOff>157373</xdr:rowOff>
    </xdr:from>
    <xdr:to>
      <xdr:col>12</xdr:col>
      <xdr:colOff>517904</xdr:colOff>
      <xdr:row>49</xdr:row>
      <xdr:rowOff>39315</xdr:rowOff>
    </xdr:to>
    <xdr:grpSp>
      <xdr:nvGrpSpPr>
        <xdr:cNvPr id="14" name="Group 13">
          <a:extLst>
            <a:ext uri="{FF2B5EF4-FFF2-40B4-BE49-F238E27FC236}">
              <a16:creationId xmlns:a16="http://schemas.microsoft.com/office/drawing/2014/main" id="{00000000-0008-0000-0100-00000E000000}"/>
            </a:ext>
          </a:extLst>
        </xdr:cNvPr>
        <xdr:cNvGrpSpPr/>
      </xdr:nvGrpSpPr>
      <xdr:grpSpPr>
        <a:xfrm>
          <a:off x="8125236" y="7827069"/>
          <a:ext cx="2861885" cy="2731159"/>
          <a:chOff x="8000997" y="4398069"/>
          <a:chExt cx="2861885" cy="2548942"/>
        </a:xfrm>
      </xdr:grpSpPr>
      <xdr:grpSp>
        <xdr:nvGrpSpPr>
          <xdr:cNvPr id="12" name="Group 11">
            <a:extLst>
              <a:ext uri="{FF2B5EF4-FFF2-40B4-BE49-F238E27FC236}">
                <a16:creationId xmlns:a16="http://schemas.microsoft.com/office/drawing/2014/main" id="{00000000-0008-0000-0100-00000C000000}"/>
              </a:ext>
            </a:extLst>
          </xdr:cNvPr>
          <xdr:cNvGrpSpPr/>
        </xdr:nvGrpSpPr>
        <xdr:grpSpPr>
          <a:xfrm>
            <a:off x="8000997" y="4398069"/>
            <a:ext cx="2861885" cy="2548942"/>
            <a:chOff x="8000997" y="4398069"/>
            <a:chExt cx="2861885" cy="2548942"/>
          </a:xfrm>
        </xdr:grpSpPr>
        <xdr:grpSp>
          <xdr:nvGrpSpPr>
            <xdr:cNvPr id="20" name="Group 19">
              <a:extLst>
                <a:ext uri="{FF2B5EF4-FFF2-40B4-BE49-F238E27FC236}">
                  <a16:creationId xmlns:a16="http://schemas.microsoft.com/office/drawing/2014/main" id="{00000000-0008-0000-0100-000014000000}"/>
                </a:ext>
              </a:extLst>
            </xdr:cNvPr>
            <xdr:cNvGrpSpPr/>
          </xdr:nvGrpSpPr>
          <xdr:grpSpPr>
            <a:xfrm>
              <a:off x="8000997" y="4398069"/>
              <a:ext cx="2861885" cy="2548942"/>
              <a:chOff x="7507942" y="4356356"/>
              <a:chExt cx="2857500" cy="2548942"/>
            </a:xfrm>
          </xdr:grpSpPr>
          <xdr:pic>
            <xdr:nvPicPr>
              <xdr:cNvPr id="21" name="Picture 20">
                <a:extLst>
                  <a:ext uri="{FF2B5EF4-FFF2-40B4-BE49-F238E27FC236}">
                    <a16:creationId xmlns:a16="http://schemas.microsoft.com/office/drawing/2014/main" id="{00000000-0008-0000-0100-000015000000}"/>
                  </a:ext>
                </a:extLst>
              </xdr:cNvPr>
              <xdr:cNvPicPr>
                <a:picLocks noChangeAspect="1"/>
              </xdr:cNvPicPr>
            </xdr:nvPicPr>
            <xdr:blipFill>
              <a:blip xmlns:r="http://schemas.openxmlformats.org/officeDocument/2006/relationships" r:embed="rId13"/>
              <a:stretch>
                <a:fillRect/>
              </a:stretch>
            </xdr:blipFill>
            <xdr:spPr>
              <a:xfrm>
                <a:off x="7507942" y="4356356"/>
                <a:ext cx="2857500" cy="2548942"/>
              </a:xfrm>
              <a:prstGeom prst="rect">
                <a:avLst/>
              </a:prstGeom>
            </xdr:spPr>
          </xdr:pic>
          <xdr:sp macro="" textlink="">
            <xdr:nvSpPr>
              <xdr:cNvPr id="22" name="TextBox 21">
                <a:extLst>
                  <a:ext uri="{FF2B5EF4-FFF2-40B4-BE49-F238E27FC236}">
                    <a16:creationId xmlns:a16="http://schemas.microsoft.com/office/drawing/2014/main" id="{00000000-0008-0000-0100-000016000000}"/>
                  </a:ext>
                </a:extLst>
              </xdr:cNvPr>
              <xdr:cNvSpPr txBox="1"/>
            </xdr:nvSpPr>
            <xdr:spPr>
              <a:xfrm>
                <a:off x="8561294" y="5154706"/>
                <a:ext cx="593912" cy="246529"/>
              </a:xfrm>
              <a:prstGeom prst="rect">
                <a:avLst/>
              </a:prstGeom>
              <a:solidFill>
                <a:sysClr val="window" lastClr="FFFFF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0">
                    <a:latin typeface="Arial" panose="020B0604020202020204" pitchFamily="34" charset="0"/>
                    <a:cs typeface="Arial" panose="020B0604020202020204" pitchFamily="34" charset="0"/>
                  </a:rPr>
                  <a:t>R</a:t>
                </a:r>
                <a:r>
                  <a:rPr lang="en-US" sz="1200" b="0" baseline="-25000">
                    <a:latin typeface="Arial" panose="020B0604020202020204" pitchFamily="34" charset="0"/>
                    <a:cs typeface="Arial" panose="020B0604020202020204" pitchFamily="34" charset="0"/>
                  </a:rPr>
                  <a:t>CL1</a:t>
                </a:r>
              </a:p>
            </xdr:txBody>
          </xdr:sp>
          <xdr:sp macro="" textlink="">
            <xdr:nvSpPr>
              <xdr:cNvPr id="23" name="TextBox 22">
                <a:extLst>
                  <a:ext uri="{FF2B5EF4-FFF2-40B4-BE49-F238E27FC236}">
                    <a16:creationId xmlns:a16="http://schemas.microsoft.com/office/drawing/2014/main" id="{00000000-0008-0000-0100-000017000000}"/>
                  </a:ext>
                </a:extLst>
              </xdr:cNvPr>
              <xdr:cNvSpPr txBox="1"/>
            </xdr:nvSpPr>
            <xdr:spPr>
              <a:xfrm>
                <a:off x="9397253" y="5038165"/>
                <a:ext cx="593912" cy="246529"/>
              </a:xfrm>
              <a:prstGeom prst="rect">
                <a:avLst/>
              </a:prstGeom>
              <a:solidFill>
                <a:sysClr val="window" lastClr="FFFFF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0">
                    <a:latin typeface="Arial" panose="020B0604020202020204" pitchFamily="34" charset="0"/>
                    <a:cs typeface="Arial" panose="020B0604020202020204" pitchFamily="34" charset="0"/>
                  </a:rPr>
                  <a:t>R</a:t>
                </a:r>
                <a:r>
                  <a:rPr lang="en-US" sz="1200" b="0" baseline="-25000">
                    <a:latin typeface="Arial" panose="020B0604020202020204" pitchFamily="34" charset="0"/>
                    <a:cs typeface="Arial" panose="020B0604020202020204" pitchFamily="34" charset="0"/>
                  </a:rPr>
                  <a:t>CL2</a:t>
                </a:r>
              </a:p>
            </xdr:txBody>
          </xdr:sp>
        </xdr:grpSp>
        <xdr:sp macro="" textlink="">
          <xdr:nvSpPr>
            <xdr:cNvPr id="9" name="Rectangle 8">
              <a:extLst>
                <a:ext uri="{FF2B5EF4-FFF2-40B4-BE49-F238E27FC236}">
                  <a16:creationId xmlns:a16="http://schemas.microsoft.com/office/drawing/2014/main" id="{00000000-0008-0000-0100-000009000000}"/>
                </a:ext>
              </a:extLst>
            </xdr:cNvPr>
            <xdr:cNvSpPr/>
          </xdr:nvSpPr>
          <xdr:spPr>
            <a:xfrm>
              <a:off x="9177130" y="6493565"/>
              <a:ext cx="1432893" cy="323022"/>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pic>
        <xdr:nvPicPr>
          <xdr:cNvPr id="13" name="Picture 12">
            <a:extLst>
              <a:ext uri="{FF2B5EF4-FFF2-40B4-BE49-F238E27FC236}">
                <a16:creationId xmlns:a16="http://schemas.microsoft.com/office/drawing/2014/main" id="{00000000-0008-0000-0100-00000D000000}"/>
              </a:ext>
            </a:extLst>
          </xdr:cNvPr>
          <xdr:cNvPicPr>
            <a:picLocks noChangeAspect="1"/>
          </xdr:cNvPicPr>
        </xdr:nvPicPr>
        <xdr:blipFill>
          <a:blip xmlns:r="http://schemas.openxmlformats.org/officeDocument/2006/relationships" r:embed="rId14"/>
          <a:stretch>
            <a:fillRect/>
          </a:stretch>
        </xdr:blipFill>
        <xdr:spPr>
          <a:xfrm>
            <a:off x="8912674" y="6278217"/>
            <a:ext cx="1424743" cy="447261"/>
          </a:xfrm>
          <a:prstGeom prst="rect">
            <a:avLst/>
          </a:prstGeom>
        </xdr:spPr>
      </xdr:pic>
    </xdr:grpSp>
    <xdr:clientData/>
  </xdr:twoCellAnchor>
  <xdr:twoCellAnchor>
    <xdr:from>
      <xdr:col>11</xdr:col>
      <xdr:colOff>306455</xdr:colOff>
      <xdr:row>102</xdr:row>
      <xdr:rowOff>57978</xdr:rowOff>
    </xdr:from>
    <xdr:to>
      <xdr:col>12</xdr:col>
      <xdr:colOff>272456</xdr:colOff>
      <xdr:row>103</xdr:row>
      <xdr:rowOff>41413</xdr:rowOff>
    </xdr:to>
    <xdr:pic>
      <xdr:nvPicPr>
        <xdr:cNvPr id="38" name="Picture 37">
          <a:extLst>
            <a:ext uri="{FF2B5EF4-FFF2-40B4-BE49-F238E27FC236}">
              <a16:creationId xmlns:a16="http://schemas.microsoft.com/office/drawing/2014/main" id="{00000000-0008-0000-0100-000026000000}"/>
            </a:ext>
          </a:extLst>
        </xdr:cNvPr>
        <xdr:cNvPicPr>
          <a:picLocks noChangeAspect="1"/>
        </xdr:cNvPicPr>
      </xdr:nvPicPr>
      <xdr:blipFill>
        <a:blip xmlns:r="http://schemas.openxmlformats.org/officeDocument/2006/relationships" r:embed="rId14"/>
        <a:stretch>
          <a:fillRect/>
        </a:stretch>
      </xdr:blipFill>
      <xdr:spPr>
        <a:xfrm>
          <a:off x="10063368" y="17078739"/>
          <a:ext cx="554066" cy="173935"/>
        </a:xfrm>
        <a:prstGeom prst="rect">
          <a:avLst/>
        </a:prstGeom>
      </xdr:spPr>
    </xdr:pic>
    <xdr:clientData/>
  </xdr:twoCellAnchor>
  <xdr:twoCellAnchor>
    <xdr:from>
      <xdr:col>8</xdr:col>
      <xdr:colOff>98612</xdr:colOff>
      <xdr:row>95</xdr:row>
      <xdr:rowOff>5956</xdr:rowOff>
    </xdr:from>
    <xdr:to>
      <xdr:col>12</xdr:col>
      <xdr:colOff>325531</xdr:colOff>
      <xdr:row>106</xdr:row>
      <xdr:rowOff>26894</xdr:rowOff>
    </xdr:to>
    <xdr:grpSp>
      <xdr:nvGrpSpPr>
        <xdr:cNvPr id="7" name="Group 6">
          <a:extLst>
            <a:ext uri="{FF2B5EF4-FFF2-40B4-BE49-F238E27FC236}">
              <a16:creationId xmlns:a16="http://schemas.microsoft.com/office/drawing/2014/main" id="{00000000-0008-0000-0100-000007000000}"/>
            </a:ext>
          </a:extLst>
        </xdr:cNvPr>
        <xdr:cNvGrpSpPr/>
      </xdr:nvGrpSpPr>
      <xdr:grpSpPr>
        <a:xfrm>
          <a:off x="7818003" y="19304434"/>
          <a:ext cx="2976745" cy="2116438"/>
          <a:chOff x="7873187" y="15693217"/>
          <a:chExt cx="2797322" cy="1973621"/>
        </a:xfrm>
      </xdr:grpSpPr>
      <xdr:pic>
        <xdr:nvPicPr>
          <xdr:cNvPr id="1253" name="Picture 229">
            <a:extLst>
              <a:ext uri="{FF2B5EF4-FFF2-40B4-BE49-F238E27FC236}">
                <a16:creationId xmlns:a16="http://schemas.microsoft.com/office/drawing/2014/main" id="{00000000-0008-0000-0100-0000E5040000}"/>
              </a:ext>
            </a:extLst>
          </xdr:cNvPr>
          <xdr:cNvPicPr>
            <a:picLocks noChangeAspect="1" noChangeArrowheads="1"/>
          </xdr:cNvPicPr>
        </xdr:nvPicPr>
        <xdr:blipFill rotWithShape="1">
          <a:blip xmlns:r="http://schemas.openxmlformats.org/officeDocument/2006/relationships" r:embed="rId15" cstate="print"/>
          <a:srcRect t="87769"/>
          <a:stretch/>
        </xdr:blipFill>
        <xdr:spPr bwMode="auto">
          <a:xfrm>
            <a:off x="7873187" y="17443174"/>
            <a:ext cx="2797322" cy="223664"/>
          </a:xfrm>
          <a:prstGeom prst="rect">
            <a:avLst/>
          </a:prstGeom>
          <a:noFill/>
        </xdr:spPr>
      </xdr:pic>
      <xdr:pic>
        <xdr:nvPicPr>
          <xdr:cNvPr id="6" name="Picture 5">
            <a:extLst>
              <a:ext uri="{FF2B5EF4-FFF2-40B4-BE49-F238E27FC236}">
                <a16:creationId xmlns:a16="http://schemas.microsoft.com/office/drawing/2014/main" id="{00000000-0008-0000-0100-000006000000}"/>
              </a:ext>
            </a:extLst>
          </xdr:cNvPr>
          <xdr:cNvPicPr>
            <a:picLocks noChangeAspect="1"/>
          </xdr:cNvPicPr>
        </xdr:nvPicPr>
        <xdr:blipFill>
          <a:blip xmlns:r="http://schemas.openxmlformats.org/officeDocument/2006/relationships" r:embed="rId16"/>
          <a:stretch>
            <a:fillRect/>
          </a:stretch>
        </xdr:blipFill>
        <xdr:spPr>
          <a:xfrm>
            <a:off x="7887218" y="15693217"/>
            <a:ext cx="2764216" cy="1760647"/>
          </a:xfrm>
          <a:prstGeom prst="rect">
            <a:avLst/>
          </a:prstGeom>
        </xdr:spPr>
      </xdr:pic>
    </xdr:grpSp>
    <xdr:clientData/>
  </xdr:twoCellAnchor>
  <xdr:twoCellAnchor>
    <xdr:from>
      <xdr:col>8</xdr:col>
      <xdr:colOff>80683</xdr:colOff>
      <xdr:row>106</xdr:row>
      <xdr:rowOff>183276</xdr:rowOff>
    </xdr:from>
    <xdr:to>
      <xdr:col>12</xdr:col>
      <xdr:colOff>379320</xdr:colOff>
      <xdr:row>118</xdr:row>
      <xdr:rowOff>80681</xdr:rowOff>
    </xdr:to>
    <xdr:grpSp>
      <xdr:nvGrpSpPr>
        <xdr:cNvPr id="27" name="Group 26">
          <a:extLst>
            <a:ext uri="{FF2B5EF4-FFF2-40B4-BE49-F238E27FC236}">
              <a16:creationId xmlns:a16="http://schemas.microsoft.com/office/drawing/2014/main" id="{00000000-0008-0000-0100-00001B000000}"/>
            </a:ext>
          </a:extLst>
        </xdr:cNvPr>
        <xdr:cNvGrpSpPr/>
      </xdr:nvGrpSpPr>
      <xdr:grpSpPr>
        <a:xfrm>
          <a:off x="7800074" y="21577254"/>
          <a:ext cx="3048463" cy="2183405"/>
          <a:chOff x="7880463" y="18111714"/>
          <a:chExt cx="2861764" cy="1978020"/>
        </a:xfrm>
      </xdr:grpSpPr>
      <xdr:pic>
        <xdr:nvPicPr>
          <xdr:cNvPr id="1254" name="Picture 230">
            <a:extLst>
              <a:ext uri="{FF2B5EF4-FFF2-40B4-BE49-F238E27FC236}">
                <a16:creationId xmlns:a16="http://schemas.microsoft.com/office/drawing/2014/main" id="{00000000-0008-0000-0100-0000E6040000}"/>
              </a:ext>
            </a:extLst>
          </xdr:cNvPr>
          <xdr:cNvPicPr>
            <a:picLocks noChangeAspect="1" noChangeArrowheads="1"/>
          </xdr:cNvPicPr>
        </xdr:nvPicPr>
        <xdr:blipFill rotWithShape="1">
          <a:blip xmlns:r="http://schemas.openxmlformats.org/officeDocument/2006/relationships" r:embed="rId17" cstate="print"/>
          <a:srcRect t="90397"/>
          <a:stretch/>
        </xdr:blipFill>
        <xdr:spPr bwMode="auto">
          <a:xfrm>
            <a:off x="7949257" y="19911391"/>
            <a:ext cx="2792970" cy="178343"/>
          </a:xfrm>
          <a:prstGeom prst="rect">
            <a:avLst/>
          </a:prstGeom>
          <a:noFill/>
        </xdr:spPr>
      </xdr:pic>
      <xdr:pic>
        <xdr:nvPicPr>
          <xdr:cNvPr id="8" name="Picture 7">
            <a:extLst>
              <a:ext uri="{FF2B5EF4-FFF2-40B4-BE49-F238E27FC236}">
                <a16:creationId xmlns:a16="http://schemas.microsoft.com/office/drawing/2014/main" id="{00000000-0008-0000-0100-000008000000}"/>
              </a:ext>
            </a:extLst>
          </xdr:cNvPr>
          <xdr:cNvPicPr>
            <a:picLocks noChangeAspect="1"/>
          </xdr:cNvPicPr>
        </xdr:nvPicPr>
        <xdr:blipFill>
          <a:blip xmlns:r="http://schemas.openxmlformats.org/officeDocument/2006/relationships" r:embed="rId18"/>
          <a:stretch>
            <a:fillRect/>
          </a:stretch>
        </xdr:blipFill>
        <xdr:spPr>
          <a:xfrm>
            <a:off x="7880463" y="18111714"/>
            <a:ext cx="2845515" cy="1736436"/>
          </a:xfrm>
          <a:prstGeom prst="rect">
            <a:avLst/>
          </a:prstGeom>
        </xdr:spPr>
      </xdr:pic>
    </xdr:grpSp>
    <xdr:clientData/>
  </xdr:twoCellAnchor>
  <xdr:twoCellAnchor editAs="oneCell">
    <xdr:from>
      <xdr:col>1</xdr:col>
      <xdr:colOff>91109</xdr:colOff>
      <xdr:row>122</xdr:row>
      <xdr:rowOff>99397</xdr:rowOff>
    </xdr:from>
    <xdr:to>
      <xdr:col>4</xdr:col>
      <xdr:colOff>823128</xdr:colOff>
      <xdr:row>134</xdr:row>
      <xdr:rowOff>8290</xdr:rowOff>
    </xdr:to>
    <xdr:pic>
      <xdr:nvPicPr>
        <xdr:cNvPr id="29" name="Picture 28">
          <a:extLst>
            <a:ext uri="{FF2B5EF4-FFF2-40B4-BE49-F238E27FC236}">
              <a16:creationId xmlns:a16="http://schemas.microsoft.com/office/drawing/2014/main" id="{00000000-0008-0000-0100-00001D000000}"/>
            </a:ext>
          </a:extLst>
        </xdr:cNvPr>
        <xdr:cNvPicPr>
          <a:picLocks noChangeAspect="1"/>
        </xdr:cNvPicPr>
      </xdr:nvPicPr>
      <xdr:blipFill>
        <a:blip xmlns:r="http://schemas.openxmlformats.org/officeDocument/2006/relationships" r:embed="rId19"/>
        <a:stretch>
          <a:fillRect/>
        </a:stretch>
      </xdr:blipFill>
      <xdr:spPr>
        <a:xfrm>
          <a:off x="115957" y="20979854"/>
          <a:ext cx="4900769" cy="2186609"/>
        </a:xfrm>
        <a:prstGeom prst="rect">
          <a:avLst/>
        </a:prstGeom>
      </xdr:spPr>
    </xdr:pic>
    <xdr:clientData/>
  </xdr:twoCellAnchor>
  <xdr:twoCellAnchor editAs="oneCell">
    <xdr:from>
      <xdr:col>1</xdr:col>
      <xdr:colOff>74705</xdr:colOff>
      <xdr:row>14</xdr:row>
      <xdr:rowOff>44824</xdr:rowOff>
    </xdr:from>
    <xdr:to>
      <xdr:col>1</xdr:col>
      <xdr:colOff>1775094</xdr:colOff>
      <xdr:row>21</xdr:row>
      <xdr:rowOff>230069</xdr:rowOff>
    </xdr:to>
    <xdr:pic>
      <xdr:nvPicPr>
        <xdr:cNvPr id="41" name="Picture 40">
          <a:hlinkClick xmlns:r="http://schemas.openxmlformats.org/officeDocument/2006/relationships" r:id="rId20"/>
          <a:extLst>
            <a:ext uri="{FF2B5EF4-FFF2-40B4-BE49-F238E27FC236}">
              <a16:creationId xmlns:a16="http://schemas.microsoft.com/office/drawing/2014/main" id="{00000000-0008-0000-0100-000029000000}"/>
            </a:ext>
          </a:extLst>
        </xdr:cNvPr>
        <xdr:cNvPicPr>
          <a:picLocks noChangeAspect="1"/>
        </xdr:cNvPicPr>
      </xdr:nvPicPr>
      <xdr:blipFill>
        <a:blip xmlns:r="http://schemas.openxmlformats.org/officeDocument/2006/relationships" r:embed="rId21"/>
        <a:stretch>
          <a:fillRect/>
        </a:stretch>
      </xdr:blipFill>
      <xdr:spPr>
        <a:xfrm>
          <a:off x="104587" y="3294530"/>
          <a:ext cx="1700389" cy="1544892"/>
        </a:xfrm>
        <a:prstGeom prst="rect">
          <a:avLst/>
        </a:prstGeom>
      </xdr:spPr>
    </xdr:pic>
    <xdr:clientData/>
  </xdr:twoCellAnchor>
  <xdr:twoCellAnchor editAs="oneCell">
    <xdr:from>
      <xdr:col>1</xdr:col>
      <xdr:colOff>74706</xdr:colOff>
      <xdr:row>27</xdr:row>
      <xdr:rowOff>67235</xdr:rowOff>
    </xdr:from>
    <xdr:to>
      <xdr:col>1</xdr:col>
      <xdr:colOff>1821191</xdr:colOff>
      <xdr:row>32</xdr:row>
      <xdr:rowOff>57290</xdr:rowOff>
    </xdr:to>
    <xdr:pic>
      <xdr:nvPicPr>
        <xdr:cNvPr id="42" name="Picture 41">
          <a:hlinkClick xmlns:r="http://schemas.openxmlformats.org/officeDocument/2006/relationships" r:id="rId22"/>
          <a:extLst>
            <a:ext uri="{FF2B5EF4-FFF2-40B4-BE49-F238E27FC236}">
              <a16:creationId xmlns:a16="http://schemas.microsoft.com/office/drawing/2014/main" id="{00000000-0008-0000-0100-00002A000000}"/>
            </a:ext>
          </a:extLst>
        </xdr:cNvPr>
        <xdr:cNvPicPr>
          <a:picLocks noChangeAspect="1"/>
        </xdr:cNvPicPr>
      </xdr:nvPicPr>
      <xdr:blipFill>
        <a:blip xmlns:r="http://schemas.openxmlformats.org/officeDocument/2006/relationships" r:embed="rId23"/>
        <a:stretch>
          <a:fillRect/>
        </a:stretch>
      </xdr:blipFill>
      <xdr:spPr>
        <a:xfrm>
          <a:off x="104588" y="6223000"/>
          <a:ext cx="1746485" cy="961231"/>
        </a:xfrm>
        <a:prstGeom prst="rect">
          <a:avLst/>
        </a:prstGeom>
      </xdr:spPr>
    </xdr:pic>
    <xdr:clientData/>
  </xdr:twoCellAnchor>
  <xdr:twoCellAnchor editAs="oneCell">
    <xdr:from>
      <xdr:col>1</xdr:col>
      <xdr:colOff>44824</xdr:colOff>
      <xdr:row>36</xdr:row>
      <xdr:rowOff>29881</xdr:rowOff>
    </xdr:from>
    <xdr:to>
      <xdr:col>1</xdr:col>
      <xdr:colOff>1850101</xdr:colOff>
      <xdr:row>42</xdr:row>
      <xdr:rowOff>23530</xdr:rowOff>
    </xdr:to>
    <xdr:pic>
      <xdr:nvPicPr>
        <xdr:cNvPr id="43" name="Picture 42">
          <a:hlinkClick xmlns:r="http://schemas.openxmlformats.org/officeDocument/2006/relationships" r:id="rId22"/>
          <a:extLst>
            <a:ext uri="{FF2B5EF4-FFF2-40B4-BE49-F238E27FC236}">
              <a16:creationId xmlns:a16="http://schemas.microsoft.com/office/drawing/2014/main" id="{00000000-0008-0000-0100-00002B000000}"/>
            </a:ext>
          </a:extLst>
        </xdr:cNvPr>
        <xdr:cNvPicPr>
          <a:picLocks noChangeAspect="1"/>
        </xdr:cNvPicPr>
      </xdr:nvPicPr>
      <xdr:blipFill>
        <a:blip xmlns:r="http://schemas.openxmlformats.org/officeDocument/2006/relationships" r:embed="rId23"/>
        <a:stretch>
          <a:fillRect/>
        </a:stretch>
      </xdr:blipFill>
      <xdr:spPr>
        <a:xfrm>
          <a:off x="74706" y="7933763"/>
          <a:ext cx="1805277" cy="1159061"/>
        </a:xfrm>
        <a:prstGeom prst="rect">
          <a:avLst/>
        </a:prstGeom>
      </xdr:spPr>
    </xdr:pic>
    <xdr:clientData/>
  </xdr:twoCellAnchor>
  <xdr:twoCellAnchor editAs="oneCell">
    <xdr:from>
      <xdr:col>1</xdr:col>
      <xdr:colOff>29883</xdr:colOff>
      <xdr:row>51</xdr:row>
      <xdr:rowOff>7470</xdr:rowOff>
    </xdr:from>
    <xdr:to>
      <xdr:col>1</xdr:col>
      <xdr:colOff>1886971</xdr:colOff>
      <xdr:row>56</xdr:row>
      <xdr:rowOff>37336</xdr:rowOff>
    </xdr:to>
    <xdr:pic>
      <xdr:nvPicPr>
        <xdr:cNvPr id="44" name="Picture 43">
          <a:hlinkClick xmlns:r="http://schemas.openxmlformats.org/officeDocument/2006/relationships" r:id="rId24"/>
          <a:extLst>
            <a:ext uri="{FF2B5EF4-FFF2-40B4-BE49-F238E27FC236}">
              <a16:creationId xmlns:a16="http://schemas.microsoft.com/office/drawing/2014/main" id="{00000000-0008-0000-0100-00002C000000}"/>
            </a:ext>
          </a:extLst>
        </xdr:cNvPr>
        <xdr:cNvPicPr>
          <a:picLocks noChangeAspect="1"/>
        </xdr:cNvPicPr>
      </xdr:nvPicPr>
      <xdr:blipFill>
        <a:blip xmlns:r="http://schemas.openxmlformats.org/officeDocument/2006/relationships" r:embed="rId25"/>
        <a:stretch>
          <a:fillRect/>
        </a:stretch>
      </xdr:blipFill>
      <xdr:spPr>
        <a:xfrm>
          <a:off x="59765" y="10989235"/>
          <a:ext cx="1857088" cy="1045866"/>
        </a:xfrm>
        <a:prstGeom prst="rect">
          <a:avLst/>
        </a:prstGeom>
      </xdr:spPr>
    </xdr:pic>
    <xdr:clientData/>
  </xdr:twoCellAnchor>
  <xdr:twoCellAnchor editAs="oneCell">
    <xdr:from>
      <xdr:col>1</xdr:col>
      <xdr:colOff>44824</xdr:colOff>
      <xdr:row>68</xdr:row>
      <xdr:rowOff>37353</xdr:rowOff>
    </xdr:from>
    <xdr:to>
      <xdr:col>2</xdr:col>
      <xdr:colOff>13</xdr:colOff>
      <xdr:row>76</xdr:row>
      <xdr:rowOff>82177</xdr:rowOff>
    </xdr:to>
    <xdr:pic>
      <xdr:nvPicPr>
        <xdr:cNvPr id="45" name="Picture 44">
          <a:hlinkClick xmlns:r="http://schemas.openxmlformats.org/officeDocument/2006/relationships" r:id="rId26"/>
          <a:extLst>
            <a:ext uri="{FF2B5EF4-FFF2-40B4-BE49-F238E27FC236}">
              <a16:creationId xmlns:a16="http://schemas.microsoft.com/office/drawing/2014/main" id="{00000000-0008-0000-0100-00002D000000}"/>
            </a:ext>
          </a:extLst>
        </xdr:cNvPr>
        <xdr:cNvPicPr>
          <a:picLocks noChangeAspect="1"/>
        </xdr:cNvPicPr>
      </xdr:nvPicPr>
      <xdr:blipFill>
        <a:blip xmlns:r="http://schemas.openxmlformats.org/officeDocument/2006/relationships" r:embed="rId27"/>
        <a:stretch>
          <a:fillRect/>
        </a:stretch>
      </xdr:blipFill>
      <xdr:spPr>
        <a:xfrm>
          <a:off x="74706" y="14403294"/>
          <a:ext cx="1959580" cy="1344707"/>
        </a:xfrm>
        <a:prstGeom prst="rect">
          <a:avLst/>
        </a:prstGeom>
      </xdr:spPr>
    </xdr:pic>
    <xdr:clientData/>
  </xdr:twoCellAnchor>
  <xdr:twoCellAnchor editAs="oneCell">
    <xdr:from>
      <xdr:col>1</xdr:col>
      <xdr:colOff>52294</xdr:colOff>
      <xdr:row>94</xdr:row>
      <xdr:rowOff>29883</xdr:rowOff>
    </xdr:from>
    <xdr:to>
      <xdr:col>1</xdr:col>
      <xdr:colOff>2003930</xdr:colOff>
      <xdr:row>99</xdr:row>
      <xdr:rowOff>156882</xdr:rowOff>
    </xdr:to>
    <xdr:pic>
      <xdr:nvPicPr>
        <xdr:cNvPr id="46" name="Picture 45">
          <a:hlinkClick xmlns:r="http://schemas.openxmlformats.org/officeDocument/2006/relationships" r:id="rId28"/>
          <a:extLst>
            <a:ext uri="{FF2B5EF4-FFF2-40B4-BE49-F238E27FC236}">
              <a16:creationId xmlns:a16="http://schemas.microsoft.com/office/drawing/2014/main" id="{00000000-0008-0000-0100-00002E000000}"/>
            </a:ext>
          </a:extLst>
        </xdr:cNvPr>
        <xdr:cNvPicPr>
          <a:picLocks noChangeAspect="1"/>
        </xdr:cNvPicPr>
      </xdr:nvPicPr>
      <xdr:blipFill>
        <a:blip xmlns:r="http://schemas.openxmlformats.org/officeDocument/2006/relationships" r:embed="rId29"/>
        <a:stretch>
          <a:fillRect/>
        </a:stretch>
      </xdr:blipFill>
      <xdr:spPr>
        <a:xfrm>
          <a:off x="82176" y="19244236"/>
          <a:ext cx="2008786" cy="109817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9</xdr:col>
      <xdr:colOff>657225</xdr:colOff>
      <xdr:row>124</xdr:row>
      <xdr:rowOff>85725</xdr:rowOff>
    </xdr:from>
    <xdr:to>
      <xdr:col>16</xdr:col>
      <xdr:colOff>247650</xdr:colOff>
      <xdr:row>150</xdr:row>
      <xdr:rowOff>28575</xdr:rowOff>
    </xdr:to>
    <xdr:sp macro="" textlink="">
      <xdr:nvSpPr>
        <xdr:cNvPr id="2" name="Text Box 17">
          <a:extLst>
            <a:ext uri="{FF2B5EF4-FFF2-40B4-BE49-F238E27FC236}">
              <a16:creationId xmlns:a16="http://schemas.microsoft.com/office/drawing/2014/main" id="{00000000-0008-0000-0300-000002000000}"/>
            </a:ext>
          </a:extLst>
        </xdr:cNvPr>
        <xdr:cNvSpPr txBox="1">
          <a:spLocks noChangeArrowheads="1"/>
        </xdr:cNvSpPr>
      </xdr:nvSpPr>
      <xdr:spPr bwMode="auto">
        <a:xfrm>
          <a:off x="6924675" y="20164425"/>
          <a:ext cx="4029075" cy="4152900"/>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0">
            <a:defRPr sz="1000"/>
          </a:pPr>
          <a:r>
            <a:rPr lang="en-US" sz="1000" b="1" i="0" u="none" strike="noStrike" baseline="0">
              <a:solidFill>
                <a:srgbClr val="000000"/>
              </a:solidFill>
              <a:latin typeface="Arial"/>
              <a:cs typeface="Arial"/>
            </a:rPr>
            <a:t>Option A</a:t>
          </a: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R1 = </a:t>
          </a:r>
          <a:r>
            <a:rPr lang="en-US" sz="1000" b="0" i="0" u="sng" strike="noStrike" baseline="0">
              <a:solidFill>
                <a:srgbClr val="000000"/>
              </a:solidFill>
              <a:latin typeface="Arial"/>
              <a:cs typeface="Arial"/>
            </a:rPr>
            <a:t> UVLO</a:t>
          </a:r>
          <a:r>
            <a:rPr lang="en-US" sz="800" b="0" i="0" u="sng" strike="noStrike" baseline="0">
              <a:solidFill>
                <a:srgbClr val="000000"/>
              </a:solidFill>
              <a:latin typeface="Arial"/>
              <a:cs typeface="Arial"/>
            </a:rPr>
            <a:t>(upper)</a:t>
          </a:r>
          <a:r>
            <a:rPr lang="en-US" sz="1000" b="0" i="0" u="sng" strike="noStrike" baseline="0">
              <a:solidFill>
                <a:srgbClr val="000000"/>
              </a:solidFill>
              <a:latin typeface="Arial"/>
              <a:cs typeface="Arial"/>
            </a:rPr>
            <a:t> - UVLO</a:t>
          </a:r>
          <a:r>
            <a:rPr lang="en-US" sz="800" b="0" i="0" u="sng" strike="noStrike" baseline="0">
              <a:solidFill>
                <a:srgbClr val="000000"/>
              </a:solidFill>
              <a:latin typeface="Arial"/>
              <a:cs typeface="Arial"/>
            </a:rPr>
            <a:t>(lower)</a:t>
          </a:r>
          <a:r>
            <a:rPr lang="en-US" sz="1000" b="0" i="0" u="sng" strike="noStrike" baseline="0">
              <a:solidFill>
                <a:srgbClr val="000000"/>
              </a:solidFill>
              <a:latin typeface="Arial"/>
              <a:cs typeface="Arial"/>
            </a:rPr>
            <a:t>  </a:t>
          </a:r>
          <a:r>
            <a:rPr lang="en-US" sz="1000" b="0" i="0" u="none" strike="noStrike" baseline="0">
              <a:solidFill>
                <a:srgbClr val="000000"/>
              </a:solidFill>
              <a:latin typeface="Arial"/>
              <a:cs typeface="Arial"/>
            </a:rPr>
            <a:t>         </a:t>
          </a:r>
        </a:p>
        <a:p>
          <a:pPr algn="l" rtl="0">
            <a:defRPr sz="1000"/>
          </a:pPr>
          <a:r>
            <a:rPr lang="en-US" sz="1000" b="0" i="0" u="none" strike="noStrike" baseline="0">
              <a:solidFill>
                <a:srgbClr val="000000"/>
              </a:solidFill>
              <a:latin typeface="Arial"/>
              <a:cs typeface="Arial"/>
            </a:rPr>
            <a:t>                     21 uA </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R3 = </a:t>
          </a:r>
          <a:r>
            <a:rPr lang="en-US" sz="1000" b="0" i="0" u="sng" strike="noStrike" baseline="0">
              <a:solidFill>
                <a:srgbClr val="000000"/>
              </a:solidFill>
              <a:latin typeface="Arial"/>
              <a:cs typeface="Arial"/>
            </a:rPr>
            <a:t>         R1 x UVLO</a:t>
          </a:r>
          <a:r>
            <a:rPr lang="en-US" sz="800" b="0" i="0" u="sng" strike="noStrike" baseline="0">
              <a:solidFill>
                <a:srgbClr val="000000"/>
              </a:solidFill>
              <a:latin typeface="Arial"/>
              <a:cs typeface="Arial"/>
            </a:rPr>
            <a:t>(lower)</a:t>
          </a:r>
          <a:r>
            <a:rPr lang="en-US" sz="1000" b="0" i="0" u="sng" strike="noStrike" baseline="0">
              <a:solidFill>
                <a:srgbClr val="000000"/>
              </a:solidFill>
              <a:latin typeface="Arial"/>
              <a:cs typeface="Arial"/>
            </a:rPr>
            <a:t> x 2.5       </a:t>
          </a: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          OVLO</a:t>
          </a:r>
          <a:r>
            <a:rPr lang="en-US" sz="800" b="0" i="0" u="none" strike="noStrike" baseline="0">
              <a:solidFill>
                <a:srgbClr val="000000"/>
              </a:solidFill>
              <a:latin typeface="Arial"/>
              <a:cs typeface="Arial"/>
            </a:rPr>
            <a:t>(upper)</a:t>
          </a:r>
          <a:r>
            <a:rPr lang="en-US" sz="1000" b="0" i="0" u="none" strike="noStrike" baseline="0">
              <a:solidFill>
                <a:srgbClr val="000000"/>
              </a:solidFill>
              <a:latin typeface="Arial"/>
              <a:cs typeface="Arial"/>
            </a:rPr>
            <a:t> x (UVLO</a:t>
          </a:r>
          <a:r>
            <a:rPr lang="en-US" sz="800" b="0" i="0" u="none" strike="noStrike" baseline="0">
              <a:solidFill>
                <a:srgbClr val="000000"/>
              </a:solidFill>
              <a:latin typeface="Arial"/>
              <a:cs typeface="Arial"/>
            </a:rPr>
            <a:t>(lower)</a:t>
          </a:r>
          <a:r>
            <a:rPr lang="en-US" sz="1000" b="0" i="0" u="none" strike="noStrike" baseline="0">
              <a:solidFill>
                <a:srgbClr val="000000"/>
              </a:solidFill>
              <a:latin typeface="Arial"/>
              <a:cs typeface="Arial"/>
            </a:rPr>
            <a:t> - 2.5V)</a:t>
          </a: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R2 =  </a:t>
          </a:r>
          <a:r>
            <a:rPr lang="en-US" sz="1000" b="0" i="0" u="sng" strike="noStrike" baseline="0">
              <a:solidFill>
                <a:srgbClr val="000000"/>
              </a:solidFill>
              <a:latin typeface="Arial"/>
              <a:cs typeface="Arial"/>
            </a:rPr>
            <a:t>       2.5V  x  R1      </a:t>
          </a:r>
          <a:r>
            <a:rPr lang="en-US" sz="1000" b="0" i="0" u="none" strike="noStrike" baseline="0">
              <a:solidFill>
                <a:srgbClr val="000000"/>
              </a:solidFill>
              <a:latin typeface="Arial"/>
              <a:cs typeface="Arial"/>
            </a:rPr>
            <a:t>    -  R3</a:t>
          </a:r>
        </a:p>
        <a:p>
          <a:pPr algn="l" rtl="0">
            <a:defRPr sz="1000"/>
          </a:pPr>
          <a:r>
            <a:rPr lang="en-US" sz="1000" b="0" i="0" u="none" strike="noStrike" baseline="0">
              <a:solidFill>
                <a:srgbClr val="000000"/>
              </a:solidFill>
              <a:latin typeface="Arial"/>
              <a:cs typeface="Arial"/>
            </a:rPr>
            <a:t>          UVLO</a:t>
          </a:r>
          <a:r>
            <a:rPr lang="en-US" sz="800" b="0" i="0" u="none" strike="noStrike" baseline="0">
              <a:solidFill>
                <a:srgbClr val="000000"/>
              </a:solidFill>
              <a:latin typeface="Arial"/>
              <a:cs typeface="Arial"/>
            </a:rPr>
            <a:t>(lower)</a:t>
          </a:r>
          <a:r>
            <a:rPr lang="en-US" sz="1000" b="0" i="0" u="none" strike="noStrike" baseline="0">
              <a:solidFill>
                <a:srgbClr val="000000"/>
              </a:solidFill>
              <a:latin typeface="Arial"/>
              <a:cs typeface="Arial"/>
            </a:rPr>
            <a:t> - 2.5V</a:t>
          </a: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Typical UVLO</a:t>
          </a:r>
          <a:r>
            <a:rPr lang="en-US" sz="800" b="0" i="0" u="none" strike="noStrike" baseline="0">
              <a:solidFill>
                <a:srgbClr val="000000"/>
              </a:solidFill>
              <a:latin typeface="Arial"/>
              <a:cs typeface="Arial"/>
            </a:rPr>
            <a:t>(upper)</a:t>
          </a:r>
          <a:r>
            <a:rPr lang="en-US" sz="1000" b="0" i="0" u="none" strike="noStrike" baseline="0">
              <a:solidFill>
                <a:srgbClr val="000000"/>
              </a:solidFill>
              <a:latin typeface="Arial"/>
              <a:cs typeface="Arial"/>
            </a:rPr>
            <a:t> = 2.5V + (R1 x  </a:t>
          </a:r>
          <a:r>
            <a:rPr lang="en-US" sz="1000" b="0" i="0" u="sng" strike="noStrike" baseline="0">
              <a:solidFill>
                <a:srgbClr val="000000"/>
              </a:solidFill>
              <a:latin typeface="Arial"/>
              <a:cs typeface="Arial"/>
            </a:rPr>
            <a:t>( 2.5V     </a:t>
          </a:r>
          <a:r>
            <a:rPr lang="en-US" sz="1000" b="0" i="0" u="none" strike="noStrike" baseline="0">
              <a:solidFill>
                <a:srgbClr val="000000"/>
              </a:solidFill>
              <a:latin typeface="Arial"/>
              <a:cs typeface="Arial"/>
            </a:rPr>
            <a:t> +  21uA)</a:t>
          </a:r>
        </a:p>
        <a:p>
          <a:pPr algn="l" rtl="0">
            <a:defRPr sz="1000"/>
          </a:pPr>
          <a:r>
            <a:rPr lang="en-US" sz="1000" b="0" i="0" u="none" strike="noStrike" baseline="0">
              <a:solidFill>
                <a:srgbClr val="000000"/>
              </a:solidFill>
              <a:latin typeface="Arial"/>
              <a:cs typeface="Arial"/>
            </a:rPr>
            <a:t>                                                           (R2 + R3)</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Typical UVLO</a:t>
          </a:r>
          <a:r>
            <a:rPr lang="en-US" sz="800" b="0" i="0" u="none" strike="noStrike" baseline="0">
              <a:solidFill>
                <a:srgbClr val="000000"/>
              </a:solidFill>
              <a:latin typeface="Arial"/>
              <a:cs typeface="Arial"/>
            </a:rPr>
            <a:t>(lower)</a:t>
          </a:r>
          <a:r>
            <a:rPr lang="en-US" sz="1000" b="0" i="0" u="none" strike="noStrike" baseline="0">
              <a:solidFill>
                <a:srgbClr val="000000"/>
              </a:solidFill>
              <a:latin typeface="Arial"/>
              <a:cs typeface="Arial"/>
            </a:rPr>
            <a:t> = 2.5V x </a:t>
          </a:r>
          <a:r>
            <a:rPr lang="en-US" sz="1000" b="0" i="0" u="sng" strike="noStrike" baseline="0">
              <a:solidFill>
                <a:srgbClr val="000000"/>
              </a:solidFill>
              <a:latin typeface="Arial"/>
              <a:cs typeface="Arial"/>
            </a:rPr>
            <a:t> (R1 + R2 + R3) </a:t>
          </a: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                                                  (R2 + R3)</a:t>
          </a: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Typical OVLO</a:t>
          </a:r>
          <a:r>
            <a:rPr lang="en-US" sz="800" b="0" i="0" u="none" strike="noStrike" baseline="0">
              <a:solidFill>
                <a:srgbClr val="000000"/>
              </a:solidFill>
              <a:latin typeface="Arial"/>
              <a:cs typeface="Arial"/>
            </a:rPr>
            <a:t>(upper)</a:t>
          </a:r>
          <a:r>
            <a:rPr lang="en-US" sz="1000" b="0" i="0" u="none" strike="noStrike" baseline="0">
              <a:solidFill>
                <a:srgbClr val="000000"/>
              </a:solidFill>
              <a:latin typeface="Arial"/>
              <a:cs typeface="Arial"/>
            </a:rPr>
            <a:t> = </a:t>
          </a:r>
          <a:r>
            <a:rPr lang="en-US" sz="1000" b="0" i="0" u="sng" strike="noStrike" baseline="0">
              <a:solidFill>
                <a:srgbClr val="000000"/>
              </a:solidFill>
              <a:latin typeface="Arial"/>
              <a:cs typeface="Arial"/>
            </a:rPr>
            <a:t>  2.5V x (R1 + R2 + R3) </a:t>
          </a: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                                                   R3</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Typical OVLO</a:t>
          </a:r>
          <a:r>
            <a:rPr lang="en-US" sz="800" b="0" i="0" u="none" strike="noStrike" baseline="0">
              <a:solidFill>
                <a:srgbClr val="000000"/>
              </a:solidFill>
              <a:latin typeface="Arial"/>
              <a:cs typeface="Arial"/>
            </a:rPr>
            <a:t>(lower)</a:t>
          </a:r>
          <a:r>
            <a:rPr lang="en-US" sz="1000" b="0" i="0" u="none" strike="noStrike" baseline="0">
              <a:solidFill>
                <a:srgbClr val="000000"/>
              </a:solidFill>
              <a:latin typeface="Arial"/>
              <a:cs typeface="Arial"/>
            </a:rPr>
            <a:t> = ((R1 + R2) x ((</a:t>
          </a:r>
          <a:r>
            <a:rPr lang="en-US" sz="1000" b="0" i="0" u="sng" strike="noStrike" baseline="0">
              <a:solidFill>
                <a:srgbClr val="000000"/>
              </a:solidFill>
              <a:latin typeface="Arial"/>
              <a:cs typeface="Arial"/>
            </a:rPr>
            <a:t> 2.5V)</a:t>
          </a:r>
          <a:r>
            <a:rPr lang="en-US" sz="1000" b="0" i="0" u="none" strike="noStrike" baseline="0">
              <a:solidFill>
                <a:srgbClr val="000000"/>
              </a:solidFill>
              <a:latin typeface="Arial"/>
              <a:cs typeface="Arial"/>
            </a:rPr>
            <a:t>  -  21uA)) + 2.5V</a:t>
          </a:r>
        </a:p>
        <a:p>
          <a:pPr algn="l" rtl="0">
            <a:defRPr sz="1000"/>
          </a:pPr>
          <a:r>
            <a:rPr lang="en-US" sz="1000" b="0" i="0" u="none" strike="noStrike" baseline="0">
              <a:solidFill>
                <a:srgbClr val="000000"/>
              </a:solidFill>
              <a:latin typeface="Arial"/>
              <a:cs typeface="Arial"/>
            </a:rPr>
            <a:t>                                                            R3</a:t>
          </a:r>
        </a:p>
        <a:p>
          <a:pPr algn="l" rtl="0">
            <a:defRPr sz="1000"/>
          </a:pPr>
          <a:endParaRPr lang="en-US" sz="1000" b="0" i="0" u="none" strike="noStrike" baseline="0">
            <a:solidFill>
              <a:srgbClr val="000000"/>
            </a:solidFill>
            <a:latin typeface="Arial"/>
            <a:cs typeface="Arial"/>
          </a:endParaRPr>
        </a:p>
      </xdr:txBody>
    </xdr:sp>
    <xdr:clientData/>
  </xdr:twoCellAnchor>
  <xdr:twoCellAnchor>
    <xdr:from>
      <xdr:col>6</xdr:col>
      <xdr:colOff>38100</xdr:colOff>
      <xdr:row>173</xdr:row>
      <xdr:rowOff>133350</xdr:rowOff>
    </xdr:from>
    <xdr:to>
      <xdr:col>9</xdr:col>
      <xdr:colOff>276225</xdr:colOff>
      <xdr:row>184</xdr:row>
      <xdr:rowOff>142875</xdr:rowOff>
    </xdr:to>
    <xdr:sp macro="" textlink="">
      <xdr:nvSpPr>
        <xdr:cNvPr id="3" name="Text Box 98">
          <a:extLst>
            <a:ext uri="{FF2B5EF4-FFF2-40B4-BE49-F238E27FC236}">
              <a16:creationId xmlns:a16="http://schemas.microsoft.com/office/drawing/2014/main" id="{00000000-0008-0000-0300-000003000000}"/>
            </a:ext>
          </a:extLst>
        </xdr:cNvPr>
        <xdr:cNvSpPr txBox="1">
          <a:spLocks noChangeArrowheads="1"/>
        </xdr:cNvSpPr>
      </xdr:nvSpPr>
      <xdr:spPr bwMode="auto">
        <a:xfrm>
          <a:off x="32308800" y="16125825"/>
          <a:ext cx="2838450" cy="1790700"/>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Rpwr = 1.428 x 10</a:t>
          </a:r>
          <a:r>
            <a:rPr lang="en-US" sz="1000" b="0" i="0" u="none" strike="noStrike" baseline="30000">
              <a:solidFill>
                <a:srgbClr val="000000"/>
              </a:solidFill>
              <a:latin typeface="Arial"/>
              <a:cs typeface="Arial"/>
            </a:rPr>
            <a:t>5</a:t>
          </a:r>
          <a:r>
            <a:rPr lang="en-US" sz="1000" b="0" i="0" u="none" strike="noStrike" baseline="0">
              <a:solidFill>
                <a:srgbClr val="000000"/>
              </a:solidFill>
              <a:latin typeface="Arial"/>
              <a:cs typeface="Arial"/>
            </a:rPr>
            <a:t> x Rs x P</a:t>
          </a:r>
          <a:r>
            <a:rPr lang="en-US" sz="1000" b="0" i="0" u="none" strike="noStrike" baseline="-25000">
              <a:solidFill>
                <a:srgbClr val="000000"/>
              </a:solidFill>
              <a:latin typeface="Arial"/>
              <a:cs typeface="Arial"/>
            </a:rPr>
            <a:t>FET</a:t>
          </a: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P</a:t>
          </a:r>
          <a:r>
            <a:rPr lang="en-US" sz="1000" b="0" i="0" u="none" strike="noStrike" baseline="-25000">
              <a:solidFill>
                <a:srgbClr val="000000"/>
              </a:solidFill>
              <a:latin typeface="Arial"/>
              <a:cs typeface="Arial"/>
            </a:rPr>
            <a:t>FET(min)</a:t>
          </a:r>
          <a:r>
            <a:rPr lang="en-US" sz="1000" b="0" i="0" u="none" strike="noStrike" baseline="0">
              <a:solidFill>
                <a:srgbClr val="000000"/>
              </a:solidFill>
              <a:latin typeface="Arial"/>
              <a:cs typeface="Arial"/>
            </a:rPr>
            <a:t> =    </a:t>
          </a:r>
          <a:r>
            <a:rPr lang="en-US" sz="1000" b="0" i="0" u="sng" strike="noStrike" baseline="0">
              <a:solidFill>
                <a:srgbClr val="000000"/>
              </a:solidFill>
              <a:latin typeface="Arial"/>
              <a:cs typeface="Arial"/>
            </a:rPr>
            <a:t>  4.44 x 10</a:t>
          </a:r>
          <a:r>
            <a:rPr lang="en-US" sz="1000" b="0" i="0" u="sng" strike="noStrike" baseline="30000">
              <a:solidFill>
                <a:srgbClr val="000000"/>
              </a:solidFill>
              <a:latin typeface="Arial"/>
              <a:cs typeface="Arial"/>
            </a:rPr>
            <a:t>-6</a:t>
          </a:r>
          <a:r>
            <a:rPr lang="en-US" sz="1000" b="0" i="0" u="sng" strike="noStrike" baseline="0">
              <a:solidFill>
                <a:srgbClr val="000000"/>
              </a:solidFill>
              <a:latin typeface="Arial"/>
              <a:cs typeface="Arial"/>
            </a:rPr>
            <a:t> x Rpwr  </a:t>
          </a: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                           Rs</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P</a:t>
          </a:r>
          <a:r>
            <a:rPr lang="en-US" sz="1000" b="0" i="0" u="none" strike="noStrike" baseline="-25000">
              <a:solidFill>
                <a:srgbClr val="000000"/>
              </a:solidFill>
              <a:latin typeface="Arial"/>
              <a:cs typeface="Arial"/>
            </a:rPr>
            <a:t>FET(typ)</a:t>
          </a:r>
          <a:r>
            <a:rPr lang="en-US" sz="1000" b="0" i="0" u="none" strike="noStrike" baseline="0">
              <a:solidFill>
                <a:srgbClr val="000000"/>
              </a:solidFill>
              <a:latin typeface="Arial"/>
              <a:cs typeface="Arial"/>
            </a:rPr>
            <a:t> =   </a:t>
          </a:r>
          <a:r>
            <a:rPr lang="en-US" sz="1000" b="0" i="0" u="sng" strike="noStrike" baseline="0">
              <a:solidFill>
                <a:srgbClr val="000000"/>
              </a:solidFill>
              <a:latin typeface="Arial"/>
              <a:cs typeface="Arial"/>
            </a:rPr>
            <a:t>   5.85 x 10</a:t>
          </a:r>
          <a:r>
            <a:rPr lang="en-US" sz="1000" b="0" i="0" u="sng" strike="noStrike" baseline="30000">
              <a:solidFill>
                <a:srgbClr val="000000"/>
              </a:solidFill>
              <a:latin typeface="Arial"/>
              <a:cs typeface="Arial"/>
            </a:rPr>
            <a:t>-6</a:t>
          </a:r>
          <a:r>
            <a:rPr lang="en-US" sz="1000" b="0" i="0" u="sng" strike="noStrike" baseline="0">
              <a:solidFill>
                <a:srgbClr val="000000"/>
              </a:solidFill>
              <a:latin typeface="Arial"/>
              <a:cs typeface="Arial"/>
            </a:rPr>
            <a:t> x Rpwr  </a:t>
          </a: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                           Rs</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P</a:t>
          </a:r>
          <a:r>
            <a:rPr lang="en-US" sz="1000" b="0" i="0" u="none" strike="noStrike" baseline="-25000">
              <a:solidFill>
                <a:srgbClr val="000000"/>
              </a:solidFill>
              <a:latin typeface="Arial"/>
              <a:cs typeface="Arial"/>
            </a:rPr>
            <a:t>FET(max)</a:t>
          </a:r>
          <a:r>
            <a:rPr lang="en-US" sz="1000" b="0" i="0" u="none" strike="noStrike" baseline="0">
              <a:solidFill>
                <a:srgbClr val="000000"/>
              </a:solidFill>
              <a:latin typeface="Arial"/>
              <a:cs typeface="Arial"/>
            </a:rPr>
            <a:t> =   </a:t>
          </a:r>
          <a:r>
            <a:rPr lang="en-US" sz="1000" b="0" i="0" u="sng" strike="noStrike" baseline="0">
              <a:solidFill>
                <a:srgbClr val="000000"/>
              </a:solidFill>
              <a:latin typeface="Arial"/>
              <a:cs typeface="Arial"/>
            </a:rPr>
            <a:t>   7.25 x 10</a:t>
          </a:r>
          <a:r>
            <a:rPr lang="en-US" sz="1000" b="0" i="0" u="sng" strike="noStrike" baseline="30000">
              <a:solidFill>
                <a:srgbClr val="000000"/>
              </a:solidFill>
              <a:latin typeface="Arial"/>
              <a:cs typeface="Arial"/>
            </a:rPr>
            <a:t>-6</a:t>
          </a:r>
          <a:r>
            <a:rPr lang="en-US" sz="1000" b="0" i="0" u="sng" strike="noStrike" baseline="0">
              <a:solidFill>
                <a:srgbClr val="000000"/>
              </a:solidFill>
              <a:latin typeface="Arial"/>
              <a:cs typeface="Arial"/>
            </a:rPr>
            <a:t> x Rpwr  </a:t>
          </a: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                            Rs</a:t>
          </a:r>
        </a:p>
      </xdr:txBody>
    </xdr:sp>
    <xdr:clientData/>
  </xdr:twoCellAnchor>
  <xdr:twoCellAnchor>
    <xdr:from>
      <xdr:col>16</xdr:col>
      <xdr:colOff>333375</xdr:colOff>
      <xdr:row>124</xdr:row>
      <xdr:rowOff>85725</xdr:rowOff>
    </xdr:from>
    <xdr:to>
      <xdr:col>23</xdr:col>
      <xdr:colOff>95250</xdr:colOff>
      <xdr:row>150</xdr:row>
      <xdr:rowOff>28575</xdr:rowOff>
    </xdr:to>
    <xdr:sp macro="" textlink="">
      <xdr:nvSpPr>
        <xdr:cNvPr id="4" name="Text Box 17">
          <a:extLst>
            <a:ext uri="{FF2B5EF4-FFF2-40B4-BE49-F238E27FC236}">
              <a16:creationId xmlns:a16="http://schemas.microsoft.com/office/drawing/2014/main" id="{00000000-0008-0000-0300-000004000000}"/>
            </a:ext>
          </a:extLst>
        </xdr:cNvPr>
        <xdr:cNvSpPr txBox="1">
          <a:spLocks noChangeArrowheads="1"/>
        </xdr:cNvSpPr>
      </xdr:nvSpPr>
      <xdr:spPr bwMode="auto">
        <a:xfrm>
          <a:off x="11039475" y="20164425"/>
          <a:ext cx="4029075" cy="4152900"/>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0">
            <a:defRPr sz="1000"/>
          </a:pPr>
          <a:r>
            <a:rPr lang="en-US" sz="1000" b="1" i="0" u="none" strike="noStrike" baseline="0">
              <a:solidFill>
                <a:srgbClr val="000000"/>
              </a:solidFill>
              <a:latin typeface="Arial"/>
              <a:cs typeface="Arial"/>
            </a:rPr>
            <a:t>Option B</a:t>
          </a: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R1 = </a:t>
          </a:r>
          <a:r>
            <a:rPr lang="en-US" sz="1000" b="0" i="0" u="sng" strike="noStrike" baseline="0">
              <a:solidFill>
                <a:srgbClr val="000000"/>
              </a:solidFill>
              <a:latin typeface="Arial"/>
              <a:cs typeface="Arial"/>
            </a:rPr>
            <a:t> UVLO</a:t>
          </a:r>
          <a:r>
            <a:rPr lang="en-US" sz="800" b="0" i="0" u="sng" strike="noStrike" baseline="0">
              <a:solidFill>
                <a:srgbClr val="000000"/>
              </a:solidFill>
              <a:latin typeface="Arial"/>
              <a:cs typeface="Arial"/>
            </a:rPr>
            <a:t>(upper)</a:t>
          </a:r>
          <a:r>
            <a:rPr lang="en-US" sz="1000" b="0" i="0" u="sng" strike="noStrike" baseline="0">
              <a:solidFill>
                <a:srgbClr val="000000"/>
              </a:solidFill>
              <a:latin typeface="Arial"/>
              <a:cs typeface="Arial"/>
            </a:rPr>
            <a:t> - UVLO</a:t>
          </a:r>
          <a:r>
            <a:rPr lang="en-US" sz="800" b="0" i="0" u="sng" strike="noStrike" baseline="0">
              <a:solidFill>
                <a:srgbClr val="000000"/>
              </a:solidFill>
              <a:latin typeface="Arial"/>
              <a:cs typeface="Arial"/>
            </a:rPr>
            <a:t>(lower)</a:t>
          </a:r>
          <a:r>
            <a:rPr lang="en-US" sz="1000" b="0" i="0" u="sng" strike="noStrike" baseline="0">
              <a:solidFill>
                <a:srgbClr val="000000"/>
              </a:solidFill>
              <a:latin typeface="Arial"/>
              <a:cs typeface="Arial"/>
            </a:rPr>
            <a:t>  </a:t>
          </a:r>
          <a:r>
            <a:rPr lang="en-US" sz="1000" b="0" i="0" u="none" strike="noStrike" baseline="0">
              <a:solidFill>
                <a:srgbClr val="000000"/>
              </a:solidFill>
              <a:latin typeface="Arial"/>
              <a:cs typeface="Arial"/>
            </a:rPr>
            <a:t>         </a:t>
          </a:r>
        </a:p>
        <a:p>
          <a:pPr algn="l" rtl="0">
            <a:defRPr sz="1000"/>
          </a:pPr>
          <a:r>
            <a:rPr lang="en-US" sz="1000" b="0" i="0" u="none" strike="noStrike" baseline="0">
              <a:solidFill>
                <a:srgbClr val="000000"/>
              </a:solidFill>
              <a:latin typeface="Arial"/>
              <a:cs typeface="Arial"/>
            </a:rPr>
            <a:t>                     21 uA </a:t>
          </a:r>
        </a:p>
        <a:p>
          <a:pPr algn="l" rtl="0">
            <a:defRPr sz="1000"/>
          </a:pPr>
          <a:endParaRPr lang="en-US" sz="1000" b="0" i="0" u="none" strike="noStrike" baseline="0">
            <a:solidFill>
              <a:srgbClr val="000000"/>
            </a:solidFill>
            <a:latin typeface="Arial"/>
            <a:cs typeface="Arial"/>
          </a:endParaRPr>
        </a:p>
        <a:p>
          <a:pPr rtl="0"/>
          <a:r>
            <a:rPr lang="en-US" sz="1100" b="0" i="0" baseline="0">
              <a:effectLst/>
              <a:latin typeface="+mn-lt"/>
              <a:ea typeface="+mn-ea"/>
              <a:cs typeface="+mn-cs"/>
            </a:rPr>
            <a:t>R2 =  </a:t>
          </a:r>
          <a:r>
            <a:rPr lang="en-US" sz="1100" b="0" i="0" u="sng" baseline="0">
              <a:effectLst/>
              <a:latin typeface="+mn-lt"/>
              <a:ea typeface="+mn-ea"/>
              <a:cs typeface="+mn-cs"/>
            </a:rPr>
            <a:t>       2.5V  x  R1      </a:t>
          </a:r>
          <a:r>
            <a:rPr lang="en-US" sz="1100" b="0" i="0" baseline="0">
              <a:effectLst/>
              <a:latin typeface="+mn-lt"/>
              <a:ea typeface="+mn-ea"/>
              <a:cs typeface="+mn-cs"/>
            </a:rPr>
            <a:t>    </a:t>
          </a:r>
          <a:endParaRPr lang="en-US" sz="1000">
            <a:effectLst/>
          </a:endParaRPr>
        </a:p>
        <a:p>
          <a:pPr rtl="0"/>
          <a:r>
            <a:rPr lang="en-US" sz="1100" b="0" i="0" baseline="0">
              <a:effectLst/>
              <a:latin typeface="+mn-lt"/>
              <a:ea typeface="+mn-ea"/>
              <a:cs typeface="+mn-cs"/>
            </a:rPr>
            <a:t>          UVLO(lower) - 2.5V</a:t>
          </a:r>
          <a:endParaRPr lang="en-US" sz="1000">
            <a:effectLst/>
          </a:endParaRPr>
        </a:p>
        <a:p>
          <a:pPr algn="l" rtl="0">
            <a:defRPr sz="1000"/>
          </a:pPr>
          <a:endParaRPr lang="en-US" sz="1000" b="0" i="0" u="none" strike="noStrike" baseline="0">
            <a:solidFill>
              <a:srgbClr val="000000"/>
            </a:solidFill>
            <a:latin typeface="Arial"/>
            <a:cs typeface="Arial"/>
          </a:endParaRPr>
        </a:p>
        <a:p>
          <a:pPr rtl="0"/>
          <a:r>
            <a:rPr lang="en-US" sz="1100" b="0" i="0" baseline="0">
              <a:effectLst/>
              <a:latin typeface="+mn-lt"/>
              <a:ea typeface="+mn-ea"/>
              <a:cs typeface="+mn-cs"/>
            </a:rPr>
            <a:t>R3 = </a:t>
          </a:r>
          <a:r>
            <a:rPr lang="en-US" sz="1100" b="0" i="0" u="sng" baseline="0">
              <a:effectLst/>
              <a:latin typeface="+mn-lt"/>
              <a:ea typeface="+mn-ea"/>
              <a:cs typeface="+mn-cs"/>
            </a:rPr>
            <a:t> OVLO(upper) - OVLO(lower)  </a:t>
          </a:r>
          <a:r>
            <a:rPr lang="en-US" sz="1100" b="0" i="0" baseline="0">
              <a:effectLst/>
              <a:latin typeface="+mn-lt"/>
              <a:ea typeface="+mn-ea"/>
              <a:cs typeface="+mn-cs"/>
            </a:rPr>
            <a:t>         </a:t>
          </a:r>
          <a:endParaRPr lang="en-US" sz="1000">
            <a:effectLst/>
          </a:endParaRPr>
        </a:p>
        <a:p>
          <a:pPr rtl="0"/>
          <a:r>
            <a:rPr lang="en-US" sz="1100" b="0" i="0" baseline="0">
              <a:effectLst/>
              <a:latin typeface="+mn-lt"/>
              <a:ea typeface="+mn-ea"/>
              <a:cs typeface="+mn-cs"/>
            </a:rPr>
            <a:t>                     21 uA </a:t>
          </a:r>
          <a:endParaRPr lang="en-US" sz="1000">
            <a:effectLst/>
          </a:endParaRPr>
        </a:p>
        <a:p>
          <a:pPr algn="l" rtl="0">
            <a:defRPr sz="1000"/>
          </a:pPr>
          <a:endParaRPr lang="en-US" sz="1000" b="0" i="0" u="none" strike="noStrike" baseline="0">
            <a:solidFill>
              <a:srgbClr val="000000"/>
            </a:solidFill>
            <a:latin typeface="Arial"/>
            <a:cs typeface="Arial"/>
          </a:endParaRPr>
        </a:p>
        <a:p>
          <a:pPr rtl="0"/>
          <a:r>
            <a:rPr lang="en-US" sz="1100" b="0" i="0" baseline="0">
              <a:effectLst/>
              <a:latin typeface="+mn-lt"/>
              <a:ea typeface="+mn-ea"/>
              <a:cs typeface="+mn-cs"/>
            </a:rPr>
            <a:t>R4 =  </a:t>
          </a:r>
          <a:r>
            <a:rPr lang="en-US" sz="1100" b="0" i="0" u="sng" baseline="0">
              <a:effectLst/>
              <a:latin typeface="+mn-lt"/>
              <a:ea typeface="+mn-ea"/>
              <a:cs typeface="+mn-cs"/>
            </a:rPr>
            <a:t>       2.5V  x  R3      </a:t>
          </a:r>
          <a:r>
            <a:rPr lang="en-US" sz="1100" b="0" i="0" baseline="0">
              <a:effectLst/>
              <a:latin typeface="+mn-lt"/>
              <a:ea typeface="+mn-ea"/>
              <a:cs typeface="+mn-cs"/>
            </a:rPr>
            <a:t>    </a:t>
          </a:r>
          <a:endParaRPr lang="en-US" sz="1000">
            <a:effectLst/>
          </a:endParaRPr>
        </a:p>
        <a:p>
          <a:pPr rtl="0"/>
          <a:r>
            <a:rPr lang="en-US" sz="1100" b="0" i="0" baseline="0">
              <a:effectLst/>
              <a:latin typeface="+mn-lt"/>
              <a:ea typeface="+mn-ea"/>
              <a:cs typeface="+mn-cs"/>
            </a:rPr>
            <a:t>          OVLO(upper) - 2.5V</a:t>
          </a:r>
          <a:endParaRPr lang="en-US" sz="1000">
            <a:effectLst/>
          </a:endParaRP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Typical UVLO</a:t>
          </a:r>
          <a:r>
            <a:rPr lang="en-US" sz="800" b="0" i="0" u="none" strike="noStrike" baseline="0">
              <a:solidFill>
                <a:srgbClr val="000000"/>
              </a:solidFill>
              <a:latin typeface="Arial"/>
              <a:cs typeface="Arial"/>
            </a:rPr>
            <a:t>(upper)</a:t>
          </a:r>
          <a:r>
            <a:rPr lang="en-US" sz="1000" b="0" i="0" u="none" strike="noStrike" baseline="0">
              <a:solidFill>
                <a:srgbClr val="000000"/>
              </a:solidFill>
              <a:latin typeface="Arial"/>
              <a:cs typeface="Arial"/>
            </a:rPr>
            <a:t> = 2.5V + (R1 x  </a:t>
          </a:r>
          <a:r>
            <a:rPr lang="en-US" sz="1000" b="0" i="0" u="sng" strike="noStrike" baseline="0">
              <a:solidFill>
                <a:srgbClr val="000000"/>
              </a:solidFill>
              <a:latin typeface="Arial"/>
              <a:cs typeface="Arial"/>
            </a:rPr>
            <a:t>( 2.5V     </a:t>
          </a:r>
          <a:r>
            <a:rPr lang="en-US" sz="1000" b="0" i="0" u="none" strike="noStrike" baseline="0">
              <a:solidFill>
                <a:srgbClr val="000000"/>
              </a:solidFill>
              <a:latin typeface="Arial"/>
              <a:cs typeface="Arial"/>
            </a:rPr>
            <a:t> +  21uA)</a:t>
          </a:r>
        </a:p>
        <a:p>
          <a:pPr algn="l" rtl="0">
            <a:defRPr sz="1000"/>
          </a:pPr>
          <a:r>
            <a:rPr lang="en-US" sz="1000" b="0" i="0" u="none" strike="noStrike" baseline="0">
              <a:solidFill>
                <a:srgbClr val="000000"/>
              </a:solidFill>
              <a:latin typeface="Arial"/>
              <a:cs typeface="Arial"/>
            </a:rPr>
            <a:t>                                                                 R2</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Typical UVLO</a:t>
          </a:r>
          <a:r>
            <a:rPr lang="en-US" sz="800" b="0" i="0" u="none" strike="noStrike" baseline="0">
              <a:solidFill>
                <a:srgbClr val="000000"/>
              </a:solidFill>
              <a:latin typeface="Arial"/>
              <a:cs typeface="Arial"/>
            </a:rPr>
            <a:t>(lower)</a:t>
          </a:r>
          <a:r>
            <a:rPr lang="en-US" sz="1000" b="0" i="0" u="none" strike="noStrike" baseline="0">
              <a:solidFill>
                <a:srgbClr val="000000"/>
              </a:solidFill>
              <a:latin typeface="Arial"/>
              <a:cs typeface="Arial"/>
            </a:rPr>
            <a:t> = 2.5V x </a:t>
          </a:r>
          <a:r>
            <a:rPr lang="en-US" sz="1000" b="0" i="0" u="sng" strike="noStrike" baseline="0">
              <a:solidFill>
                <a:srgbClr val="000000"/>
              </a:solidFill>
              <a:latin typeface="Arial"/>
              <a:cs typeface="Arial"/>
            </a:rPr>
            <a:t> (R1 + R2 </a:t>
          </a: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                                                  (R2)</a:t>
          </a: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Typical OVLO</a:t>
          </a:r>
          <a:r>
            <a:rPr lang="en-US" sz="800" b="0" i="0" u="none" strike="noStrike" baseline="0">
              <a:solidFill>
                <a:srgbClr val="000000"/>
              </a:solidFill>
              <a:latin typeface="Arial"/>
              <a:cs typeface="Arial"/>
            </a:rPr>
            <a:t>(upper)</a:t>
          </a:r>
          <a:r>
            <a:rPr lang="en-US" sz="1000" b="0" i="0" u="none" strike="noStrike" baseline="0">
              <a:solidFill>
                <a:srgbClr val="000000"/>
              </a:solidFill>
              <a:latin typeface="Arial"/>
              <a:cs typeface="Arial"/>
            </a:rPr>
            <a:t> = </a:t>
          </a:r>
          <a:r>
            <a:rPr lang="en-US" sz="1000" b="0" i="0" u="sng" strike="noStrike" baseline="0">
              <a:solidFill>
                <a:srgbClr val="000000"/>
              </a:solidFill>
              <a:latin typeface="Arial"/>
              <a:cs typeface="Arial"/>
            </a:rPr>
            <a:t>  </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Typical OVLO</a:t>
          </a:r>
          <a:r>
            <a:rPr lang="en-US" sz="800" b="0" i="0" u="none" strike="noStrike" baseline="0">
              <a:solidFill>
                <a:srgbClr val="000000"/>
              </a:solidFill>
              <a:latin typeface="Arial"/>
              <a:cs typeface="Arial"/>
            </a:rPr>
            <a:t>(lower)</a:t>
          </a:r>
          <a:r>
            <a:rPr lang="en-US" sz="1000" b="0" i="0" u="none" strike="noStrike" baseline="0">
              <a:solidFill>
                <a:srgbClr val="000000"/>
              </a:solidFill>
              <a:latin typeface="Arial"/>
              <a:cs typeface="Arial"/>
            </a:rPr>
            <a:t> = (R3 x ((</a:t>
          </a:r>
          <a:r>
            <a:rPr lang="en-US" sz="1000" b="0" i="0" u="sng" strike="noStrike" baseline="0">
              <a:solidFill>
                <a:srgbClr val="000000"/>
              </a:solidFill>
              <a:latin typeface="Arial"/>
              <a:cs typeface="Arial"/>
            </a:rPr>
            <a:t> 2.5V)</a:t>
          </a:r>
          <a:r>
            <a:rPr lang="en-US" sz="1000" b="0" i="0" u="none" strike="noStrike" baseline="0">
              <a:solidFill>
                <a:srgbClr val="000000"/>
              </a:solidFill>
              <a:latin typeface="Arial"/>
              <a:cs typeface="Arial"/>
            </a:rPr>
            <a:t>  -  21uA)) + 2.5V</a:t>
          </a:r>
        </a:p>
        <a:p>
          <a:pPr algn="l" rtl="0">
            <a:defRPr sz="1000"/>
          </a:pPr>
          <a:r>
            <a:rPr lang="en-US" sz="1000" b="0" i="0" u="none" strike="noStrike" baseline="0">
              <a:solidFill>
                <a:srgbClr val="000000"/>
              </a:solidFill>
              <a:latin typeface="Arial"/>
              <a:cs typeface="Arial"/>
            </a:rPr>
            <a:t>                                                   R4</a:t>
          </a:r>
        </a:p>
        <a:p>
          <a:pPr algn="l" rtl="0">
            <a:defRPr sz="1000"/>
          </a:pPr>
          <a:endParaRPr lang="en-US" sz="1000" b="0" i="0" u="none" strike="noStrike" baseline="0">
            <a:solidFill>
              <a:srgbClr val="000000"/>
            </a:solidFill>
            <a:latin typeface="Arial"/>
            <a:cs typeface="Arial"/>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21</xdr:col>
      <xdr:colOff>563880</xdr:colOff>
      <xdr:row>26</xdr:row>
      <xdr:rowOff>87630</xdr:rowOff>
    </xdr:from>
    <xdr:to>
      <xdr:col>28</xdr:col>
      <xdr:colOff>388620</xdr:colOff>
      <xdr:row>46</xdr:row>
      <xdr:rowOff>137160</xdr:rowOff>
    </xdr:to>
    <xdr:graphicFrame macro="">
      <xdr:nvGraphicFramePr>
        <xdr:cNvPr id="5" name="Chart 4">
          <a:extLst>
            <a:ext uri="{FF2B5EF4-FFF2-40B4-BE49-F238E27FC236}">
              <a16:creationId xmlns:a16="http://schemas.microsoft.com/office/drawing/2014/main" id="{00000000-0008-0000-04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sps08.itg.ti.com/Users/a0872642/Desktop/Excell%20Tools/TPS24720_design_calc_1_14_14.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sps08.itg.ti.com/Users/a0872642/Desktop/Excell%20Tools/TPS24720_design_calc_1_14_14_74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
      <sheetName val="ILIM_SOA_considerations"/>
      <sheetName val="Worksheet"/>
      <sheetName val="SOA"/>
    </sheetNames>
    <sheetDataSet>
      <sheetData sheetId="0"/>
      <sheetData sheetId="1">
        <row r="9">
          <cell r="C9">
            <v>0.5</v>
          </cell>
        </row>
        <row r="15">
          <cell r="C15">
            <v>50</v>
          </cell>
        </row>
        <row r="23">
          <cell r="C23">
            <v>12.6</v>
          </cell>
        </row>
        <row r="25">
          <cell r="C25">
            <v>42</v>
          </cell>
        </row>
        <row r="30">
          <cell r="C30">
            <v>1</v>
          </cell>
        </row>
        <row r="40">
          <cell r="C40">
            <v>45</v>
          </cell>
        </row>
        <row r="45">
          <cell r="C45">
            <v>13.214879379662346</v>
          </cell>
        </row>
        <row r="46">
          <cell r="C46">
            <v>1.2333333333333334</v>
          </cell>
        </row>
        <row r="47">
          <cell r="C47">
            <v>14.44821271299568</v>
          </cell>
        </row>
        <row r="52">
          <cell r="C52">
            <v>61.344890223835883</v>
          </cell>
        </row>
        <row r="61">
          <cell r="C61">
            <v>1650</v>
          </cell>
        </row>
        <row r="67">
          <cell r="C67">
            <v>2.2000000000000001E-7</v>
          </cell>
        </row>
      </sheetData>
      <sheetData sheetId="2"/>
      <sheetData sheetId="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
      <sheetName val="ILIM_SOA_considerations"/>
      <sheetName val="Worksheet"/>
      <sheetName val="SOA"/>
    </sheetNames>
    <sheetDataSet>
      <sheetData sheetId="0"/>
      <sheetData sheetId="1">
        <row r="9">
          <cell r="C9">
            <v>0.5</v>
          </cell>
        </row>
        <row r="15">
          <cell r="C15">
            <v>50</v>
          </cell>
        </row>
        <row r="23">
          <cell r="C23">
            <v>12.6</v>
          </cell>
        </row>
        <row r="25">
          <cell r="C25">
            <v>42</v>
          </cell>
        </row>
        <row r="30">
          <cell r="C30">
            <v>1</v>
          </cell>
        </row>
        <row r="40">
          <cell r="C40">
            <v>45</v>
          </cell>
        </row>
        <row r="45">
          <cell r="C45">
            <v>13.214879379662346</v>
          </cell>
        </row>
        <row r="46">
          <cell r="C46">
            <v>0.74</v>
          </cell>
        </row>
        <row r="47">
          <cell r="C47">
            <v>13.954879379662346</v>
          </cell>
        </row>
        <row r="52">
          <cell r="C52">
            <v>62.580553546791855</v>
          </cell>
        </row>
        <row r="61">
          <cell r="C61">
            <v>1650</v>
          </cell>
        </row>
        <row r="67">
          <cell r="C67">
            <v>2.2000000000000001E-7</v>
          </cell>
        </row>
      </sheetData>
      <sheetData sheetId="2"/>
      <sheetData sheetId="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Override1.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www.ti.com/lit/pdf/slva673" TargetMode="External"/><Relationship Id="rId1" Type="http://schemas.openxmlformats.org/officeDocument/2006/relationships/hyperlink" Target="http://www.ti.com/lit/gpn/lm5069"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www.ti.com/general/docs/video/watch.tsp?entryid=4609077122001" TargetMode="External"/><Relationship Id="rId13" Type="http://schemas.openxmlformats.org/officeDocument/2006/relationships/hyperlink" Target="https://training.ti.com/node/1133664" TargetMode="External"/><Relationship Id="rId18" Type="http://schemas.openxmlformats.org/officeDocument/2006/relationships/printerSettings" Target="../printerSettings/printerSettings1.bin"/><Relationship Id="rId3" Type="http://schemas.openxmlformats.org/officeDocument/2006/relationships/hyperlink" Target="http://www.ti.com/product/lm5069" TargetMode="External"/><Relationship Id="rId21" Type="http://schemas.openxmlformats.org/officeDocument/2006/relationships/comments" Target="../comments1.xml"/><Relationship Id="rId7" Type="http://schemas.openxmlformats.org/officeDocument/2006/relationships/hyperlink" Target="http://www.ti.com/general/docs/video/watch.tsp?entryid=4609733745001" TargetMode="External"/><Relationship Id="rId12" Type="http://schemas.openxmlformats.org/officeDocument/2006/relationships/hyperlink" Target="https://training.ti.com/node/1133673" TargetMode="External"/><Relationship Id="rId17" Type="http://schemas.openxmlformats.org/officeDocument/2006/relationships/hyperlink" Target="https://training.ti.com/node/1133681" TargetMode="External"/><Relationship Id="rId2" Type="http://schemas.openxmlformats.org/officeDocument/2006/relationships/hyperlink" Target="http://e2e.ti.com/" TargetMode="External"/><Relationship Id="rId16" Type="http://schemas.openxmlformats.org/officeDocument/2006/relationships/hyperlink" Target="https://training.ti.com/node/1133677" TargetMode="External"/><Relationship Id="rId20" Type="http://schemas.openxmlformats.org/officeDocument/2006/relationships/vmlDrawing" Target="../drawings/vmlDrawing1.vml"/><Relationship Id="rId1" Type="http://schemas.openxmlformats.org/officeDocument/2006/relationships/hyperlink" Target="http://www.ti.com/hotswap" TargetMode="External"/><Relationship Id="rId6" Type="http://schemas.openxmlformats.org/officeDocument/2006/relationships/hyperlink" Target="https://training.ti.com/node/1133664" TargetMode="External"/><Relationship Id="rId11" Type="http://schemas.openxmlformats.org/officeDocument/2006/relationships/hyperlink" Target="https://training.ti.com/node/1133677" TargetMode="External"/><Relationship Id="rId5" Type="http://schemas.openxmlformats.org/officeDocument/2006/relationships/hyperlink" Target="https://training.ti.com/node/1133673" TargetMode="External"/><Relationship Id="rId15" Type="http://schemas.openxmlformats.org/officeDocument/2006/relationships/hyperlink" Target="http://www.ti.com/general/docs/video/watch.tsp?entryid=4607940999001" TargetMode="External"/><Relationship Id="rId10" Type="http://schemas.openxmlformats.org/officeDocument/2006/relationships/hyperlink" Target="http://www.ti.com/general/docs/video/watch.tsp?entryid=4607940999001" TargetMode="External"/><Relationship Id="rId19" Type="http://schemas.openxmlformats.org/officeDocument/2006/relationships/drawing" Target="../drawings/drawing2.xml"/><Relationship Id="rId4" Type="http://schemas.openxmlformats.org/officeDocument/2006/relationships/hyperlink" Target="https://training.ti.com/node/1133677" TargetMode="External"/><Relationship Id="rId9" Type="http://schemas.openxmlformats.org/officeDocument/2006/relationships/hyperlink" Target="http://www.ti.com/general/docs/video/watch.tsp?entryid=4609077027001" TargetMode="External"/><Relationship Id="rId14" Type="http://schemas.openxmlformats.org/officeDocument/2006/relationships/hyperlink" Target="https://training.ti.com/node/1133681"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00"/>
  <sheetViews>
    <sheetView zoomScale="55" zoomScaleNormal="55" workbookViewId="0">
      <selection activeCell="B9" sqref="B9"/>
    </sheetView>
  </sheetViews>
  <sheetFormatPr defaultRowHeight="12.75" x14ac:dyDescent="0.2"/>
  <sheetData>
    <row r="1" spans="1:16" ht="13.5" thickTop="1" x14ac:dyDescent="0.2">
      <c r="A1" s="241"/>
      <c r="B1" s="242"/>
      <c r="C1" s="242"/>
      <c r="D1" s="242"/>
      <c r="E1" s="242"/>
      <c r="F1" s="242"/>
      <c r="G1" s="242"/>
      <c r="H1" s="242"/>
      <c r="I1" s="242"/>
      <c r="J1" s="242"/>
      <c r="K1" s="242"/>
      <c r="L1" s="242"/>
      <c r="M1" s="242"/>
      <c r="N1" s="242"/>
      <c r="O1" s="242"/>
      <c r="P1" s="243"/>
    </row>
    <row r="2" spans="1:16" x14ac:dyDescent="0.2">
      <c r="A2" s="244"/>
      <c r="B2" s="245"/>
      <c r="C2" s="245"/>
      <c r="D2" s="245"/>
      <c r="E2" s="245"/>
      <c r="F2" s="245"/>
      <c r="G2" s="245"/>
      <c r="H2" s="245"/>
      <c r="I2" s="245"/>
      <c r="J2" s="245"/>
      <c r="K2" s="245"/>
      <c r="L2" s="245"/>
      <c r="M2" s="245"/>
      <c r="N2" s="245"/>
      <c r="O2" s="245"/>
      <c r="P2" s="246"/>
    </row>
    <row r="3" spans="1:16" ht="30" x14ac:dyDescent="0.4">
      <c r="A3" s="244"/>
      <c r="B3" s="245"/>
      <c r="C3" s="245"/>
      <c r="D3" s="247"/>
      <c r="E3" s="245"/>
      <c r="F3" s="245"/>
      <c r="G3" s="245"/>
      <c r="H3" s="245"/>
      <c r="I3" s="245"/>
      <c r="J3" s="245"/>
      <c r="K3" s="245"/>
      <c r="L3" s="248"/>
      <c r="M3" s="245"/>
      <c r="N3" s="245"/>
      <c r="O3" s="245"/>
      <c r="P3" s="246"/>
    </row>
    <row r="4" spans="1:16" ht="23.25" x14ac:dyDescent="0.35">
      <c r="A4" s="244"/>
      <c r="B4" s="245"/>
      <c r="C4" s="245"/>
      <c r="D4" s="249"/>
      <c r="E4" s="245"/>
      <c r="F4" s="245"/>
      <c r="G4" s="245"/>
      <c r="H4" s="245"/>
      <c r="I4" s="245"/>
      <c r="J4" s="245"/>
      <c r="K4" s="245"/>
      <c r="L4" s="245"/>
      <c r="M4" s="245"/>
      <c r="N4" s="245"/>
      <c r="O4" s="245"/>
      <c r="P4" s="246"/>
    </row>
    <row r="5" spans="1:16" x14ac:dyDescent="0.2">
      <c r="A5" s="244"/>
      <c r="B5" s="245"/>
      <c r="C5" s="245"/>
      <c r="D5" s="245"/>
      <c r="E5" s="245"/>
      <c r="F5" s="245"/>
      <c r="G5" s="245"/>
      <c r="H5" s="245"/>
      <c r="I5" s="245"/>
      <c r="J5" s="245"/>
      <c r="K5" s="245"/>
      <c r="L5" s="245"/>
      <c r="M5" s="245"/>
      <c r="N5" s="245"/>
      <c r="O5" s="245"/>
      <c r="P5" s="246"/>
    </row>
    <row r="6" spans="1:16" x14ac:dyDescent="0.2">
      <c r="A6" s="244"/>
      <c r="B6" s="245"/>
      <c r="C6" s="245"/>
      <c r="D6" s="245"/>
      <c r="E6" s="245"/>
      <c r="F6" s="245"/>
      <c r="G6" s="245"/>
      <c r="H6" s="245"/>
      <c r="I6" s="245"/>
      <c r="J6" s="245"/>
      <c r="K6" s="245"/>
      <c r="L6" s="245"/>
      <c r="M6" s="245"/>
      <c r="N6" s="245"/>
      <c r="O6" s="245"/>
      <c r="P6" s="246"/>
    </row>
    <row r="7" spans="1:16" ht="15.75" x14ac:dyDescent="0.25">
      <c r="A7" s="244"/>
      <c r="B7" s="245"/>
      <c r="C7" s="245"/>
      <c r="D7" s="245"/>
      <c r="E7" s="245"/>
      <c r="F7" s="245"/>
      <c r="G7" s="245"/>
      <c r="H7" s="245"/>
      <c r="I7" s="245"/>
      <c r="J7" s="245"/>
      <c r="K7" s="245"/>
      <c r="L7" s="245"/>
      <c r="M7" s="248" t="s">
        <v>450</v>
      </c>
      <c r="N7" s="245"/>
      <c r="O7" s="245"/>
      <c r="P7" s="246"/>
    </row>
    <row r="8" spans="1:16" ht="30" x14ac:dyDescent="0.4">
      <c r="A8" s="244"/>
      <c r="B8" s="247" t="s">
        <v>493</v>
      </c>
      <c r="C8" s="245"/>
      <c r="D8" s="245"/>
      <c r="E8" s="245"/>
      <c r="F8" s="245"/>
      <c r="G8" s="245"/>
      <c r="H8" s="245"/>
      <c r="I8" s="245"/>
      <c r="J8" s="245"/>
      <c r="K8" s="245"/>
      <c r="L8" s="245"/>
      <c r="M8" s="245"/>
      <c r="N8" s="245"/>
      <c r="O8" s="245"/>
      <c r="P8" s="246"/>
    </row>
    <row r="9" spans="1:16" x14ac:dyDescent="0.2">
      <c r="A9" s="244"/>
      <c r="B9" s="245"/>
      <c r="C9" s="245"/>
      <c r="D9" s="245"/>
      <c r="E9" s="245"/>
      <c r="F9" s="245"/>
      <c r="G9" s="245"/>
      <c r="H9" s="245"/>
      <c r="I9" s="245"/>
      <c r="J9" s="245"/>
      <c r="K9" s="245"/>
      <c r="L9" s="245"/>
      <c r="M9" s="245"/>
      <c r="N9" s="245"/>
      <c r="O9" s="245"/>
      <c r="P9" s="246"/>
    </row>
    <row r="10" spans="1:16" ht="20.25" x14ac:dyDescent="0.3">
      <c r="A10" s="244"/>
      <c r="B10" s="250" t="s">
        <v>443</v>
      </c>
      <c r="C10" s="251"/>
      <c r="D10" s="251"/>
      <c r="E10" s="251"/>
      <c r="F10" s="245"/>
      <c r="G10" s="245"/>
      <c r="H10" s="245"/>
      <c r="I10" s="245"/>
      <c r="J10" s="245"/>
      <c r="K10" s="245"/>
      <c r="L10" s="245"/>
      <c r="M10" s="245"/>
      <c r="N10" s="245"/>
      <c r="O10" s="245"/>
      <c r="P10" s="246"/>
    </row>
    <row r="11" spans="1:16" ht="14.25" x14ac:dyDescent="0.2">
      <c r="A11" s="244"/>
      <c r="B11" s="252" t="s">
        <v>444</v>
      </c>
      <c r="C11" s="253"/>
      <c r="D11" s="253"/>
      <c r="E11" s="253"/>
      <c r="F11" s="245"/>
      <c r="G11" s="245"/>
      <c r="H11" s="245"/>
      <c r="I11" s="245"/>
      <c r="J11" s="245"/>
      <c r="K11" s="245"/>
      <c r="L11" s="245"/>
      <c r="M11" s="245"/>
      <c r="N11" s="245"/>
      <c r="O11" s="245"/>
      <c r="P11" s="246"/>
    </row>
    <row r="12" spans="1:16" ht="14.25" x14ac:dyDescent="0.2">
      <c r="A12" s="244"/>
      <c r="B12" s="252" t="s">
        <v>445</v>
      </c>
      <c r="C12" s="253"/>
      <c r="D12" s="253"/>
      <c r="E12" s="253"/>
      <c r="F12" s="245"/>
      <c r="G12" s="245"/>
      <c r="H12" s="245"/>
      <c r="I12" s="245"/>
      <c r="J12" s="245"/>
      <c r="K12" s="245"/>
      <c r="L12" s="245"/>
      <c r="M12" s="245"/>
      <c r="N12" s="245"/>
      <c r="O12" s="245"/>
      <c r="P12" s="246"/>
    </row>
    <row r="13" spans="1:16" x14ac:dyDescent="0.2">
      <c r="A13" s="244"/>
      <c r="B13" s="251"/>
      <c r="C13" s="251"/>
      <c r="D13" s="251"/>
      <c r="E13" s="251"/>
      <c r="F13" s="245"/>
      <c r="G13" s="245"/>
      <c r="H13" s="245"/>
      <c r="I13" s="245"/>
      <c r="J13" s="245"/>
      <c r="K13" s="245"/>
      <c r="L13" s="245"/>
      <c r="M13" s="245"/>
      <c r="N13" s="245"/>
      <c r="O13" s="245"/>
      <c r="P13" s="246"/>
    </row>
    <row r="14" spans="1:16" x14ac:dyDescent="0.2">
      <c r="A14" s="244"/>
      <c r="B14" s="323" t="s">
        <v>480</v>
      </c>
      <c r="C14" s="323"/>
      <c r="D14" s="323"/>
      <c r="E14" s="251"/>
      <c r="F14" s="245"/>
      <c r="G14" s="245"/>
      <c r="H14" s="245"/>
      <c r="I14" s="245"/>
      <c r="J14" s="245"/>
      <c r="K14" s="245"/>
      <c r="L14" s="245"/>
      <c r="M14" s="245"/>
      <c r="N14" s="245"/>
      <c r="O14" s="245"/>
      <c r="P14" s="246"/>
    </row>
    <row r="15" spans="1:16" x14ac:dyDescent="0.2">
      <c r="A15" s="244"/>
      <c r="B15" s="313" t="s">
        <v>466</v>
      </c>
      <c r="C15" s="313"/>
      <c r="D15" s="313"/>
      <c r="E15" s="313"/>
      <c r="F15" s="313"/>
      <c r="G15" s="313"/>
      <c r="H15" s="313"/>
      <c r="I15" s="313"/>
      <c r="J15" s="245"/>
      <c r="K15" s="245"/>
      <c r="L15" s="245"/>
      <c r="M15" s="245"/>
      <c r="N15" s="245"/>
      <c r="O15" s="245"/>
      <c r="P15" s="246"/>
    </row>
    <row r="16" spans="1:16" x14ac:dyDescent="0.2">
      <c r="A16" s="244"/>
      <c r="B16" s="251"/>
      <c r="C16" s="251"/>
      <c r="D16" s="251"/>
      <c r="E16" s="251"/>
      <c r="F16" s="245"/>
      <c r="G16" s="245"/>
      <c r="H16" s="245"/>
      <c r="I16" s="245"/>
      <c r="J16" s="245"/>
      <c r="K16" s="245"/>
      <c r="L16" s="245"/>
      <c r="M16" s="245"/>
      <c r="N16" s="245"/>
      <c r="O16" s="245"/>
      <c r="P16" s="246"/>
    </row>
    <row r="17" spans="1:16" x14ac:dyDescent="0.2">
      <c r="A17" s="244"/>
      <c r="B17" s="254" t="s">
        <v>446</v>
      </c>
      <c r="C17" s="251"/>
      <c r="D17" s="251"/>
      <c r="E17" s="251"/>
      <c r="F17" s="245"/>
      <c r="G17" s="245"/>
      <c r="H17" s="245"/>
      <c r="I17" s="245"/>
      <c r="J17" s="245"/>
      <c r="K17" s="245"/>
      <c r="L17" s="245"/>
      <c r="M17" s="245"/>
      <c r="N17" s="245"/>
      <c r="O17" s="245"/>
      <c r="P17" s="246"/>
    </row>
    <row r="18" spans="1:16" x14ac:dyDescent="0.2">
      <c r="A18" s="244"/>
      <c r="B18" s="255" t="s">
        <v>460</v>
      </c>
      <c r="C18" s="251"/>
      <c r="D18" s="251"/>
      <c r="E18" s="251"/>
      <c r="F18" s="245"/>
      <c r="G18" s="245"/>
      <c r="H18" s="245"/>
      <c r="I18" s="245"/>
      <c r="J18" s="245"/>
      <c r="K18" s="245"/>
      <c r="L18" s="245"/>
      <c r="M18" s="245"/>
      <c r="N18" s="245"/>
      <c r="O18" s="245"/>
      <c r="P18" s="246"/>
    </row>
    <row r="19" spans="1:16" x14ac:dyDescent="0.2">
      <c r="A19" s="244"/>
      <c r="B19" s="255" t="s">
        <v>459</v>
      </c>
      <c r="C19" s="251"/>
      <c r="D19" s="251"/>
      <c r="E19" s="251"/>
      <c r="F19" s="245"/>
      <c r="G19" s="245"/>
      <c r="H19" s="245"/>
      <c r="I19" s="245"/>
      <c r="J19" s="245"/>
      <c r="K19" s="245"/>
      <c r="L19" s="245"/>
      <c r="M19" s="245"/>
      <c r="N19" s="245"/>
      <c r="O19" s="245"/>
      <c r="P19" s="246"/>
    </row>
    <row r="20" spans="1:16" x14ac:dyDescent="0.2">
      <c r="A20" s="244"/>
      <c r="B20" s="255" t="s">
        <v>458</v>
      </c>
      <c r="C20" s="251"/>
      <c r="D20" s="251"/>
      <c r="E20" s="251"/>
      <c r="F20" s="245"/>
      <c r="G20" s="245"/>
      <c r="H20" s="245"/>
      <c r="I20" s="245"/>
      <c r="J20" s="245"/>
      <c r="K20" s="245"/>
      <c r="L20" s="245"/>
      <c r="M20" s="245"/>
      <c r="N20" s="245"/>
      <c r="O20" s="245"/>
      <c r="P20" s="246"/>
    </row>
    <row r="21" spans="1:16" x14ac:dyDescent="0.2">
      <c r="A21" s="244"/>
      <c r="B21" s="255" t="s">
        <v>454</v>
      </c>
      <c r="C21" s="251"/>
      <c r="D21" s="251"/>
      <c r="E21" s="251"/>
      <c r="F21" s="245"/>
      <c r="G21" s="245"/>
      <c r="H21" s="245"/>
      <c r="I21" s="245"/>
      <c r="J21" s="245"/>
      <c r="K21" s="245"/>
      <c r="L21" s="245"/>
      <c r="M21" s="245"/>
      <c r="N21" s="245"/>
      <c r="O21" s="245"/>
      <c r="P21" s="246"/>
    </row>
    <row r="22" spans="1:16" x14ac:dyDescent="0.2">
      <c r="A22" s="244"/>
      <c r="B22" s="255" t="s">
        <v>457</v>
      </c>
      <c r="C22" s="251"/>
      <c r="D22" s="251"/>
      <c r="E22" s="251"/>
      <c r="F22" s="245"/>
      <c r="G22" s="245"/>
      <c r="H22" s="245"/>
      <c r="I22" s="245"/>
      <c r="J22" s="245"/>
      <c r="K22" s="245"/>
      <c r="L22" s="245"/>
      <c r="M22" s="245"/>
      <c r="N22" s="245"/>
      <c r="O22" s="245"/>
      <c r="P22" s="246"/>
    </row>
    <row r="23" spans="1:16" x14ac:dyDescent="0.2">
      <c r="A23" s="244"/>
      <c r="B23" s="255" t="s">
        <v>455</v>
      </c>
      <c r="C23" s="251"/>
      <c r="D23" s="251"/>
      <c r="E23" s="251"/>
      <c r="F23" s="245"/>
      <c r="G23" s="245"/>
      <c r="H23" s="245"/>
      <c r="I23" s="245"/>
      <c r="J23" s="245"/>
      <c r="K23" s="245"/>
      <c r="L23" s="245"/>
      <c r="M23" s="245"/>
      <c r="N23" s="245"/>
      <c r="O23" s="245"/>
      <c r="P23" s="246"/>
    </row>
    <row r="24" spans="1:16" x14ac:dyDescent="0.2">
      <c r="A24" s="244"/>
      <c r="B24" s="255" t="s">
        <v>456</v>
      </c>
      <c r="C24" s="251"/>
      <c r="D24" s="251"/>
      <c r="E24" s="251"/>
      <c r="F24" s="245"/>
      <c r="G24" s="245"/>
      <c r="H24" s="245"/>
      <c r="I24" s="245"/>
      <c r="J24" s="245"/>
      <c r="K24" s="245"/>
      <c r="L24" s="245"/>
      <c r="M24" s="245"/>
      <c r="N24" s="245"/>
      <c r="O24" s="245"/>
      <c r="P24" s="246"/>
    </row>
    <row r="25" spans="1:16" x14ac:dyDescent="0.2">
      <c r="A25" s="244"/>
      <c r="B25" s="255"/>
      <c r="C25" s="251"/>
      <c r="D25" s="251"/>
      <c r="E25" s="251"/>
      <c r="F25" s="245"/>
      <c r="G25" s="245"/>
      <c r="H25" s="245"/>
      <c r="I25" s="245"/>
      <c r="J25" s="245"/>
      <c r="K25" s="245"/>
      <c r="L25" s="245"/>
      <c r="M25" s="245"/>
      <c r="N25" s="245"/>
      <c r="O25" s="245"/>
      <c r="P25" s="246"/>
    </row>
    <row r="26" spans="1:16" ht="20.25" x14ac:dyDescent="0.3">
      <c r="A26" s="244"/>
      <c r="B26" s="250" t="s">
        <v>447</v>
      </c>
      <c r="C26" s="245"/>
      <c r="D26" s="245"/>
      <c r="E26" s="245"/>
      <c r="F26" s="245"/>
      <c r="G26" s="245"/>
      <c r="H26" s="245"/>
      <c r="I26" s="245"/>
      <c r="J26" s="245"/>
      <c r="K26" s="245"/>
      <c r="L26" s="245"/>
      <c r="M26" s="245"/>
      <c r="N26" s="245"/>
      <c r="O26" s="245"/>
      <c r="P26" s="246"/>
    </row>
    <row r="27" spans="1:16" x14ac:dyDescent="0.2">
      <c r="A27" s="244"/>
      <c r="B27" s="259" t="s">
        <v>453</v>
      </c>
      <c r="C27" s="245"/>
      <c r="D27" s="245"/>
      <c r="E27" s="245"/>
      <c r="F27" s="245"/>
      <c r="G27" s="245"/>
      <c r="H27" s="245"/>
      <c r="I27" s="245"/>
      <c r="J27" s="245"/>
      <c r="K27" s="245"/>
      <c r="L27" s="245"/>
      <c r="M27" s="245"/>
      <c r="N27" s="245"/>
      <c r="O27" s="245"/>
      <c r="P27" s="246"/>
    </row>
    <row r="28" spans="1:16" x14ac:dyDescent="0.2">
      <c r="A28" s="244"/>
      <c r="B28" s="245" t="s">
        <v>448</v>
      </c>
      <c r="C28" s="245"/>
      <c r="D28" s="245"/>
      <c r="E28" s="245"/>
      <c r="F28" s="245"/>
      <c r="G28" s="245"/>
      <c r="H28" s="245"/>
      <c r="I28" s="245"/>
      <c r="J28" s="245"/>
      <c r="K28" s="245"/>
      <c r="L28" s="245"/>
      <c r="M28" s="245"/>
      <c r="N28" s="245"/>
      <c r="O28" s="245"/>
      <c r="P28" s="246"/>
    </row>
    <row r="29" spans="1:16" x14ac:dyDescent="0.2">
      <c r="A29" s="244"/>
      <c r="B29" s="245"/>
      <c r="C29" s="245"/>
      <c r="D29" s="245"/>
      <c r="E29" s="245"/>
      <c r="F29" s="245"/>
      <c r="G29" s="245"/>
      <c r="H29" s="245"/>
      <c r="I29" s="245"/>
      <c r="J29" s="245"/>
      <c r="K29" s="245"/>
      <c r="L29" s="245"/>
      <c r="M29" s="245"/>
      <c r="N29" s="245"/>
      <c r="O29" s="245"/>
      <c r="P29" s="246"/>
    </row>
    <row r="30" spans="1:16" x14ac:dyDescent="0.2">
      <c r="A30" s="244"/>
      <c r="B30" s="259" t="s">
        <v>452</v>
      </c>
      <c r="C30" s="245"/>
      <c r="D30" s="245"/>
      <c r="E30" s="245"/>
      <c r="F30" s="245"/>
      <c r="G30" s="245"/>
      <c r="H30" s="245"/>
      <c r="I30" s="245"/>
      <c r="J30" s="245"/>
      <c r="K30" s="245"/>
      <c r="L30" s="245"/>
      <c r="M30" s="245"/>
      <c r="N30" s="245"/>
      <c r="O30" s="245"/>
      <c r="P30" s="246"/>
    </row>
    <row r="31" spans="1:16" x14ac:dyDescent="0.2">
      <c r="A31" s="244"/>
      <c r="B31" s="245"/>
      <c r="C31" s="245"/>
      <c r="D31" s="245"/>
      <c r="E31" s="245"/>
      <c r="F31" s="245"/>
      <c r="G31" s="245"/>
      <c r="H31" s="245"/>
      <c r="I31" s="245"/>
      <c r="J31" s="245"/>
      <c r="K31" s="245"/>
      <c r="L31" s="245"/>
      <c r="M31" s="245"/>
      <c r="N31" s="245"/>
      <c r="O31" s="245"/>
      <c r="P31" s="246"/>
    </row>
    <row r="32" spans="1:16" x14ac:dyDescent="0.2">
      <c r="A32" s="244"/>
      <c r="B32" s="245" t="s">
        <v>449</v>
      </c>
      <c r="C32" s="245"/>
      <c r="D32" s="245"/>
      <c r="E32" s="245"/>
      <c r="F32" s="245"/>
      <c r="G32" s="245"/>
      <c r="H32" s="245"/>
      <c r="I32" s="245"/>
      <c r="J32" s="245"/>
      <c r="K32" s="245"/>
      <c r="L32" s="245"/>
      <c r="M32" s="245"/>
      <c r="N32" s="245"/>
      <c r="O32" s="245"/>
      <c r="P32" s="246"/>
    </row>
    <row r="33" spans="1:16" x14ac:dyDescent="0.2">
      <c r="A33" s="244"/>
      <c r="B33" s="259"/>
      <c r="C33" s="245"/>
      <c r="D33" s="245"/>
      <c r="E33" s="245"/>
      <c r="F33" s="245"/>
      <c r="G33" s="245"/>
      <c r="H33" s="245"/>
      <c r="I33" s="245"/>
      <c r="J33" s="245"/>
      <c r="K33" s="245"/>
      <c r="L33" s="245"/>
      <c r="M33" s="245"/>
      <c r="N33" s="245"/>
      <c r="O33" s="245"/>
      <c r="P33" s="246"/>
    </row>
    <row r="34" spans="1:16" ht="13.5" thickBot="1" x14ac:dyDescent="0.25">
      <c r="A34" s="244"/>
      <c r="B34" s="259"/>
      <c r="C34" s="245"/>
      <c r="D34" s="245"/>
      <c r="E34" s="245"/>
      <c r="F34" s="245"/>
      <c r="G34" s="245"/>
      <c r="H34" s="245"/>
      <c r="I34" s="245"/>
      <c r="J34" s="245"/>
      <c r="K34" s="245"/>
      <c r="L34" s="245"/>
      <c r="M34" s="245"/>
      <c r="N34" s="245"/>
      <c r="O34" s="245"/>
      <c r="P34" s="246"/>
    </row>
    <row r="35" spans="1:16" x14ac:dyDescent="0.2">
      <c r="A35" s="244"/>
      <c r="B35" s="314" t="s">
        <v>479</v>
      </c>
      <c r="C35" s="315"/>
      <c r="D35" s="315"/>
      <c r="E35" s="315"/>
      <c r="F35" s="315"/>
      <c r="G35" s="315"/>
      <c r="H35" s="315"/>
      <c r="I35" s="315"/>
      <c r="J35" s="315"/>
      <c r="K35" s="315"/>
      <c r="L35" s="315"/>
      <c r="M35" s="316"/>
      <c r="N35" s="245"/>
      <c r="O35" s="245"/>
      <c r="P35" s="246"/>
    </row>
    <row r="36" spans="1:16" x14ac:dyDescent="0.2">
      <c r="A36" s="244"/>
      <c r="B36" s="317"/>
      <c r="C36" s="318"/>
      <c r="D36" s="318"/>
      <c r="E36" s="318"/>
      <c r="F36" s="318"/>
      <c r="G36" s="318"/>
      <c r="H36" s="318"/>
      <c r="I36" s="318"/>
      <c r="J36" s="318"/>
      <c r="K36" s="318"/>
      <c r="L36" s="318"/>
      <c r="M36" s="319"/>
      <c r="N36" s="245"/>
      <c r="O36" s="245"/>
      <c r="P36" s="246"/>
    </row>
    <row r="37" spans="1:16" x14ac:dyDescent="0.2">
      <c r="A37" s="244"/>
      <c r="B37" s="317"/>
      <c r="C37" s="318"/>
      <c r="D37" s="318"/>
      <c r="E37" s="318"/>
      <c r="F37" s="318"/>
      <c r="G37" s="318"/>
      <c r="H37" s="318"/>
      <c r="I37" s="318"/>
      <c r="J37" s="318"/>
      <c r="K37" s="318"/>
      <c r="L37" s="318"/>
      <c r="M37" s="319"/>
      <c r="N37" s="245"/>
      <c r="O37" s="245"/>
      <c r="P37" s="246"/>
    </row>
    <row r="38" spans="1:16" x14ac:dyDescent="0.2">
      <c r="A38" s="244"/>
      <c r="B38" s="317"/>
      <c r="C38" s="318"/>
      <c r="D38" s="318"/>
      <c r="E38" s="318"/>
      <c r="F38" s="318"/>
      <c r="G38" s="318"/>
      <c r="H38" s="318"/>
      <c r="I38" s="318"/>
      <c r="J38" s="318"/>
      <c r="K38" s="318"/>
      <c r="L38" s="318"/>
      <c r="M38" s="319"/>
      <c r="N38" s="245"/>
      <c r="O38" s="245"/>
      <c r="P38" s="246"/>
    </row>
    <row r="39" spans="1:16" x14ac:dyDescent="0.2">
      <c r="A39" s="244"/>
      <c r="B39" s="317"/>
      <c r="C39" s="318"/>
      <c r="D39" s="318"/>
      <c r="E39" s="318"/>
      <c r="F39" s="318"/>
      <c r="G39" s="318"/>
      <c r="H39" s="318"/>
      <c r="I39" s="318"/>
      <c r="J39" s="318"/>
      <c r="K39" s="318"/>
      <c r="L39" s="318"/>
      <c r="M39" s="319"/>
      <c r="N39" s="245"/>
      <c r="O39" s="245"/>
      <c r="P39" s="246"/>
    </row>
    <row r="40" spans="1:16" x14ac:dyDescent="0.2">
      <c r="A40" s="244"/>
      <c r="B40" s="317"/>
      <c r="C40" s="318"/>
      <c r="D40" s="318"/>
      <c r="E40" s="318"/>
      <c r="F40" s="318"/>
      <c r="G40" s="318"/>
      <c r="H40" s="318"/>
      <c r="I40" s="318"/>
      <c r="J40" s="318"/>
      <c r="K40" s="318"/>
      <c r="L40" s="318"/>
      <c r="M40" s="319"/>
      <c r="N40" s="245"/>
      <c r="O40" s="245"/>
      <c r="P40" s="246"/>
    </row>
    <row r="41" spans="1:16" x14ac:dyDescent="0.2">
      <c r="A41" s="244"/>
      <c r="B41" s="317"/>
      <c r="C41" s="318"/>
      <c r="D41" s="318"/>
      <c r="E41" s="318"/>
      <c r="F41" s="318"/>
      <c r="G41" s="318"/>
      <c r="H41" s="318"/>
      <c r="I41" s="318"/>
      <c r="J41" s="318"/>
      <c r="K41" s="318"/>
      <c r="L41" s="318"/>
      <c r="M41" s="319"/>
      <c r="N41" s="245"/>
      <c r="O41" s="245"/>
      <c r="P41" s="246"/>
    </row>
    <row r="42" spans="1:16" x14ac:dyDescent="0.2">
      <c r="A42" s="244"/>
      <c r="B42" s="317"/>
      <c r="C42" s="318"/>
      <c r="D42" s="318"/>
      <c r="E42" s="318"/>
      <c r="F42" s="318"/>
      <c r="G42" s="318"/>
      <c r="H42" s="318"/>
      <c r="I42" s="318"/>
      <c r="J42" s="318"/>
      <c r="K42" s="318"/>
      <c r="L42" s="318"/>
      <c r="M42" s="319"/>
      <c r="N42" s="245"/>
      <c r="O42" s="245"/>
      <c r="P42" s="246"/>
    </row>
    <row r="43" spans="1:16" x14ac:dyDescent="0.2">
      <c r="A43" s="244"/>
      <c r="B43" s="317"/>
      <c r="C43" s="318"/>
      <c r="D43" s="318"/>
      <c r="E43" s="318"/>
      <c r="F43" s="318"/>
      <c r="G43" s="318"/>
      <c r="H43" s="318"/>
      <c r="I43" s="318"/>
      <c r="J43" s="318"/>
      <c r="K43" s="318"/>
      <c r="L43" s="318"/>
      <c r="M43" s="319"/>
      <c r="N43" s="245"/>
      <c r="O43" s="245"/>
      <c r="P43" s="246"/>
    </row>
    <row r="44" spans="1:16" x14ac:dyDescent="0.2">
      <c r="A44" s="244"/>
      <c r="B44" s="317"/>
      <c r="C44" s="318"/>
      <c r="D44" s="318"/>
      <c r="E44" s="318"/>
      <c r="F44" s="318"/>
      <c r="G44" s="318"/>
      <c r="H44" s="318"/>
      <c r="I44" s="318"/>
      <c r="J44" s="318"/>
      <c r="K44" s="318"/>
      <c r="L44" s="318"/>
      <c r="M44" s="319"/>
      <c r="N44" s="245"/>
      <c r="O44" s="245"/>
      <c r="P44" s="246"/>
    </row>
    <row r="45" spans="1:16" x14ac:dyDescent="0.2">
      <c r="A45" s="244"/>
      <c r="B45" s="317"/>
      <c r="C45" s="318"/>
      <c r="D45" s="318"/>
      <c r="E45" s="318"/>
      <c r="F45" s="318"/>
      <c r="G45" s="318"/>
      <c r="H45" s="318"/>
      <c r="I45" s="318"/>
      <c r="J45" s="318"/>
      <c r="K45" s="318"/>
      <c r="L45" s="318"/>
      <c r="M45" s="319"/>
      <c r="N45" s="245"/>
      <c r="O45" s="245"/>
      <c r="P45" s="246"/>
    </row>
    <row r="46" spans="1:16" x14ac:dyDescent="0.2">
      <c r="A46" s="244"/>
      <c r="B46" s="317"/>
      <c r="C46" s="318"/>
      <c r="D46" s="318"/>
      <c r="E46" s="318"/>
      <c r="F46" s="318"/>
      <c r="G46" s="318"/>
      <c r="H46" s="318"/>
      <c r="I46" s="318"/>
      <c r="J46" s="318"/>
      <c r="K46" s="318"/>
      <c r="L46" s="318"/>
      <c r="M46" s="319"/>
      <c r="N46" s="245"/>
      <c r="O46" s="245"/>
      <c r="P46" s="246"/>
    </row>
    <row r="47" spans="1:16" x14ac:dyDescent="0.2">
      <c r="A47" s="244"/>
      <c r="B47" s="317"/>
      <c r="C47" s="318"/>
      <c r="D47" s="318"/>
      <c r="E47" s="318"/>
      <c r="F47" s="318"/>
      <c r="G47" s="318"/>
      <c r="H47" s="318"/>
      <c r="I47" s="318"/>
      <c r="J47" s="318"/>
      <c r="K47" s="318"/>
      <c r="L47" s="318"/>
      <c r="M47" s="319"/>
      <c r="N47" s="245"/>
      <c r="O47" s="245"/>
      <c r="P47" s="246"/>
    </row>
    <row r="48" spans="1:16" x14ac:dyDescent="0.2">
      <c r="A48" s="244"/>
      <c r="B48" s="317"/>
      <c r="C48" s="318"/>
      <c r="D48" s="318"/>
      <c r="E48" s="318"/>
      <c r="F48" s="318"/>
      <c r="G48" s="318"/>
      <c r="H48" s="318"/>
      <c r="I48" s="318"/>
      <c r="J48" s="318"/>
      <c r="K48" s="318"/>
      <c r="L48" s="318"/>
      <c r="M48" s="319"/>
      <c r="N48" s="245"/>
      <c r="O48" s="245"/>
      <c r="P48" s="246"/>
    </row>
    <row r="49" spans="1:16" x14ac:dyDescent="0.2">
      <c r="A49" s="244"/>
      <c r="B49" s="317"/>
      <c r="C49" s="318"/>
      <c r="D49" s="318"/>
      <c r="E49" s="318"/>
      <c r="F49" s="318"/>
      <c r="G49" s="318"/>
      <c r="H49" s="318"/>
      <c r="I49" s="318"/>
      <c r="J49" s="318"/>
      <c r="K49" s="318"/>
      <c r="L49" s="318"/>
      <c r="M49" s="319"/>
      <c r="N49" s="245"/>
      <c r="O49" s="245"/>
      <c r="P49" s="246"/>
    </row>
    <row r="50" spans="1:16" x14ac:dyDescent="0.2">
      <c r="A50" s="244"/>
      <c r="B50" s="317"/>
      <c r="C50" s="318"/>
      <c r="D50" s="318"/>
      <c r="E50" s="318"/>
      <c r="F50" s="318"/>
      <c r="G50" s="318"/>
      <c r="H50" s="318"/>
      <c r="I50" s="318"/>
      <c r="J50" s="318"/>
      <c r="K50" s="318"/>
      <c r="L50" s="318"/>
      <c r="M50" s="319"/>
      <c r="N50" s="245"/>
      <c r="O50" s="245"/>
      <c r="P50" s="246"/>
    </row>
    <row r="51" spans="1:16" x14ac:dyDescent="0.2">
      <c r="A51" s="244"/>
      <c r="B51" s="317"/>
      <c r="C51" s="318"/>
      <c r="D51" s="318"/>
      <c r="E51" s="318"/>
      <c r="F51" s="318"/>
      <c r="G51" s="318"/>
      <c r="H51" s="318"/>
      <c r="I51" s="318"/>
      <c r="J51" s="318"/>
      <c r="K51" s="318"/>
      <c r="L51" s="318"/>
      <c r="M51" s="319"/>
      <c r="N51" s="245"/>
      <c r="O51" s="245"/>
      <c r="P51" s="246"/>
    </row>
    <row r="52" spans="1:16" x14ac:dyDescent="0.2">
      <c r="A52" s="244"/>
      <c r="B52" s="317"/>
      <c r="C52" s="318"/>
      <c r="D52" s="318"/>
      <c r="E52" s="318"/>
      <c r="F52" s="318"/>
      <c r="G52" s="318"/>
      <c r="H52" s="318"/>
      <c r="I52" s="318"/>
      <c r="J52" s="318"/>
      <c r="K52" s="318"/>
      <c r="L52" s="318"/>
      <c r="M52" s="319"/>
      <c r="N52" s="245"/>
      <c r="O52" s="245"/>
      <c r="P52" s="246"/>
    </row>
    <row r="53" spans="1:16" x14ac:dyDescent="0.2">
      <c r="A53" s="244"/>
      <c r="B53" s="317"/>
      <c r="C53" s="318"/>
      <c r="D53" s="318"/>
      <c r="E53" s="318"/>
      <c r="F53" s="318"/>
      <c r="G53" s="318"/>
      <c r="H53" s="318"/>
      <c r="I53" s="318"/>
      <c r="J53" s="318"/>
      <c r="K53" s="318"/>
      <c r="L53" s="318"/>
      <c r="M53" s="319"/>
      <c r="N53" s="245"/>
      <c r="O53" s="245"/>
      <c r="P53" s="246"/>
    </row>
    <row r="54" spans="1:16" x14ac:dyDescent="0.2">
      <c r="A54" s="244"/>
      <c r="B54" s="317"/>
      <c r="C54" s="318"/>
      <c r="D54" s="318"/>
      <c r="E54" s="318"/>
      <c r="F54" s="318"/>
      <c r="G54" s="318"/>
      <c r="H54" s="318"/>
      <c r="I54" s="318"/>
      <c r="J54" s="318"/>
      <c r="K54" s="318"/>
      <c r="L54" s="318"/>
      <c r="M54" s="319"/>
      <c r="N54" s="245"/>
      <c r="O54" s="245"/>
      <c r="P54" s="246"/>
    </row>
    <row r="55" spans="1:16" x14ac:dyDescent="0.2">
      <c r="A55" s="244"/>
      <c r="B55" s="317"/>
      <c r="C55" s="318"/>
      <c r="D55" s="318"/>
      <c r="E55" s="318"/>
      <c r="F55" s="318"/>
      <c r="G55" s="318"/>
      <c r="H55" s="318"/>
      <c r="I55" s="318"/>
      <c r="J55" s="318"/>
      <c r="K55" s="318"/>
      <c r="L55" s="318"/>
      <c r="M55" s="319"/>
      <c r="N55" s="245"/>
      <c r="O55" s="245"/>
      <c r="P55" s="246"/>
    </row>
    <row r="56" spans="1:16" x14ac:dyDescent="0.2">
      <c r="A56" s="244"/>
      <c r="B56" s="317"/>
      <c r="C56" s="318"/>
      <c r="D56" s="318"/>
      <c r="E56" s="318"/>
      <c r="F56" s="318"/>
      <c r="G56" s="318"/>
      <c r="H56" s="318"/>
      <c r="I56" s="318"/>
      <c r="J56" s="318"/>
      <c r="K56" s="318"/>
      <c r="L56" s="318"/>
      <c r="M56" s="319"/>
      <c r="N56" s="245"/>
      <c r="O56" s="245"/>
      <c r="P56" s="246"/>
    </row>
    <row r="57" spans="1:16" x14ac:dyDescent="0.2">
      <c r="A57" s="244"/>
      <c r="B57" s="317"/>
      <c r="C57" s="318"/>
      <c r="D57" s="318"/>
      <c r="E57" s="318"/>
      <c r="F57" s="318"/>
      <c r="G57" s="318"/>
      <c r="H57" s="318"/>
      <c r="I57" s="318"/>
      <c r="J57" s="318"/>
      <c r="K57" s="318"/>
      <c r="L57" s="318"/>
      <c r="M57" s="319"/>
      <c r="N57" s="245"/>
      <c r="O57" s="245"/>
      <c r="P57" s="246"/>
    </row>
    <row r="58" spans="1:16" x14ac:dyDescent="0.2">
      <c r="A58" s="244"/>
      <c r="B58" s="317"/>
      <c r="C58" s="318"/>
      <c r="D58" s="318"/>
      <c r="E58" s="318"/>
      <c r="F58" s="318"/>
      <c r="G58" s="318"/>
      <c r="H58" s="318"/>
      <c r="I58" s="318"/>
      <c r="J58" s="318"/>
      <c r="K58" s="318"/>
      <c r="L58" s="318"/>
      <c r="M58" s="319"/>
      <c r="N58" s="245"/>
      <c r="O58" s="245"/>
      <c r="P58" s="246"/>
    </row>
    <row r="59" spans="1:16" x14ac:dyDescent="0.2">
      <c r="A59" s="244"/>
      <c r="B59" s="317"/>
      <c r="C59" s="318"/>
      <c r="D59" s="318"/>
      <c r="E59" s="318"/>
      <c r="F59" s="318"/>
      <c r="G59" s="318"/>
      <c r="H59" s="318"/>
      <c r="I59" s="318"/>
      <c r="J59" s="318"/>
      <c r="K59" s="318"/>
      <c r="L59" s="318"/>
      <c r="M59" s="319"/>
      <c r="N59" s="245"/>
      <c r="O59" s="245"/>
      <c r="P59" s="246"/>
    </row>
    <row r="60" spans="1:16" x14ac:dyDescent="0.2">
      <c r="A60" s="244"/>
      <c r="B60" s="317"/>
      <c r="C60" s="318"/>
      <c r="D60" s="318"/>
      <c r="E60" s="318"/>
      <c r="F60" s="318"/>
      <c r="G60" s="318"/>
      <c r="H60" s="318"/>
      <c r="I60" s="318"/>
      <c r="J60" s="318"/>
      <c r="K60" s="318"/>
      <c r="L60" s="318"/>
      <c r="M60" s="319"/>
      <c r="N60" s="245"/>
      <c r="O60" s="245"/>
      <c r="P60" s="246"/>
    </row>
    <row r="61" spans="1:16" x14ac:dyDescent="0.2">
      <c r="A61" s="244"/>
      <c r="B61" s="317"/>
      <c r="C61" s="318"/>
      <c r="D61" s="318"/>
      <c r="E61" s="318"/>
      <c r="F61" s="318"/>
      <c r="G61" s="318"/>
      <c r="H61" s="318"/>
      <c r="I61" s="318"/>
      <c r="J61" s="318"/>
      <c r="K61" s="318"/>
      <c r="L61" s="318"/>
      <c r="M61" s="319"/>
      <c r="N61" s="245"/>
      <c r="O61" s="245"/>
      <c r="P61" s="246"/>
    </row>
    <row r="62" spans="1:16" x14ac:dyDescent="0.2">
      <c r="A62" s="244"/>
      <c r="B62" s="317"/>
      <c r="C62" s="318"/>
      <c r="D62" s="318"/>
      <c r="E62" s="318"/>
      <c r="F62" s="318"/>
      <c r="G62" s="318"/>
      <c r="H62" s="318"/>
      <c r="I62" s="318"/>
      <c r="J62" s="318"/>
      <c r="K62" s="318"/>
      <c r="L62" s="318"/>
      <c r="M62" s="319"/>
      <c r="N62" s="245"/>
      <c r="O62" s="245"/>
      <c r="P62" s="246"/>
    </row>
    <row r="63" spans="1:16" x14ac:dyDescent="0.2">
      <c r="A63" s="244"/>
      <c r="B63" s="317"/>
      <c r="C63" s="318"/>
      <c r="D63" s="318"/>
      <c r="E63" s="318"/>
      <c r="F63" s="318"/>
      <c r="G63" s="318"/>
      <c r="H63" s="318"/>
      <c r="I63" s="318"/>
      <c r="J63" s="318"/>
      <c r="K63" s="318"/>
      <c r="L63" s="318"/>
      <c r="M63" s="319"/>
      <c r="N63" s="245"/>
      <c r="O63" s="245"/>
      <c r="P63" s="246"/>
    </row>
    <row r="64" spans="1:16" x14ac:dyDescent="0.2">
      <c r="A64" s="244"/>
      <c r="B64" s="317"/>
      <c r="C64" s="318"/>
      <c r="D64" s="318"/>
      <c r="E64" s="318"/>
      <c r="F64" s="318"/>
      <c r="G64" s="318"/>
      <c r="H64" s="318"/>
      <c r="I64" s="318"/>
      <c r="J64" s="318"/>
      <c r="K64" s="318"/>
      <c r="L64" s="318"/>
      <c r="M64" s="319"/>
      <c r="N64" s="245"/>
      <c r="O64" s="245"/>
      <c r="P64" s="246"/>
    </row>
    <row r="65" spans="1:16" x14ac:dyDescent="0.2">
      <c r="A65" s="244"/>
      <c r="B65" s="317"/>
      <c r="C65" s="318"/>
      <c r="D65" s="318"/>
      <c r="E65" s="318"/>
      <c r="F65" s="318"/>
      <c r="G65" s="318"/>
      <c r="H65" s="318"/>
      <c r="I65" s="318"/>
      <c r="J65" s="318"/>
      <c r="K65" s="318"/>
      <c r="L65" s="318"/>
      <c r="M65" s="319"/>
      <c r="N65" s="245"/>
      <c r="O65" s="245"/>
      <c r="P65" s="246"/>
    </row>
    <row r="66" spans="1:16" x14ac:dyDescent="0.2">
      <c r="A66" s="244"/>
      <c r="B66" s="317"/>
      <c r="C66" s="318"/>
      <c r="D66" s="318"/>
      <c r="E66" s="318"/>
      <c r="F66" s="318"/>
      <c r="G66" s="318"/>
      <c r="H66" s="318"/>
      <c r="I66" s="318"/>
      <c r="J66" s="318"/>
      <c r="K66" s="318"/>
      <c r="L66" s="318"/>
      <c r="M66" s="319"/>
      <c r="N66" s="245"/>
      <c r="O66" s="245"/>
      <c r="P66" s="246"/>
    </row>
    <row r="67" spans="1:16" x14ac:dyDescent="0.2">
      <c r="A67" s="244"/>
      <c r="B67" s="317"/>
      <c r="C67" s="318"/>
      <c r="D67" s="318"/>
      <c r="E67" s="318"/>
      <c r="F67" s="318"/>
      <c r="G67" s="318"/>
      <c r="H67" s="318"/>
      <c r="I67" s="318"/>
      <c r="J67" s="318"/>
      <c r="K67" s="318"/>
      <c r="L67" s="318"/>
      <c r="M67" s="319"/>
      <c r="N67" s="245"/>
      <c r="O67" s="245"/>
      <c r="P67" s="246"/>
    </row>
    <row r="68" spans="1:16" x14ac:dyDescent="0.2">
      <c r="A68" s="244"/>
      <c r="B68" s="317"/>
      <c r="C68" s="318"/>
      <c r="D68" s="318"/>
      <c r="E68" s="318"/>
      <c r="F68" s="318"/>
      <c r="G68" s="318"/>
      <c r="H68" s="318"/>
      <c r="I68" s="318"/>
      <c r="J68" s="318"/>
      <c r="K68" s="318"/>
      <c r="L68" s="318"/>
      <c r="M68" s="319"/>
      <c r="N68" s="245"/>
      <c r="O68" s="245"/>
      <c r="P68" s="246"/>
    </row>
    <row r="69" spans="1:16" x14ac:dyDescent="0.2">
      <c r="A69" s="244"/>
      <c r="B69" s="317"/>
      <c r="C69" s="318"/>
      <c r="D69" s="318"/>
      <c r="E69" s="318"/>
      <c r="F69" s="318"/>
      <c r="G69" s="318"/>
      <c r="H69" s="318"/>
      <c r="I69" s="318"/>
      <c r="J69" s="318"/>
      <c r="K69" s="318"/>
      <c r="L69" s="318"/>
      <c r="M69" s="319"/>
      <c r="N69" s="245"/>
      <c r="O69" s="245"/>
      <c r="P69" s="246"/>
    </row>
    <row r="70" spans="1:16" x14ac:dyDescent="0.2">
      <c r="A70" s="244"/>
      <c r="B70" s="317"/>
      <c r="C70" s="318"/>
      <c r="D70" s="318"/>
      <c r="E70" s="318"/>
      <c r="F70" s="318"/>
      <c r="G70" s="318"/>
      <c r="H70" s="318"/>
      <c r="I70" s="318"/>
      <c r="J70" s="318"/>
      <c r="K70" s="318"/>
      <c r="L70" s="318"/>
      <c r="M70" s="319"/>
      <c r="N70" s="245"/>
      <c r="O70" s="245"/>
      <c r="P70" s="246"/>
    </row>
    <row r="71" spans="1:16" x14ac:dyDescent="0.2">
      <c r="A71" s="244"/>
      <c r="B71" s="317"/>
      <c r="C71" s="318"/>
      <c r="D71" s="318"/>
      <c r="E71" s="318"/>
      <c r="F71" s="318"/>
      <c r="G71" s="318"/>
      <c r="H71" s="318"/>
      <c r="I71" s="318"/>
      <c r="J71" s="318"/>
      <c r="K71" s="318"/>
      <c r="L71" s="318"/>
      <c r="M71" s="319"/>
      <c r="N71" s="245"/>
      <c r="O71" s="245"/>
      <c r="P71" s="246"/>
    </row>
    <row r="72" spans="1:16" x14ac:dyDescent="0.2">
      <c r="A72" s="244"/>
      <c r="B72" s="317"/>
      <c r="C72" s="318"/>
      <c r="D72" s="318"/>
      <c r="E72" s="318"/>
      <c r="F72" s="318"/>
      <c r="G72" s="318"/>
      <c r="H72" s="318"/>
      <c r="I72" s="318"/>
      <c r="J72" s="318"/>
      <c r="K72" s="318"/>
      <c r="L72" s="318"/>
      <c r="M72" s="319"/>
      <c r="N72" s="245"/>
      <c r="O72" s="245"/>
      <c r="P72" s="246"/>
    </row>
    <row r="73" spans="1:16" x14ac:dyDescent="0.2">
      <c r="A73" s="244"/>
      <c r="B73" s="317"/>
      <c r="C73" s="318"/>
      <c r="D73" s="318"/>
      <c r="E73" s="318"/>
      <c r="F73" s="318"/>
      <c r="G73" s="318"/>
      <c r="H73" s="318"/>
      <c r="I73" s="318"/>
      <c r="J73" s="318"/>
      <c r="K73" s="318"/>
      <c r="L73" s="318"/>
      <c r="M73" s="319"/>
      <c r="N73" s="245"/>
      <c r="O73" s="245"/>
      <c r="P73" s="246"/>
    </row>
    <row r="74" spans="1:16" x14ac:dyDescent="0.2">
      <c r="A74" s="244"/>
      <c r="B74" s="317"/>
      <c r="C74" s="318"/>
      <c r="D74" s="318"/>
      <c r="E74" s="318"/>
      <c r="F74" s="318"/>
      <c r="G74" s="318"/>
      <c r="H74" s="318"/>
      <c r="I74" s="318"/>
      <c r="J74" s="318"/>
      <c r="K74" s="318"/>
      <c r="L74" s="318"/>
      <c r="M74" s="319"/>
      <c r="N74" s="245"/>
      <c r="O74" s="245"/>
      <c r="P74" s="246"/>
    </row>
    <row r="75" spans="1:16" x14ac:dyDescent="0.2">
      <c r="A75" s="244"/>
      <c r="B75" s="317"/>
      <c r="C75" s="318"/>
      <c r="D75" s="318"/>
      <c r="E75" s="318"/>
      <c r="F75" s="318"/>
      <c r="G75" s="318"/>
      <c r="H75" s="318"/>
      <c r="I75" s="318"/>
      <c r="J75" s="318"/>
      <c r="K75" s="318"/>
      <c r="L75" s="318"/>
      <c r="M75" s="319"/>
      <c r="N75" s="245"/>
      <c r="O75" s="245"/>
      <c r="P75" s="246"/>
    </row>
    <row r="76" spans="1:16" x14ac:dyDescent="0.2">
      <c r="A76" s="244"/>
      <c r="B76" s="317"/>
      <c r="C76" s="318"/>
      <c r="D76" s="318"/>
      <c r="E76" s="318"/>
      <c r="F76" s="318"/>
      <c r="G76" s="318"/>
      <c r="H76" s="318"/>
      <c r="I76" s="318"/>
      <c r="J76" s="318"/>
      <c r="K76" s="318"/>
      <c r="L76" s="318"/>
      <c r="M76" s="319"/>
      <c r="N76" s="245"/>
      <c r="O76" s="245"/>
      <c r="P76" s="246"/>
    </row>
    <row r="77" spans="1:16" x14ac:dyDescent="0.2">
      <c r="A77" s="244"/>
      <c r="B77" s="317"/>
      <c r="C77" s="318"/>
      <c r="D77" s="318"/>
      <c r="E77" s="318"/>
      <c r="F77" s="318"/>
      <c r="G77" s="318"/>
      <c r="H77" s="318"/>
      <c r="I77" s="318"/>
      <c r="J77" s="318"/>
      <c r="K77" s="318"/>
      <c r="L77" s="318"/>
      <c r="M77" s="319"/>
      <c r="N77" s="245"/>
      <c r="O77" s="245"/>
      <c r="P77" s="246"/>
    </row>
    <row r="78" spans="1:16" x14ac:dyDescent="0.2">
      <c r="A78" s="244"/>
      <c r="B78" s="317"/>
      <c r="C78" s="318"/>
      <c r="D78" s="318"/>
      <c r="E78" s="318"/>
      <c r="F78" s="318"/>
      <c r="G78" s="318"/>
      <c r="H78" s="318"/>
      <c r="I78" s="318"/>
      <c r="J78" s="318"/>
      <c r="K78" s="318"/>
      <c r="L78" s="318"/>
      <c r="M78" s="319"/>
      <c r="N78" s="245"/>
      <c r="O78" s="245"/>
      <c r="P78" s="246"/>
    </row>
    <row r="79" spans="1:16" x14ac:dyDescent="0.2">
      <c r="A79" s="244"/>
      <c r="B79" s="317"/>
      <c r="C79" s="318"/>
      <c r="D79" s="318"/>
      <c r="E79" s="318"/>
      <c r="F79" s="318"/>
      <c r="G79" s="318"/>
      <c r="H79" s="318"/>
      <c r="I79" s="318"/>
      <c r="J79" s="318"/>
      <c r="K79" s="318"/>
      <c r="L79" s="318"/>
      <c r="M79" s="319"/>
      <c r="N79" s="245"/>
      <c r="O79" s="245"/>
      <c r="P79" s="246"/>
    </row>
    <row r="80" spans="1:16" x14ac:dyDescent="0.2">
      <c r="A80" s="244"/>
      <c r="B80" s="317"/>
      <c r="C80" s="318"/>
      <c r="D80" s="318"/>
      <c r="E80" s="318"/>
      <c r="F80" s="318"/>
      <c r="G80" s="318"/>
      <c r="H80" s="318"/>
      <c r="I80" s="318"/>
      <c r="J80" s="318"/>
      <c r="K80" s="318"/>
      <c r="L80" s="318"/>
      <c r="M80" s="319"/>
      <c r="N80" s="245"/>
      <c r="O80" s="245"/>
      <c r="P80" s="246"/>
    </row>
    <row r="81" spans="1:16" x14ac:dyDescent="0.2">
      <c r="A81" s="244"/>
      <c r="B81" s="317"/>
      <c r="C81" s="318"/>
      <c r="D81" s="318"/>
      <c r="E81" s="318"/>
      <c r="F81" s="318"/>
      <c r="G81" s="318"/>
      <c r="H81" s="318"/>
      <c r="I81" s="318"/>
      <c r="J81" s="318"/>
      <c r="K81" s="318"/>
      <c r="L81" s="318"/>
      <c r="M81" s="319"/>
      <c r="N81" s="245"/>
      <c r="O81" s="245"/>
      <c r="P81" s="246"/>
    </row>
    <row r="82" spans="1:16" x14ac:dyDescent="0.2">
      <c r="A82" s="244"/>
      <c r="B82" s="317"/>
      <c r="C82" s="318"/>
      <c r="D82" s="318"/>
      <c r="E82" s="318"/>
      <c r="F82" s="318"/>
      <c r="G82" s="318"/>
      <c r="H82" s="318"/>
      <c r="I82" s="318"/>
      <c r="J82" s="318"/>
      <c r="K82" s="318"/>
      <c r="L82" s="318"/>
      <c r="M82" s="319"/>
      <c r="N82" s="245"/>
      <c r="O82" s="245"/>
      <c r="P82" s="246"/>
    </row>
    <row r="83" spans="1:16" x14ac:dyDescent="0.2">
      <c r="A83" s="244"/>
      <c r="B83" s="317"/>
      <c r="C83" s="318"/>
      <c r="D83" s="318"/>
      <c r="E83" s="318"/>
      <c r="F83" s="318"/>
      <c r="G83" s="318"/>
      <c r="H83" s="318"/>
      <c r="I83" s="318"/>
      <c r="J83" s="318"/>
      <c r="K83" s="318"/>
      <c r="L83" s="318"/>
      <c r="M83" s="319"/>
      <c r="N83" s="245"/>
      <c r="O83" s="245"/>
      <c r="P83" s="246"/>
    </row>
    <row r="84" spans="1:16" x14ac:dyDescent="0.2">
      <c r="A84" s="244"/>
      <c r="B84" s="317"/>
      <c r="C84" s="318"/>
      <c r="D84" s="318"/>
      <c r="E84" s="318"/>
      <c r="F84" s="318"/>
      <c r="G84" s="318"/>
      <c r="H84" s="318"/>
      <c r="I84" s="318"/>
      <c r="J84" s="318"/>
      <c r="K84" s="318"/>
      <c r="L84" s="318"/>
      <c r="M84" s="319"/>
      <c r="N84" s="245"/>
      <c r="O84" s="245"/>
      <c r="P84" s="246"/>
    </row>
    <row r="85" spans="1:16" x14ac:dyDescent="0.2">
      <c r="A85" s="244"/>
      <c r="B85" s="317"/>
      <c r="C85" s="318"/>
      <c r="D85" s="318"/>
      <c r="E85" s="318"/>
      <c r="F85" s="318"/>
      <c r="G85" s="318"/>
      <c r="H85" s="318"/>
      <c r="I85" s="318"/>
      <c r="J85" s="318"/>
      <c r="K85" s="318"/>
      <c r="L85" s="318"/>
      <c r="M85" s="319"/>
      <c r="N85" s="245"/>
      <c r="O85" s="245"/>
      <c r="P85" s="246"/>
    </row>
    <row r="86" spans="1:16" x14ac:dyDescent="0.2">
      <c r="A86" s="244"/>
      <c r="B86" s="317"/>
      <c r="C86" s="318"/>
      <c r="D86" s="318"/>
      <c r="E86" s="318"/>
      <c r="F86" s="318"/>
      <c r="G86" s="318"/>
      <c r="H86" s="318"/>
      <c r="I86" s="318"/>
      <c r="J86" s="318"/>
      <c r="K86" s="318"/>
      <c r="L86" s="318"/>
      <c r="M86" s="319"/>
      <c r="N86" s="245"/>
      <c r="O86" s="245"/>
      <c r="P86" s="246"/>
    </row>
    <row r="87" spans="1:16" x14ac:dyDescent="0.2">
      <c r="A87" s="244"/>
      <c r="B87" s="317"/>
      <c r="C87" s="318"/>
      <c r="D87" s="318"/>
      <c r="E87" s="318"/>
      <c r="F87" s="318"/>
      <c r="G87" s="318"/>
      <c r="H87" s="318"/>
      <c r="I87" s="318"/>
      <c r="J87" s="318"/>
      <c r="K87" s="318"/>
      <c r="L87" s="318"/>
      <c r="M87" s="319"/>
      <c r="N87" s="245"/>
      <c r="O87" s="245"/>
      <c r="P87" s="246"/>
    </row>
    <row r="88" spans="1:16" x14ac:dyDescent="0.2">
      <c r="A88" s="244"/>
      <c r="B88" s="317"/>
      <c r="C88" s="318"/>
      <c r="D88" s="318"/>
      <c r="E88" s="318"/>
      <c r="F88" s="318"/>
      <c r="G88" s="318"/>
      <c r="H88" s="318"/>
      <c r="I88" s="318"/>
      <c r="J88" s="318"/>
      <c r="K88" s="318"/>
      <c r="L88" s="318"/>
      <c r="M88" s="319"/>
      <c r="N88" s="245"/>
      <c r="O88" s="245"/>
      <c r="P88" s="246"/>
    </row>
    <row r="89" spans="1:16" x14ac:dyDescent="0.2">
      <c r="A89" s="244"/>
      <c r="B89" s="317"/>
      <c r="C89" s="318"/>
      <c r="D89" s="318"/>
      <c r="E89" s="318"/>
      <c r="F89" s="318"/>
      <c r="G89" s="318"/>
      <c r="H89" s="318"/>
      <c r="I89" s="318"/>
      <c r="J89" s="318"/>
      <c r="K89" s="318"/>
      <c r="L89" s="318"/>
      <c r="M89" s="319"/>
      <c r="N89" s="245"/>
      <c r="O89" s="245"/>
      <c r="P89" s="246"/>
    </row>
    <row r="90" spans="1:16" x14ac:dyDescent="0.2">
      <c r="A90" s="244"/>
      <c r="B90" s="317"/>
      <c r="C90" s="318"/>
      <c r="D90" s="318"/>
      <c r="E90" s="318"/>
      <c r="F90" s="318"/>
      <c r="G90" s="318"/>
      <c r="H90" s="318"/>
      <c r="I90" s="318"/>
      <c r="J90" s="318"/>
      <c r="K90" s="318"/>
      <c r="L90" s="318"/>
      <c r="M90" s="319"/>
      <c r="N90" s="245"/>
      <c r="O90" s="245"/>
      <c r="P90" s="246"/>
    </row>
    <row r="91" spans="1:16" x14ac:dyDescent="0.2">
      <c r="A91" s="244"/>
      <c r="B91" s="317"/>
      <c r="C91" s="318"/>
      <c r="D91" s="318"/>
      <c r="E91" s="318"/>
      <c r="F91" s="318"/>
      <c r="G91" s="318"/>
      <c r="H91" s="318"/>
      <c r="I91" s="318"/>
      <c r="J91" s="318"/>
      <c r="K91" s="318"/>
      <c r="L91" s="318"/>
      <c r="M91" s="319"/>
      <c r="N91" s="245"/>
      <c r="O91" s="245"/>
      <c r="P91" s="246"/>
    </row>
    <row r="92" spans="1:16" x14ac:dyDescent="0.2">
      <c r="A92" s="244"/>
      <c r="B92" s="317"/>
      <c r="C92" s="318"/>
      <c r="D92" s="318"/>
      <c r="E92" s="318"/>
      <c r="F92" s="318"/>
      <c r="G92" s="318"/>
      <c r="H92" s="318"/>
      <c r="I92" s="318"/>
      <c r="J92" s="318"/>
      <c r="K92" s="318"/>
      <c r="L92" s="318"/>
      <c r="M92" s="319"/>
      <c r="N92" s="245"/>
      <c r="O92" s="245"/>
      <c r="P92" s="246"/>
    </row>
    <row r="93" spans="1:16" x14ac:dyDescent="0.2">
      <c r="A93" s="244"/>
      <c r="B93" s="317"/>
      <c r="C93" s="318"/>
      <c r="D93" s="318"/>
      <c r="E93" s="318"/>
      <c r="F93" s="318"/>
      <c r="G93" s="318"/>
      <c r="H93" s="318"/>
      <c r="I93" s="318"/>
      <c r="J93" s="318"/>
      <c r="K93" s="318"/>
      <c r="L93" s="318"/>
      <c r="M93" s="319"/>
      <c r="N93" s="245"/>
      <c r="O93" s="245"/>
      <c r="P93" s="246"/>
    </row>
    <row r="94" spans="1:16" x14ac:dyDescent="0.2">
      <c r="A94" s="244"/>
      <c r="B94" s="317"/>
      <c r="C94" s="318"/>
      <c r="D94" s="318"/>
      <c r="E94" s="318"/>
      <c r="F94" s="318"/>
      <c r="G94" s="318"/>
      <c r="H94" s="318"/>
      <c r="I94" s="318"/>
      <c r="J94" s="318"/>
      <c r="K94" s="318"/>
      <c r="L94" s="318"/>
      <c r="M94" s="319"/>
      <c r="N94" s="245"/>
      <c r="O94" s="245"/>
      <c r="P94" s="246"/>
    </row>
    <row r="95" spans="1:16" x14ac:dyDescent="0.2">
      <c r="A95" s="244"/>
      <c r="B95" s="317"/>
      <c r="C95" s="318"/>
      <c r="D95" s="318"/>
      <c r="E95" s="318"/>
      <c r="F95" s="318"/>
      <c r="G95" s="318"/>
      <c r="H95" s="318"/>
      <c r="I95" s="318"/>
      <c r="J95" s="318"/>
      <c r="K95" s="318"/>
      <c r="L95" s="318"/>
      <c r="M95" s="319"/>
      <c r="N95" s="245"/>
      <c r="O95" s="245"/>
      <c r="P95" s="246"/>
    </row>
    <row r="96" spans="1:16" x14ac:dyDescent="0.2">
      <c r="A96" s="244"/>
      <c r="B96" s="317"/>
      <c r="C96" s="318"/>
      <c r="D96" s="318"/>
      <c r="E96" s="318"/>
      <c r="F96" s="318"/>
      <c r="G96" s="318"/>
      <c r="H96" s="318"/>
      <c r="I96" s="318"/>
      <c r="J96" s="318"/>
      <c r="K96" s="318"/>
      <c r="L96" s="318"/>
      <c r="M96" s="319"/>
      <c r="N96" s="245"/>
      <c r="O96" s="245"/>
      <c r="P96" s="246"/>
    </row>
    <row r="97" spans="1:16" ht="13.5" thickBot="1" x14ac:dyDescent="0.25">
      <c r="A97" s="244"/>
      <c r="B97" s="320"/>
      <c r="C97" s="321"/>
      <c r="D97" s="321"/>
      <c r="E97" s="321"/>
      <c r="F97" s="321"/>
      <c r="G97" s="321"/>
      <c r="H97" s="321"/>
      <c r="I97" s="321"/>
      <c r="J97" s="321"/>
      <c r="K97" s="321"/>
      <c r="L97" s="321"/>
      <c r="M97" s="322"/>
      <c r="N97" s="245"/>
      <c r="O97" s="245"/>
      <c r="P97" s="246"/>
    </row>
    <row r="98" spans="1:16" x14ac:dyDescent="0.2">
      <c r="A98" s="244"/>
      <c r="B98" s="245"/>
      <c r="C98" s="245"/>
      <c r="D98" s="245"/>
      <c r="E98" s="245"/>
      <c r="F98" s="245"/>
      <c r="G98" s="245"/>
      <c r="H98" s="245"/>
      <c r="I98" s="245"/>
      <c r="J98" s="245"/>
      <c r="K98" s="245"/>
      <c r="L98" s="245"/>
      <c r="M98" s="245"/>
      <c r="N98" s="245"/>
      <c r="O98" s="245"/>
      <c r="P98" s="246"/>
    </row>
    <row r="99" spans="1:16" ht="13.5" thickBot="1" x14ac:dyDescent="0.25">
      <c r="A99" s="256"/>
      <c r="B99" s="257"/>
      <c r="C99" s="257"/>
      <c r="D99" s="257"/>
      <c r="E99" s="257"/>
      <c r="F99" s="257"/>
      <c r="G99" s="257"/>
      <c r="H99" s="257"/>
      <c r="I99" s="257"/>
      <c r="J99" s="257"/>
      <c r="K99" s="257"/>
      <c r="L99" s="257"/>
      <c r="M99" s="257"/>
      <c r="N99" s="257"/>
      <c r="O99" s="257"/>
      <c r="P99" s="258"/>
    </row>
    <row r="100" spans="1:16" ht="13.5" thickTop="1" x14ac:dyDescent="0.2"/>
  </sheetData>
  <mergeCells count="3">
    <mergeCell ref="B15:I15"/>
    <mergeCell ref="B35:M97"/>
    <mergeCell ref="B14:D14"/>
  </mergeCells>
  <hyperlinks>
    <hyperlink ref="B15:I15" r:id="rId1" display="LM5069 Datasheet (See &quot;Design-In Procedure&quot;)" xr:uid="{00000000-0004-0000-0000-000000000000}"/>
    <hyperlink ref="B14" r:id="rId2" xr:uid="{00000000-0004-0000-0000-000001000000}"/>
  </hyperlinks>
  <pageMargins left="0.7" right="0.7" top="0.75" bottom="0.75" header="0.3" footer="0.3"/>
  <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AS214"/>
  <sheetViews>
    <sheetView tabSelected="1" topLeftCell="A41" zoomScale="115" zoomScaleNormal="115" zoomScaleSheetLayoutView="100" workbookViewId="0">
      <selection activeCell="C68" sqref="C68"/>
    </sheetView>
  </sheetViews>
  <sheetFormatPr defaultRowHeight="12.75" x14ac:dyDescent="0.2"/>
  <cols>
    <col min="1" max="1" width="0.42578125" customWidth="1"/>
    <col min="2" max="2" width="30" customWidth="1"/>
    <col min="3" max="3" width="15.140625" customWidth="1"/>
    <col min="4" max="4" width="17.28515625" customWidth="1"/>
    <col min="5" max="5" width="20.85546875" customWidth="1"/>
    <col min="6" max="6" width="16.85546875" customWidth="1"/>
    <col min="7" max="7" width="5.5703125" style="168" customWidth="1"/>
    <col min="8" max="8" width="9.5703125" customWidth="1"/>
    <col min="9" max="9" width="12.85546875" customWidth="1"/>
    <col min="11" max="11" width="10.28515625" customWidth="1"/>
    <col min="12" max="12" width="8.85546875" customWidth="1"/>
    <col min="13" max="13" width="9.85546875" customWidth="1"/>
    <col min="14" max="19" width="0" hidden="1" customWidth="1"/>
    <col min="20" max="20" width="2.7109375" hidden="1" customWidth="1"/>
    <col min="21" max="21" width="3" hidden="1" customWidth="1"/>
    <col min="22" max="22" width="1.140625" hidden="1" customWidth="1"/>
    <col min="23" max="23" width="3.7109375" hidden="1" customWidth="1"/>
    <col min="24" max="38" width="0" hidden="1" customWidth="1"/>
    <col min="39" max="39" width="11.7109375" customWidth="1"/>
    <col min="40" max="40" width="6.7109375" customWidth="1"/>
    <col min="41" max="41" width="9.28515625" customWidth="1"/>
    <col min="42" max="42" width="12.28515625" customWidth="1"/>
    <col min="43" max="43" width="12" customWidth="1"/>
    <col min="44" max="44" width="13.42578125" hidden="1" customWidth="1"/>
    <col min="45" max="45" width="14.5703125" customWidth="1"/>
    <col min="46" max="46" width="14.7109375" customWidth="1"/>
    <col min="47" max="47" width="11.28515625" customWidth="1"/>
    <col min="48" max="48" width="13" customWidth="1"/>
    <col min="49" max="49" width="13.42578125" customWidth="1"/>
    <col min="50" max="50" width="14.7109375" customWidth="1"/>
    <col min="51" max="51" width="14.140625" customWidth="1"/>
    <col min="52" max="52" width="12.85546875" customWidth="1"/>
    <col min="53" max="53" width="12.5703125" customWidth="1"/>
    <col min="54" max="54" width="9.85546875" customWidth="1"/>
    <col min="55" max="55" width="12.7109375" customWidth="1"/>
    <col min="56" max="56" width="13.7109375" customWidth="1"/>
    <col min="57" max="57" width="13.85546875" customWidth="1"/>
    <col min="58" max="59" width="14.42578125" customWidth="1"/>
    <col min="60" max="60" width="15.42578125" customWidth="1"/>
    <col min="61" max="61" width="15.28515625" customWidth="1"/>
    <col min="62" max="62" width="15.7109375" customWidth="1"/>
    <col min="63" max="63" width="12.5703125" customWidth="1"/>
    <col min="64" max="64" width="16.85546875" customWidth="1"/>
    <col min="65" max="65" width="15.42578125" customWidth="1"/>
    <col min="66" max="66" width="14.5703125" customWidth="1"/>
    <col min="67" max="67" width="10" customWidth="1"/>
    <col min="68" max="68" width="6.140625" customWidth="1"/>
    <col min="69" max="69" width="7.140625" customWidth="1"/>
    <col min="70" max="70" width="8.28515625" customWidth="1"/>
    <col min="71" max="71" width="4.7109375" customWidth="1"/>
  </cols>
  <sheetData>
    <row r="1" spans="1:44" s="129" customFormat="1" ht="60.75" customHeight="1" x14ac:dyDescent="0.2">
      <c r="A1" s="332" t="s">
        <v>472</v>
      </c>
      <c r="B1" s="333"/>
      <c r="C1" s="333"/>
      <c r="D1" s="333"/>
      <c r="E1" s="333"/>
      <c r="F1" s="333"/>
      <c r="G1" s="333"/>
      <c r="H1" s="333"/>
      <c r="I1" s="333"/>
      <c r="J1" s="333"/>
      <c r="K1" s="333"/>
      <c r="L1" s="333"/>
      <c r="M1" s="333"/>
      <c r="N1" s="42"/>
      <c r="O1" s="42"/>
      <c r="P1" s="42"/>
      <c r="Q1" s="42"/>
      <c r="R1" s="40"/>
      <c r="S1" s="41"/>
      <c r="T1" s="39"/>
      <c r="U1" s="39"/>
      <c r="V1" s="39"/>
      <c r="W1" s="39"/>
      <c r="X1" s="39"/>
      <c r="Y1" s="39"/>
      <c r="Z1" s="39"/>
      <c r="AA1" s="39"/>
      <c r="AB1" s="39"/>
      <c r="AC1" s="39"/>
      <c r="AD1" s="39"/>
      <c r="AE1" s="39"/>
      <c r="AF1" s="39"/>
      <c r="AG1" s="39"/>
      <c r="AH1" s="39"/>
      <c r="AI1" s="39"/>
      <c r="AJ1" s="39"/>
      <c r="AK1" s="39"/>
      <c r="AL1" s="39"/>
      <c r="AM1" s="39"/>
    </row>
    <row r="2" spans="1:44" ht="15.75" x14ac:dyDescent="0.2">
      <c r="A2" s="19"/>
      <c r="B2" s="38" t="s">
        <v>104</v>
      </c>
      <c r="C2" s="19"/>
      <c r="D2" s="19"/>
      <c r="E2" s="19"/>
      <c r="F2" s="20"/>
      <c r="G2" s="20"/>
      <c r="H2" s="19"/>
      <c r="I2" s="19"/>
      <c r="J2" s="19"/>
      <c r="K2" s="19"/>
      <c r="L2" s="331"/>
      <c r="M2" s="331"/>
      <c r="N2" s="19"/>
      <c r="O2" s="19"/>
      <c r="P2" s="19"/>
      <c r="Q2" s="19"/>
      <c r="R2" s="19"/>
      <c r="S2" s="19"/>
      <c r="T2" s="19"/>
      <c r="U2" s="19"/>
      <c r="V2" s="19"/>
      <c r="W2" s="19"/>
      <c r="X2" s="19"/>
      <c r="Y2" s="19"/>
      <c r="Z2" s="19"/>
      <c r="AA2" s="19"/>
      <c r="AB2" s="19"/>
      <c r="AC2" s="19"/>
      <c r="AD2" s="19"/>
      <c r="AE2" s="19"/>
      <c r="AF2" s="19"/>
      <c r="AG2" s="19"/>
      <c r="AH2" s="19"/>
      <c r="AI2" s="19"/>
      <c r="AJ2" s="19"/>
      <c r="AK2" s="19"/>
      <c r="AL2" s="19"/>
      <c r="AM2" s="19"/>
    </row>
    <row r="3" spans="1:44" x14ac:dyDescent="0.2">
      <c r="A3" s="19"/>
      <c r="B3" s="19"/>
      <c r="C3" s="19"/>
      <c r="D3" s="19"/>
      <c r="E3" s="19"/>
      <c r="F3" s="19"/>
      <c r="G3" s="20"/>
      <c r="H3" s="19"/>
      <c r="I3" s="19"/>
      <c r="J3" s="19"/>
      <c r="K3" s="19"/>
      <c r="L3" s="19"/>
      <c r="M3" s="19"/>
      <c r="N3" s="19"/>
      <c r="O3" s="19"/>
      <c r="P3" s="19"/>
      <c r="Q3" s="19"/>
      <c r="R3" s="19"/>
      <c r="S3" s="19"/>
      <c r="T3" s="19"/>
      <c r="U3" s="19"/>
      <c r="V3" s="19"/>
      <c r="W3" s="19"/>
      <c r="X3" s="19"/>
      <c r="Y3" s="19"/>
      <c r="Z3" s="19"/>
      <c r="AA3" s="19"/>
      <c r="AB3" s="19"/>
      <c r="AC3" s="19"/>
      <c r="AD3" s="19"/>
      <c r="AE3" s="19"/>
      <c r="AF3" s="19"/>
      <c r="AG3" s="19"/>
      <c r="AH3" s="19"/>
      <c r="AI3" s="19"/>
      <c r="AJ3" s="19"/>
      <c r="AK3" s="19"/>
      <c r="AL3" s="19"/>
      <c r="AM3" s="19"/>
    </row>
    <row r="4" spans="1:44" x14ac:dyDescent="0.2">
      <c r="A4" s="19"/>
      <c r="B4" s="19"/>
      <c r="C4" s="19"/>
      <c r="D4" s="19"/>
      <c r="E4" s="19"/>
      <c r="F4" s="19"/>
      <c r="G4" s="20"/>
      <c r="H4" s="19"/>
      <c r="I4" s="19"/>
      <c r="J4" s="19"/>
      <c r="K4" s="19"/>
      <c r="L4" s="19"/>
      <c r="M4" s="19"/>
      <c r="N4" s="19"/>
      <c r="O4" s="19"/>
      <c r="P4" s="19"/>
      <c r="Q4" s="19"/>
      <c r="R4" s="19"/>
      <c r="S4" s="19"/>
      <c r="T4" s="19"/>
      <c r="U4" s="19"/>
      <c r="V4" s="19"/>
      <c r="W4" s="19"/>
      <c r="X4" s="19"/>
      <c r="Y4" s="19"/>
      <c r="Z4" s="19"/>
      <c r="AA4" s="19"/>
      <c r="AB4" s="19"/>
      <c r="AC4" s="19"/>
      <c r="AD4" s="19"/>
      <c r="AE4" s="19"/>
      <c r="AF4" s="19"/>
      <c r="AG4" s="19"/>
      <c r="AH4" s="19"/>
      <c r="AI4" s="19"/>
      <c r="AJ4" s="19"/>
      <c r="AK4" s="19"/>
      <c r="AL4" s="19"/>
      <c r="AM4" s="19"/>
    </row>
    <row r="5" spans="1:44" x14ac:dyDescent="0.2">
      <c r="A5" s="19"/>
      <c r="B5" s="19"/>
      <c r="C5" s="19"/>
      <c r="D5" s="19"/>
      <c r="E5" s="19"/>
      <c r="F5" s="19"/>
      <c r="G5" s="20"/>
      <c r="H5" s="19"/>
      <c r="I5" s="19"/>
      <c r="J5" s="19"/>
      <c r="K5" s="19"/>
      <c r="L5" s="19"/>
      <c r="M5" s="19"/>
      <c r="N5" s="19"/>
      <c r="O5" s="19"/>
      <c r="P5" s="19"/>
      <c r="Q5" s="19"/>
      <c r="R5" s="19"/>
      <c r="S5" s="19"/>
      <c r="T5" s="19"/>
      <c r="U5" s="19"/>
      <c r="V5" s="19"/>
      <c r="W5" s="19"/>
      <c r="X5" s="19"/>
      <c r="Y5" s="19"/>
      <c r="Z5" s="19"/>
      <c r="AA5" s="19"/>
      <c r="AB5" s="19"/>
      <c r="AC5" s="19"/>
      <c r="AD5" s="19"/>
      <c r="AE5" s="19"/>
      <c r="AF5" s="19"/>
      <c r="AG5" s="19"/>
      <c r="AH5" s="19"/>
      <c r="AI5" s="19"/>
      <c r="AJ5" s="19"/>
      <c r="AK5" s="19"/>
      <c r="AL5" s="19"/>
      <c r="AM5" s="19"/>
    </row>
    <row r="6" spans="1:44" x14ac:dyDescent="0.2">
      <c r="A6" s="19"/>
      <c r="B6" s="19"/>
      <c r="C6" s="19"/>
      <c r="D6" s="19"/>
      <c r="E6" s="19"/>
      <c r="F6" s="19"/>
      <c r="G6" s="20"/>
      <c r="H6" s="19"/>
      <c r="I6" s="19"/>
      <c r="J6" s="19"/>
      <c r="K6" s="19"/>
      <c r="L6" s="19"/>
      <c r="M6" s="19"/>
      <c r="N6" s="19"/>
      <c r="O6" s="19"/>
      <c r="P6" s="19"/>
      <c r="Q6" s="19"/>
      <c r="R6" s="19"/>
      <c r="S6" s="19"/>
      <c r="T6" s="19"/>
      <c r="U6" s="19"/>
      <c r="V6" s="19"/>
      <c r="W6" s="19"/>
      <c r="X6" s="19"/>
      <c r="Y6" s="19"/>
      <c r="Z6" s="19"/>
      <c r="AA6" s="19"/>
      <c r="AB6" s="19"/>
      <c r="AC6" s="19"/>
      <c r="AD6" s="19"/>
      <c r="AE6" s="19"/>
      <c r="AF6" s="19"/>
      <c r="AG6" s="19"/>
      <c r="AH6" s="19"/>
      <c r="AI6" s="19"/>
      <c r="AJ6" s="19"/>
      <c r="AK6" s="19"/>
      <c r="AL6" s="19"/>
      <c r="AM6" s="19"/>
    </row>
    <row r="7" spans="1:44" ht="16.5" customHeight="1" x14ac:dyDescent="0.2">
      <c r="A7" s="19"/>
      <c r="B7" s="19"/>
      <c r="C7" s="19"/>
      <c r="D7" s="19"/>
      <c r="E7" s="19"/>
      <c r="F7" s="19"/>
      <c r="G7" s="20"/>
      <c r="H7" s="19"/>
      <c r="I7" s="19"/>
      <c r="J7" s="19"/>
      <c r="K7" s="19"/>
      <c r="L7" s="19"/>
      <c r="M7" s="19"/>
      <c r="N7" s="19"/>
      <c r="O7" s="19"/>
      <c r="P7" s="19"/>
      <c r="Q7" s="19"/>
      <c r="R7" s="19"/>
      <c r="S7" s="19"/>
      <c r="T7" s="19"/>
      <c r="U7" s="19"/>
      <c r="V7" s="19"/>
      <c r="W7" s="19"/>
      <c r="X7" s="19"/>
      <c r="Y7" s="19"/>
      <c r="Z7" s="19"/>
      <c r="AA7" s="19"/>
      <c r="AB7" s="19"/>
      <c r="AC7" s="19"/>
      <c r="AD7" s="19"/>
      <c r="AE7" s="19"/>
      <c r="AF7" s="19"/>
      <c r="AG7" s="19"/>
      <c r="AH7" s="19"/>
      <c r="AI7" s="19"/>
      <c r="AJ7" s="19"/>
      <c r="AK7" s="19"/>
      <c r="AL7" s="19"/>
      <c r="AM7" s="19"/>
    </row>
    <row r="8" spans="1:44" x14ac:dyDescent="0.2">
      <c r="A8" s="19"/>
      <c r="B8" s="19"/>
      <c r="C8" s="19"/>
      <c r="D8" s="19"/>
      <c r="E8" s="19"/>
      <c r="F8" s="19"/>
      <c r="G8" s="20"/>
      <c r="H8" s="19"/>
      <c r="I8" s="19"/>
      <c r="J8" s="19"/>
      <c r="K8" s="19"/>
      <c r="L8" s="19"/>
      <c r="M8" s="19"/>
      <c r="N8" s="19"/>
      <c r="O8" s="19"/>
      <c r="P8" s="19"/>
      <c r="Q8" s="19"/>
      <c r="R8" s="19"/>
      <c r="S8" s="19"/>
      <c r="T8" s="19"/>
      <c r="U8" s="19"/>
      <c r="V8" s="19"/>
      <c r="W8" s="19"/>
      <c r="X8" s="19"/>
      <c r="Y8" s="19"/>
      <c r="Z8" s="19"/>
      <c r="AA8" s="19"/>
      <c r="AB8" s="19"/>
      <c r="AC8" s="19"/>
      <c r="AD8" s="19"/>
      <c r="AE8" s="19"/>
      <c r="AF8" s="19"/>
      <c r="AG8" s="19"/>
      <c r="AH8" s="19"/>
      <c r="AI8" s="19"/>
      <c r="AJ8" s="19"/>
      <c r="AK8" s="19"/>
      <c r="AL8" s="19"/>
      <c r="AM8" s="19"/>
    </row>
    <row r="9" spans="1:44" ht="15" customHeight="1" x14ac:dyDescent="0.2">
      <c r="A9" s="19"/>
      <c r="B9" s="24"/>
      <c r="C9" s="205"/>
      <c r="D9" s="199" t="s">
        <v>364</v>
      </c>
      <c r="E9" s="123"/>
      <c r="F9" s="19"/>
      <c r="G9" s="20"/>
      <c r="H9" s="19"/>
      <c r="I9" s="19"/>
      <c r="J9" s="19"/>
      <c r="K9" s="19"/>
      <c r="L9" s="19"/>
      <c r="M9" s="19"/>
      <c r="N9" s="19"/>
      <c r="O9" s="19"/>
      <c r="P9" s="19"/>
      <c r="Q9" s="19"/>
      <c r="R9" s="19"/>
      <c r="S9" s="19"/>
      <c r="T9" s="19"/>
      <c r="U9" s="19"/>
      <c r="V9" s="19"/>
      <c r="W9" s="19"/>
      <c r="X9" s="19"/>
      <c r="Y9" s="19"/>
      <c r="Z9" s="19"/>
      <c r="AA9" s="19"/>
      <c r="AB9" s="19"/>
      <c r="AC9" s="19"/>
      <c r="AD9" s="19"/>
      <c r="AE9" s="19"/>
      <c r="AF9" s="19"/>
      <c r="AG9" s="19"/>
      <c r="AH9" s="19"/>
      <c r="AI9" s="19"/>
      <c r="AJ9" s="19"/>
      <c r="AK9" s="19"/>
      <c r="AL9" s="19"/>
      <c r="AM9" s="19"/>
    </row>
    <row r="10" spans="1:44" ht="15" customHeight="1" x14ac:dyDescent="0.2">
      <c r="A10" s="19"/>
      <c r="B10" s="25"/>
      <c r="C10" s="21"/>
      <c r="D10" s="19" t="s">
        <v>103</v>
      </c>
      <c r="E10" s="124"/>
      <c r="F10" s="19"/>
      <c r="G10" s="20"/>
      <c r="H10" s="19"/>
      <c r="I10" s="19"/>
      <c r="J10" s="19"/>
      <c r="K10" s="19"/>
      <c r="L10" s="122"/>
      <c r="M10" s="122"/>
      <c r="N10" s="19"/>
      <c r="O10" s="19"/>
      <c r="P10" s="19"/>
      <c r="Q10" s="19"/>
      <c r="R10" s="19"/>
      <c r="S10" s="19"/>
      <c r="T10" s="19"/>
      <c r="U10" s="19"/>
      <c r="V10" s="19"/>
      <c r="W10" s="19"/>
      <c r="X10" s="19"/>
      <c r="Y10" s="19"/>
      <c r="Z10" s="19"/>
      <c r="AA10" s="19"/>
      <c r="AB10" s="19"/>
      <c r="AC10" s="19"/>
      <c r="AD10" s="19"/>
      <c r="AE10" s="19"/>
      <c r="AF10" s="19"/>
      <c r="AG10" s="19"/>
      <c r="AH10" s="19"/>
      <c r="AI10" s="19"/>
      <c r="AJ10" s="19"/>
      <c r="AK10" s="19"/>
      <c r="AL10" s="19"/>
      <c r="AM10" s="19"/>
    </row>
    <row r="11" spans="1:44" ht="22.9" customHeight="1" x14ac:dyDescent="0.2">
      <c r="A11" s="19"/>
      <c r="B11" s="25"/>
      <c r="C11" s="220"/>
      <c r="D11" s="334" t="s">
        <v>451</v>
      </c>
      <c r="E11" s="335"/>
      <c r="F11" s="19"/>
      <c r="G11" s="20"/>
      <c r="H11" s="19"/>
      <c r="I11" s="19"/>
      <c r="J11" s="19"/>
      <c r="K11" s="19"/>
      <c r="L11" s="122"/>
      <c r="M11" s="122"/>
      <c r="N11" s="19"/>
      <c r="O11" s="19"/>
      <c r="P11" s="19"/>
      <c r="Q11" s="19"/>
      <c r="R11" s="19"/>
      <c r="S11" s="19"/>
      <c r="T11" s="19"/>
      <c r="U11" s="19"/>
      <c r="V11" s="19"/>
      <c r="W11" s="19"/>
      <c r="X11" s="19"/>
      <c r="Y11" s="19"/>
      <c r="Z11" s="19"/>
      <c r="AA11" s="19"/>
      <c r="AB11" s="19"/>
      <c r="AC11" s="19"/>
      <c r="AD11" s="19"/>
      <c r="AE11" s="19"/>
      <c r="AF11" s="19"/>
      <c r="AG11" s="19"/>
      <c r="AH11" s="19"/>
      <c r="AI11" s="19"/>
      <c r="AJ11" s="19"/>
      <c r="AK11" s="19"/>
      <c r="AL11" s="19"/>
      <c r="AM11" s="19"/>
    </row>
    <row r="12" spans="1:44" ht="18" customHeight="1" x14ac:dyDescent="0.2">
      <c r="A12" s="19"/>
      <c r="B12" s="25"/>
      <c r="C12" s="219"/>
      <c r="D12" s="334"/>
      <c r="E12" s="335"/>
      <c r="F12" s="19"/>
      <c r="G12" s="20"/>
      <c r="H12" s="19"/>
      <c r="I12" s="19"/>
      <c r="J12" s="19"/>
      <c r="K12" s="19"/>
      <c r="L12" s="36"/>
      <c r="M12" s="36"/>
      <c r="N12" s="19"/>
      <c r="O12" s="19"/>
      <c r="P12" s="19"/>
      <c r="Q12" s="19"/>
      <c r="R12" s="19"/>
      <c r="S12" s="19"/>
      <c r="T12" s="19"/>
      <c r="U12" s="19"/>
      <c r="V12" s="19"/>
      <c r="W12" s="19"/>
      <c r="X12" s="19"/>
      <c r="Y12" s="19"/>
      <c r="Z12" s="19"/>
      <c r="AA12" s="19"/>
      <c r="AB12" s="19"/>
      <c r="AC12" s="19"/>
      <c r="AD12" s="19"/>
      <c r="AE12" s="19"/>
      <c r="AF12" s="19"/>
      <c r="AG12" s="19"/>
      <c r="AH12" s="19"/>
      <c r="AI12" s="19"/>
      <c r="AJ12" s="19"/>
      <c r="AK12" s="19"/>
      <c r="AL12" s="19"/>
      <c r="AM12" s="19"/>
    </row>
    <row r="13" spans="1:44" ht="15" customHeight="1" thickBot="1" x14ac:dyDescent="0.25">
      <c r="A13" s="19"/>
      <c r="B13" s="19"/>
      <c r="C13" s="19"/>
      <c r="D13" s="19"/>
      <c r="E13" s="19"/>
      <c r="F13" s="31"/>
      <c r="G13" s="20"/>
      <c r="H13" s="19"/>
      <c r="I13" s="19"/>
      <c r="J13" s="19"/>
      <c r="K13" s="19"/>
      <c r="L13" s="19"/>
      <c r="M13" s="19"/>
      <c r="N13" s="19"/>
      <c r="O13" s="19"/>
      <c r="P13" s="19"/>
      <c r="Q13" s="19"/>
      <c r="R13" s="19"/>
      <c r="S13" s="19"/>
      <c r="T13" s="19"/>
      <c r="U13" s="19"/>
      <c r="V13" s="19"/>
      <c r="W13" s="19"/>
      <c r="X13" s="19"/>
      <c r="Y13" s="19"/>
      <c r="Z13" s="19"/>
      <c r="AA13" s="19"/>
      <c r="AB13" s="19"/>
      <c r="AC13" s="19"/>
      <c r="AD13" s="19"/>
      <c r="AE13" s="19"/>
      <c r="AF13" s="19"/>
      <c r="AG13" s="19"/>
      <c r="AH13" s="19"/>
      <c r="AI13" s="19"/>
      <c r="AJ13" s="19"/>
      <c r="AK13" s="19"/>
      <c r="AL13" s="19"/>
      <c r="AM13" s="19"/>
    </row>
    <row r="14" spans="1:44" ht="15" customHeight="1" x14ac:dyDescent="0.25">
      <c r="A14" s="19"/>
      <c r="B14" s="286" t="s">
        <v>481</v>
      </c>
      <c r="C14" s="298"/>
      <c r="D14" s="338" t="s">
        <v>482</v>
      </c>
      <c r="E14" s="338"/>
      <c r="F14" s="338"/>
      <c r="G14" s="338"/>
      <c r="H14" s="295"/>
      <c r="I14" s="278"/>
      <c r="J14" s="278"/>
      <c r="K14" s="278"/>
      <c r="L14" s="278"/>
      <c r="M14" s="278"/>
      <c r="N14" s="278"/>
      <c r="O14" s="278"/>
      <c r="P14" s="278"/>
      <c r="Q14" s="278"/>
      <c r="R14" s="278"/>
      <c r="S14" s="278"/>
      <c r="T14" s="278"/>
      <c r="U14" s="278"/>
      <c r="V14" s="278"/>
      <c r="W14" s="278"/>
      <c r="X14" s="278"/>
      <c r="Y14" s="278"/>
      <c r="Z14" s="278"/>
      <c r="AA14" s="278"/>
      <c r="AB14" s="278"/>
      <c r="AC14" s="278"/>
      <c r="AD14" s="278"/>
      <c r="AE14" s="278"/>
      <c r="AF14" s="278"/>
      <c r="AG14" s="278"/>
      <c r="AH14" s="278"/>
      <c r="AI14" s="278"/>
      <c r="AJ14" s="278"/>
      <c r="AK14" s="278"/>
      <c r="AL14" s="278"/>
      <c r="AM14" s="284"/>
    </row>
    <row r="15" spans="1:44" ht="15" customHeight="1" x14ac:dyDescent="0.25">
      <c r="A15" s="19"/>
      <c r="B15" s="287"/>
      <c r="C15" s="297"/>
      <c r="D15" s="339"/>
      <c r="E15" s="339"/>
      <c r="F15" s="339"/>
      <c r="G15" s="339"/>
      <c r="H15" s="296"/>
      <c r="I15" s="276"/>
      <c r="J15" s="276"/>
      <c r="K15" s="276"/>
      <c r="L15" s="276"/>
      <c r="M15" s="276"/>
      <c r="N15" s="276"/>
      <c r="O15" s="276"/>
      <c r="P15" s="276"/>
      <c r="Q15" s="276"/>
      <c r="R15" s="276"/>
      <c r="S15" s="276"/>
      <c r="T15" s="276"/>
      <c r="U15" s="276"/>
      <c r="V15" s="276"/>
      <c r="W15" s="276"/>
      <c r="X15" s="276"/>
      <c r="Y15" s="276"/>
      <c r="Z15" s="276"/>
      <c r="AA15" s="276"/>
      <c r="AB15" s="276"/>
      <c r="AC15" s="276"/>
      <c r="AD15" s="276"/>
      <c r="AE15" s="276"/>
      <c r="AF15" s="276"/>
      <c r="AG15" s="276"/>
      <c r="AH15" s="276"/>
      <c r="AI15" s="276"/>
      <c r="AJ15" s="276"/>
      <c r="AK15" s="276"/>
      <c r="AL15" s="276"/>
      <c r="AM15" s="282"/>
      <c r="AR15" s="33" t="s">
        <v>195</v>
      </c>
    </row>
    <row r="16" spans="1:44" ht="15" customHeight="1" x14ac:dyDescent="0.2">
      <c r="A16" s="19"/>
      <c r="B16" s="337"/>
      <c r="C16" s="288"/>
      <c r="D16" s="344" t="s">
        <v>483</v>
      </c>
      <c r="E16" s="344"/>
      <c r="F16" s="344"/>
      <c r="G16" s="344"/>
      <c r="H16" s="344"/>
      <c r="I16" s="344"/>
      <c r="J16" s="292"/>
      <c r="K16" s="285"/>
      <c r="L16" s="276"/>
      <c r="M16" s="276"/>
      <c r="N16" s="276"/>
      <c r="O16" s="276"/>
      <c r="P16" s="276"/>
      <c r="Q16" s="276"/>
      <c r="R16" s="276"/>
      <c r="S16" s="276"/>
      <c r="T16" s="276"/>
      <c r="U16" s="276"/>
      <c r="V16" s="276"/>
      <c r="W16" s="276"/>
      <c r="X16" s="276"/>
      <c r="Y16" s="276"/>
      <c r="Z16" s="276"/>
      <c r="AA16" s="276"/>
      <c r="AB16" s="276"/>
      <c r="AC16" s="276"/>
      <c r="AD16" s="276"/>
      <c r="AE16" s="276"/>
      <c r="AF16" s="276"/>
      <c r="AG16" s="276"/>
      <c r="AH16" s="276"/>
      <c r="AI16" s="276"/>
      <c r="AJ16" s="276"/>
      <c r="AK16" s="276"/>
      <c r="AL16" s="276"/>
      <c r="AM16" s="282"/>
      <c r="AR16" s="33" t="s">
        <v>194</v>
      </c>
    </row>
    <row r="17" spans="1:39" ht="15" customHeight="1" x14ac:dyDescent="0.2">
      <c r="A17" s="19"/>
      <c r="B17" s="337"/>
      <c r="C17" s="288"/>
      <c r="D17" s="344" t="s">
        <v>484</v>
      </c>
      <c r="E17" s="344"/>
      <c r="F17" s="344"/>
      <c r="G17" s="344"/>
      <c r="H17" s="344"/>
      <c r="I17" s="344"/>
      <c r="J17" s="276"/>
      <c r="K17" s="276"/>
      <c r="L17" s="276"/>
      <c r="M17" s="276"/>
      <c r="N17" s="276"/>
      <c r="O17" s="276"/>
      <c r="P17" s="276"/>
      <c r="Q17" s="276"/>
      <c r="R17" s="276"/>
      <c r="S17" s="276"/>
      <c r="T17" s="276"/>
      <c r="U17" s="276"/>
      <c r="V17" s="276"/>
      <c r="W17" s="276"/>
      <c r="X17" s="276"/>
      <c r="Y17" s="276"/>
      <c r="Z17" s="276"/>
      <c r="AA17" s="276"/>
      <c r="AB17" s="276"/>
      <c r="AC17" s="276"/>
      <c r="AD17" s="276"/>
      <c r="AE17" s="276"/>
      <c r="AF17" s="276"/>
      <c r="AG17" s="276"/>
      <c r="AH17" s="276"/>
      <c r="AI17" s="276"/>
      <c r="AJ17" s="276"/>
      <c r="AK17" s="276"/>
      <c r="AL17" s="276"/>
      <c r="AM17" s="282"/>
    </row>
    <row r="18" spans="1:39" ht="15" customHeight="1" x14ac:dyDescent="0.2">
      <c r="A18" s="19"/>
      <c r="B18" s="337"/>
      <c r="C18" s="288"/>
      <c r="D18" s="344" t="s">
        <v>485</v>
      </c>
      <c r="E18" s="344"/>
      <c r="F18" s="344"/>
      <c r="G18" s="344"/>
      <c r="H18" s="344"/>
      <c r="I18" s="344"/>
      <c r="J18" s="276"/>
      <c r="K18" s="276"/>
      <c r="L18" s="276"/>
      <c r="M18" s="276"/>
      <c r="N18" s="276"/>
      <c r="O18" s="276"/>
      <c r="P18" s="276"/>
      <c r="Q18" s="276"/>
      <c r="R18" s="276"/>
      <c r="S18" s="276"/>
      <c r="T18" s="276"/>
      <c r="U18" s="276"/>
      <c r="V18" s="276"/>
      <c r="W18" s="276"/>
      <c r="X18" s="276"/>
      <c r="Y18" s="276"/>
      <c r="Z18" s="276"/>
      <c r="AA18" s="276"/>
      <c r="AB18" s="276"/>
      <c r="AC18" s="276"/>
      <c r="AD18" s="276"/>
      <c r="AE18" s="276"/>
      <c r="AF18" s="276"/>
      <c r="AG18" s="276"/>
      <c r="AH18" s="276"/>
      <c r="AI18" s="276"/>
      <c r="AJ18" s="276"/>
      <c r="AK18" s="276"/>
      <c r="AL18" s="276"/>
      <c r="AM18" s="282"/>
    </row>
    <row r="19" spans="1:39" ht="15" customHeight="1" x14ac:dyDescent="0.2">
      <c r="A19" s="19"/>
      <c r="B19" s="337"/>
      <c r="C19" s="288"/>
      <c r="D19" s="344" t="s">
        <v>486</v>
      </c>
      <c r="E19" s="344"/>
      <c r="F19" s="344"/>
      <c r="G19" s="344"/>
      <c r="H19" s="344"/>
      <c r="I19" s="344"/>
      <c r="J19" s="276"/>
      <c r="K19" s="276"/>
      <c r="L19" s="276"/>
      <c r="M19" s="276"/>
      <c r="N19" s="276"/>
      <c r="O19" s="276"/>
      <c r="P19" s="276"/>
      <c r="Q19" s="276"/>
      <c r="R19" s="276"/>
      <c r="S19" s="276"/>
      <c r="T19" s="276"/>
      <c r="U19" s="276"/>
      <c r="V19" s="276"/>
      <c r="W19" s="276"/>
      <c r="X19" s="276"/>
      <c r="Y19" s="276"/>
      <c r="Z19" s="276"/>
      <c r="AA19" s="276"/>
      <c r="AB19" s="276"/>
      <c r="AC19" s="276"/>
      <c r="AD19" s="276"/>
      <c r="AE19" s="276"/>
      <c r="AF19" s="276"/>
      <c r="AG19" s="276"/>
      <c r="AH19" s="276"/>
      <c r="AI19" s="276"/>
      <c r="AJ19" s="276"/>
      <c r="AK19" s="276"/>
      <c r="AL19" s="276"/>
      <c r="AM19" s="282"/>
    </row>
    <row r="20" spans="1:39" ht="15" customHeight="1" x14ac:dyDescent="0.2">
      <c r="A20" s="19"/>
      <c r="B20" s="293"/>
      <c r="C20" s="288"/>
      <c r="D20" s="302" t="s">
        <v>490</v>
      </c>
      <c r="E20" s="289"/>
      <c r="F20" s="276"/>
      <c r="G20" s="276"/>
      <c r="H20" s="276"/>
      <c r="I20" s="276"/>
      <c r="J20" s="276"/>
      <c r="K20" s="276"/>
      <c r="L20" s="276"/>
      <c r="M20" s="276"/>
      <c r="N20" s="276"/>
      <c r="O20" s="276"/>
      <c r="P20" s="276"/>
      <c r="Q20" s="276"/>
      <c r="R20" s="276"/>
      <c r="S20" s="276"/>
      <c r="T20" s="276"/>
      <c r="U20" s="276"/>
      <c r="V20" s="276"/>
      <c r="W20" s="276"/>
      <c r="X20" s="276"/>
      <c r="Y20" s="276"/>
      <c r="Z20" s="276"/>
      <c r="AA20" s="276"/>
      <c r="AB20" s="276"/>
      <c r="AC20" s="276"/>
      <c r="AD20" s="276"/>
      <c r="AE20" s="276"/>
      <c r="AF20" s="276"/>
      <c r="AG20" s="276"/>
      <c r="AH20" s="276"/>
      <c r="AI20" s="276"/>
      <c r="AJ20" s="276"/>
      <c r="AK20" s="276"/>
      <c r="AL20" s="276"/>
      <c r="AM20" s="282"/>
    </row>
    <row r="21" spans="1:39" ht="15" customHeight="1" thickBot="1" x14ac:dyDescent="0.25">
      <c r="A21" s="19"/>
      <c r="B21" s="279"/>
      <c r="C21" s="276"/>
      <c r="D21" s="276"/>
      <c r="E21" s="277"/>
      <c r="F21" s="276"/>
      <c r="G21" s="276"/>
      <c r="H21" s="276"/>
      <c r="I21" s="276"/>
      <c r="J21" s="276"/>
      <c r="K21" s="276"/>
      <c r="L21" s="276"/>
      <c r="M21" s="276"/>
      <c r="N21" s="276"/>
      <c r="O21" s="276"/>
      <c r="P21" s="276"/>
      <c r="Q21" s="276"/>
      <c r="R21" s="276"/>
      <c r="S21" s="276"/>
      <c r="T21" s="276"/>
      <c r="U21" s="276"/>
      <c r="V21" s="276"/>
      <c r="W21" s="276"/>
      <c r="X21" s="276"/>
      <c r="Y21" s="276"/>
      <c r="Z21" s="276"/>
      <c r="AA21" s="276"/>
      <c r="AB21" s="276"/>
      <c r="AC21" s="276"/>
      <c r="AD21" s="276"/>
      <c r="AE21" s="276"/>
      <c r="AF21" s="276"/>
      <c r="AG21" s="276"/>
      <c r="AH21" s="276"/>
      <c r="AI21" s="276"/>
      <c r="AJ21" s="276"/>
      <c r="AK21" s="276"/>
      <c r="AL21" s="276"/>
      <c r="AM21" s="282"/>
    </row>
    <row r="22" spans="1:39" ht="29.1" customHeight="1" thickBot="1" x14ac:dyDescent="0.25">
      <c r="A22" s="19"/>
      <c r="B22" s="279"/>
      <c r="C22" s="276"/>
      <c r="D22" s="340" t="s">
        <v>487</v>
      </c>
      <c r="E22" s="341"/>
      <c r="F22" s="342"/>
      <c r="G22" s="300" t="s">
        <v>195</v>
      </c>
      <c r="H22" s="276"/>
      <c r="I22" s="276"/>
      <c r="J22" s="276"/>
      <c r="K22" s="276"/>
      <c r="L22" s="276"/>
      <c r="M22" s="276"/>
      <c r="N22" s="276"/>
      <c r="O22" s="276"/>
      <c r="P22" s="276"/>
      <c r="Q22" s="276"/>
      <c r="R22" s="276"/>
      <c r="S22" s="276"/>
      <c r="T22" s="276"/>
      <c r="U22" s="276"/>
      <c r="V22" s="276"/>
      <c r="W22" s="276"/>
      <c r="X22" s="276"/>
      <c r="Y22" s="276"/>
      <c r="Z22" s="276"/>
      <c r="AA22" s="276"/>
      <c r="AB22" s="276"/>
      <c r="AC22" s="276"/>
      <c r="AD22" s="276"/>
      <c r="AE22" s="276"/>
      <c r="AF22" s="276"/>
      <c r="AG22" s="276"/>
      <c r="AH22" s="276"/>
      <c r="AI22" s="276"/>
      <c r="AJ22" s="276"/>
      <c r="AK22" s="276"/>
      <c r="AL22" s="276"/>
      <c r="AM22" s="282"/>
    </row>
    <row r="23" spans="1:39" ht="32.1" customHeight="1" thickBot="1" x14ac:dyDescent="0.3">
      <c r="A23" s="19"/>
      <c r="B23" s="279"/>
      <c r="C23" s="276"/>
      <c r="D23" s="345" t="s">
        <v>488</v>
      </c>
      <c r="E23" s="346"/>
      <c r="F23" s="347"/>
      <c r="G23" s="301" t="s">
        <v>195</v>
      </c>
      <c r="H23" s="276"/>
      <c r="I23" s="276"/>
      <c r="J23" s="276"/>
      <c r="K23" s="276"/>
      <c r="L23" s="276"/>
      <c r="M23" s="276"/>
      <c r="N23" s="276"/>
      <c r="O23" s="276"/>
      <c r="P23" s="276"/>
      <c r="Q23" s="276"/>
      <c r="R23" s="276"/>
      <c r="S23" s="276"/>
      <c r="T23" s="276"/>
      <c r="U23" s="276"/>
      <c r="V23" s="276"/>
      <c r="W23" s="276"/>
      <c r="X23" s="276"/>
      <c r="Y23" s="276"/>
      <c r="Z23" s="276"/>
      <c r="AA23" s="276"/>
      <c r="AB23" s="276"/>
      <c r="AC23" s="276"/>
      <c r="AD23" s="276"/>
      <c r="AE23" s="276"/>
      <c r="AF23" s="276"/>
      <c r="AG23" s="276"/>
      <c r="AH23" s="276"/>
      <c r="AI23" s="276"/>
      <c r="AJ23" s="276"/>
      <c r="AK23" s="276"/>
      <c r="AL23" s="276"/>
      <c r="AM23" s="282"/>
    </row>
    <row r="24" spans="1:39" ht="15" customHeight="1" x14ac:dyDescent="0.2">
      <c r="A24" s="19"/>
      <c r="B24" s="279"/>
      <c r="C24" s="276"/>
      <c r="D24" s="343" t="s">
        <v>489</v>
      </c>
      <c r="E24" s="343"/>
      <c r="F24" s="343"/>
      <c r="G24" s="276"/>
      <c r="H24" s="276"/>
      <c r="I24" s="276"/>
      <c r="J24" s="276"/>
      <c r="K24" s="276"/>
      <c r="L24" s="276"/>
      <c r="M24" s="276"/>
      <c r="N24" s="276"/>
      <c r="O24" s="276"/>
      <c r="P24" s="276"/>
      <c r="Q24" s="276"/>
      <c r="R24" s="276"/>
      <c r="S24" s="276"/>
      <c r="T24" s="276"/>
      <c r="U24" s="276"/>
      <c r="V24" s="276"/>
      <c r="W24" s="276"/>
      <c r="X24" s="276"/>
      <c r="Y24" s="276"/>
      <c r="Z24" s="276"/>
      <c r="AA24" s="276"/>
      <c r="AB24" s="276"/>
      <c r="AC24" s="276"/>
      <c r="AD24" s="276"/>
      <c r="AE24" s="276"/>
      <c r="AF24" s="276"/>
      <c r="AG24" s="276"/>
      <c r="AH24" s="276"/>
      <c r="AI24" s="276"/>
      <c r="AJ24" s="276"/>
      <c r="AK24" s="276"/>
      <c r="AL24" s="276"/>
      <c r="AM24" s="282"/>
    </row>
    <row r="25" spans="1:39" ht="15" customHeight="1" x14ac:dyDescent="0.2">
      <c r="A25" s="19"/>
      <c r="B25" s="279"/>
      <c r="C25" s="276"/>
      <c r="D25" s="343"/>
      <c r="E25" s="343"/>
      <c r="F25" s="343"/>
      <c r="G25" s="294"/>
      <c r="H25" s="276"/>
      <c r="I25" s="276"/>
      <c r="J25" s="285"/>
      <c r="K25" s="276"/>
      <c r="L25" s="276"/>
      <c r="M25" s="276"/>
      <c r="N25" s="276"/>
      <c r="O25" s="276"/>
      <c r="P25" s="276"/>
      <c r="Q25" s="276"/>
      <c r="R25" s="276"/>
      <c r="S25" s="276"/>
      <c r="T25" s="276"/>
      <c r="U25" s="276"/>
      <c r="V25" s="276"/>
      <c r="W25" s="276"/>
      <c r="X25" s="276"/>
      <c r="Y25" s="276"/>
      <c r="Z25" s="276"/>
      <c r="AA25" s="276"/>
      <c r="AB25" s="276"/>
      <c r="AC25" s="276"/>
      <c r="AD25" s="276"/>
      <c r="AE25" s="276"/>
      <c r="AF25" s="276"/>
      <c r="AG25" s="276"/>
      <c r="AH25" s="276"/>
      <c r="AI25" s="276"/>
      <c r="AJ25" s="276"/>
      <c r="AK25" s="276"/>
      <c r="AL25" s="276"/>
      <c r="AM25" s="282"/>
    </row>
    <row r="26" spans="1:39" ht="15" customHeight="1" thickBot="1" x14ac:dyDescent="0.25">
      <c r="A26" s="19"/>
      <c r="B26" s="280"/>
      <c r="C26" s="281"/>
      <c r="D26" s="299"/>
      <c r="E26" s="299"/>
      <c r="F26" s="299"/>
      <c r="G26" s="290"/>
      <c r="H26" s="281"/>
      <c r="I26" s="281"/>
      <c r="J26" s="291"/>
      <c r="K26" s="281"/>
      <c r="L26" s="281"/>
      <c r="M26" s="281"/>
      <c r="N26" s="281"/>
      <c r="O26" s="281"/>
      <c r="P26" s="281"/>
      <c r="Q26" s="281"/>
      <c r="R26" s="281"/>
      <c r="S26" s="281"/>
      <c r="T26" s="281"/>
      <c r="U26" s="281"/>
      <c r="V26" s="281"/>
      <c r="W26" s="281"/>
      <c r="X26" s="281"/>
      <c r="Y26" s="281"/>
      <c r="Z26" s="281"/>
      <c r="AA26" s="281"/>
      <c r="AB26" s="281"/>
      <c r="AC26" s="281"/>
      <c r="AD26" s="281"/>
      <c r="AE26" s="281"/>
      <c r="AF26" s="281"/>
      <c r="AG26" s="281"/>
      <c r="AH26" s="281"/>
      <c r="AI26" s="281"/>
      <c r="AJ26" s="281"/>
      <c r="AK26" s="281"/>
      <c r="AL26" s="281"/>
      <c r="AM26" s="283"/>
    </row>
    <row r="27" spans="1:39" ht="15" customHeight="1" x14ac:dyDescent="0.25">
      <c r="A27" s="19"/>
      <c r="B27" s="154" t="s">
        <v>149</v>
      </c>
      <c r="C27" s="96"/>
      <c r="D27" s="96"/>
      <c r="E27" s="97" t="s">
        <v>111</v>
      </c>
      <c r="F27" s="197">
        <v>29</v>
      </c>
      <c r="G27" s="178" t="s">
        <v>86</v>
      </c>
      <c r="H27" s="96"/>
      <c r="I27" s="96"/>
      <c r="J27" s="96"/>
      <c r="K27" s="96"/>
      <c r="L27" s="96"/>
      <c r="M27" s="96"/>
      <c r="N27" s="96"/>
      <c r="O27" s="96"/>
      <c r="P27" s="96"/>
      <c r="Q27" s="96"/>
      <c r="R27" s="96"/>
      <c r="S27" s="96"/>
      <c r="T27" s="96"/>
      <c r="U27" s="96"/>
      <c r="V27" s="96"/>
      <c r="W27" s="96"/>
      <c r="X27" s="96"/>
      <c r="Y27" s="96"/>
      <c r="Z27" s="96"/>
      <c r="AA27" s="96"/>
      <c r="AB27" s="96"/>
      <c r="AC27" s="96"/>
      <c r="AD27" s="96"/>
      <c r="AE27" s="96"/>
      <c r="AF27" s="96"/>
      <c r="AG27" s="96"/>
      <c r="AH27" s="96"/>
      <c r="AI27" s="96"/>
      <c r="AJ27" s="96"/>
      <c r="AK27" s="96"/>
      <c r="AL27" s="96"/>
      <c r="AM27" s="130"/>
    </row>
    <row r="28" spans="1:39" ht="15" customHeight="1" x14ac:dyDescent="0.25">
      <c r="A28" s="19"/>
      <c r="B28" s="98"/>
      <c r="C28" s="23"/>
      <c r="D28" s="23"/>
      <c r="E28" s="65" t="s">
        <v>119</v>
      </c>
      <c r="F28" s="198">
        <v>37</v>
      </c>
      <c r="G28" s="179" t="s">
        <v>86</v>
      </c>
      <c r="H28" s="23"/>
      <c r="I28" s="23"/>
      <c r="J28" s="23"/>
      <c r="K28" s="23"/>
      <c r="L28" s="23"/>
      <c r="M28" s="23"/>
      <c r="N28" s="23"/>
      <c r="O28" s="23"/>
      <c r="P28" s="23"/>
      <c r="Q28" s="23"/>
      <c r="R28" s="23"/>
      <c r="S28" s="23"/>
      <c r="T28" s="23"/>
      <c r="U28" s="23"/>
      <c r="V28" s="23"/>
      <c r="W28" s="23"/>
      <c r="X28" s="23"/>
      <c r="Y28" s="23"/>
      <c r="Z28" s="23"/>
      <c r="AA28" s="23"/>
      <c r="AB28" s="23"/>
      <c r="AC28" s="23"/>
      <c r="AD28" s="23"/>
      <c r="AE28" s="23"/>
      <c r="AF28" s="23"/>
      <c r="AG28" s="23"/>
      <c r="AH28" s="23"/>
      <c r="AI28" s="23"/>
      <c r="AJ28" s="23"/>
      <c r="AK28" s="23"/>
      <c r="AL28" s="23"/>
      <c r="AM28" s="111"/>
    </row>
    <row r="29" spans="1:39" ht="15" customHeight="1" x14ac:dyDescent="0.2">
      <c r="A29" s="19"/>
      <c r="B29" s="99"/>
      <c r="C29" s="23"/>
      <c r="D29" s="23"/>
      <c r="E29" s="65" t="s">
        <v>112</v>
      </c>
      <c r="F29" s="198">
        <v>42.5</v>
      </c>
      <c r="G29" s="179" t="s">
        <v>86</v>
      </c>
      <c r="H29" s="23"/>
      <c r="I29" s="23"/>
      <c r="J29" s="23"/>
      <c r="K29" s="23"/>
      <c r="L29" s="23"/>
      <c r="M29" s="23"/>
      <c r="N29" s="23"/>
      <c r="O29" s="23"/>
      <c r="P29" s="23"/>
      <c r="Q29" s="23"/>
      <c r="R29" s="23"/>
      <c r="S29" s="23"/>
      <c r="T29" s="23"/>
      <c r="U29" s="23"/>
      <c r="V29" s="23"/>
      <c r="W29" s="23"/>
      <c r="X29" s="23"/>
      <c r="Y29" s="23"/>
      <c r="Z29" s="23"/>
      <c r="AA29" s="23"/>
      <c r="AB29" s="23"/>
      <c r="AC29" s="23"/>
      <c r="AD29" s="23"/>
      <c r="AE29" s="23"/>
      <c r="AF29" s="23"/>
      <c r="AG29" s="23"/>
      <c r="AH29" s="23"/>
      <c r="AI29" s="23"/>
      <c r="AJ29" s="23"/>
      <c r="AK29" s="23"/>
      <c r="AL29" s="23"/>
      <c r="AM29" s="111"/>
    </row>
    <row r="30" spans="1:39" ht="15" customHeight="1" x14ac:dyDescent="0.2">
      <c r="A30" s="19"/>
      <c r="B30" s="99"/>
      <c r="C30" s="23"/>
      <c r="D30" s="23"/>
      <c r="E30" s="65" t="s">
        <v>121</v>
      </c>
      <c r="F30" s="198">
        <v>20.100000000000001</v>
      </c>
      <c r="G30" s="179" t="s">
        <v>25</v>
      </c>
      <c r="H30" s="23"/>
      <c r="I30" s="23"/>
      <c r="J30" s="23"/>
      <c r="K30" s="23"/>
      <c r="L30" s="23"/>
      <c r="M30" s="23"/>
      <c r="N30" s="23"/>
      <c r="O30" s="23"/>
      <c r="P30" s="23"/>
      <c r="Q30" s="23"/>
      <c r="R30" s="23"/>
      <c r="S30" s="23"/>
      <c r="T30" s="23"/>
      <c r="U30" s="23"/>
      <c r="V30" s="23"/>
      <c r="W30" s="23"/>
      <c r="X30" s="23"/>
      <c r="Y30" s="23"/>
      <c r="Z30" s="23"/>
      <c r="AA30" s="23"/>
      <c r="AB30" s="23"/>
      <c r="AC30" s="23"/>
      <c r="AD30" s="23"/>
      <c r="AE30" s="23"/>
      <c r="AF30" s="23"/>
      <c r="AG30" s="23"/>
      <c r="AH30" s="23"/>
      <c r="AI30" s="23"/>
      <c r="AJ30" s="23"/>
      <c r="AK30" s="23"/>
      <c r="AL30" s="23"/>
      <c r="AM30" s="111"/>
    </row>
    <row r="31" spans="1:39" ht="15" customHeight="1" x14ac:dyDescent="0.2">
      <c r="A31" s="19"/>
      <c r="B31" s="99"/>
      <c r="C31" s="23"/>
      <c r="D31" s="23"/>
      <c r="E31" s="65" t="s">
        <v>228</v>
      </c>
      <c r="F31" s="198">
        <v>220</v>
      </c>
      <c r="G31" s="180" t="s">
        <v>83</v>
      </c>
      <c r="H31" s="23"/>
      <c r="I31" s="23"/>
      <c r="J31" s="23"/>
      <c r="K31" s="23"/>
      <c r="L31" s="23"/>
      <c r="M31" s="23"/>
      <c r="N31" s="23"/>
      <c r="O31" s="23"/>
      <c r="P31" s="23"/>
      <c r="Q31" s="23"/>
      <c r="R31" s="23"/>
      <c r="S31" s="23"/>
      <c r="T31" s="23"/>
      <c r="U31" s="23"/>
      <c r="V31" s="23"/>
      <c r="W31" s="23"/>
      <c r="X31" s="23"/>
      <c r="Y31" s="23"/>
      <c r="Z31" s="23"/>
      <c r="AA31" s="23"/>
      <c r="AB31" s="23"/>
      <c r="AC31" s="23"/>
      <c r="AD31" s="23"/>
      <c r="AE31" s="23"/>
      <c r="AF31" s="23"/>
      <c r="AG31" s="23"/>
      <c r="AH31" s="23"/>
      <c r="AI31" s="23"/>
      <c r="AJ31" s="23"/>
      <c r="AK31" s="23"/>
      <c r="AL31" s="23"/>
      <c r="AM31" s="111"/>
    </row>
    <row r="32" spans="1:39" ht="15" customHeight="1" x14ac:dyDescent="0.2">
      <c r="A32" s="19"/>
      <c r="B32" s="99"/>
      <c r="C32" s="23"/>
      <c r="D32" s="23"/>
      <c r="E32" s="65" t="s">
        <v>120</v>
      </c>
      <c r="F32" s="303">
        <v>60</v>
      </c>
      <c r="G32" s="179" t="s">
        <v>125</v>
      </c>
      <c r="H32" s="23"/>
      <c r="I32" s="23"/>
      <c r="J32" s="23"/>
      <c r="K32" s="23"/>
      <c r="L32" s="23"/>
      <c r="M32" s="23"/>
      <c r="N32" s="23"/>
      <c r="O32" s="23"/>
      <c r="P32" s="23"/>
      <c r="Q32" s="23"/>
      <c r="R32" s="23"/>
      <c r="S32" s="23"/>
      <c r="T32" s="23"/>
      <c r="U32" s="23"/>
      <c r="V32" s="23"/>
      <c r="W32" s="23"/>
      <c r="X32" s="23"/>
      <c r="Y32" s="23"/>
      <c r="Z32" s="23"/>
      <c r="AA32" s="23"/>
      <c r="AB32" s="23"/>
      <c r="AC32" s="23"/>
      <c r="AD32" s="23"/>
      <c r="AE32" s="23"/>
      <c r="AF32" s="23"/>
      <c r="AG32" s="23"/>
      <c r="AH32" s="23"/>
      <c r="AI32" s="23"/>
      <c r="AJ32" s="23"/>
      <c r="AK32" s="23"/>
      <c r="AL32" s="23"/>
      <c r="AM32" s="111"/>
    </row>
    <row r="33" spans="1:40" ht="15" customHeight="1" x14ac:dyDescent="0.2">
      <c r="A33" s="19"/>
      <c r="B33" s="324" t="s">
        <v>491</v>
      </c>
      <c r="C33" s="23"/>
      <c r="D33" s="23"/>
      <c r="E33" s="65"/>
      <c r="F33" s="305"/>
      <c r="G33" s="186"/>
      <c r="H33" s="23"/>
      <c r="I33" s="23"/>
      <c r="J33" s="23"/>
      <c r="K33" s="23"/>
      <c r="L33" s="23"/>
      <c r="M33" s="23"/>
      <c r="N33" s="23"/>
      <c r="O33" s="23"/>
      <c r="P33" s="23"/>
      <c r="Q33" s="23"/>
      <c r="R33" s="23"/>
      <c r="S33" s="23"/>
      <c r="T33" s="23"/>
      <c r="U33" s="23"/>
      <c r="V33" s="23"/>
      <c r="W33" s="23"/>
      <c r="X33" s="23"/>
      <c r="Y33" s="23"/>
      <c r="Z33" s="23"/>
      <c r="AA33" s="23"/>
      <c r="AB33" s="23"/>
      <c r="AC33" s="23"/>
      <c r="AD33" s="23"/>
      <c r="AE33" s="23"/>
      <c r="AF33" s="23"/>
      <c r="AG33" s="23"/>
      <c r="AH33" s="23"/>
      <c r="AI33" s="23"/>
      <c r="AJ33" s="23"/>
      <c r="AK33" s="23"/>
      <c r="AL33" s="23"/>
      <c r="AM33" s="111"/>
    </row>
    <row r="34" spans="1:40" ht="15" customHeight="1" x14ac:dyDescent="0.2">
      <c r="A34" s="19"/>
      <c r="B34" s="324"/>
      <c r="C34" s="23"/>
      <c r="D34" s="23"/>
      <c r="E34" s="65"/>
      <c r="F34" s="305"/>
      <c r="G34" s="186"/>
      <c r="H34" s="23"/>
      <c r="I34" s="23"/>
      <c r="J34" s="23"/>
      <c r="K34" s="23"/>
      <c r="L34" s="23"/>
      <c r="M34" s="23"/>
      <c r="N34" s="23"/>
      <c r="O34" s="23"/>
      <c r="P34" s="23"/>
      <c r="Q34" s="23"/>
      <c r="R34" s="23"/>
      <c r="S34" s="23"/>
      <c r="T34" s="23"/>
      <c r="U34" s="23"/>
      <c r="V34" s="23"/>
      <c r="W34" s="23"/>
      <c r="X34" s="23"/>
      <c r="Y34" s="23"/>
      <c r="Z34" s="23"/>
      <c r="AA34" s="23"/>
      <c r="AB34" s="23"/>
      <c r="AC34" s="23"/>
      <c r="AD34" s="23"/>
      <c r="AE34" s="23"/>
      <c r="AF34" s="23"/>
      <c r="AG34" s="23"/>
      <c r="AH34" s="23"/>
      <c r="AI34" s="23"/>
      <c r="AJ34" s="23"/>
      <c r="AK34" s="23"/>
      <c r="AL34" s="23"/>
      <c r="AM34" s="111"/>
    </row>
    <row r="35" spans="1:40" ht="15" customHeight="1" thickBot="1" x14ac:dyDescent="0.25">
      <c r="A35" s="19"/>
      <c r="B35" s="100"/>
      <c r="C35" s="101"/>
      <c r="D35" s="101"/>
      <c r="E35" s="102"/>
      <c r="F35" s="306"/>
      <c r="G35" s="304"/>
      <c r="H35" s="101"/>
      <c r="I35" s="101"/>
      <c r="J35" s="101"/>
      <c r="K35" s="101"/>
      <c r="L35" s="101"/>
      <c r="M35" s="101"/>
      <c r="N35" s="101"/>
      <c r="O35" s="101"/>
      <c r="P35" s="101"/>
      <c r="Q35" s="101"/>
      <c r="R35" s="101"/>
      <c r="S35" s="101"/>
      <c r="T35" s="101"/>
      <c r="U35" s="101"/>
      <c r="V35" s="101"/>
      <c r="W35" s="101"/>
      <c r="X35" s="101"/>
      <c r="Y35" s="101"/>
      <c r="Z35" s="101"/>
      <c r="AA35" s="101"/>
      <c r="AB35" s="101"/>
      <c r="AC35" s="101"/>
      <c r="AD35" s="101"/>
      <c r="AE35" s="101"/>
      <c r="AF35" s="101"/>
      <c r="AG35" s="101"/>
      <c r="AH35" s="101"/>
      <c r="AI35" s="101"/>
      <c r="AJ35" s="101"/>
      <c r="AK35" s="101"/>
      <c r="AL35" s="101"/>
      <c r="AM35" s="115"/>
    </row>
    <row r="36" spans="1:40" ht="15" customHeight="1" x14ac:dyDescent="0.25">
      <c r="A36" s="19"/>
      <c r="B36" s="154" t="s">
        <v>226</v>
      </c>
      <c r="C36" s="146"/>
      <c r="D36" s="96"/>
      <c r="E36" s="263" t="s">
        <v>468</v>
      </c>
      <c r="F36" s="264" t="s">
        <v>467</v>
      </c>
      <c r="G36" s="262"/>
      <c r="H36" s="96"/>
      <c r="I36" s="96"/>
      <c r="J36" s="96"/>
      <c r="K36" s="96"/>
      <c r="L36" s="96"/>
      <c r="M36" s="96"/>
      <c r="N36" s="96"/>
      <c r="O36" s="96"/>
      <c r="P36" s="96"/>
      <c r="Q36" s="96"/>
      <c r="R36" s="96"/>
      <c r="S36" s="96"/>
      <c r="T36" s="96"/>
      <c r="U36" s="96"/>
      <c r="V36" s="96"/>
      <c r="W36" s="96"/>
      <c r="X36" s="96"/>
      <c r="Y36" s="96"/>
      <c r="Z36" s="96"/>
      <c r="AA36" s="96"/>
      <c r="AB36" s="96"/>
      <c r="AC36" s="96"/>
      <c r="AD36" s="96"/>
      <c r="AE36" s="96"/>
      <c r="AF36" s="96"/>
      <c r="AG36" s="96"/>
      <c r="AH36" s="96"/>
      <c r="AI36" s="96"/>
      <c r="AJ36" s="96"/>
      <c r="AK36" s="96"/>
      <c r="AL36" s="96"/>
      <c r="AM36" s="130"/>
      <c r="AN36" s="33"/>
    </row>
    <row r="37" spans="1:40" ht="15" customHeight="1" x14ac:dyDescent="0.2">
      <c r="A37" s="19"/>
      <c r="B37" s="103"/>
      <c r="C37" s="23"/>
      <c r="D37" s="23"/>
      <c r="E37" s="65" t="s">
        <v>261</v>
      </c>
      <c r="F37" s="61">
        <f>Equations!F20</f>
        <v>2.389044874636717</v>
      </c>
      <c r="G37" s="179" t="s">
        <v>85</v>
      </c>
      <c r="H37" s="23"/>
      <c r="I37" s="23"/>
      <c r="J37" s="23"/>
      <c r="K37" s="23"/>
      <c r="L37" s="23"/>
      <c r="M37" s="23"/>
      <c r="N37" s="23"/>
      <c r="O37" s="23"/>
      <c r="P37" s="23"/>
      <c r="Q37" s="23"/>
      <c r="R37" s="23"/>
      <c r="S37" s="23"/>
      <c r="T37" s="23"/>
      <c r="U37" s="23"/>
      <c r="V37" s="23"/>
      <c r="W37" s="23"/>
      <c r="X37" s="23"/>
      <c r="Y37" s="23"/>
      <c r="Z37" s="23"/>
      <c r="AA37" s="23"/>
      <c r="AB37" s="23"/>
      <c r="AC37" s="23"/>
      <c r="AD37" s="23"/>
      <c r="AE37" s="23"/>
      <c r="AF37" s="23"/>
      <c r="AG37" s="23"/>
      <c r="AH37" s="23"/>
      <c r="AI37" s="23"/>
      <c r="AJ37" s="23"/>
      <c r="AK37" s="23"/>
      <c r="AL37" s="23"/>
      <c r="AM37" s="111"/>
      <c r="AN37" s="33"/>
    </row>
    <row r="38" spans="1:40" ht="15" customHeight="1" x14ac:dyDescent="0.2">
      <c r="A38" s="19"/>
      <c r="B38" s="99"/>
      <c r="C38" s="23"/>
      <c r="D38" s="23"/>
      <c r="E38" s="65" t="s">
        <v>198</v>
      </c>
      <c r="F38" s="200" t="s">
        <v>195</v>
      </c>
      <c r="G38" s="179"/>
      <c r="H38" s="23"/>
      <c r="I38" s="23"/>
      <c r="J38" s="23"/>
      <c r="K38" s="23"/>
      <c r="L38" s="23"/>
      <c r="M38" s="23"/>
      <c r="N38" s="23"/>
      <c r="O38" s="23"/>
      <c r="P38" s="23"/>
      <c r="Q38" s="23"/>
      <c r="R38" s="23"/>
      <c r="S38" s="23"/>
      <c r="T38" s="23"/>
      <c r="U38" s="23"/>
      <c r="V38" s="23"/>
      <c r="W38" s="23"/>
      <c r="X38" s="23"/>
      <c r="Y38" s="23"/>
      <c r="Z38" s="23"/>
      <c r="AA38" s="23"/>
      <c r="AB38" s="23"/>
      <c r="AC38" s="23"/>
      <c r="AD38" s="23"/>
      <c r="AE38" s="23"/>
      <c r="AF38" s="23"/>
      <c r="AG38" s="23"/>
      <c r="AH38" s="23"/>
      <c r="AI38" s="23"/>
      <c r="AJ38" s="23"/>
      <c r="AK38" s="23"/>
      <c r="AL38" s="23"/>
      <c r="AM38" s="111"/>
      <c r="AN38" s="33" t="s">
        <v>195</v>
      </c>
    </row>
    <row r="39" spans="1:40" ht="15" customHeight="1" x14ac:dyDescent="0.2">
      <c r="A39" s="19"/>
      <c r="B39" s="99"/>
      <c r="C39" s="23"/>
      <c r="D39" s="23"/>
      <c r="E39" s="65" t="s">
        <v>109</v>
      </c>
      <c r="F39" s="201">
        <v>4</v>
      </c>
      <c r="G39" s="179" t="s">
        <v>85</v>
      </c>
      <c r="H39" s="131"/>
      <c r="I39" s="23"/>
      <c r="J39" s="23"/>
      <c r="K39" s="23"/>
      <c r="L39" s="23"/>
      <c r="M39" s="23"/>
      <c r="N39" s="23"/>
      <c r="O39" s="23"/>
      <c r="P39" s="23"/>
      <c r="Q39" s="23"/>
      <c r="R39" s="23"/>
      <c r="S39" s="23"/>
      <c r="T39" s="23"/>
      <c r="U39" s="23"/>
      <c r="V39" s="23"/>
      <c r="W39" s="23"/>
      <c r="X39" s="23"/>
      <c r="Y39" s="23"/>
      <c r="Z39" s="23"/>
      <c r="AA39" s="23"/>
      <c r="AB39" s="23"/>
      <c r="AC39" s="23"/>
      <c r="AD39" s="23"/>
      <c r="AE39" s="23"/>
      <c r="AF39" s="23"/>
      <c r="AG39" s="23"/>
      <c r="AH39" s="23"/>
      <c r="AI39" s="23"/>
      <c r="AJ39" s="23"/>
      <c r="AK39" s="23"/>
      <c r="AL39" s="23"/>
      <c r="AM39" s="111"/>
      <c r="AN39" s="33" t="s">
        <v>194</v>
      </c>
    </row>
    <row r="40" spans="1:40" ht="15" customHeight="1" x14ac:dyDescent="0.2">
      <c r="A40" s="19"/>
      <c r="B40" s="99"/>
      <c r="C40" s="23"/>
      <c r="D40" s="23"/>
      <c r="E40" s="65" t="s">
        <v>201</v>
      </c>
      <c r="F40" s="108">
        <f>Equations!F21</f>
        <v>10</v>
      </c>
      <c r="G40" s="182" t="s">
        <v>87</v>
      </c>
      <c r="H40" s="213"/>
      <c r="I40" s="23"/>
      <c r="J40" s="23"/>
      <c r="K40" s="23"/>
      <c r="L40" s="23"/>
      <c r="M40" s="23"/>
      <c r="N40" s="23"/>
      <c r="O40" s="23"/>
      <c r="P40" s="23"/>
      <c r="Q40" s="23"/>
      <c r="R40" s="23"/>
      <c r="S40" s="23"/>
      <c r="T40" s="23"/>
      <c r="U40" s="23"/>
      <c r="V40" s="23"/>
      <c r="W40" s="23"/>
      <c r="X40" s="23"/>
      <c r="Y40" s="23"/>
      <c r="Z40" s="23"/>
      <c r="AA40" s="23"/>
      <c r="AB40" s="23"/>
      <c r="AC40" s="23"/>
      <c r="AD40" s="23"/>
      <c r="AE40" s="23"/>
      <c r="AF40" s="23"/>
      <c r="AG40" s="23"/>
      <c r="AH40" s="23"/>
      <c r="AI40" s="23"/>
      <c r="AJ40" s="23"/>
      <c r="AK40" s="23"/>
      <c r="AL40" s="23"/>
      <c r="AM40" s="111"/>
    </row>
    <row r="41" spans="1:40" ht="15" customHeight="1" x14ac:dyDescent="0.2">
      <c r="A41" s="19"/>
      <c r="B41" s="99"/>
      <c r="C41" s="23"/>
      <c r="D41" s="23"/>
      <c r="E41" s="65" t="s">
        <v>202</v>
      </c>
      <c r="F41" s="107">
        <f>Equations!F22</f>
        <v>6.5773195876288675</v>
      </c>
      <c r="G41" s="182" t="s">
        <v>87</v>
      </c>
      <c r="H41" s="213"/>
      <c r="I41" s="23"/>
      <c r="J41" s="23"/>
      <c r="K41" s="23"/>
      <c r="L41" s="23"/>
      <c r="M41" s="23"/>
      <c r="N41" s="23"/>
      <c r="O41" s="23"/>
      <c r="P41" s="23"/>
      <c r="Q41" s="23"/>
      <c r="R41" s="23"/>
      <c r="S41" s="23"/>
      <c r="T41" s="23"/>
      <c r="U41" s="23"/>
      <c r="V41" s="23"/>
      <c r="W41" s="23"/>
      <c r="X41" s="23"/>
      <c r="Y41" s="23"/>
      <c r="Z41" s="23"/>
      <c r="AA41" s="23"/>
      <c r="AB41" s="23"/>
      <c r="AC41" s="23"/>
      <c r="AD41" s="23"/>
      <c r="AE41" s="23"/>
      <c r="AF41" s="23"/>
      <c r="AG41" s="23"/>
      <c r="AH41" s="23"/>
      <c r="AI41" s="23"/>
      <c r="AJ41" s="23"/>
      <c r="AK41" s="23"/>
      <c r="AL41" s="23"/>
      <c r="AM41" s="111"/>
    </row>
    <row r="42" spans="1:40" ht="15" customHeight="1" x14ac:dyDescent="0.2">
      <c r="A42" s="19"/>
      <c r="B42" s="99"/>
      <c r="C42" s="23"/>
      <c r="D42" s="23"/>
      <c r="E42" s="65" t="s">
        <v>203</v>
      </c>
      <c r="F42" s="200">
        <v>10</v>
      </c>
      <c r="G42" s="182" t="s">
        <v>87</v>
      </c>
      <c r="H42" s="213"/>
      <c r="I42" s="23"/>
      <c r="J42" s="131"/>
      <c r="K42" s="23"/>
      <c r="L42" s="23"/>
      <c r="M42" s="23"/>
      <c r="N42" s="23"/>
      <c r="O42" s="23"/>
      <c r="P42" s="23"/>
      <c r="Q42" s="23"/>
      <c r="R42" s="23"/>
      <c r="S42" s="23"/>
      <c r="T42" s="23"/>
      <c r="U42" s="23"/>
      <c r="V42" s="23"/>
      <c r="W42" s="23"/>
      <c r="X42" s="23"/>
      <c r="Y42" s="23"/>
      <c r="Z42" s="23"/>
      <c r="AA42" s="23"/>
      <c r="AB42" s="23"/>
      <c r="AC42" s="23"/>
      <c r="AD42" s="23"/>
      <c r="AE42" s="23"/>
      <c r="AF42" s="23"/>
      <c r="AG42" s="23"/>
      <c r="AH42" s="23"/>
      <c r="AI42" s="23"/>
      <c r="AJ42" s="23"/>
      <c r="AK42" s="23"/>
      <c r="AL42" s="23"/>
      <c r="AM42" s="111"/>
      <c r="AN42" t="b">
        <f>AND(F38="No")</f>
        <v>0</v>
      </c>
    </row>
    <row r="43" spans="1:40" ht="29.45" customHeight="1" x14ac:dyDescent="0.2">
      <c r="A43" s="19"/>
      <c r="B43" s="309" t="s">
        <v>491</v>
      </c>
      <c r="C43" s="23"/>
      <c r="D43" s="23"/>
      <c r="E43" s="65" t="s">
        <v>204</v>
      </c>
      <c r="F43" s="200">
        <v>6.58</v>
      </c>
      <c r="G43" s="182" t="s">
        <v>87</v>
      </c>
      <c r="H43" s="213"/>
      <c r="I43" s="23"/>
      <c r="J43" s="23"/>
      <c r="K43" s="23"/>
      <c r="L43" s="23"/>
      <c r="M43" s="23"/>
      <c r="N43" s="23"/>
      <c r="O43" s="23"/>
      <c r="P43" s="23"/>
      <c r="Q43" s="23"/>
      <c r="R43" s="23"/>
      <c r="S43" s="23"/>
      <c r="T43" s="23"/>
      <c r="U43" s="23"/>
      <c r="V43" s="23"/>
      <c r="W43" s="23"/>
      <c r="X43" s="23"/>
      <c r="Y43" s="23"/>
      <c r="Z43" s="23"/>
      <c r="AA43" s="23"/>
      <c r="AB43" s="23"/>
      <c r="AC43" s="23"/>
      <c r="AD43" s="23"/>
      <c r="AE43" s="23"/>
      <c r="AF43" s="23"/>
      <c r="AG43" s="23"/>
      <c r="AH43" s="23"/>
      <c r="AI43" s="23"/>
      <c r="AJ43" s="23"/>
      <c r="AK43" s="23"/>
      <c r="AL43" s="23"/>
      <c r="AM43" s="111"/>
    </row>
    <row r="44" spans="1:40" ht="15" customHeight="1" x14ac:dyDescent="0.2">
      <c r="A44" s="19"/>
      <c r="B44" s="307"/>
      <c r="C44" s="23"/>
      <c r="D44" s="23"/>
      <c r="E44" s="65" t="s">
        <v>260</v>
      </c>
      <c r="F44" s="107">
        <f>RsEFF</f>
        <v>2.4125452352231607</v>
      </c>
      <c r="G44" s="179" t="s">
        <v>85</v>
      </c>
      <c r="H44" s="213"/>
      <c r="I44" s="23"/>
      <c r="J44" s="23"/>
      <c r="K44" s="23"/>
      <c r="L44" s="23"/>
      <c r="M44" s="23"/>
      <c r="N44" s="23"/>
      <c r="O44" s="23"/>
      <c r="P44" s="23"/>
      <c r="Q44" s="23"/>
      <c r="R44" s="23"/>
      <c r="S44" s="23"/>
      <c r="T44" s="23"/>
      <c r="U44" s="23"/>
      <c r="V44" s="23"/>
      <c r="W44" s="23"/>
      <c r="X44" s="23"/>
      <c r="Y44" s="23"/>
      <c r="Z44" s="23"/>
      <c r="AA44" s="23"/>
      <c r="AB44" s="23"/>
      <c r="AC44" s="23"/>
      <c r="AD44" s="23"/>
      <c r="AE44" s="23"/>
      <c r="AF44" s="23"/>
      <c r="AG44" s="23"/>
      <c r="AH44" s="23"/>
      <c r="AI44" s="23"/>
      <c r="AJ44" s="23"/>
      <c r="AK44" s="23"/>
      <c r="AL44" s="23"/>
      <c r="AM44" s="111"/>
    </row>
    <row r="45" spans="1:40" ht="15" customHeight="1" x14ac:dyDescent="0.2">
      <c r="A45" s="19"/>
      <c r="B45" s="307"/>
      <c r="C45" s="23"/>
      <c r="D45" s="125"/>
      <c r="E45" s="126" t="s">
        <v>99</v>
      </c>
      <c r="F45" s="63">
        <f>CLMIN</f>
        <v>20.103249999999999</v>
      </c>
      <c r="G45" s="179" t="s">
        <v>25</v>
      </c>
      <c r="H45" s="23"/>
      <c r="I45" s="23"/>
      <c r="J45" s="23"/>
      <c r="K45" s="23"/>
      <c r="L45" s="23"/>
      <c r="M45" s="23"/>
      <c r="N45" s="23"/>
      <c r="O45" s="23"/>
      <c r="P45" s="23"/>
      <c r="Q45" s="23"/>
      <c r="R45" s="23"/>
      <c r="S45" s="23"/>
      <c r="T45" s="23"/>
      <c r="U45" s="23"/>
      <c r="V45" s="23"/>
      <c r="W45" s="23"/>
      <c r="X45" s="23"/>
      <c r="Y45" s="23"/>
      <c r="Z45" s="23"/>
      <c r="AA45" s="23"/>
      <c r="AB45" s="23"/>
      <c r="AC45" s="23"/>
      <c r="AD45" s="23"/>
      <c r="AE45" s="23"/>
      <c r="AF45" s="23"/>
      <c r="AG45" s="23"/>
      <c r="AH45" s="23"/>
      <c r="AI45" s="23"/>
      <c r="AJ45" s="23"/>
      <c r="AK45" s="23"/>
      <c r="AL45" s="23"/>
      <c r="AM45" s="111"/>
    </row>
    <row r="46" spans="1:40" ht="15" customHeight="1" x14ac:dyDescent="0.2">
      <c r="A46" s="19"/>
      <c r="B46" s="99"/>
      <c r="C46" s="23"/>
      <c r="D46" s="127"/>
      <c r="E46" s="128" t="s">
        <v>100</v>
      </c>
      <c r="F46" s="63">
        <f>CLNOM</f>
        <v>22.797499999999999</v>
      </c>
      <c r="G46" s="179" t="s">
        <v>25</v>
      </c>
      <c r="H46" s="23"/>
      <c r="I46" s="23"/>
      <c r="J46" s="23"/>
      <c r="K46" s="23"/>
      <c r="L46" s="23"/>
      <c r="M46" s="23"/>
      <c r="N46" s="23"/>
      <c r="O46" s="23"/>
      <c r="P46" s="23"/>
      <c r="Q46" s="23"/>
      <c r="R46" s="23"/>
      <c r="S46" s="23"/>
      <c r="T46" s="23"/>
      <c r="U46" s="23"/>
      <c r="V46" s="23"/>
      <c r="W46" s="23"/>
      <c r="X46" s="23"/>
      <c r="Y46" s="23"/>
      <c r="Z46" s="23"/>
      <c r="AA46" s="23"/>
      <c r="AB46" s="23"/>
      <c r="AC46" s="23"/>
      <c r="AD46" s="23"/>
      <c r="AE46" s="23"/>
      <c r="AF46" s="23"/>
      <c r="AG46" s="23"/>
      <c r="AH46" s="23"/>
      <c r="AI46" s="23"/>
      <c r="AJ46" s="23"/>
      <c r="AK46" s="23"/>
      <c r="AL46" s="23"/>
      <c r="AM46" s="111"/>
    </row>
    <row r="47" spans="1:40" ht="15" customHeight="1" x14ac:dyDescent="0.2">
      <c r="A47" s="19"/>
      <c r="B47" s="99"/>
      <c r="C47" s="23"/>
      <c r="D47" s="152"/>
      <c r="E47" s="153" t="s">
        <v>101</v>
      </c>
      <c r="F47" s="63">
        <f>CLMAX</f>
        <v>25.491749999999996</v>
      </c>
      <c r="G47" s="179" t="s">
        <v>25</v>
      </c>
      <c r="H47" s="23"/>
      <c r="I47" s="9"/>
      <c r="J47" s="23"/>
      <c r="K47" s="23"/>
      <c r="L47" s="23"/>
      <c r="M47" s="23"/>
      <c r="N47" s="23"/>
      <c r="O47" s="23"/>
      <c r="P47" s="23"/>
      <c r="Q47" s="23"/>
      <c r="R47" s="23"/>
      <c r="S47" s="23"/>
      <c r="T47" s="23"/>
      <c r="U47" s="23"/>
      <c r="V47" s="23"/>
      <c r="W47" s="23"/>
      <c r="X47" s="23"/>
      <c r="Y47" s="23"/>
      <c r="Z47" s="23"/>
      <c r="AA47" s="23"/>
      <c r="AB47" s="23"/>
      <c r="AC47" s="23"/>
      <c r="AD47" s="23"/>
      <c r="AE47" s="23"/>
      <c r="AF47" s="23"/>
      <c r="AG47" s="23"/>
      <c r="AH47" s="23"/>
      <c r="AI47" s="23"/>
      <c r="AJ47" s="23"/>
      <c r="AK47" s="23"/>
      <c r="AL47" s="23"/>
      <c r="AM47" s="111"/>
      <c r="AN47" s="33" t="s">
        <v>240</v>
      </c>
    </row>
    <row r="48" spans="1:40" ht="15" customHeight="1" x14ac:dyDescent="0.2">
      <c r="A48" s="19"/>
      <c r="B48" s="99"/>
      <c r="C48" s="23"/>
      <c r="D48" s="23"/>
      <c r="E48" s="65" t="s">
        <v>113</v>
      </c>
      <c r="F48" s="48">
        <f>Equations!F27/1000</f>
        <v>2.5993172722499995</v>
      </c>
      <c r="G48" s="179" t="s">
        <v>87</v>
      </c>
      <c r="H48" s="23"/>
      <c r="I48" s="23"/>
      <c r="J48" s="23"/>
      <c r="K48" s="23"/>
      <c r="L48" s="23"/>
      <c r="M48" s="23"/>
      <c r="N48" s="23"/>
      <c r="O48" s="23"/>
      <c r="P48" s="23"/>
      <c r="Q48" s="23"/>
      <c r="R48" s="23"/>
      <c r="S48" s="23"/>
      <c r="T48" s="23"/>
      <c r="U48" s="23"/>
      <c r="V48" s="23"/>
      <c r="W48" s="23"/>
      <c r="X48" s="23"/>
      <c r="Y48" s="23"/>
      <c r="Z48" s="23"/>
      <c r="AA48" s="23"/>
      <c r="AB48" s="23"/>
      <c r="AC48" s="23"/>
      <c r="AD48" s="23"/>
      <c r="AE48" s="23"/>
      <c r="AF48" s="23"/>
      <c r="AG48" s="23"/>
      <c r="AH48" s="23"/>
      <c r="AI48" s="23"/>
      <c r="AJ48" s="23"/>
      <c r="AK48" s="23"/>
      <c r="AL48" s="23"/>
      <c r="AM48" s="111"/>
      <c r="AN48" s="33" t="s">
        <v>241</v>
      </c>
    </row>
    <row r="49" spans="1:45" ht="15" customHeight="1" x14ac:dyDescent="0.2">
      <c r="A49" s="19"/>
      <c r="B49" s="99"/>
      <c r="C49" s="23"/>
      <c r="D49" s="23"/>
      <c r="E49" s="65" t="s">
        <v>239</v>
      </c>
      <c r="F49" s="274" t="s">
        <v>240</v>
      </c>
      <c r="G49" s="179"/>
      <c r="H49" s="131"/>
      <c r="I49" s="23"/>
      <c r="J49" s="23"/>
      <c r="K49" s="23"/>
      <c r="L49" s="23"/>
      <c r="M49" s="23"/>
      <c r="N49" s="23"/>
      <c r="O49" s="23"/>
      <c r="P49" s="23"/>
      <c r="Q49" s="23"/>
      <c r="R49" s="23"/>
      <c r="S49" s="23"/>
      <c r="T49" s="23"/>
      <c r="U49" s="23"/>
      <c r="V49" s="23"/>
      <c r="W49" s="23"/>
      <c r="X49" s="23"/>
      <c r="Y49" s="23"/>
      <c r="Z49" s="23"/>
      <c r="AA49" s="23"/>
      <c r="AB49" s="23"/>
      <c r="AC49" s="23"/>
      <c r="AD49" s="23"/>
      <c r="AE49" s="23"/>
      <c r="AF49" s="23"/>
      <c r="AG49" s="23"/>
      <c r="AH49" s="23"/>
      <c r="AI49" s="23"/>
      <c r="AJ49" s="23"/>
      <c r="AK49" s="23"/>
      <c r="AL49" s="23"/>
      <c r="AM49" s="111"/>
      <c r="AN49" s="33" t="s">
        <v>420</v>
      </c>
    </row>
    <row r="50" spans="1:45" ht="15" customHeight="1" thickBot="1" x14ac:dyDescent="0.25">
      <c r="A50" s="19"/>
      <c r="B50" s="100"/>
      <c r="C50" s="101"/>
      <c r="D50" s="101"/>
      <c r="E50" s="143" t="s">
        <v>227</v>
      </c>
      <c r="F50" s="275" t="s">
        <v>420</v>
      </c>
      <c r="G50" s="181"/>
      <c r="H50" s="101"/>
      <c r="I50" s="101"/>
      <c r="J50" s="101"/>
      <c r="K50" s="101"/>
      <c r="L50" s="101"/>
      <c r="M50" s="101"/>
      <c r="N50" s="101"/>
      <c r="O50" s="101"/>
      <c r="P50" s="101"/>
      <c r="Q50" s="101"/>
      <c r="R50" s="101"/>
      <c r="S50" s="101"/>
      <c r="T50" s="101"/>
      <c r="U50" s="101"/>
      <c r="V50" s="101"/>
      <c r="W50" s="101"/>
      <c r="X50" s="101"/>
      <c r="Y50" s="101"/>
      <c r="Z50" s="101"/>
      <c r="AA50" s="101"/>
      <c r="AB50" s="101"/>
      <c r="AC50" s="101"/>
      <c r="AD50" s="101"/>
      <c r="AE50" s="101"/>
      <c r="AF50" s="101"/>
      <c r="AG50" s="101"/>
      <c r="AH50" s="101"/>
      <c r="AI50" s="101"/>
      <c r="AJ50" s="101"/>
      <c r="AK50" s="101"/>
      <c r="AL50" s="101"/>
      <c r="AM50" s="115"/>
      <c r="AN50" s="33" t="s">
        <v>421</v>
      </c>
    </row>
    <row r="51" spans="1:45" ht="15" x14ac:dyDescent="0.25">
      <c r="A51" s="19"/>
      <c r="B51" s="154" t="s">
        <v>122</v>
      </c>
      <c r="C51" s="96"/>
      <c r="D51" s="96"/>
      <c r="E51" s="268" t="s">
        <v>473</v>
      </c>
      <c r="F51" s="272" t="s">
        <v>474</v>
      </c>
      <c r="G51" s="183"/>
      <c r="H51" s="96"/>
      <c r="I51" s="96"/>
      <c r="J51" s="96"/>
      <c r="K51" s="96"/>
      <c r="L51" s="96"/>
      <c r="M51" s="96"/>
      <c r="N51" s="96"/>
      <c r="O51" s="96"/>
      <c r="P51" s="96"/>
      <c r="Q51" s="96"/>
      <c r="R51" s="96"/>
      <c r="S51" s="96"/>
      <c r="T51" s="96"/>
      <c r="U51" s="96"/>
      <c r="V51" s="96"/>
      <c r="W51" s="96"/>
      <c r="X51" s="96"/>
      <c r="Y51" s="96"/>
      <c r="Z51" s="96"/>
      <c r="AA51" s="96"/>
      <c r="AB51" s="96"/>
      <c r="AC51" s="96"/>
      <c r="AD51" s="96"/>
      <c r="AE51" s="96"/>
      <c r="AF51" s="96"/>
      <c r="AG51" s="96"/>
      <c r="AH51" s="96"/>
      <c r="AI51" s="96"/>
      <c r="AJ51" s="96"/>
      <c r="AK51" s="96"/>
      <c r="AL51" s="96"/>
      <c r="AM51" s="130"/>
    </row>
    <row r="52" spans="1:45" ht="15.75" x14ac:dyDescent="0.3">
      <c r="A52" s="19"/>
      <c r="B52" s="99"/>
      <c r="C52" s="23"/>
      <c r="D52" s="23"/>
      <c r="E52" s="37" t="s">
        <v>257</v>
      </c>
      <c r="F52" s="260">
        <v>30</v>
      </c>
      <c r="G52" s="179" t="s">
        <v>126</v>
      </c>
      <c r="H52" s="23"/>
      <c r="I52" s="23"/>
      <c r="J52" s="23"/>
      <c r="K52" s="23"/>
      <c r="L52" s="23"/>
      <c r="M52" s="23"/>
      <c r="N52" s="23"/>
      <c r="O52" s="23"/>
      <c r="P52" s="23"/>
      <c r="Q52" s="23"/>
      <c r="R52" s="23"/>
      <c r="S52" s="23"/>
      <c r="T52" s="23"/>
      <c r="U52" s="23"/>
      <c r="V52" s="23"/>
      <c r="W52" s="23"/>
      <c r="X52" s="23"/>
      <c r="Y52" s="23"/>
      <c r="Z52" s="23"/>
      <c r="AA52" s="23"/>
      <c r="AB52" s="23"/>
      <c r="AC52" s="23"/>
      <c r="AD52" s="23"/>
      <c r="AE52" s="23"/>
      <c r="AF52" s="23"/>
      <c r="AG52" s="23"/>
      <c r="AH52" s="23"/>
      <c r="AI52" s="23"/>
      <c r="AJ52" s="23"/>
      <c r="AK52" s="23"/>
      <c r="AL52" s="23"/>
      <c r="AM52" s="111"/>
      <c r="AN52">
        <f>((((TJMAX-TAMB)/ThetaJA)/(CLMAX^2))*1000)*NUMFETS^2</f>
        <v>53.090864079299401</v>
      </c>
      <c r="AO52">
        <f>((TJMAX-TAMB)/ThetaJA)</f>
        <v>3.8333333333333335</v>
      </c>
    </row>
    <row r="53" spans="1:45" x14ac:dyDescent="0.2">
      <c r="A53" s="19"/>
      <c r="B53" s="99"/>
      <c r="C53" s="23"/>
      <c r="D53" s="23"/>
      <c r="E53" s="37" t="s">
        <v>123</v>
      </c>
      <c r="F53" s="201">
        <v>3</v>
      </c>
      <c r="G53" s="179" t="s">
        <v>124</v>
      </c>
      <c r="H53" s="23"/>
      <c r="I53" s="23"/>
      <c r="J53" s="23"/>
      <c r="K53" s="23"/>
      <c r="L53" s="23"/>
      <c r="M53" s="23"/>
      <c r="N53" s="23"/>
      <c r="O53" s="23"/>
      <c r="P53" s="23"/>
      <c r="Q53" s="23"/>
      <c r="R53" s="23"/>
      <c r="S53" s="23"/>
      <c r="T53" s="23"/>
      <c r="U53" s="23"/>
      <c r="V53" s="23"/>
      <c r="W53" s="23"/>
      <c r="X53" s="23"/>
      <c r="Y53" s="23"/>
      <c r="Z53" s="23"/>
      <c r="AA53" s="23"/>
      <c r="AB53" s="23"/>
      <c r="AC53" s="23"/>
      <c r="AD53" s="23"/>
      <c r="AE53" s="23"/>
      <c r="AF53" s="23"/>
      <c r="AG53" s="23"/>
      <c r="AH53" s="23"/>
      <c r="AI53" s="23"/>
      <c r="AJ53" s="23"/>
      <c r="AK53" s="23"/>
      <c r="AL53" s="23"/>
      <c r="AM53" s="111"/>
      <c r="AN53" s="27" t="s">
        <v>258</v>
      </c>
    </row>
    <row r="54" spans="1:45" ht="15.75" customHeight="1" x14ac:dyDescent="0.3">
      <c r="A54" s="19"/>
      <c r="B54" s="240"/>
      <c r="C54" s="23"/>
      <c r="D54" s="23"/>
      <c r="E54" s="37" t="s">
        <v>263</v>
      </c>
      <c r="F54" s="201">
        <v>9.6</v>
      </c>
      <c r="G54" s="179" t="s">
        <v>85</v>
      </c>
      <c r="H54" s="23"/>
      <c r="I54" s="23"/>
      <c r="J54" s="23"/>
      <c r="K54" s="23"/>
      <c r="L54" s="23"/>
      <c r="M54" s="23"/>
      <c r="N54" s="23"/>
      <c r="O54" s="23"/>
      <c r="P54" s="23"/>
      <c r="Q54" s="23"/>
      <c r="R54" s="23"/>
      <c r="S54" s="23"/>
      <c r="T54" s="23"/>
      <c r="U54" s="23"/>
      <c r="V54" s="23"/>
      <c r="W54" s="23"/>
      <c r="X54" s="23"/>
      <c r="Y54" s="23"/>
      <c r="Z54" s="23"/>
      <c r="AA54" s="23"/>
      <c r="AB54" s="23"/>
      <c r="AC54" s="23"/>
      <c r="AD54" s="23"/>
      <c r="AE54" s="23"/>
      <c r="AF54" s="23"/>
      <c r="AG54" s="23"/>
      <c r="AH54" s="23"/>
      <c r="AI54" s="23"/>
      <c r="AJ54" s="23"/>
      <c r="AK54" s="23"/>
      <c r="AL54" s="23"/>
      <c r="AM54" s="111"/>
      <c r="AN54" s="33">
        <f>F54</f>
        <v>9.6</v>
      </c>
    </row>
    <row r="55" spans="1:45" ht="14.25" x14ac:dyDescent="0.2">
      <c r="A55" s="19"/>
      <c r="B55" s="239"/>
      <c r="C55" s="23"/>
      <c r="D55" s="23"/>
      <c r="E55" s="37" t="s">
        <v>127</v>
      </c>
      <c r="F55" s="201">
        <v>175</v>
      </c>
      <c r="G55" s="179" t="s">
        <v>186</v>
      </c>
      <c r="H55" s="23"/>
      <c r="I55" s="23"/>
      <c r="J55" s="23"/>
      <c r="K55" s="23"/>
      <c r="L55" s="23"/>
      <c r="M55" s="23"/>
      <c r="N55" s="23"/>
      <c r="O55" s="23"/>
      <c r="P55" s="23"/>
      <c r="Q55" s="23"/>
      <c r="R55" s="23"/>
      <c r="S55" s="23"/>
      <c r="T55" s="23"/>
      <c r="U55" s="23"/>
      <c r="V55" s="23"/>
      <c r="W55" s="23"/>
      <c r="X55" s="23"/>
      <c r="Y55" s="23"/>
      <c r="Z55" s="23"/>
      <c r="AA55" s="23"/>
      <c r="AB55" s="23"/>
      <c r="AC55" s="23"/>
      <c r="AD55" s="23"/>
      <c r="AE55" s="23"/>
      <c r="AF55" s="23"/>
      <c r="AG55" s="23"/>
      <c r="AH55" s="23"/>
      <c r="AI55" s="23"/>
      <c r="AJ55" s="23"/>
      <c r="AK55" s="23"/>
      <c r="AL55" s="23"/>
      <c r="AM55" s="111"/>
      <c r="AN55" s="33">
        <f t="shared" ref="AN55:AN60" si="0">F55</f>
        <v>175</v>
      </c>
    </row>
    <row r="56" spans="1:45" ht="22.15" customHeight="1" x14ac:dyDescent="0.3">
      <c r="A56" s="19"/>
      <c r="B56" s="308"/>
      <c r="C56" s="23"/>
      <c r="D56" s="23"/>
      <c r="E56" s="37" t="s">
        <v>373</v>
      </c>
      <c r="F56" s="201">
        <v>100</v>
      </c>
      <c r="G56" s="179" t="s">
        <v>25</v>
      </c>
      <c r="H56" s="23"/>
      <c r="I56" s="23"/>
      <c r="J56" s="23"/>
      <c r="K56" s="23"/>
      <c r="L56" s="23"/>
      <c r="M56" s="23"/>
      <c r="N56" s="23"/>
      <c r="O56" s="23"/>
      <c r="P56" s="23"/>
      <c r="Q56" s="23"/>
      <c r="R56" s="23"/>
      <c r="S56" s="23"/>
      <c r="T56" s="23"/>
      <c r="U56" s="23"/>
      <c r="V56" s="23"/>
      <c r="W56" s="23"/>
      <c r="X56" s="23"/>
      <c r="Y56" s="23"/>
      <c r="Z56" s="23"/>
      <c r="AA56" s="23"/>
      <c r="AB56" s="23"/>
      <c r="AC56" s="23"/>
      <c r="AD56" s="23"/>
      <c r="AE56" s="23"/>
      <c r="AF56" s="23"/>
      <c r="AG56" s="23"/>
      <c r="AH56" s="23"/>
      <c r="AI56" s="23"/>
      <c r="AJ56" s="23"/>
      <c r="AK56" s="23"/>
      <c r="AL56" s="23"/>
      <c r="AM56" s="111"/>
      <c r="AN56" s="33">
        <f t="shared" si="0"/>
        <v>100</v>
      </c>
    </row>
    <row r="57" spans="1:45" ht="15.75" customHeight="1" x14ac:dyDescent="0.3">
      <c r="A57" s="19"/>
      <c r="B57" s="310" t="s">
        <v>122</v>
      </c>
      <c r="C57" s="23"/>
      <c r="D57" s="23"/>
      <c r="E57" s="37" t="s">
        <v>374</v>
      </c>
      <c r="F57" s="201">
        <v>27</v>
      </c>
      <c r="G57" s="179" t="s">
        <v>25</v>
      </c>
      <c r="H57" s="23"/>
      <c r="I57" s="23"/>
      <c r="J57" s="23"/>
      <c r="K57" s="23"/>
      <c r="L57" s="23"/>
      <c r="M57" s="23"/>
      <c r="N57" s="23"/>
      <c r="O57" s="23"/>
      <c r="P57" s="23"/>
      <c r="Q57" s="23"/>
      <c r="R57" s="23"/>
      <c r="S57" s="23"/>
      <c r="T57" s="23"/>
      <c r="U57" s="23"/>
      <c r="V57" s="23"/>
      <c r="W57" s="23"/>
      <c r="X57" s="23"/>
      <c r="Y57" s="23"/>
      <c r="Z57" s="23"/>
      <c r="AA57" s="23"/>
      <c r="AB57" s="23"/>
      <c r="AC57" s="23"/>
      <c r="AD57" s="23"/>
      <c r="AE57" s="23"/>
      <c r="AF57" s="23"/>
      <c r="AG57" s="23"/>
      <c r="AH57" s="23"/>
      <c r="AI57" s="23"/>
      <c r="AJ57" s="23"/>
      <c r="AK57" s="23"/>
      <c r="AL57" s="23"/>
      <c r="AM57" s="111"/>
      <c r="AN57" s="33">
        <f t="shared" si="0"/>
        <v>27</v>
      </c>
    </row>
    <row r="58" spans="1:45" ht="15.75" x14ac:dyDescent="0.3">
      <c r="A58" s="19"/>
      <c r="B58" s="308"/>
      <c r="C58" s="23"/>
      <c r="D58" s="23"/>
      <c r="E58" s="37" t="s">
        <v>375</v>
      </c>
      <c r="F58" s="201">
        <v>6</v>
      </c>
      <c r="G58" s="179" t="s">
        <v>25</v>
      </c>
      <c r="H58" s="23"/>
      <c r="I58" s="23"/>
      <c r="J58" s="23"/>
      <c r="K58" s="23"/>
      <c r="L58" s="23"/>
      <c r="M58" s="23"/>
      <c r="N58" s="23"/>
      <c r="O58" s="23"/>
      <c r="P58" s="23"/>
      <c r="Q58" s="23"/>
      <c r="R58" s="23"/>
      <c r="S58" s="23"/>
      <c r="T58" s="23"/>
      <c r="U58" s="23"/>
      <c r="V58" s="23"/>
      <c r="W58" s="23"/>
      <c r="X58" s="23"/>
      <c r="Y58" s="23"/>
      <c r="Z58" s="23"/>
      <c r="AA58" s="23"/>
      <c r="AB58" s="23"/>
      <c r="AC58" s="23"/>
      <c r="AD58" s="23"/>
      <c r="AE58" s="23"/>
      <c r="AF58" s="23"/>
      <c r="AG58" s="23"/>
      <c r="AH58" s="23"/>
      <c r="AI58" s="23"/>
      <c r="AJ58" s="23"/>
      <c r="AK58" s="23"/>
      <c r="AL58" s="23"/>
      <c r="AM58" s="111"/>
      <c r="AN58" s="33">
        <f t="shared" si="0"/>
        <v>6</v>
      </c>
    </row>
    <row r="59" spans="1:45" ht="15.75" customHeight="1" x14ac:dyDescent="0.3">
      <c r="A59" s="19"/>
      <c r="B59" s="308"/>
      <c r="C59" s="23"/>
      <c r="D59" s="23"/>
      <c r="E59" s="37" t="s">
        <v>441</v>
      </c>
      <c r="F59" s="200">
        <v>2.1</v>
      </c>
      <c r="G59" s="179" t="s">
        <v>25</v>
      </c>
      <c r="H59" s="23"/>
      <c r="I59" s="23"/>
      <c r="J59" s="23"/>
      <c r="K59" s="23"/>
      <c r="L59" s="23"/>
      <c r="M59" s="23"/>
      <c r="N59" s="23"/>
      <c r="O59" s="23"/>
      <c r="P59" s="23"/>
      <c r="Q59" s="23"/>
      <c r="R59" s="23"/>
      <c r="S59" s="23"/>
      <c r="T59" s="23"/>
      <c r="U59" s="23"/>
      <c r="V59" s="23"/>
      <c r="W59" s="23"/>
      <c r="X59" s="23"/>
      <c r="Y59" s="23"/>
      <c r="Z59" s="23"/>
      <c r="AA59" s="23"/>
      <c r="AB59" s="23"/>
      <c r="AC59" s="23"/>
      <c r="AD59" s="23"/>
      <c r="AE59" s="23"/>
      <c r="AF59" s="23"/>
      <c r="AG59" s="23"/>
      <c r="AH59" s="23"/>
      <c r="AI59" s="23"/>
      <c r="AJ59" s="23"/>
      <c r="AK59" s="23"/>
      <c r="AL59" s="23"/>
      <c r="AM59" s="111"/>
      <c r="AN59" s="33">
        <f t="shared" si="0"/>
        <v>2.1</v>
      </c>
      <c r="AS59" s="328"/>
    </row>
    <row r="60" spans="1:45" ht="19.899999999999999" customHeight="1" x14ac:dyDescent="0.3">
      <c r="A60" s="19"/>
      <c r="B60" s="308"/>
      <c r="C60" s="23"/>
      <c r="D60" s="23"/>
      <c r="E60" s="37" t="s">
        <v>442</v>
      </c>
      <c r="F60" s="201">
        <v>1.5</v>
      </c>
      <c r="G60" s="179" t="s">
        <v>25</v>
      </c>
      <c r="H60" s="23"/>
      <c r="I60" s="23"/>
      <c r="J60" s="23"/>
      <c r="K60" s="23"/>
      <c r="L60" s="23"/>
      <c r="M60" s="23"/>
      <c r="N60" s="23"/>
      <c r="O60" s="23"/>
      <c r="P60" s="23"/>
      <c r="Q60" s="23"/>
      <c r="R60" s="23"/>
      <c r="S60" s="23"/>
      <c r="T60" s="23"/>
      <c r="U60" s="23"/>
      <c r="V60" s="23"/>
      <c r="W60" s="23"/>
      <c r="X60" s="23"/>
      <c r="Y60" s="23"/>
      <c r="Z60" s="23"/>
      <c r="AA60" s="23"/>
      <c r="AB60" s="23"/>
      <c r="AC60" s="23"/>
      <c r="AD60" s="23"/>
      <c r="AE60" s="23"/>
      <c r="AF60" s="23"/>
      <c r="AG60" s="23"/>
      <c r="AH60" s="23"/>
      <c r="AI60" s="23"/>
      <c r="AJ60" s="23"/>
      <c r="AK60" s="23"/>
      <c r="AL60" s="23"/>
      <c r="AM60" s="111"/>
      <c r="AN60" s="33">
        <f t="shared" si="0"/>
        <v>1.5</v>
      </c>
      <c r="AS60" s="328"/>
    </row>
    <row r="61" spans="1:45" ht="15" customHeight="1" x14ac:dyDescent="0.2">
      <c r="A61" s="19"/>
      <c r="B61" s="328" t="s">
        <v>462</v>
      </c>
      <c r="C61" s="23"/>
      <c r="D61" s="23"/>
      <c r="E61" s="37" t="s">
        <v>322</v>
      </c>
      <c r="F61" s="173">
        <f>(IOUTMAX/NUMFETS)^2*RDSON/1000</f>
        <v>0.43094399999999999</v>
      </c>
      <c r="G61" s="179" t="s">
        <v>87</v>
      </c>
      <c r="H61" s="23"/>
      <c r="I61" s="23"/>
      <c r="J61" s="23"/>
      <c r="K61" s="23"/>
      <c r="L61" s="23"/>
      <c r="M61" s="23"/>
      <c r="N61" s="23"/>
      <c r="O61" s="23"/>
      <c r="P61" s="23"/>
      <c r="Q61" s="23"/>
      <c r="R61" s="23"/>
      <c r="S61" s="23"/>
      <c r="T61" s="23"/>
      <c r="U61" s="23"/>
      <c r="V61" s="23"/>
      <c r="W61" s="23"/>
      <c r="X61" s="23"/>
      <c r="Y61" s="23"/>
      <c r="Z61" s="23"/>
      <c r="AA61" s="23"/>
      <c r="AB61" s="23"/>
      <c r="AC61" s="23"/>
      <c r="AD61" s="23"/>
      <c r="AE61" s="23"/>
      <c r="AF61" s="23"/>
      <c r="AG61" s="23"/>
      <c r="AH61" s="23"/>
      <c r="AI61" s="23"/>
      <c r="AJ61" s="23"/>
      <c r="AK61" s="23"/>
      <c r="AL61" s="23"/>
      <c r="AM61" s="111"/>
      <c r="AS61" s="328"/>
    </row>
    <row r="62" spans="1:45" ht="15" customHeight="1" x14ac:dyDescent="0.3">
      <c r="A62" s="19"/>
      <c r="B62" s="328"/>
      <c r="C62" s="23"/>
      <c r="D62" s="23"/>
      <c r="E62" s="37" t="s">
        <v>262</v>
      </c>
      <c r="F62" s="173">
        <f>TAMB+(FETPDISS*ThetaJA)</f>
        <v>72.928319999999999</v>
      </c>
      <c r="G62" s="179" t="s">
        <v>125</v>
      </c>
      <c r="H62" s="23"/>
      <c r="I62" s="23"/>
      <c r="J62" s="23"/>
      <c r="K62" s="23"/>
      <c r="L62" s="23"/>
      <c r="M62" s="23"/>
      <c r="N62" s="23"/>
      <c r="O62" s="23"/>
      <c r="P62" s="23"/>
      <c r="Q62" s="23"/>
      <c r="R62" s="23"/>
      <c r="S62" s="23"/>
      <c r="T62" s="23"/>
      <c r="U62" s="23"/>
      <c r="V62" s="23"/>
      <c r="W62" s="23"/>
      <c r="X62" s="23"/>
      <c r="Y62" s="23"/>
      <c r="Z62" s="23"/>
      <c r="AA62" s="23"/>
      <c r="AB62" s="23"/>
      <c r="AC62" s="23"/>
      <c r="AD62" s="23"/>
      <c r="AE62" s="23"/>
      <c r="AF62" s="23"/>
      <c r="AG62" s="23"/>
      <c r="AH62" s="23"/>
      <c r="AI62" s="23"/>
      <c r="AJ62" s="23"/>
      <c r="AK62" s="23"/>
      <c r="AL62" s="23"/>
      <c r="AM62" s="111"/>
      <c r="AS62" s="328"/>
    </row>
    <row r="63" spans="1:45" ht="15" customHeight="1" x14ac:dyDescent="0.2">
      <c r="A63" s="19"/>
      <c r="B63" s="328"/>
      <c r="C63" s="23"/>
      <c r="D63" s="23"/>
      <c r="E63" s="65" t="s">
        <v>469</v>
      </c>
      <c r="F63" s="173">
        <f>Equations!F38</f>
        <v>88.081249999999983</v>
      </c>
      <c r="G63" s="179" t="s">
        <v>87</v>
      </c>
      <c r="H63" s="23"/>
      <c r="I63" s="23"/>
      <c r="J63" s="23"/>
      <c r="K63" s="23"/>
      <c r="L63" s="23"/>
      <c r="M63" s="23"/>
      <c r="N63" s="23"/>
      <c r="O63" s="23"/>
      <c r="P63" s="23"/>
      <c r="Q63" s="23"/>
      <c r="R63" s="23"/>
      <c r="S63" s="23"/>
      <c r="T63" s="23"/>
      <c r="U63" s="23"/>
      <c r="V63" s="23"/>
      <c r="W63" s="23"/>
      <c r="X63" s="23"/>
      <c r="Y63" s="23"/>
      <c r="Z63" s="23"/>
      <c r="AA63" s="23"/>
      <c r="AB63" s="23"/>
      <c r="AC63" s="23"/>
      <c r="AD63" s="23"/>
      <c r="AE63" s="23"/>
      <c r="AF63" s="23"/>
      <c r="AG63" s="23"/>
      <c r="AH63" s="23"/>
      <c r="AI63" s="23"/>
      <c r="AJ63" s="23"/>
      <c r="AK63" s="23"/>
      <c r="AL63" s="23"/>
      <c r="AM63" s="111"/>
      <c r="AS63" s="328"/>
    </row>
    <row r="64" spans="1:45" ht="15" customHeight="1" x14ac:dyDescent="0.2">
      <c r="A64" s="19"/>
      <c r="B64" s="328"/>
      <c r="C64" s="23"/>
      <c r="D64" s="23"/>
      <c r="E64" s="65" t="s">
        <v>278</v>
      </c>
      <c r="F64" s="273">
        <v>75</v>
      </c>
      <c r="G64" s="179" t="s">
        <v>87</v>
      </c>
      <c r="H64" s="23"/>
      <c r="I64" s="23"/>
      <c r="J64" s="23"/>
      <c r="K64" s="23"/>
      <c r="L64" s="23"/>
      <c r="M64" s="23"/>
      <c r="N64" s="23"/>
      <c r="O64" s="23"/>
      <c r="P64" s="23"/>
      <c r="Q64" s="23"/>
      <c r="R64" s="23"/>
      <c r="S64" s="23"/>
      <c r="T64" s="23"/>
      <c r="U64" s="23"/>
      <c r="V64" s="23"/>
      <c r="W64" s="23"/>
      <c r="X64" s="23"/>
      <c r="Y64" s="23"/>
      <c r="Z64" s="23"/>
      <c r="AA64" s="23"/>
      <c r="AB64" s="23"/>
      <c r="AC64" s="23"/>
      <c r="AD64" s="23"/>
      <c r="AE64" s="23"/>
      <c r="AF64" s="23"/>
      <c r="AG64" s="23"/>
      <c r="AH64" s="23"/>
      <c r="AI64" s="23"/>
      <c r="AJ64" s="23"/>
      <c r="AK64" s="23"/>
      <c r="AL64" s="23"/>
      <c r="AM64" s="111"/>
      <c r="AS64" s="328"/>
    </row>
    <row r="65" spans="1:45" ht="15" customHeight="1" x14ac:dyDescent="0.2">
      <c r="A65" s="19"/>
      <c r="B65" s="328"/>
      <c r="C65" s="23"/>
      <c r="D65" s="23"/>
      <c r="E65" s="65" t="s">
        <v>279</v>
      </c>
      <c r="F65" s="151">
        <f>Equations!F40</f>
        <v>22.61761158021713</v>
      </c>
      <c r="G65" s="184" t="s">
        <v>84</v>
      </c>
      <c r="H65" s="23"/>
      <c r="I65" s="23"/>
      <c r="J65" s="23"/>
      <c r="K65" s="23"/>
      <c r="L65" s="23"/>
      <c r="M65" s="23"/>
      <c r="N65" s="23"/>
      <c r="O65" s="23"/>
      <c r="P65" s="23"/>
      <c r="Q65" s="23"/>
      <c r="R65" s="23"/>
      <c r="S65" s="23"/>
      <c r="T65" s="23"/>
      <c r="U65" s="23"/>
      <c r="V65" s="23"/>
      <c r="W65" s="23"/>
      <c r="X65" s="23"/>
      <c r="Y65" s="23"/>
      <c r="Z65" s="23"/>
      <c r="AA65" s="23"/>
      <c r="AB65" s="23"/>
      <c r="AC65" s="23"/>
      <c r="AD65" s="23"/>
      <c r="AE65" s="23"/>
      <c r="AF65" s="23"/>
      <c r="AG65" s="23"/>
      <c r="AH65" s="23"/>
      <c r="AI65" s="23"/>
      <c r="AJ65" s="23"/>
      <c r="AK65" s="23"/>
      <c r="AL65" s="23"/>
      <c r="AM65" s="111"/>
      <c r="AS65" s="328"/>
    </row>
    <row r="66" spans="1:45" ht="15" customHeight="1" x14ac:dyDescent="0.2">
      <c r="A66" s="19"/>
      <c r="B66" s="328"/>
      <c r="C66" s="23"/>
      <c r="D66" s="23"/>
      <c r="E66" s="65" t="s">
        <v>282</v>
      </c>
      <c r="F66" s="201">
        <v>38.299999999999997</v>
      </c>
      <c r="G66" s="184" t="s">
        <v>84</v>
      </c>
      <c r="H66" s="23"/>
      <c r="I66" s="325" t="s">
        <v>492</v>
      </c>
      <c r="J66" s="326"/>
      <c r="K66" s="326"/>
      <c r="L66" s="326"/>
      <c r="M66" s="326"/>
      <c r="N66" s="23"/>
      <c r="O66" s="23"/>
      <c r="P66" s="23"/>
      <c r="Q66" s="23"/>
      <c r="R66" s="23"/>
      <c r="S66" s="23"/>
      <c r="T66" s="23"/>
      <c r="U66" s="23"/>
      <c r="V66" s="23"/>
      <c r="W66" s="23"/>
      <c r="X66" s="23"/>
      <c r="Y66" s="23"/>
      <c r="Z66" s="23"/>
      <c r="AA66" s="23"/>
      <c r="AB66" s="23"/>
      <c r="AC66" s="23"/>
      <c r="AD66" s="23"/>
      <c r="AE66" s="23"/>
      <c r="AF66" s="23"/>
      <c r="AG66" s="23"/>
      <c r="AH66" s="23"/>
      <c r="AI66" s="23"/>
      <c r="AJ66" s="23"/>
      <c r="AK66" s="23"/>
      <c r="AL66" s="23"/>
      <c r="AM66" s="111"/>
    </row>
    <row r="67" spans="1:45" ht="15" customHeight="1" thickBot="1" x14ac:dyDescent="0.25">
      <c r="A67" s="19"/>
      <c r="B67" s="328"/>
      <c r="C67" s="23"/>
      <c r="D67" s="23"/>
      <c r="E67" s="65" t="s">
        <v>285</v>
      </c>
      <c r="F67" s="151">
        <f>Equations!F42</f>
        <v>127.00280000000001</v>
      </c>
      <c r="G67" s="179" t="s">
        <v>87</v>
      </c>
      <c r="H67" s="23"/>
      <c r="I67" s="327"/>
      <c r="J67" s="327"/>
      <c r="K67" s="327"/>
      <c r="L67" s="327"/>
      <c r="M67" s="327"/>
      <c r="N67" s="23"/>
      <c r="O67" s="23"/>
      <c r="P67" s="23"/>
      <c r="Q67" s="23"/>
      <c r="R67" s="23"/>
      <c r="S67" s="23"/>
      <c r="T67" s="23"/>
      <c r="U67" s="23"/>
      <c r="V67" s="23"/>
      <c r="W67" s="23"/>
      <c r="X67" s="23"/>
      <c r="Y67" s="23"/>
      <c r="Z67" s="23"/>
      <c r="AA67" s="23"/>
      <c r="AB67" s="23"/>
      <c r="AC67" s="23"/>
      <c r="AD67" s="23"/>
      <c r="AE67" s="23"/>
      <c r="AF67" s="23"/>
      <c r="AG67" s="23"/>
      <c r="AH67" s="23"/>
      <c r="AI67" s="23"/>
      <c r="AJ67" s="23"/>
      <c r="AK67" s="23"/>
      <c r="AL67" s="23"/>
      <c r="AM67" s="111"/>
    </row>
    <row r="68" spans="1:45" ht="15" x14ac:dyDescent="0.25">
      <c r="A68" s="19"/>
      <c r="B68" s="154" t="s">
        <v>133</v>
      </c>
      <c r="C68" s="96"/>
      <c r="D68" s="96"/>
      <c r="E68" s="104" t="s">
        <v>189</v>
      </c>
      <c r="F68" s="202">
        <v>16</v>
      </c>
      <c r="G68" s="183" t="s">
        <v>86</v>
      </c>
      <c r="H68" s="96"/>
      <c r="I68" s="96"/>
      <c r="J68" s="96"/>
      <c r="K68" s="96"/>
      <c r="L68" s="96"/>
      <c r="M68" s="96"/>
      <c r="N68" s="96"/>
      <c r="O68" s="96"/>
      <c r="P68" s="96"/>
      <c r="Q68" s="96"/>
      <c r="R68" s="96"/>
      <c r="S68" s="96"/>
      <c r="T68" s="96"/>
      <c r="U68" s="96"/>
      <c r="V68" s="96"/>
      <c r="W68" s="96"/>
      <c r="X68" s="96"/>
      <c r="Y68" s="96"/>
      <c r="Z68" s="96"/>
      <c r="AA68" s="96"/>
      <c r="AB68" s="96"/>
      <c r="AC68" s="96"/>
      <c r="AD68" s="96"/>
      <c r="AE68" s="96"/>
      <c r="AF68" s="96"/>
      <c r="AG68" s="96"/>
      <c r="AH68" s="96"/>
      <c r="AI68" s="96"/>
      <c r="AJ68" s="96"/>
      <c r="AK68" s="96"/>
      <c r="AL68" s="96"/>
      <c r="AM68" s="130"/>
      <c r="AN68" s="33"/>
    </row>
    <row r="69" spans="1:45" x14ac:dyDescent="0.2">
      <c r="A69" s="19"/>
      <c r="B69" s="105"/>
      <c r="C69" s="23"/>
      <c r="D69" s="23"/>
      <c r="E69" s="37" t="s">
        <v>134</v>
      </c>
      <c r="F69" s="201" t="s">
        <v>136</v>
      </c>
      <c r="G69" s="180"/>
      <c r="H69" s="23"/>
      <c r="I69" s="23"/>
      <c r="J69" s="23"/>
      <c r="K69" s="23"/>
      <c r="L69" s="23"/>
      <c r="M69" s="23"/>
      <c r="N69" s="23"/>
      <c r="O69" s="23"/>
      <c r="P69" s="23"/>
      <c r="Q69" s="23"/>
      <c r="R69" s="23"/>
      <c r="S69" s="23"/>
      <c r="T69" s="23"/>
      <c r="U69" s="23"/>
      <c r="V69" s="23"/>
      <c r="W69" s="23"/>
      <c r="X69" s="23"/>
      <c r="Y69" s="23"/>
      <c r="Z69" s="23"/>
      <c r="AA69" s="23"/>
      <c r="AB69" s="23"/>
      <c r="AC69" s="23"/>
      <c r="AD69" s="23"/>
      <c r="AE69" s="23"/>
      <c r="AF69" s="23"/>
      <c r="AG69" s="23"/>
      <c r="AH69" s="23"/>
      <c r="AI69" s="23"/>
      <c r="AJ69" s="23"/>
      <c r="AK69" s="23"/>
      <c r="AL69" s="23"/>
      <c r="AM69" s="111"/>
      <c r="AN69" s="33"/>
    </row>
    <row r="70" spans="1:45" x14ac:dyDescent="0.2">
      <c r="A70" s="19"/>
      <c r="B70" s="99"/>
      <c r="C70" s="23"/>
      <c r="D70" s="23"/>
      <c r="E70" s="37" t="s">
        <v>135</v>
      </c>
      <c r="F70" s="201">
        <v>4</v>
      </c>
      <c r="G70" s="180" t="str">
        <f>IF(F69="Constant Current","A","Ohms")</f>
        <v>A</v>
      </c>
      <c r="H70" s="23"/>
      <c r="I70" s="23"/>
      <c r="J70" s="23"/>
      <c r="K70" s="23"/>
      <c r="L70" s="23"/>
      <c r="M70" s="23"/>
      <c r="N70" s="23"/>
      <c r="O70" s="23"/>
      <c r="P70" s="23"/>
      <c r="Q70" s="23"/>
      <c r="R70" s="23"/>
      <c r="S70" s="23"/>
      <c r="T70" s="23"/>
      <c r="U70" s="23"/>
      <c r="V70" s="23"/>
      <c r="W70" s="23"/>
      <c r="X70" s="23"/>
      <c r="Y70" s="23"/>
      <c r="Z70" s="23"/>
      <c r="AA70" s="23"/>
      <c r="AB70" s="23"/>
      <c r="AC70" s="23"/>
      <c r="AD70" s="23"/>
      <c r="AE70" s="23"/>
      <c r="AF70" s="23"/>
      <c r="AG70" s="23"/>
      <c r="AH70" s="23"/>
      <c r="AI70" s="23"/>
      <c r="AJ70" s="23"/>
      <c r="AK70" s="23"/>
      <c r="AL70" s="23"/>
      <c r="AM70" s="111"/>
      <c r="AN70" t="s">
        <v>136</v>
      </c>
    </row>
    <row r="71" spans="1:45" x14ac:dyDescent="0.2">
      <c r="A71" s="19"/>
      <c r="B71" s="99"/>
      <c r="C71" s="23"/>
      <c r="D71" s="23"/>
      <c r="E71" s="65" t="s">
        <v>478</v>
      </c>
      <c r="F71" s="200" t="s">
        <v>194</v>
      </c>
      <c r="G71" s="180"/>
      <c r="H71" s="23"/>
      <c r="I71" s="23"/>
      <c r="J71" s="23"/>
      <c r="K71" s="23"/>
      <c r="L71" s="23"/>
      <c r="M71" s="23"/>
      <c r="N71" s="23"/>
      <c r="O71" s="23"/>
      <c r="P71" s="23"/>
      <c r="Q71" s="23"/>
      <c r="R71" s="23"/>
      <c r="S71" s="23"/>
      <c r="T71" s="23"/>
      <c r="U71" s="23"/>
      <c r="V71" s="23"/>
      <c r="W71" s="23"/>
      <c r="X71" s="23"/>
      <c r="Y71" s="23"/>
      <c r="Z71" s="23"/>
      <c r="AA71" s="23"/>
      <c r="AB71" s="23"/>
      <c r="AC71" s="23"/>
      <c r="AD71" s="23"/>
      <c r="AE71" s="23"/>
      <c r="AF71" s="23"/>
      <c r="AG71" s="23"/>
      <c r="AH71" s="23"/>
      <c r="AI71" s="23"/>
      <c r="AJ71" s="23"/>
      <c r="AK71" s="23"/>
      <c r="AL71" s="23"/>
      <c r="AM71" s="111"/>
      <c r="AN71" t="s">
        <v>137</v>
      </c>
    </row>
    <row r="72" spans="1:45" x14ac:dyDescent="0.2">
      <c r="A72" s="19"/>
      <c r="B72" s="99"/>
      <c r="C72" s="23"/>
      <c r="D72" s="23"/>
      <c r="E72" s="37" t="s">
        <v>301</v>
      </c>
      <c r="F72" s="55">
        <f>Start_up!M2</f>
        <v>2.6306643696847032</v>
      </c>
      <c r="G72" s="179" t="s">
        <v>8</v>
      </c>
      <c r="H72" s="23"/>
      <c r="I72" s="23"/>
      <c r="J72" s="23"/>
      <c r="K72" s="23"/>
      <c r="L72" s="23"/>
      <c r="M72" s="23"/>
      <c r="N72" s="23"/>
      <c r="O72" s="23"/>
      <c r="P72" s="23"/>
      <c r="Q72" s="23"/>
      <c r="R72" s="23"/>
      <c r="S72" s="23"/>
      <c r="T72" s="23"/>
      <c r="U72" s="23"/>
      <c r="V72" s="23"/>
      <c r="W72" s="23"/>
      <c r="X72" s="23"/>
      <c r="Y72" s="23"/>
      <c r="Z72" s="23"/>
      <c r="AA72" s="23"/>
      <c r="AB72" s="23"/>
      <c r="AC72" s="23"/>
      <c r="AD72" s="23"/>
      <c r="AE72" s="23"/>
      <c r="AF72" s="23"/>
      <c r="AG72" s="23"/>
      <c r="AH72" s="23"/>
      <c r="AI72" s="23"/>
      <c r="AJ72" s="23"/>
      <c r="AK72" s="23"/>
      <c r="AL72" s="23"/>
      <c r="AM72" s="111"/>
      <c r="AN72" s="33"/>
    </row>
    <row r="73" spans="1:45" x14ac:dyDescent="0.2">
      <c r="A73" s="19"/>
      <c r="B73" s="99"/>
      <c r="C73" s="23"/>
      <c r="D73" s="23"/>
      <c r="E73" s="37" t="s">
        <v>308</v>
      </c>
      <c r="F73" s="169">
        <f>Start_up!O2</f>
        <v>0.17627497491878436</v>
      </c>
      <c r="G73" s="179"/>
      <c r="H73" s="23"/>
      <c r="I73" s="23"/>
      <c r="J73" s="23"/>
      <c r="K73" s="23"/>
      <c r="L73" s="23"/>
      <c r="M73" s="23"/>
      <c r="N73" s="23"/>
      <c r="O73" s="23"/>
      <c r="P73" s="23"/>
      <c r="Q73" s="23"/>
      <c r="R73" s="23"/>
      <c r="S73" s="23"/>
      <c r="T73" s="23"/>
      <c r="U73" s="23"/>
      <c r="V73" s="23"/>
      <c r="W73" s="23"/>
      <c r="X73" s="23"/>
      <c r="Y73" s="23"/>
      <c r="Z73" s="23"/>
      <c r="AA73" s="23"/>
      <c r="AB73" s="23"/>
      <c r="AC73" s="23"/>
      <c r="AD73" s="23"/>
      <c r="AE73" s="23"/>
      <c r="AF73" s="23"/>
      <c r="AG73" s="23"/>
      <c r="AH73" s="23"/>
      <c r="AI73" s="23"/>
      <c r="AJ73" s="23"/>
      <c r="AK73" s="23"/>
      <c r="AL73" s="23"/>
      <c r="AM73" s="111"/>
      <c r="AN73" s="33"/>
    </row>
    <row r="74" spans="1:45" ht="13.15" customHeight="1" x14ac:dyDescent="0.2">
      <c r="A74" s="19"/>
      <c r="B74" s="105"/>
      <c r="C74" s="23"/>
      <c r="D74" s="122"/>
      <c r="E74" s="175" t="s">
        <v>302</v>
      </c>
      <c r="F74" s="55">
        <f>Equations!F55</f>
        <v>3.9459965545270546</v>
      </c>
      <c r="G74" s="180" t="s">
        <v>8</v>
      </c>
      <c r="H74" s="23"/>
      <c r="I74" s="23"/>
      <c r="J74" s="23"/>
      <c r="K74" s="23"/>
      <c r="L74" s="23"/>
      <c r="M74" s="23"/>
      <c r="N74" s="23"/>
      <c r="O74" s="23"/>
      <c r="P74" s="23"/>
      <c r="Q74" s="23"/>
      <c r="R74" s="23"/>
      <c r="S74" s="23"/>
      <c r="T74" s="23"/>
      <c r="U74" s="23"/>
      <c r="V74" s="23"/>
      <c r="W74" s="23"/>
      <c r="X74" s="23"/>
      <c r="Y74" s="23"/>
      <c r="Z74" s="23"/>
      <c r="AA74" s="23"/>
      <c r="AB74" s="23"/>
      <c r="AC74" s="23"/>
      <c r="AD74" s="23"/>
      <c r="AE74" s="23"/>
      <c r="AF74" s="23"/>
      <c r="AG74" s="23"/>
      <c r="AH74" s="23"/>
      <c r="AI74" s="23"/>
      <c r="AJ74" s="23"/>
      <c r="AK74" s="23"/>
      <c r="AL74" s="23"/>
      <c r="AM74" s="111"/>
    </row>
    <row r="75" spans="1:45" ht="12.6" customHeight="1" x14ac:dyDescent="0.2">
      <c r="A75" s="19"/>
      <c r="B75" s="99"/>
      <c r="C75" s="23"/>
      <c r="D75" s="122"/>
      <c r="E75" s="176" t="s">
        <v>306</v>
      </c>
      <c r="F75" s="55">
        <f>Equations!F56</f>
        <v>83.852426783699912</v>
      </c>
      <c r="G75" s="179" t="s">
        <v>118</v>
      </c>
      <c r="H75" s="23"/>
      <c r="I75" s="23"/>
      <c r="J75" s="23"/>
      <c r="K75" s="23"/>
      <c r="L75" s="23"/>
      <c r="M75" s="23"/>
      <c r="N75" s="23"/>
      <c r="O75" s="23"/>
      <c r="P75" s="23"/>
      <c r="Q75" s="23"/>
      <c r="R75" s="23"/>
      <c r="S75" s="23"/>
      <c r="T75" s="23"/>
      <c r="U75" s="23"/>
      <c r="V75" s="23"/>
      <c r="W75" s="23"/>
      <c r="X75" s="23"/>
      <c r="Y75" s="23"/>
      <c r="Z75" s="23"/>
      <c r="AA75" s="23"/>
      <c r="AB75" s="23"/>
      <c r="AC75" s="23"/>
      <c r="AD75" s="23"/>
      <c r="AE75" s="23"/>
      <c r="AF75" s="23"/>
      <c r="AG75" s="23"/>
      <c r="AH75" s="23"/>
      <c r="AI75" s="23"/>
      <c r="AJ75" s="23"/>
      <c r="AK75" s="23"/>
      <c r="AL75" s="23"/>
      <c r="AM75" s="111"/>
    </row>
    <row r="76" spans="1:45" ht="15" customHeight="1" x14ac:dyDescent="0.2">
      <c r="A76" s="19"/>
      <c r="B76" s="99"/>
      <c r="C76" s="23"/>
      <c r="D76" s="122"/>
      <c r="E76" s="176" t="s">
        <v>309</v>
      </c>
      <c r="F76" s="201">
        <v>440</v>
      </c>
      <c r="G76" s="179" t="s">
        <v>118</v>
      </c>
      <c r="H76" s="23"/>
      <c r="I76" s="23"/>
      <c r="J76" s="23"/>
      <c r="K76" s="23"/>
      <c r="L76" s="23"/>
      <c r="M76" s="23"/>
      <c r="N76" s="23"/>
      <c r="O76" s="23"/>
      <c r="P76" s="23"/>
      <c r="Q76" s="23"/>
      <c r="R76" s="23"/>
      <c r="S76" s="23"/>
      <c r="T76" s="23"/>
      <c r="U76" s="23"/>
      <c r="V76" s="23"/>
      <c r="W76" s="23"/>
      <c r="X76" s="23"/>
      <c r="Y76" s="23"/>
      <c r="Z76" s="23"/>
      <c r="AA76" s="23"/>
      <c r="AB76" s="23"/>
      <c r="AC76" s="23"/>
      <c r="AD76" s="23"/>
      <c r="AE76" s="23"/>
      <c r="AF76" s="23"/>
      <c r="AG76" s="23"/>
      <c r="AH76" s="23"/>
      <c r="AI76" s="23"/>
      <c r="AJ76" s="23"/>
      <c r="AK76" s="23"/>
      <c r="AL76" s="23"/>
      <c r="AM76" s="111"/>
    </row>
    <row r="77" spans="1:45" ht="15" customHeight="1" x14ac:dyDescent="0.2">
      <c r="A77" s="19"/>
      <c r="B77" s="99"/>
      <c r="C77" s="23"/>
      <c r="D77" s="122"/>
      <c r="E77" s="176" t="s">
        <v>361</v>
      </c>
      <c r="F77" s="55">
        <f>Equations!F58</f>
        <v>20.705882352941178</v>
      </c>
      <c r="G77" s="179" t="s">
        <v>8</v>
      </c>
      <c r="H77" s="23"/>
      <c r="I77" s="23"/>
      <c r="J77" s="23"/>
      <c r="K77" s="23"/>
      <c r="L77" s="23"/>
      <c r="M77" s="23"/>
      <c r="N77" s="23"/>
      <c r="O77" s="23"/>
      <c r="P77" s="23"/>
      <c r="Q77" s="23"/>
      <c r="R77" s="23"/>
      <c r="S77" s="23"/>
      <c r="T77" s="23"/>
      <c r="U77" s="23"/>
      <c r="V77" s="23"/>
      <c r="W77" s="23"/>
      <c r="X77" s="23"/>
      <c r="Y77" s="23"/>
      <c r="Z77" s="23"/>
      <c r="AA77" s="23"/>
      <c r="AB77" s="23"/>
      <c r="AC77" s="23"/>
      <c r="AD77" s="23"/>
      <c r="AE77" s="23"/>
      <c r="AF77" s="23"/>
      <c r="AG77" s="23"/>
      <c r="AH77" s="23"/>
      <c r="AI77" s="23"/>
      <c r="AJ77" s="23"/>
      <c r="AK77" s="23"/>
      <c r="AL77" s="23"/>
      <c r="AM77" s="111"/>
    </row>
    <row r="78" spans="1:45" ht="15" customHeight="1" x14ac:dyDescent="0.2">
      <c r="A78" s="19"/>
      <c r="B78" s="311" t="s">
        <v>133</v>
      </c>
      <c r="C78" s="23"/>
      <c r="D78" s="122"/>
      <c r="E78" s="176" t="s">
        <v>317</v>
      </c>
      <c r="F78" s="55">
        <f>Equations!F59</f>
        <v>0.98044593539580394</v>
      </c>
      <c r="G78" s="179"/>
      <c r="H78" s="23"/>
      <c r="I78" s="23"/>
      <c r="J78" s="23"/>
      <c r="K78" s="23"/>
      <c r="L78" s="23"/>
      <c r="M78" s="23"/>
      <c r="N78" s="23"/>
      <c r="O78" s="23"/>
      <c r="P78" s="23"/>
      <c r="Q78" s="23"/>
      <c r="R78" s="23"/>
      <c r="S78" s="23"/>
      <c r="T78" s="23"/>
      <c r="U78" s="23"/>
      <c r="V78" s="23"/>
      <c r="W78" s="23"/>
      <c r="X78" s="23"/>
      <c r="Y78" s="23"/>
      <c r="Z78" s="23"/>
      <c r="AA78" s="23"/>
      <c r="AB78" s="23"/>
      <c r="AC78" s="23"/>
      <c r="AD78" s="23"/>
      <c r="AE78" s="23"/>
      <c r="AF78" s="23"/>
      <c r="AG78" s="23"/>
      <c r="AH78" s="23"/>
      <c r="AI78" s="23"/>
      <c r="AJ78" s="23"/>
      <c r="AK78" s="23"/>
      <c r="AL78" s="23"/>
      <c r="AM78" s="111"/>
    </row>
    <row r="79" spans="1:45" ht="15" customHeight="1" x14ac:dyDescent="0.2">
      <c r="A79" s="19"/>
      <c r="B79" s="99"/>
      <c r="C79" s="23"/>
      <c r="D79" s="122"/>
      <c r="E79" s="176" t="s">
        <v>366</v>
      </c>
      <c r="F79" s="200" t="s">
        <v>194</v>
      </c>
      <c r="G79" s="179"/>
      <c r="H79" s="23"/>
      <c r="I79" s="23"/>
      <c r="J79" s="23"/>
      <c r="K79" s="23"/>
      <c r="L79" s="23"/>
      <c r="M79" s="23"/>
      <c r="N79" s="23"/>
      <c r="O79" s="23"/>
      <c r="P79" s="23"/>
      <c r="Q79" s="23"/>
      <c r="R79" s="23"/>
      <c r="S79" s="23"/>
      <c r="T79" s="23"/>
      <c r="U79" s="23"/>
      <c r="V79" s="23"/>
      <c r="W79" s="23"/>
      <c r="X79" s="23"/>
      <c r="Y79" s="23"/>
      <c r="Z79" s="23"/>
      <c r="AA79" s="23"/>
      <c r="AB79" s="23"/>
      <c r="AC79" s="23"/>
      <c r="AD79" s="23"/>
      <c r="AE79" s="23"/>
      <c r="AF79" s="23"/>
      <c r="AG79" s="23"/>
      <c r="AH79" s="23"/>
      <c r="AI79" s="23"/>
      <c r="AJ79" s="23"/>
      <c r="AK79" s="23"/>
      <c r="AL79" s="23"/>
      <c r="AM79" s="111"/>
    </row>
    <row r="80" spans="1:45" ht="15" customHeight="1" x14ac:dyDescent="0.2">
      <c r="A80" s="19"/>
      <c r="B80" s="99"/>
      <c r="C80" s="23"/>
      <c r="D80" s="122"/>
      <c r="E80" s="176" t="s">
        <v>371</v>
      </c>
      <c r="F80" s="55">
        <f>dv_dt_recommendations!J28</f>
        <v>13.447186399678067</v>
      </c>
      <c r="G80" s="179" t="s">
        <v>325</v>
      </c>
      <c r="H80" s="23"/>
      <c r="I80" s="23"/>
      <c r="J80" s="23"/>
      <c r="K80" s="23"/>
      <c r="L80" s="23"/>
      <c r="M80" s="23"/>
      <c r="N80" s="23"/>
      <c r="O80" s="23"/>
      <c r="P80" s="23"/>
      <c r="Q80" s="23"/>
      <c r="R80" s="23"/>
      <c r="S80" s="23"/>
      <c r="T80" s="23"/>
      <c r="U80" s="23"/>
      <c r="V80" s="23"/>
      <c r="W80" s="23"/>
      <c r="X80" s="23"/>
      <c r="Y80" s="23"/>
      <c r="Z80" s="23"/>
      <c r="AA80" s="23"/>
      <c r="AB80" s="23"/>
      <c r="AC80" s="23"/>
      <c r="AD80" s="23"/>
      <c r="AE80" s="23"/>
      <c r="AF80" s="23"/>
      <c r="AG80" s="23"/>
      <c r="AH80" s="23"/>
      <c r="AI80" s="23"/>
      <c r="AJ80" s="23"/>
      <c r="AK80" s="23"/>
      <c r="AL80" s="23"/>
      <c r="AM80" s="111"/>
    </row>
    <row r="81" spans="1:40" ht="15" customHeight="1" x14ac:dyDescent="0.2">
      <c r="A81" s="19"/>
      <c r="B81" s="99"/>
      <c r="C81" s="23"/>
      <c r="D81" s="122"/>
      <c r="E81" s="176" t="s">
        <v>372</v>
      </c>
      <c r="F81" s="55">
        <f>dv_dt_recommendations!J29</f>
        <v>0.13645649914218802</v>
      </c>
      <c r="G81" s="179" t="s">
        <v>325</v>
      </c>
      <c r="H81" s="23"/>
      <c r="I81" s="23"/>
      <c r="J81" s="23"/>
      <c r="K81" s="23"/>
      <c r="L81" s="23"/>
      <c r="M81" s="23"/>
      <c r="N81" s="23"/>
      <c r="O81" s="23"/>
      <c r="P81" s="23"/>
      <c r="Q81" s="23"/>
      <c r="R81" s="23"/>
      <c r="S81" s="23"/>
      <c r="T81" s="23"/>
      <c r="U81" s="23"/>
      <c r="V81" s="23"/>
      <c r="W81" s="23"/>
      <c r="X81" s="23"/>
      <c r="Y81" s="23"/>
      <c r="Z81" s="23"/>
      <c r="AA81" s="23"/>
      <c r="AB81" s="23"/>
      <c r="AC81" s="23"/>
      <c r="AD81" s="23"/>
      <c r="AE81" s="23"/>
      <c r="AF81" s="23"/>
      <c r="AG81" s="23"/>
      <c r="AH81" s="23"/>
      <c r="AI81" s="23"/>
      <c r="AJ81" s="23"/>
      <c r="AK81" s="23"/>
      <c r="AL81" s="23"/>
      <c r="AM81" s="111"/>
    </row>
    <row r="82" spans="1:40" ht="15" customHeight="1" x14ac:dyDescent="0.2">
      <c r="A82" s="19"/>
      <c r="B82" s="99"/>
      <c r="C82" s="23"/>
      <c r="D82" s="122"/>
      <c r="E82" s="34" t="s">
        <v>359</v>
      </c>
      <c r="F82" s="201">
        <v>2</v>
      </c>
      <c r="G82" s="179" t="s">
        <v>325</v>
      </c>
      <c r="H82" s="23"/>
      <c r="I82" s="23"/>
      <c r="J82" s="23"/>
      <c r="K82" s="23"/>
      <c r="L82" s="23"/>
      <c r="M82" s="23"/>
      <c r="N82" s="23"/>
      <c r="O82" s="23"/>
      <c r="P82" s="23"/>
      <c r="Q82" s="23"/>
      <c r="R82" s="23"/>
      <c r="S82" s="23"/>
      <c r="T82" s="23"/>
      <c r="U82" s="23"/>
      <c r="V82" s="23"/>
      <c r="W82" s="23"/>
      <c r="X82" s="23"/>
      <c r="Y82" s="23"/>
      <c r="Z82" s="23"/>
      <c r="AA82" s="23"/>
      <c r="AB82" s="23"/>
      <c r="AC82" s="23"/>
      <c r="AD82" s="23"/>
      <c r="AE82" s="23"/>
      <c r="AF82" s="23"/>
      <c r="AG82" s="23"/>
      <c r="AH82" s="23"/>
      <c r="AI82" s="23"/>
      <c r="AJ82" s="23"/>
      <c r="AK82" s="23"/>
      <c r="AL82" s="23"/>
      <c r="AM82" s="111"/>
    </row>
    <row r="83" spans="1:40" ht="15" customHeight="1" x14ac:dyDescent="0.2">
      <c r="A83" s="19"/>
      <c r="B83" s="99" t="s">
        <v>495</v>
      </c>
      <c r="C83" s="23"/>
      <c r="D83" s="122"/>
      <c r="E83" s="34" t="s">
        <v>348</v>
      </c>
      <c r="F83" s="55">
        <f>Equations!F62</f>
        <v>8</v>
      </c>
      <c r="G83" s="177" t="s">
        <v>118</v>
      </c>
      <c r="H83" s="23"/>
      <c r="I83" s="23"/>
      <c r="J83" s="23"/>
      <c r="K83" s="23"/>
      <c r="L83" s="23"/>
      <c r="M83" s="23"/>
      <c r="N83" s="23"/>
      <c r="O83" s="23"/>
      <c r="P83" s="23"/>
      <c r="Q83" s="23"/>
      <c r="R83" s="23"/>
      <c r="S83" s="23"/>
      <c r="T83" s="23"/>
      <c r="U83" s="23"/>
      <c r="V83" s="23"/>
      <c r="W83" s="23"/>
      <c r="X83" s="23"/>
      <c r="Y83" s="23"/>
      <c r="Z83" s="23"/>
      <c r="AA83" s="23"/>
      <c r="AB83" s="23"/>
      <c r="AC83" s="23"/>
      <c r="AD83" s="23"/>
      <c r="AE83" s="23"/>
      <c r="AF83" s="23"/>
      <c r="AG83" s="23"/>
      <c r="AH83" s="23"/>
      <c r="AI83" s="23"/>
      <c r="AJ83" s="23"/>
      <c r="AK83" s="23"/>
      <c r="AL83" s="23"/>
      <c r="AM83" s="111"/>
    </row>
    <row r="84" spans="1:40" ht="15" customHeight="1" x14ac:dyDescent="0.2">
      <c r="A84" s="19"/>
      <c r="B84" s="336" t="s">
        <v>494</v>
      </c>
      <c r="C84" s="325"/>
      <c r="D84" s="122"/>
      <c r="E84" s="34" t="s">
        <v>349</v>
      </c>
      <c r="F84" s="201">
        <v>10</v>
      </c>
      <c r="G84" s="179" t="s">
        <v>118</v>
      </c>
      <c r="H84" s="23"/>
      <c r="I84" s="23"/>
      <c r="J84" s="23"/>
      <c r="K84" s="23"/>
      <c r="L84" s="23"/>
      <c r="M84" s="23"/>
      <c r="N84" s="23"/>
      <c r="O84" s="23"/>
      <c r="P84" s="23"/>
      <c r="Q84" s="23"/>
      <c r="R84" s="23"/>
      <c r="S84" s="23"/>
      <c r="T84" s="23"/>
      <c r="U84" s="23"/>
      <c r="V84" s="23"/>
      <c r="W84" s="23"/>
      <c r="X84" s="23"/>
      <c r="Y84" s="23"/>
      <c r="Z84" s="23"/>
      <c r="AA84" s="23"/>
      <c r="AB84" s="23"/>
      <c r="AC84" s="23"/>
      <c r="AD84" s="23"/>
      <c r="AE84" s="23"/>
      <c r="AF84" s="23"/>
      <c r="AG84" s="23"/>
      <c r="AH84" s="23"/>
      <c r="AI84" s="23"/>
      <c r="AJ84" s="23"/>
      <c r="AK84" s="23"/>
      <c r="AL84" s="23"/>
      <c r="AM84" s="111"/>
    </row>
    <row r="85" spans="1:40" ht="15" customHeight="1" x14ac:dyDescent="0.2">
      <c r="A85" s="19"/>
      <c r="B85" s="336"/>
      <c r="C85" s="325"/>
      <c r="D85" s="122"/>
      <c r="E85" s="34" t="s">
        <v>461</v>
      </c>
      <c r="F85" s="55">
        <f>Equations!F64</f>
        <v>1.6</v>
      </c>
      <c r="G85" s="179" t="s">
        <v>325</v>
      </c>
      <c r="H85" s="23"/>
      <c r="I85" s="23"/>
      <c r="J85" s="23"/>
      <c r="K85" s="23"/>
      <c r="L85" s="23"/>
      <c r="M85" s="23"/>
      <c r="N85" s="23"/>
      <c r="O85" s="23"/>
      <c r="P85" s="23"/>
      <c r="Q85" s="23"/>
      <c r="R85" s="23"/>
      <c r="S85" s="23"/>
      <c r="T85" s="23"/>
      <c r="U85" s="23"/>
      <c r="V85" s="23"/>
      <c r="W85" s="23"/>
      <c r="X85" s="23"/>
      <c r="Y85" s="23"/>
      <c r="Z85" s="23"/>
      <c r="AA85" s="23"/>
      <c r="AB85" s="23"/>
      <c r="AC85" s="23"/>
      <c r="AD85" s="23"/>
      <c r="AE85" s="23"/>
      <c r="AF85" s="23"/>
      <c r="AG85" s="23"/>
      <c r="AH85" s="23"/>
      <c r="AI85" s="23"/>
      <c r="AJ85" s="23"/>
      <c r="AK85" s="23"/>
      <c r="AL85" s="23"/>
      <c r="AM85" s="111"/>
    </row>
    <row r="86" spans="1:40" ht="16.899999999999999" customHeight="1" x14ac:dyDescent="0.2">
      <c r="A86" s="19"/>
      <c r="B86" s="336"/>
      <c r="C86" s="325"/>
      <c r="D86" s="122"/>
      <c r="E86" s="34" t="s">
        <v>354</v>
      </c>
      <c r="F86" s="55">
        <f>Equations!F71</f>
        <v>3.714985953104541</v>
      </c>
      <c r="G86" s="179"/>
      <c r="H86" s="23"/>
      <c r="I86" s="23"/>
      <c r="J86" s="23"/>
      <c r="K86" s="23"/>
      <c r="L86" s="23"/>
      <c r="M86" s="23"/>
      <c r="N86" s="23"/>
      <c r="O86" s="23"/>
      <c r="P86" s="23"/>
      <c r="Q86" s="23"/>
      <c r="R86" s="23"/>
      <c r="S86" s="23"/>
      <c r="T86" s="23"/>
      <c r="U86" s="23"/>
      <c r="V86" s="23"/>
      <c r="W86" s="23"/>
      <c r="X86" s="23"/>
      <c r="Y86" s="23"/>
      <c r="Z86" s="23"/>
      <c r="AA86" s="23"/>
      <c r="AB86" s="23"/>
      <c r="AC86" s="23"/>
      <c r="AD86" s="23"/>
      <c r="AE86" s="23"/>
      <c r="AF86" s="23"/>
      <c r="AG86" s="23"/>
      <c r="AH86" s="23"/>
      <c r="AI86" s="23"/>
      <c r="AJ86" s="23"/>
      <c r="AK86" s="23"/>
      <c r="AL86" s="23"/>
      <c r="AM86" s="111"/>
    </row>
    <row r="87" spans="1:40" ht="16.899999999999999" customHeight="1" x14ac:dyDescent="0.2">
      <c r="A87" s="19"/>
      <c r="B87" s="336"/>
      <c r="C87" s="325"/>
      <c r="D87" s="122"/>
      <c r="E87" s="34" t="s">
        <v>351</v>
      </c>
      <c r="F87" s="201">
        <v>0.52</v>
      </c>
      <c r="G87" s="179" t="s">
        <v>8</v>
      </c>
      <c r="H87" s="23"/>
      <c r="I87" s="23"/>
      <c r="J87" s="23"/>
      <c r="K87" s="23"/>
      <c r="L87" s="23"/>
      <c r="M87" s="23"/>
      <c r="N87" s="23"/>
      <c r="O87" s="23"/>
      <c r="P87" s="23"/>
      <c r="Q87" s="23"/>
      <c r="R87" s="23"/>
      <c r="S87" s="23"/>
      <c r="T87" s="23"/>
      <c r="U87" s="23"/>
      <c r="V87" s="23"/>
      <c r="W87" s="23"/>
      <c r="X87" s="23"/>
      <c r="Y87" s="23"/>
      <c r="Z87" s="23"/>
      <c r="AA87" s="23"/>
      <c r="AB87" s="23"/>
      <c r="AC87" s="23"/>
      <c r="AD87" s="23"/>
      <c r="AE87" s="23"/>
      <c r="AF87" s="23"/>
      <c r="AG87" s="23"/>
      <c r="AH87" s="23"/>
      <c r="AI87" s="23"/>
      <c r="AJ87" s="23"/>
      <c r="AK87" s="23"/>
      <c r="AL87" s="23"/>
      <c r="AM87" s="111"/>
    </row>
    <row r="88" spans="1:40" ht="16.899999999999999" customHeight="1" x14ac:dyDescent="0.2">
      <c r="A88" s="19"/>
      <c r="B88" s="336"/>
      <c r="C88" s="325"/>
      <c r="D88" s="122"/>
      <c r="E88" s="34" t="s">
        <v>352</v>
      </c>
      <c r="F88" s="55">
        <f>Equations!F76</f>
        <v>11.05</v>
      </c>
      <c r="G88" s="179" t="s">
        <v>118</v>
      </c>
      <c r="H88" s="23"/>
      <c r="I88" s="23"/>
      <c r="J88" s="23"/>
      <c r="K88" s="23"/>
      <c r="L88" s="23"/>
      <c r="M88" s="23"/>
      <c r="N88" s="23"/>
      <c r="O88" s="23"/>
      <c r="P88" s="23"/>
      <c r="Q88" s="23"/>
      <c r="R88" s="23"/>
      <c r="S88" s="23"/>
      <c r="T88" s="23"/>
      <c r="U88" s="23"/>
      <c r="V88" s="23"/>
      <c r="W88" s="23"/>
      <c r="X88" s="23"/>
      <c r="Y88" s="23"/>
      <c r="Z88" s="23"/>
      <c r="AA88" s="23"/>
      <c r="AB88" s="23"/>
      <c r="AC88" s="23"/>
      <c r="AD88" s="23"/>
      <c r="AE88" s="23"/>
      <c r="AF88" s="23"/>
      <c r="AG88" s="23"/>
      <c r="AH88" s="23"/>
      <c r="AI88" s="23"/>
      <c r="AJ88" s="23"/>
      <c r="AK88" s="23"/>
      <c r="AL88" s="23"/>
      <c r="AM88" s="111"/>
    </row>
    <row r="89" spans="1:40" ht="16.899999999999999" customHeight="1" x14ac:dyDescent="0.3">
      <c r="A89" s="19"/>
      <c r="B89" s="99"/>
      <c r="C89" s="23"/>
      <c r="D89" s="122"/>
      <c r="E89" s="194" t="s">
        <v>356</v>
      </c>
      <c r="F89" s="201">
        <v>10</v>
      </c>
      <c r="G89" s="179" t="s">
        <v>118</v>
      </c>
      <c r="H89" s="23"/>
      <c r="I89" s="23"/>
      <c r="J89" s="23"/>
      <c r="K89" s="23"/>
      <c r="L89" s="23"/>
      <c r="M89" s="23"/>
      <c r="N89" s="23"/>
      <c r="O89" s="23"/>
      <c r="P89" s="23"/>
      <c r="Q89" s="23"/>
      <c r="R89" s="23"/>
      <c r="S89" s="23"/>
      <c r="T89" s="23"/>
      <c r="U89" s="23"/>
      <c r="V89" s="23"/>
      <c r="W89" s="23"/>
      <c r="X89" s="23"/>
      <c r="Y89" s="23"/>
      <c r="Z89" s="23"/>
      <c r="AA89" s="23"/>
      <c r="AB89" s="23"/>
      <c r="AC89" s="23"/>
      <c r="AD89" s="23"/>
      <c r="AE89" s="23"/>
      <c r="AF89" s="23"/>
      <c r="AG89" s="23"/>
      <c r="AH89" s="23"/>
      <c r="AI89" s="23"/>
      <c r="AJ89" s="23"/>
      <c r="AK89" s="23"/>
      <c r="AL89" s="23"/>
      <c r="AM89" s="111"/>
    </row>
    <row r="90" spans="1:40" ht="15" customHeight="1" x14ac:dyDescent="0.2">
      <c r="A90" s="19"/>
      <c r="B90" s="99"/>
      <c r="C90" s="23"/>
      <c r="D90" s="122"/>
      <c r="E90" s="176" t="s">
        <v>358</v>
      </c>
      <c r="F90" s="55">
        <f>Equations!F78</f>
        <v>0.47058823529411764</v>
      </c>
      <c r="G90" s="179" t="s">
        <v>8</v>
      </c>
      <c r="H90" s="23"/>
      <c r="I90" s="23"/>
      <c r="J90" s="23"/>
      <c r="K90" s="23"/>
      <c r="L90" s="23"/>
      <c r="M90" s="23"/>
      <c r="N90" s="23"/>
      <c r="O90" s="23"/>
      <c r="P90" s="23"/>
      <c r="Q90" s="23"/>
      <c r="R90" s="23"/>
      <c r="S90" s="23"/>
      <c r="T90" s="23"/>
      <c r="U90" s="23"/>
      <c r="V90" s="23"/>
      <c r="W90" s="23"/>
      <c r="X90" s="23"/>
      <c r="Y90" s="23"/>
      <c r="Z90" s="23"/>
      <c r="AA90" s="23"/>
      <c r="AB90" s="23"/>
      <c r="AC90" s="23"/>
      <c r="AD90" s="23"/>
      <c r="AE90" s="23"/>
      <c r="AF90" s="23"/>
      <c r="AG90" s="23"/>
      <c r="AH90" s="23"/>
      <c r="AI90" s="23"/>
      <c r="AJ90" s="23"/>
      <c r="AK90" s="23"/>
      <c r="AL90" s="23"/>
      <c r="AM90" s="116" t="s">
        <v>259</v>
      </c>
    </row>
    <row r="91" spans="1:40" ht="15" customHeight="1" x14ac:dyDescent="0.2">
      <c r="A91" s="19"/>
      <c r="B91" s="99"/>
      <c r="C91" s="23"/>
      <c r="D91" s="122"/>
      <c r="E91" s="176" t="s">
        <v>362</v>
      </c>
      <c r="F91" s="55">
        <f>Equations!F80</f>
        <v>0.98044593539580394</v>
      </c>
      <c r="G91" s="180"/>
      <c r="H91" s="23"/>
      <c r="I91" s="23"/>
      <c r="J91" s="23"/>
      <c r="K91" s="23"/>
      <c r="L91" s="23"/>
      <c r="M91" s="23"/>
      <c r="N91" s="23"/>
      <c r="O91" s="23"/>
      <c r="P91" s="23"/>
      <c r="Q91" s="23"/>
      <c r="R91" s="23"/>
      <c r="S91" s="23"/>
      <c r="T91" s="23"/>
      <c r="U91" s="23"/>
      <c r="V91" s="23"/>
      <c r="W91" s="23"/>
      <c r="X91" s="23"/>
      <c r="Y91" s="23"/>
      <c r="Z91" s="23"/>
      <c r="AA91" s="23"/>
      <c r="AB91" s="23"/>
      <c r="AC91" s="23"/>
      <c r="AD91" s="23"/>
      <c r="AE91" s="23"/>
      <c r="AF91" s="23"/>
      <c r="AG91" s="23"/>
      <c r="AH91" s="23"/>
      <c r="AI91" s="23"/>
      <c r="AJ91" s="23"/>
      <c r="AK91" s="23"/>
      <c r="AL91" s="23"/>
      <c r="AM91" s="116"/>
    </row>
    <row r="92" spans="1:40" ht="14.45" customHeight="1" x14ac:dyDescent="0.2">
      <c r="A92" s="19"/>
      <c r="B92" s="99"/>
      <c r="C92" s="23"/>
      <c r="D92" s="122"/>
      <c r="E92" s="175" t="s">
        <v>197</v>
      </c>
      <c r="F92" s="62">
        <f>Equations!F107</f>
        <v>320</v>
      </c>
      <c r="G92" s="180" t="s">
        <v>8</v>
      </c>
      <c r="H92" s="23"/>
      <c r="I92" s="23"/>
      <c r="J92" s="23"/>
      <c r="K92" s="23"/>
      <c r="L92" s="23"/>
      <c r="M92" s="23"/>
      <c r="N92" s="23"/>
      <c r="O92" s="23"/>
      <c r="P92" s="23"/>
      <c r="Q92" s="23"/>
      <c r="R92" s="23"/>
      <c r="S92" s="23"/>
      <c r="T92" s="23"/>
      <c r="U92" s="23"/>
      <c r="V92" s="23"/>
      <c r="W92" s="23"/>
      <c r="X92" s="23"/>
      <c r="Y92" s="23"/>
      <c r="Z92" s="23"/>
      <c r="AA92" s="23"/>
      <c r="AB92" s="23"/>
      <c r="AC92" s="23"/>
      <c r="AD92" s="23"/>
      <c r="AE92" s="23"/>
      <c r="AF92" s="23"/>
      <c r="AG92" s="23"/>
      <c r="AH92" s="23"/>
      <c r="AI92" s="23"/>
      <c r="AJ92" s="23"/>
      <c r="AK92" s="23"/>
      <c r="AL92" s="23"/>
      <c r="AM92" s="111"/>
    </row>
    <row r="93" spans="1:40" ht="15" customHeight="1" thickBot="1" x14ac:dyDescent="0.25">
      <c r="A93" s="19"/>
      <c r="B93" s="99"/>
      <c r="C93" s="23"/>
      <c r="D93" s="122"/>
      <c r="E93" s="175" t="s">
        <v>91</v>
      </c>
      <c r="F93" s="55">
        <f>Equations!F110</f>
        <v>4138.8470588235305</v>
      </c>
      <c r="G93" s="179" t="s">
        <v>8</v>
      </c>
      <c r="H93" s="131"/>
      <c r="I93" s="23"/>
      <c r="J93" s="23"/>
      <c r="K93" s="23"/>
      <c r="L93" s="23"/>
      <c r="M93" s="23"/>
      <c r="N93" s="23"/>
      <c r="O93" s="23"/>
      <c r="P93" s="23"/>
      <c r="Q93" s="23"/>
      <c r="R93" s="23"/>
      <c r="S93" s="23"/>
      <c r="T93" s="23"/>
      <c r="U93" s="23"/>
      <c r="V93" s="23"/>
      <c r="W93" s="23"/>
      <c r="X93" s="23"/>
      <c r="Y93" s="23"/>
      <c r="Z93" s="23"/>
      <c r="AA93" s="23"/>
      <c r="AB93" s="23"/>
      <c r="AC93" s="23"/>
      <c r="AD93" s="23"/>
      <c r="AE93" s="23"/>
      <c r="AF93" s="23"/>
      <c r="AG93" s="23"/>
      <c r="AH93" s="23"/>
      <c r="AI93" s="23"/>
      <c r="AJ93" s="23"/>
      <c r="AK93" s="23"/>
      <c r="AL93" s="23"/>
      <c r="AM93" s="111"/>
    </row>
    <row r="94" spans="1:40" ht="15" customHeight="1" x14ac:dyDescent="0.25">
      <c r="A94" s="19"/>
      <c r="B94" s="154" t="s">
        <v>211</v>
      </c>
      <c r="C94" s="146"/>
      <c r="D94" s="96"/>
      <c r="E94" s="110" t="s">
        <v>21</v>
      </c>
      <c r="F94" s="202" t="s">
        <v>20</v>
      </c>
      <c r="G94" s="185"/>
      <c r="H94" s="96"/>
      <c r="I94" s="96"/>
      <c r="J94" s="96"/>
      <c r="K94" s="96"/>
      <c r="L94" s="96"/>
      <c r="M94" s="96"/>
      <c r="N94" s="96"/>
      <c r="O94" s="96"/>
      <c r="P94" s="96"/>
      <c r="Q94" s="96"/>
      <c r="R94" s="96"/>
      <c r="S94" s="96"/>
      <c r="T94" s="96"/>
      <c r="U94" s="96"/>
      <c r="V94" s="96"/>
      <c r="W94" s="96"/>
      <c r="X94" s="96"/>
      <c r="Y94" s="96"/>
      <c r="Z94" s="96"/>
      <c r="AA94" s="96"/>
      <c r="AB94" s="96"/>
      <c r="AC94" s="96"/>
      <c r="AD94" s="96"/>
      <c r="AE94" s="96"/>
      <c r="AF94" s="96"/>
      <c r="AG94" s="96"/>
      <c r="AH94" s="96"/>
      <c r="AI94" s="96"/>
      <c r="AJ94" s="96"/>
      <c r="AK94" s="96"/>
      <c r="AL94" s="96"/>
      <c r="AM94" s="130"/>
      <c r="AN94" s="33" t="s">
        <v>19</v>
      </c>
    </row>
    <row r="95" spans="1:40" ht="15" customHeight="1" x14ac:dyDescent="0.2">
      <c r="A95" s="19"/>
      <c r="B95" s="99"/>
      <c r="C95" s="23"/>
      <c r="D95" s="23"/>
      <c r="E95" s="65" t="s">
        <v>92</v>
      </c>
      <c r="F95" s="203">
        <v>30</v>
      </c>
      <c r="G95" s="186" t="s">
        <v>86</v>
      </c>
      <c r="H95" s="23"/>
      <c r="I95" s="23"/>
      <c r="J95" s="23"/>
      <c r="K95" s="23"/>
      <c r="L95" s="23"/>
      <c r="M95" s="23"/>
      <c r="N95" s="23"/>
      <c r="O95" s="23"/>
      <c r="P95" s="23"/>
      <c r="Q95" s="23"/>
      <c r="R95" s="23"/>
      <c r="S95" s="23"/>
      <c r="T95" s="23"/>
      <c r="U95" s="23"/>
      <c r="V95" s="23"/>
      <c r="W95" s="23"/>
      <c r="X95" s="23"/>
      <c r="Y95" s="23"/>
      <c r="Z95" s="23"/>
      <c r="AA95" s="23"/>
      <c r="AB95" s="23"/>
      <c r="AC95" s="23"/>
      <c r="AD95" s="23"/>
      <c r="AE95" s="23"/>
      <c r="AF95" s="23"/>
      <c r="AG95" s="23"/>
      <c r="AH95" s="23"/>
      <c r="AI95" s="23"/>
      <c r="AJ95" s="23"/>
      <c r="AK95" s="23"/>
      <c r="AL95" s="23"/>
      <c r="AM95" s="111"/>
      <c r="AN95" s="33" t="s">
        <v>20</v>
      </c>
    </row>
    <row r="96" spans="1:40" ht="15" customHeight="1" x14ac:dyDescent="0.2">
      <c r="A96" s="19"/>
      <c r="B96" s="99"/>
      <c r="C96" s="23"/>
      <c r="D96" s="23"/>
      <c r="E96" s="65" t="s">
        <v>93</v>
      </c>
      <c r="F96" s="203">
        <v>28</v>
      </c>
      <c r="G96" s="186" t="s">
        <v>86</v>
      </c>
      <c r="H96" s="23"/>
      <c r="I96" s="23"/>
      <c r="J96" s="23"/>
      <c r="K96" s="23"/>
      <c r="L96" s="23"/>
      <c r="M96" s="23"/>
      <c r="N96" s="23"/>
      <c r="O96" s="23"/>
      <c r="P96" s="23"/>
      <c r="Q96" s="23"/>
      <c r="R96" s="23"/>
      <c r="S96" s="23"/>
      <c r="T96" s="23"/>
      <c r="U96" s="23"/>
      <c r="V96" s="23"/>
      <c r="W96" s="23"/>
      <c r="X96" s="23"/>
      <c r="Y96" s="23"/>
      <c r="Z96" s="23"/>
      <c r="AA96" s="23"/>
      <c r="AB96" s="23"/>
      <c r="AC96" s="23"/>
      <c r="AD96" s="23"/>
      <c r="AE96" s="23"/>
      <c r="AF96" s="23"/>
      <c r="AG96" s="23"/>
      <c r="AH96" s="23"/>
      <c r="AI96" s="23"/>
      <c r="AJ96" s="23"/>
      <c r="AK96" s="23"/>
      <c r="AL96" s="23"/>
      <c r="AM96" s="111"/>
      <c r="AN96" t="s">
        <v>425</v>
      </c>
    </row>
    <row r="97" spans="1:40" ht="15" customHeight="1" x14ac:dyDescent="0.2">
      <c r="A97" s="19"/>
      <c r="B97" s="99"/>
      <c r="C97" s="23"/>
      <c r="D97" s="23"/>
      <c r="E97" s="65" t="s">
        <v>102</v>
      </c>
      <c r="F97" s="203">
        <v>65</v>
      </c>
      <c r="G97" s="186" t="s">
        <v>86</v>
      </c>
      <c r="H97" s="23"/>
      <c r="I97" s="23"/>
      <c r="J97" s="23"/>
      <c r="K97" s="23"/>
      <c r="L97" s="23"/>
      <c r="M97" s="23"/>
      <c r="N97" s="23"/>
      <c r="O97" s="23"/>
      <c r="P97" s="23"/>
      <c r="Q97" s="23"/>
      <c r="R97" s="23"/>
      <c r="S97" s="23"/>
      <c r="T97" s="23"/>
      <c r="U97" s="23"/>
      <c r="V97" s="23"/>
      <c r="W97" s="23"/>
      <c r="X97" s="23"/>
      <c r="Y97" s="23"/>
      <c r="Z97" s="23"/>
      <c r="AA97" s="23"/>
      <c r="AB97" s="23"/>
      <c r="AC97" s="23"/>
      <c r="AD97" s="23"/>
      <c r="AE97" s="23"/>
      <c r="AF97" s="23"/>
      <c r="AG97" s="23"/>
      <c r="AH97" s="23"/>
      <c r="AI97" s="23"/>
      <c r="AJ97" s="23"/>
      <c r="AK97" s="23"/>
      <c r="AL97" s="23"/>
      <c r="AM97" s="111"/>
      <c r="AN97" t="s">
        <v>426</v>
      </c>
    </row>
    <row r="98" spans="1:40" ht="15" customHeight="1" x14ac:dyDescent="0.2">
      <c r="A98" s="19"/>
      <c r="B98" s="99"/>
      <c r="C98" s="23"/>
      <c r="D98" s="23"/>
      <c r="E98" s="121" t="s">
        <v>94</v>
      </c>
      <c r="F98" s="203">
        <v>63</v>
      </c>
      <c r="G98" s="186" t="s">
        <v>86</v>
      </c>
      <c r="H98" s="23"/>
      <c r="I98" s="23"/>
      <c r="J98" s="23"/>
      <c r="K98" s="23"/>
      <c r="L98" s="23"/>
      <c r="M98" s="23"/>
      <c r="N98" s="23"/>
      <c r="O98" s="23"/>
      <c r="P98" s="23"/>
      <c r="Q98" s="23"/>
      <c r="R98" s="23"/>
      <c r="S98" s="23"/>
      <c r="T98" s="23"/>
      <c r="U98" s="23"/>
      <c r="V98" s="23"/>
      <c r="W98" s="23"/>
      <c r="X98" s="23"/>
      <c r="Y98" s="23"/>
      <c r="Z98" s="23"/>
      <c r="AA98" s="23"/>
      <c r="AB98" s="23"/>
      <c r="AC98" s="23"/>
      <c r="AD98" s="23"/>
      <c r="AE98" s="23"/>
      <c r="AF98" s="23"/>
      <c r="AG98" s="23"/>
      <c r="AH98" s="23"/>
      <c r="AI98" s="23"/>
      <c r="AJ98" s="23"/>
      <c r="AK98" s="23"/>
      <c r="AL98" s="23"/>
      <c r="AM98" s="111"/>
    </row>
    <row r="99" spans="1:40" ht="15" customHeight="1" x14ac:dyDescent="0.2">
      <c r="A99" s="19"/>
      <c r="B99" s="99"/>
      <c r="C99" s="23"/>
      <c r="D99" s="23"/>
      <c r="E99" s="120" t="s">
        <v>256</v>
      </c>
      <c r="F99" s="60">
        <f>IF(F94="Option A",Equations!F128,Equations!G128)</f>
        <v>95.238095238095241</v>
      </c>
      <c r="G99" s="187" t="s">
        <v>84</v>
      </c>
      <c r="H99" s="23"/>
      <c r="I99" s="23"/>
      <c r="J99" s="23"/>
      <c r="K99" s="23"/>
      <c r="L99" s="23"/>
      <c r="M99" s="23"/>
      <c r="N99" s="23"/>
      <c r="O99" s="23"/>
      <c r="P99" s="23"/>
      <c r="Q99" s="23"/>
      <c r="R99" s="23"/>
      <c r="S99" s="23"/>
      <c r="T99" s="23"/>
      <c r="U99" s="23"/>
      <c r="V99" s="23"/>
      <c r="W99" s="23"/>
      <c r="X99" s="23"/>
      <c r="Y99" s="23"/>
      <c r="Z99" s="23"/>
      <c r="AA99" s="23"/>
      <c r="AB99" s="23"/>
      <c r="AC99" s="23"/>
      <c r="AD99" s="23"/>
      <c r="AE99" s="23"/>
      <c r="AF99" s="23"/>
      <c r="AG99" s="23"/>
      <c r="AH99" s="23"/>
      <c r="AI99" s="23"/>
      <c r="AJ99" s="23"/>
      <c r="AK99" s="23"/>
      <c r="AL99" s="23"/>
      <c r="AM99" s="111"/>
    </row>
    <row r="100" spans="1:40" ht="15" customHeight="1" x14ac:dyDescent="0.2">
      <c r="A100" s="19"/>
      <c r="B100" s="99"/>
      <c r="C100" s="23"/>
      <c r="D100" s="23"/>
      <c r="E100" s="119" t="s">
        <v>22</v>
      </c>
      <c r="F100" s="60">
        <f>IF(F94="Option A",Equations!F129,Equations!G129)</f>
        <v>9.3370681605975729</v>
      </c>
      <c r="G100" s="187" t="s">
        <v>84</v>
      </c>
      <c r="H100" s="23"/>
      <c r="I100" s="23"/>
      <c r="J100" s="23"/>
      <c r="K100" s="23"/>
      <c r="L100" s="23"/>
      <c r="M100" s="23"/>
      <c r="N100" s="23"/>
      <c r="O100" s="23"/>
      <c r="P100" s="23"/>
      <c r="Q100" s="23"/>
      <c r="R100" s="23"/>
      <c r="S100" s="23"/>
      <c r="T100" s="23"/>
      <c r="U100" s="23"/>
      <c r="V100" s="23"/>
      <c r="W100" s="23"/>
      <c r="X100" s="23"/>
      <c r="Y100" s="23"/>
      <c r="Z100" s="23"/>
      <c r="AA100" s="23"/>
      <c r="AB100" s="23"/>
      <c r="AC100" s="23"/>
      <c r="AD100" s="23"/>
      <c r="AE100" s="23"/>
      <c r="AF100" s="23"/>
      <c r="AG100" s="23"/>
      <c r="AH100" s="23"/>
      <c r="AI100" s="23"/>
      <c r="AJ100" s="23"/>
      <c r="AK100" s="23"/>
      <c r="AL100" s="23"/>
      <c r="AM100" s="111"/>
    </row>
    <row r="101" spans="1:40" ht="15" customHeight="1" x14ac:dyDescent="0.2">
      <c r="A101" s="19"/>
      <c r="B101" s="312" t="s">
        <v>211</v>
      </c>
      <c r="C101" s="23"/>
      <c r="D101" s="23"/>
      <c r="E101" s="119" t="s">
        <v>23</v>
      </c>
      <c r="F101" s="60">
        <f>IF(F94="Option A",Equations!F130,Equations!G130)</f>
        <v>95.238095238095241</v>
      </c>
      <c r="G101" s="187" t="s">
        <v>84</v>
      </c>
      <c r="H101" s="23"/>
      <c r="I101" s="23"/>
      <c r="J101" s="23"/>
      <c r="K101" s="23"/>
      <c r="L101" s="23"/>
      <c r="M101" s="23"/>
      <c r="N101" s="23"/>
      <c r="O101" s="23"/>
      <c r="P101" s="23"/>
      <c r="Q101" s="23"/>
      <c r="R101" s="23"/>
      <c r="S101" s="23"/>
      <c r="T101" s="23"/>
      <c r="U101" s="23"/>
      <c r="V101" s="23"/>
      <c r="W101" s="23"/>
      <c r="X101" s="23"/>
      <c r="Y101" s="23"/>
      <c r="Z101" s="23"/>
      <c r="AA101" s="23"/>
      <c r="AB101" s="23"/>
      <c r="AC101" s="23"/>
      <c r="AD101" s="23"/>
      <c r="AE101" s="23"/>
      <c r="AF101" s="23"/>
      <c r="AG101" s="23"/>
      <c r="AH101" s="23"/>
      <c r="AI101" s="23"/>
      <c r="AJ101" s="23"/>
      <c r="AK101" s="23"/>
      <c r="AL101" s="23"/>
      <c r="AM101" s="111"/>
    </row>
    <row r="102" spans="1:40" ht="15" customHeight="1" x14ac:dyDescent="0.2">
      <c r="A102" s="19"/>
      <c r="B102" s="99"/>
      <c r="C102" s="23"/>
      <c r="D102" s="23"/>
      <c r="E102" s="119" t="s">
        <v>24</v>
      </c>
      <c r="F102" s="60">
        <f>IF(F94="Option A",Equations!F131,Equations!G131)</f>
        <v>3.8095238095238098</v>
      </c>
      <c r="G102" s="186" t="s">
        <v>84</v>
      </c>
      <c r="H102" s="23"/>
      <c r="I102" s="23"/>
      <c r="J102" s="114"/>
      <c r="K102" s="23"/>
      <c r="L102" s="23"/>
      <c r="M102" s="23"/>
      <c r="N102" s="23"/>
      <c r="O102" s="23"/>
      <c r="P102" s="23"/>
      <c r="Q102" s="23"/>
      <c r="R102" s="23"/>
      <c r="S102" s="23"/>
      <c r="T102" s="23"/>
      <c r="U102" s="23"/>
      <c r="V102" s="23"/>
      <c r="W102" s="23"/>
      <c r="X102" s="23"/>
      <c r="Y102" s="23"/>
      <c r="Z102" s="23"/>
      <c r="AA102" s="23"/>
      <c r="AB102" s="23"/>
      <c r="AC102" s="23"/>
      <c r="AD102" s="23"/>
      <c r="AE102" s="23"/>
      <c r="AF102" s="23"/>
      <c r="AG102" s="23"/>
      <c r="AH102" s="23"/>
      <c r="AI102" s="23"/>
      <c r="AJ102" s="23"/>
      <c r="AK102" s="23"/>
      <c r="AL102" s="23"/>
      <c r="AM102" s="111"/>
    </row>
    <row r="103" spans="1:40" ht="15" customHeight="1" x14ac:dyDescent="0.2">
      <c r="A103" s="19"/>
      <c r="B103" s="99"/>
      <c r="C103" s="23"/>
      <c r="D103" s="23"/>
      <c r="E103" s="65" t="s">
        <v>105</v>
      </c>
      <c r="F103" s="203">
        <v>100</v>
      </c>
      <c r="G103" s="187" t="s">
        <v>84</v>
      </c>
      <c r="H103" s="23"/>
      <c r="I103" s="23"/>
      <c r="J103" s="114"/>
      <c r="K103" s="23"/>
      <c r="L103" s="23"/>
      <c r="M103" s="23"/>
      <c r="N103" s="23"/>
      <c r="O103" s="23"/>
      <c r="P103" s="23"/>
      <c r="Q103" s="23"/>
      <c r="R103" s="23"/>
      <c r="S103" s="23"/>
      <c r="T103" s="23"/>
      <c r="U103" s="23"/>
      <c r="V103" s="23"/>
      <c r="W103" s="23"/>
      <c r="X103" s="23"/>
      <c r="Y103" s="23"/>
      <c r="Z103" s="23"/>
      <c r="AA103" s="23"/>
      <c r="AB103" s="23"/>
      <c r="AC103" s="23"/>
      <c r="AD103" s="23"/>
      <c r="AE103" s="23"/>
      <c r="AF103" s="23"/>
      <c r="AG103" s="23"/>
      <c r="AH103" s="23"/>
      <c r="AI103" s="23"/>
      <c r="AJ103" s="23"/>
      <c r="AK103" s="23"/>
      <c r="AL103" s="23"/>
      <c r="AM103" s="111"/>
    </row>
    <row r="104" spans="1:40" ht="15" customHeight="1" x14ac:dyDescent="0.2">
      <c r="A104" s="19"/>
      <c r="B104" s="99"/>
      <c r="C104" s="23"/>
      <c r="D104" s="23"/>
      <c r="E104" s="65" t="s">
        <v>106</v>
      </c>
      <c r="F104" s="203">
        <v>9.76</v>
      </c>
      <c r="G104" s="187" t="s">
        <v>84</v>
      </c>
      <c r="H104" s="23"/>
      <c r="I104" s="23"/>
      <c r="J104" s="114"/>
      <c r="K104" s="23"/>
      <c r="L104" s="23"/>
      <c r="M104" s="23"/>
      <c r="N104" s="23"/>
      <c r="O104" s="23"/>
      <c r="P104" s="23"/>
      <c r="Q104" s="23"/>
      <c r="R104" s="23"/>
      <c r="S104" s="23"/>
      <c r="T104" s="23"/>
      <c r="U104" s="23"/>
      <c r="V104" s="23"/>
      <c r="W104" s="23"/>
      <c r="X104" s="23"/>
      <c r="Y104" s="23"/>
      <c r="Z104" s="23"/>
      <c r="AA104" s="23"/>
      <c r="AB104" s="23"/>
      <c r="AC104" s="23"/>
      <c r="AD104" s="23"/>
      <c r="AE104" s="23"/>
      <c r="AF104" s="23"/>
      <c r="AG104" s="23"/>
      <c r="AH104" s="23"/>
      <c r="AI104" s="23"/>
      <c r="AJ104" s="23"/>
      <c r="AK104" s="23"/>
      <c r="AL104" s="23"/>
      <c r="AM104" s="111"/>
    </row>
    <row r="105" spans="1:40" ht="15" customHeight="1" x14ac:dyDescent="0.2">
      <c r="A105" s="19"/>
      <c r="B105" s="99"/>
      <c r="C105" s="23"/>
      <c r="D105" s="23"/>
      <c r="E105" s="65" t="s">
        <v>107</v>
      </c>
      <c r="F105" s="203">
        <v>100</v>
      </c>
      <c r="G105" s="187" t="s">
        <v>84</v>
      </c>
      <c r="H105" s="23"/>
      <c r="I105" s="23"/>
      <c r="J105" s="114"/>
      <c r="K105" s="23"/>
      <c r="L105" s="23"/>
      <c r="M105" s="23"/>
      <c r="N105" s="23"/>
      <c r="O105" s="23"/>
      <c r="P105" s="23"/>
      <c r="Q105" s="23"/>
      <c r="R105" s="23"/>
      <c r="S105" s="23"/>
      <c r="T105" s="23"/>
      <c r="U105" s="23"/>
      <c r="V105" s="23"/>
      <c r="W105" s="23"/>
      <c r="X105" s="23"/>
      <c r="Y105" s="23"/>
      <c r="Z105" s="23"/>
      <c r="AA105" s="23"/>
      <c r="AB105" s="23"/>
      <c r="AC105" s="23"/>
      <c r="AD105" s="23"/>
      <c r="AE105" s="23"/>
      <c r="AF105" s="23"/>
      <c r="AG105" s="23"/>
      <c r="AH105" s="23"/>
      <c r="AI105" s="23"/>
      <c r="AJ105" s="23"/>
      <c r="AK105" s="23"/>
      <c r="AL105" s="23"/>
      <c r="AM105" s="111"/>
    </row>
    <row r="106" spans="1:40" ht="15" customHeight="1" x14ac:dyDescent="0.2">
      <c r="A106" s="19"/>
      <c r="B106" s="99"/>
      <c r="C106" s="23"/>
      <c r="D106" s="23"/>
      <c r="E106" s="65" t="s">
        <v>108</v>
      </c>
      <c r="F106" s="203">
        <v>4</v>
      </c>
      <c r="G106" s="187" t="s">
        <v>84</v>
      </c>
      <c r="H106" s="23"/>
      <c r="I106" s="23"/>
      <c r="J106" s="23"/>
      <c r="K106" s="23"/>
      <c r="L106" s="23"/>
      <c r="M106" s="23"/>
      <c r="N106" s="23"/>
      <c r="O106" s="23"/>
      <c r="P106" s="23"/>
      <c r="Q106" s="23"/>
      <c r="R106" s="23"/>
      <c r="S106" s="23"/>
      <c r="T106" s="23"/>
      <c r="U106" s="23"/>
      <c r="V106" s="23"/>
      <c r="W106" s="23"/>
      <c r="X106" s="23"/>
      <c r="Y106" s="23"/>
      <c r="Z106" s="23"/>
      <c r="AA106" s="23"/>
      <c r="AB106" s="23"/>
      <c r="AC106" s="23"/>
      <c r="AD106" s="23"/>
      <c r="AE106" s="23"/>
      <c r="AF106" s="23"/>
      <c r="AG106" s="23"/>
      <c r="AH106" s="23"/>
      <c r="AI106" s="23"/>
      <c r="AJ106" s="23"/>
      <c r="AK106" s="23"/>
      <c r="AL106" s="23"/>
      <c r="AM106" s="111"/>
    </row>
    <row r="107" spans="1:40" ht="15" customHeight="1" x14ac:dyDescent="0.2">
      <c r="A107" s="19"/>
      <c r="B107" s="99"/>
      <c r="C107" s="23"/>
      <c r="D107" s="23"/>
      <c r="E107" s="23"/>
      <c r="F107" s="23"/>
      <c r="G107" s="188"/>
      <c r="H107" s="23"/>
      <c r="I107" s="23"/>
      <c r="J107" s="23"/>
      <c r="K107" s="23"/>
      <c r="L107" s="23"/>
      <c r="M107" s="23"/>
      <c r="N107" s="23"/>
      <c r="O107" s="23"/>
      <c r="P107" s="23"/>
      <c r="Q107" s="23"/>
      <c r="R107" s="23"/>
      <c r="S107" s="23"/>
      <c r="T107" s="23"/>
      <c r="U107" s="23"/>
      <c r="V107" s="23"/>
      <c r="W107" s="23"/>
      <c r="X107" s="23"/>
      <c r="Y107" s="23"/>
      <c r="Z107" s="23"/>
      <c r="AA107" s="23"/>
      <c r="AB107" s="23"/>
      <c r="AC107" s="23"/>
      <c r="AD107" s="23"/>
      <c r="AE107" s="23"/>
      <c r="AF107" s="23"/>
      <c r="AG107" s="23"/>
      <c r="AH107" s="23"/>
      <c r="AI107" s="23"/>
      <c r="AJ107" s="23"/>
      <c r="AK107" s="23"/>
      <c r="AL107" s="23"/>
      <c r="AM107" s="111"/>
    </row>
    <row r="108" spans="1:40" ht="15" customHeight="1" thickBot="1" x14ac:dyDescent="0.25">
      <c r="A108" s="19"/>
      <c r="B108" s="99"/>
      <c r="C108" s="112" t="s">
        <v>54</v>
      </c>
      <c r="D108" s="113" t="s">
        <v>35</v>
      </c>
      <c r="E108" s="113" t="s">
        <v>36</v>
      </c>
      <c r="F108" s="113" t="s">
        <v>37</v>
      </c>
      <c r="G108" s="188"/>
      <c r="H108" s="122"/>
      <c r="I108" s="122"/>
      <c r="J108" s="23"/>
      <c r="K108" s="23"/>
      <c r="L108" s="23"/>
      <c r="M108" s="23"/>
      <c r="N108" s="23"/>
      <c r="O108" s="23"/>
      <c r="P108" s="23"/>
      <c r="Q108" s="23"/>
      <c r="R108" s="23"/>
      <c r="S108" s="23"/>
      <c r="T108" s="23"/>
      <c r="U108" s="23"/>
      <c r="V108" s="23"/>
      <c r="W108" s="23"/>
      <c r="X108" s="23"/>
      <c r="Y108" s="23"/>
      <c r="Z108" s="23"/>
      <c r="AA108" s="23"/>
      <c r="AB108" s="23"/>
      <c r="AC108" s="23"/>
      <c r="AD108" s="23"/>
      <c r="AE108" s="23"/>
      <c r="AF108" s="23"/>
      <c r="AG108" s="23"/>
      <c r="AH108" s="23"/>
      <c r="AI108" s="23"/>
      <c r="AJ108" s="23"/>
      <c r="AK108" s="23"/>
      <c r="AL108" s="23"/>
      <c r="AM108" s="111"/>
    </row>
    <row r="109" spans="1:40" ht="15" customHeight="1" x14ac:dyDescent="0.2">
      <c r="A109" s="19"/>
      <c r="B109" s="99"/>
      <c r="C109" s="37" t="s">
        <v>95</v>
      </c>
      <c r="D109" s="51">
        <f>IF($F$94="Option A",Equations!F132,Equations!G132)</f>
        <v>28.752459016393448</v>
      </c>
      <c r="E109" s="52">
        <f>IF($F$94="Option A",Equations!F133,Equations!G133)</f>
        <v>30.214754098360654</v>
      </c>
      <c r="F109" s="53">
        <f>IF($F$94="Option A",Equations!F134,Equations!G134)</f>
        <v>31.67704918032787</v>
      </c>
      <c r="G109" s="186" t="s">
        <v>86</v>
      </c>
      <c r="H109" s="122"/>
      <c r="I109" s="122"/>
      <c r="J109" s="23"/>
      <c r="K109" s="23"/>
      <c r="L109" s="23"/>
      <c r="M109" s="23"/>
      <c r="N109" s="23"/>
      <c r="O109" s="23"/>
      <c r="P109" s="23"/>
      <c r="Q109" s="23"/>
      <c r="R109" s="23"/>
      <c r="S109" s="23"/>
      <c r="T109" s="23"/>
      <c r="U109" s="23"/>
      <c r="V109" s="23"/>
      <c r="W109" s="23"/>
      <c r="X109" s="23"/>
      <c r="Y109" s="23"/>
      <c r="Z109" s="23"/>
      <c r="AA109" s="23"/>
      <c r="AB109" s="23"/>
      <c r="AC109" s="23"/>
      <c r="AD109" s="23"/>
      <c r="AE109" s="23"/>
      <c r="AF109" s="23"/>
      <c r="AG109" s="23"/>
      <c r="AH109" s="23"/>
      <c r="AI109" s="23"/>
      <c r="AJ109" s="23"/>
      <c r="AK109" s="23"/>
      <c r="AL109" s="23"/>
      <c r="AM109" s="111"/>
    </row>
    <row r="110" spans="1:40" ht="15" customHeight="1" x14ac:dyDescent="0.2">
      <c r="A110" s="19"/>
      <c r="B110" s="99"/>
      <c r="C110" s="37" t="s">
        <v>96</v>
      </c>
      <c r="D110" s="54">
        <f>IF($F$94="Option A",Equations!F135,Equations!G135)</f>
        <v>27.552459016393446</v>
      </c>
      <c r="E110" s="55">
        <f>IF($F$94="Option A",Equations!F136,Equations!G136)</f>
        <v>28.11475409836066</v>
      </c>
      <c r="F110" s="56">
        <f>IF($F$94="Option A",Equations!F137,Equations!G137)</f>
        <v>28.677049180327867</v>
      </c>
      <c r="G110" s="186" t="s">
        <v>86</v>
      </c>
      <c r="H110" s="122"/>
      <c r="I110" s="122"/>
      <c r="J110" s="23"/>
      <c r="K110" s="23"/>
      <c r="L110" s="23"/>
      <c r="M110" s="23"/>
      <c r="N110" s="23"/>
      <c r="O110" s="23"/>
      <c r="P110" s="23"/>
      <c r="Q110" s="23"/>
      <c r="R110" s="23"/>
      <c r="S110" s="23"/>
      <c r="T110" s="23"/>
      <c r="U110" s="23"/>
      <c r="V110" s="23"/>
      <c r="W110" s="23"/>
      <c r="X110" s="23"/>
      <c r="Y110" s="23"/>
      <c r="Z110" s="23"/>
      <c r="AA110" s="23"/>
      <c r="AB110" s="23"/>
      <c r="AC110" s="23"/>
      <c r="AD110" s="23"/>
      <c r="AE110" s="23"/>
      <c r="AF110" s="23"/>
      <c r="AG110" s="23"/>
      <c r="AH110" s="23"/>
      <c r="AI110" s="23"/>
      <c r="AJ110" s="23"/>
      <c r="AK110" s="23"/>
      <c r="AL110" s="23"/>
      <c r="AM110" s="111"/>
    </row>
    <row r="111" spans="1:40" ht="15" customHeight="1" x14ac:dyDescent="0.2">
      <c r="A111" s="19"/>
      <c r="B111" s="99"/>
      <c r="C111" s="37" t="s">
        <v>97</v>
      </c>
      <c r="D111" s="54">
        <f>IF($F$94="Option A",Equations!F138,Equations!G138)</f>
        <v>63.7</v>
      </c>
      <c r="E111" s="55">
        <f>IF($F$94="Option A",Equations!F139,Equations!G139)</f>
        <v>65</v>
      </c>
      <c r="F111" s="56">
        <f>IF($F$94="Option A",Equations!F140,Equations!G140)</f>
        <v>66.3</v>
      </c>
      <c r="G111" s="186" t="s">
        <v>86</v>
      </c>
      <c r="H111" s="122"/>
      <c r="I111" s="122"/>
      <c r="J111" s="23"/>
      <c r="K111" s="23"/>
      <c r="L111" s="23"/>
      <c r="M111" s="23"/>
      <c r="N111" s="23"/>
      <c r="O111" s="23"/>
      <c r="P111" s="23"/>
      <c r="Q111" s="23"/>
      <c r="R111" s="23"/>
      <c r="S111" s="23"/>
      <c r="T111" s="23"/>
      <c r="U111" s="23"/>
      <c r="V111" s="23"/>
      <c r="W111" s="23"/>
      <c r="X111" s="23"/>
      <c r="Y111" s="23"/>
      <c r="Z111" s="23"/>
      <c r="AA111" s="23"/>
      <c r="AB111" s="23"/>
      <c r="AC111" s="23"/>
      <c r="AD111" s="23"/>
      <c r="AE111" s="23"/>
      <c r="AF111" s="23"/>
      <c r="AG111" s="23"/>
      <c r="AH111" s="23"/>
      <c r="AI111" s="23"/>
      <c r="AJ111" s="23"/>
      <c r="AK111" s="23"/>
      <c r="AL111" s="23"/>
      <c r="AM111" s="111"/>
    </row>
    <row r="112" spans="1:40" ht="15" customHeight="1" thickBot="1" x14ac:dyDescent="0.25">
      <c r="A112" s="19"/>
      <c r="B112" s="99"/>
      <c r="C112" s="37" t="s">
        <v>98</v>
      </c>
      <c r="D112" s="57">
        <f>IF($F$94="Option A",Equations!F141,Equations!G141)</f>
        <v>60.7</v>
      </c>
      <c r="E112" s="58">
        <f>IF($F$94="Option A",Equations!F142,Equations!G142)</f>
        <v>62.9</v>
      </c>
      <c r="F112" s="59">
        <f>IF($F$94="Option A",Equations!F143,Equations!G143)</f>
        <v>65.099999999999994</v>
      </c>
      <c r="G112" s="186" t="s">
        <v>86</v>
      </c>
      <c r="H112" s="122"/>
      <c r="I112" s="122"/>
      <c r="J112" s="23"/>
      <c r="K112" s="23"/>
      <c r="L112" s="23"/>
      <c r="M112" s="23"/>
      <c r="N112" s="23"/>
      <c r="O112" s="23"/>
      <c r="P112" s="23"/>
      <c r="Q112" s="23"/>
      <c r="R112" s="23"/>
      <c r="S112" s="23"/>
      <c r="T112" s="23"/>
      <c r="U112" s="23"/>
      <c r="V112" s="23"/>
      <c r="W112" s="23"/>
      <c r="X112" s="23"/>
      <c r="Y112" s="23"/>
      <c r="Z112" s="23"/>
      <c r="AA112" s="23"/>
      <c r="AB112" s="23"/>
      <c r="AC112" s="23"/>
      <c r="AD112" s="23"/>
      <c r="AE112" s="23"/>
      <c r="AF112" s="23"/>
      <c r="AG112" s="23"/>
      <c r="AH112" s="23"/>
      <c r="AI112" s="23"/>
      <c r="AJ112" s="23"/>
      <c r="AK112" s="23"/>
      <c r="AL112" s="23"/>
      <c r="AM112" s="111"/>
    </row>
    <row r="113" spans="1:39" ht="15" customHeight="1" x14ac:dyDescent="0.2">
      <c r="A113" s="19"/>
      <c r="B113" s="99"/>
      <c r="C113" s="329" t="s">
        <v>433</v>
      </c>
      <c r="D113" s="329"/>
      <c r="E113" s="329"/>
      <c r="F113" s="329"/>
      <c r="G113" s="330"/>
      <c r="H113" s="122"/>
      <c r="I113" s="122"/>
      <c r="J113" s="23"/>
      <c r="K113" s="23"/>
      <c r="L113" s="23"/>
      <c r="M113" s="23"/>
      <c r="N113" s="23"/>
      <c r="O113" s="23"/>
      <c r="P113" s="23"/>
      <c r="Q113" s="23"/>
      <c r="R113" s="23"/>
      <c r="S113" s="23"/>
      <c r="T113" s="23"/>
      <c r="U113" s="23"/>
      <c r="V113" s="23"/>
      <c r="W113" s="23"/>
      <c r="X113" s="23"/>
      <c r="Y113" s="23"/>
      <c r="Z113" s="23"/>
      <c r="AA113" s="23"/>
      <c r="AB113" s="23"/>
      <c r="AC113" s="23"/>
      <c r="AD113" s="23"/>
      <c r="AE113" s="23"/>
      <c r="AF113" s="23"/>
      <c r="AG113" s="23"/>
      <c r="AH113" s="23"/>
      <c r="AI113" s="23"/>
      <c r="AJ113" s="23"/>
      <c r="AK113" s="23"/>
      <c r="AL113" s="23"/>
      <c r="AM113" s="111"/>
    </row>
    <row r="114" spans="1:39" ht="15" customHeight="1" x14ac:dyDescent="0.2">
      <c r="A114" s="19"/>
      <c r="B114" s="99"/>
      <c r="C114" s="329"/>
      <c r="D114" s="329"/>
      <c r="E114" s="329"/>
      <c r="F114" s="329"/>
      <c r="G114" s="330"/>
      <c r="H114" s="122"/>
      <c r="I114" s="122"/>
      <c r="J114" s="23"/>
      <c r="K114" s="23"/>
      <c r="L114" s="23"/>
      <c r="M114" s="23"/>
      <c r="N114" s="23"/>
      <c r="O114" s="23"/>
      <c r="P114" s="23"/>
      <c r="Q114" s="23"/>
      <c r="R114" s="23"/>
      <c r="S114" s="23"/>
      <c r="T114" s="23"/>
      <c r="U114" s="23"/>
      <c r="V114" s="23"/>
      <c r="W114" s="23"/>
      <c r="X114" s="23"/>
      <c r="Y114" s="23"/>
      <c r="Z114" s="23"/>
      <c r="AA114" s="23"/>
      <c r="AB114" s="23"/>
      <c r="AC114" s="23"/>
      <c r="AD114" s="23"/>
      <c r="AE114" s="23"/>
      <c r="AF114" s="23"/>
      <c r="AG114" s="23"/>
      <c r="AH114" s="23"/>
      <c r="AI114" s="23"/>
      <c r="AJ114" s="23"/>
      <c r="AK114" s="23"/>
      <c r="AL114" s="23"/>
      <c r="AM114" s="111"/>
    </row>
    <row r="115" spans="1:39" ht="15" customHeight="1" x14ac:dyDescent="0.2">
      <c r="A115" s="19"/>
      <c r="B115" s="99"/>
      <c r="C115" s="329"/>
      <c r="D115" s="329"/>
      <c r="E115" s="329"/>
      <c r="F115" s="329"/>
      <c r="G115" s="330"/>
      <c r="H115" s="122"/>
      <c r="I115" s="122"/>
      <c r="J115" s="23"/>
      <c r="K115" s="23"/>
      <c r="L115" s="23"/>
      <c r="M115" s="23"/>
      <c r="N115" s="23"/>
      <c r="O115" s="23"/>
      <c r="P115" s="23"/>
      <c r="Q115" s="23"/>
      <c r="R115" s="23"/>
      <c r="S115" s="23"/>
      <c r="T115" s="23"/>
      <c r="U115" s="23"/>
      <c r="V115" s="23"/>
      <c r="W115" s="23"/>
      <c r="X115" s="23"/>
      <c r="Y115" s="23"/>
      <c r="Z115" s="23"/>
      <c r="AA115" s="23"/>
      <c r="AB115" s="23"/>
      <c r="AC115" s="23"/>
      <c r="AD115" s="23"/>
      <c r="AE115" s="23"/>
      <c r="AF115" s="23"/>
      <c r="AG115" s="23"/>
      <c r="AH115" s="23"/>
      <c r="AI115" s="23"/>
      <c r="AJ115" s="23"/>
      <c r="AK115" s="23"/>
      <c r="AL115" s="23"/>
      <c r="AM115" s="111"/>
    </row>
    <row r="116" spans="1:39" ht="15" customHeight="1" x14ac:dyDescent="0.3">
      <c r="A116" s="19"/>
      <c r="B116" s="98"/>
      <c r="C116" s="23"/>
      <c r="D116" s="23"/>
      <c r="E116" s="37" t="s">
        <v>114</v>
      </c>
      <c r="F116" s="204">
        <v>10</v>
      </c>
      <c r="G116" s="189" t="s">
        <v>84</v>
      </c>
      <c r="H116" s="23"/>
      <c r="I116" s="9"/>
      <c r="J116" s="23"/>
      <c r="K116" s="23"/>
      <c r="L116" s="23"/>
      <c r="M116" s="23"/>
      <c r="N116" s="23"/>
      <c r="O116" s="23"/>
      <c r="P116" s="23"/>
      <c r="Q116" s="23"/>
      <c r="R116" s="23"/>
      <c r="S116" s="23"/>
      <c r="T116" s="23"/>
      <c r="U116" s="23"/>
      <c r="V116" s="23"/>
      <c r="W116" s="23"/>
      <c r="X116" s="23"/>
      <c r="Y116" s="23"/>
      <c r="Z116" s="23"/>
      <c r="AA116" s="23"/>
      <c r="AB116" s="23"/>
      <c r="AC116" s="23"/>
      <c r="AD116" s="23"/>
      <c r="AE116" s="23"/>
      <c r="AF116" s="23"/>
      <c r="AG116" s="23"/>
      <c r="AH116" s="23"/>
      <c r="AI116" s="23"/>
      <c r="AJ116" s="23"/>
      <c r="AK116" s="23"/>
      <c r="AL116" s="23"/>
      <c r="AM116" s="111"/>
    </row>
    <row r="117" spans="1:39" ht="15" customHeight="1" x14ac:dyDescent="0.2">
      <c r="A117" s="19"/>
      <c r="B117" s="99"/>
      <c r="C117" s="23"/>
      <c r="D117" s="23"/>
      <c r="E117" s="37"/>
      <c r="F117" s="23"/>
      <c r="G117" s="189"/>
      <c r="H117" s="23"/>
      <c r="I117" s="23"/>
      <c r="J117" s="23"/>
      <c r="K117" s="23"/>
      <c r="L117" s="23"/>
      <c r="M117" s="23"/>
      <c r="N117" s="23"/>
      <c r="O117" s="23"/>
      <c r="P117" s="23"/>
      <c r="Q117" s="23"/>
      <c r="R117" s="23"/>
      <c r="S117" s="23"/>
      <c r="T117" s="23"/>
      <c r="U117" s="23"/>
      <c r="V117" s="23"/>
      <c r="W117" s="23"/>
      <c r="X117" s="23"/>
      <c r="Y117" s="23"/>
      <c r="Z117" s="23"/>
      <c r="AA117" s="23"/>
      <c r="AB117" s="23"/>
      <c r="AC117" s="23"/>
      <c r="AD117" s="23"/>
      <c r="AE117" s="23"/>
      <c r="AF117" s="23"/>
      <c r="AG117" s="23"/>
      <c r="AH117" s="23"/>
      <c r="AI117" s="23"/>
      <c r="AJ117" s="23"/>
      <c r="AK117" s="23"/>
      <c r="AL117" s="23"/>
      <c r="AM117" s="111"/>
    </row>
    <row r="118" spans="1:39" ht="15" customHeight="1" x14ac:dyDescent="0.2">
      <c r="A118" s="19"/>
      <c r="B118" s="99"/>
      <c r="C118" s="23"/>
      <c r="D118" s="23"/>
      <c r="E118" s="37"/>
      <c r="F118" s="23"/>
      <c r="G118" s="189"/>
      <c r="H118" s="23"/>
      <c r="I118" s="23"/>
      <c r="J118" s="23"/>
      <c r="K118" s="23"/>
      <c r="L118" s="23"/>
      <c r="M118" s="23"/>
      <c r="N118" s="23"/>
      <c r="O118" s="23"/>
      <c r="P118" s="23"/>
      <c r="Q118" s="23"/>
      <c r="R118" s="23"/>
      <c r="S118" s="23"/>
      <c r="T118" s="23"/>
      <c r="U118" s="23"/>
      <c r="V118" s="23"/>
      <c r="W118" s="23"/>
      <c r="X118" s="23"/>
      <c r="Y118" s="23"/>
      <c r="Z118" s="23"/>
      <c r="AA118" s="23"/>
      <c r="AB118" s="23"/>
      <c r="AC118" s="23"/>
      <c r="AD118" s="23"/>
      <c r="AE118" s="23"/>
      <c r="AF118" s="23"/>
      <c r="AG118" s="23"/>
      <c r="AH118" s="23"/>
      <c r="AI118" s="23"/>
      <c r="AJ118" s="23"/>
      <c r="AK118" s="23"/>
      <c r="AL118" s="23"/>
      <c r="AM118" s="111"/>
    </row>
    <row r="119" spans="1:39" ht="15" customHeight="1" x14ac:dyDescent="0.2">
      <c r="A119" s="19"/>
      <c r="B119" s="99"/>
      <c r="C119" s="23"/>
      <c r="D119" s="23"/>
      <c r="E119" s="37"/>
      <c r="F119" s="23"/>
      <c r="G119" s="189"/>
      <c r="H119" s="23"/>
      <c r="I119" s="23"/>
      <c r="J119" s="23"/>
      <c r="K119" s="23"/>
      <c r="L119" s="23"/>
      <c r="M119" s="23"/>
      <c r="N119" s="23"/>
      <c r="O119" s="23"/>
      <c r="P119" s="23"/>
      <c r="Q119" s="23"/>
      <c r="R119" s="23"/>
      <c r="S119" s="23"/>
      <c r="T119" s="23"/>
      <c r="U119" s="23"/>
      <c r="V119" s="23"/>
      <c r="W119" s="23"/>
      <c r="X119" s="23"/>
      <c r="Y119" s="23"/>
      <c r="Z119" s="23"/>
      <c r="AA119" s="23"/>
      <c r="AB119" s="23"/>
      <c r="AC119" s="23"/>
      <c r="AD119" s="23"/>
      <c r="AE119" s="23"/>
      <c r="AF119" s="23"/>
      <c r="AG119" s="23"/>
      <c r="AH119" s="23"/>
      <c r="AI119" s="23"/>
      <c r="AJ119" s="23"/>
      <c r="AK119" s="23"/>
      <c r="AL119" s="23"/>
      <c r="AM119" s="111"/>
    </row>
    <row r="120" spans="1:39" ht="15" customHeight="1" thickBot="1" x14ac:dyDescent="0.25">
      <c r="A120" s="19"/>
      <c r="B120" s="99"/>
      <c r="C120" s="101"/>
      <c r="D120" s="101"/>
      <c r="E120" s="23"/>
      <c r="F120" s="23"/>
      <c r="G120" s="265"/>
      <c r="H120" s="101"/>
      <c r="I120" s="101"/>
      <c r="J120" s="101"/>
      <c r="K120" s="101"/>
      <c r="L120" s="101"/>
      <c r="M120" s="101"/>
      <c r="N120" s="101"/>
      <c r="O120" s="101"/>
      <c r="P120" s="101"/>
      <c r="Q120" s="101"/>
      <c r="R120" s="101"/>
      <c r="S120" s="101"/>
      <c r="T120" s="101"/>
      <c r="U120" s="101"/>
      <c r="V120" s="101"/>
      <c r="W120" s="101"/>
      <c r="X120" s="101"/>
      <c r="Y120" s="101"/>
      <c r="Z120" s="101"/>
      <c r="AA120" s="101"/>
      <c r="AB120" s="101"/>
      <c r="AC120" s="101"/>
      <c r="AD120" s="101"/>
      <c r="AE120" s="101"/>
      <c r="AF120" s="101"/>
      <c r="AG120" s="101"/>
      <c r="AH120" s="101"/>
      <c r="AI120" s="101"/>
      <c r="AJ120" s="101"/>
      <c r="AK120" s="101"/>
      <c r="AL120" s="101"/>
      <c r="AM120" s="115"/>
    </row>
    <row r="121" spans="1:39" ht="18.75" customHeight="1" x14ac:dyDescent="0.25">
      <c r="A121" s="19"/>
      <c r="B121" s="154" t="s">
        <v>214</v>
      </c>
      <c r="C121" s="96"/>
      <c r="D121" s="96"/>
      <c r="E121" s="132" t="s">
        <v>430</v>
      </c>
      <c r="F121" s="109">
        <f>Rs</f>
        <v>4</v>
      </c>
      <c r="G121" s="271" t="s">
        <v>85</v>
      </c>
      <c r="H121" s="96"/>
      <c r="I121" s="96"/>
      <c r="J121" s="96"/>
      <c r="K121" s="96"/>
      <c r="L121" s="96"/>
      <c r="M121" s="96"/>
      <c r="N121" s="96"/>
      <c r="O121" s="96"/>
      <c r="P121" s="96"/>
      <c r="Q121" s="96"/>
      <c r="R121" s="96"/>
      <c r="S121" s="96"/>
      <c r="T121" s="96"/>
      <c r="U121" s="96"/>
      <c r="V121" s="96"/>
      <c r="W121" s="96"/>
      <c r="X121" s="96"/>
      <c r="Y121" s="96"/>
      <c r="Z121" s="96"/>
      <c r="AA121" s="96"/>
      <c r="AB121" s="96"/>
      <c r="AC121" s="96"/>
      <c r="AD121" s="96"/>
      <c r="AE121" s="96"/>
      <c r="AF121" s="96"/>
      <c r="AG121" s="96"/>
      <c r="AH121" s="96"/>
      <c r="AI121" s="96"/>
      <c r="AJ121" s="96"/>
      <c r="AK121" s="96"/>
      <c r="AL121" s="96"/>
      <c r="AM121" s="130"/>
    </row>
    <row r="122" spans="1:39" ht="15" customHeight="1" x14ac:dyDescent="0.25">
      <c r="A122" s="19"/>
      <c r="B122" s="98"/>
      <c r="C122" s="23"/>
      <c r="D122" s="23"/>
      <c r="E122" s="117" t="s">
        <v>212</v>
      </c>
      <c r="F122" s="118">
        <f>IF(RsMAX&gt;Rs,"DNP",RDIV1)</f>
        <v>10</v>
      </c>
      <c r="G122" s="182" t="s">
        <v>87</v>
      </c>
      <c r="H122" s="23"/>
      <c r="I122" s="23"/>
      <c r="J122" s="122"/>
      <c r="K122" s="122"/>
      <c r="L122" s="122"/>
      <c r="M122" s="122"/>
      <c r="N122" s="122"/>
      <c r="O122" s="122"/>
      <c r="P122" s="122"/>
      <c r="Q122" s="122"/>
      <c r="R122" s="122"/>
      <c r="S122" s="122"/>
      <c r="T122" s="122"/>
      <c r="U122" s="122"/>
      <c r="V122" s="122"/>
      <c r="W122" s="122"/>
      <c r="X122" s="122"/>
      <c r="Y122" s="122"/>
      <c r="Z122" s="122"/>
      <c r="AA122" s="122"/>
      <c r="AB122" s="122"/>
      <c r="AC122" s="122"/>
      <c r="AD122" s="122"/>
      <c r="AE122" s="122"/>
      <c r="AF122" s="122"/>
      <c r="AG122" s="122"/>
      <c r="AH122" s="122"/>
      <c r="AI122" s="122"/>
      <c r="AJ122" s="122"/>
      <c r="AK122" s="122"/>
      <c r="AL122" s="122"/>
      <c r="AM122" s="155"/>
    </row>
    <row r="123" spans="1:39" ht="14.25" customHeight="1" x14ac:dyDescent="0.25">
      <c r="A123" s="19"/>
      <c r="B123" s="98"/>
      <c r="C123" s="23"/>
      <c r="D123" s="23"/>
      <c r="E123" s="117" t="s">
        <v>213</v>
      </c>
      <c r="F123" s="118">
        <f>IF(RsMAX&gt;Rs,"0",RDIV2)</f>
        <v>6.58</v>
      </c>
      <c r="G123" s="182" t="s">
        <v>87</v>
      </c>
      <c r="H123" s="23"/>
      <c r="I123" s="23"/>
      <c r="J123" s="122"/>
      <c r="K123" s="122"/>
      <c r="L123" s="122"/>
      <c r="M123" s="122"/>
      <c r="N123" s="122"/>
      <c r="O123" s="122"/>
      <c r="P123" s="122"/>
      <c r="Q123" s="122"/>
      <c r="R123" s="122"/>
      <c r="S123" s="122"/>
      <c r="T123" s="122"/>
      <c r="U123" s="122"/>
      <c r="V123" s="122"/>
      <c r="W123" s="122"/>
      <c r="X123" s="122"/>
      <c r="Y123" s="122"/>
      <c r="Z123" s="122"/>
      <c r="AA123" s="122"/>
      <c r="AB123" s="122"/>
      <c r="AC123" s="122"/>
      <c r="AD123" s="122"/>
      <c r="AE123" s="122"/>
      <c r="AF123" s="122"/>
      <c r="AG123" s="122"/>
      <c r="AH123" s="122"/>
      <c r="AI123" s="122"/>
      <c r="AJ123" s="122"/>
      <c r="AK123" s="122"/>
      <c r="AL123" s="122"/>
      <c r="AM123" s="155"/>
    </row>
    <row r="124" spans="1:39" ht="15" customHeight="1" thickBot="1" x14ac:dyDescent="0.25">
      <c r="A124" s="19"/>
      <c r="B124" s="99"/>
      <c r="C124" s="23"/>
      <c r="D124" s="23"/>
      <c r="E124" s="64" t="s">
        <v>17</v>
      </c>
      <c r="F124" s="45">
        <f>F66</f>
        <v>38.299999999999997</v>
      </c>
      <c r="G124" s="184" t="s">
        <v>84</v>
      </c>
      <c r="H124" s="23"/>
      <c r="I124" s="23"/>
      <c r="J124" s="135"/>
      <c r="K124" s="113" t="s">
        <v>435</v>
      </c>
      <c r="L124" s="237" t="s">
        <v>158</v>
      </c>
      <c r="M124" s="122"/>
      <c r="N124" s="136"/>
      <c r="O124" s="136"/>
      <c r="P124" s="136"/>
      <c r="Q124" s="136"/>
      <c r="R124" s="136"/>
      <c r="S124" s="136"/>
      <c r="T124" s="136"/>
      <c r="U124" s="136"/>
      <c r="V124" s="136"/>
      <c r="W124" s="136"/>
      <c r="X124" s="136"/>
      <c r="Y124" s="136"/>
      <c r="Z124" s="136"/>
      <c r="AA124" s="136"/>
      <c r="AB124" s="136"/>
      <c r="AC124" s="136"/>
      <c r="AD124" s="136"/>
      <c r="AE124" s="136"/>
      <c r="AF124" s="136"/>
      <c r="AG124" s="136"/>
      <c r="AH124" s="136"/>
      <c r="AI124" s="136"/>
      <c r="AJ124" s="136"/>
      <c r="AK124" s="136"/>
      <c r="AL124" s="136"/>
      <c r="AM124" s="137"/>
    </row>
    <row r="125" spans="1:39" ht="15" customHeight="1" x14ac:dyDescent="0.2">
      <c r="A125" s="19"/>
      <c r="B125" s="99"/>
      <c r="C125" s="23"/>
      <c r="D125" s="23"/>
      <c r="E125" s="65" t="s">
        <v>431</v>
      </c>
      <c r="F125" s="55">
        <f>IF(F71="YES", F89, F76)</f>
        <v>440</v>
      </c>
      <c r="G125" s="179" t="s">
        <v>118</v>
      </c>
      <c r="H125" s="23"/>
      <c r="I125" s="23"/>
      <c r="J125" s="37" t="s">
        <v>215</v>
      </c>
      <c r="K125" s="139">
        <f>F46</f>
        <v>22.797499999999999</v>
      </c>
      <c r="L125" s="131" t="s">
        <v>25</v>
      </c>
      <c r="M125" s="122"/>
      <c r="N125" s="23"/>
      <c r="O125" s="23"/>
      <c r="P125" s="23"/>
      <c r="Q125" s="23"/>
      <c r="R125" s="23"/>
      <c r="S125" s="23"/>
      <c r="T125" s="23"/>
      <c r="U125" s="23"/>
      <c r="V125" s="23"/>
      <c r="W125" s="23"/>
      <c r="X125" s="23"/>
      <c r="Y125" s="23"/>
      <c r="Z125" s="23"/>
      <c r="AA125" s="23"/>
      <c r="AB125" s="23"/>
      <c r="AC125" s="23"/>
      <c r="AD125" s="23"/>
      <c r="AE125" s="23"/>
      <c r="AF125" s="23"/>
      <c r="AG125" s="23"/>
      <c r="AH125" s="23"/>
      <c r="AI125" s="23"/>
      <c r="AJ125" s="23"/>
      <c r="AK125" s="23"/>
      <c r="AL125" s="23"/>
      <c r="AM125" s="116"/>
    </row>
    <row r="126" spans="1:39" ht="15" customHeight="1" x14ac:dyDescent="0.2">
      <c r="A126" s="19"/>
      <c r="B126" s="99"/>
      <c r="C126" s="23"/>
      <c r="D126" s="23"/>
      <c r="E126" s="64" t="s">
        <v>11</v>
      </c>
      <c r="F126" s="46">
        <f>F103</f>
        <v>100</v>
      </c>
      <c r="G126" s="184" t="s">
        <v>84</v>
      </c>
      <c r="H126" s="23"/>
      <c r="I126" s="23"/>
      <c r="J126" s="37" t="s">
        <v>168</v>
      </c>
      <c r="K126" s="140">
        <f>F67</f>
        <v>127.00280000000001</v>
      </c>
      <c r="L126" s="131" t="s">
        <v>87</v>
      </c>
      <c r="M126" s="122"/>
      <c r="N126" s="23"/>
      <c r="O126" s="23"/>
      <c r="P126" s="23"/>
      <c r="Q126" s="23"/>
      <c r="R126" s="23"/>
      <c r="S126" s="23"/>
      <c r="T126" s="23"/>
      <c r="U126" s="23"/>
      <c r="V126" s="23"/>
      <c r="W126" s="23"/>
      <c r="X126" s="23"/>
      <c r="Y126" s="23"/>
      <c r="Z126" s="23"/>
      <c r="AA126" s="23"/>
      <c r="AB126" s="23"/>
      <c r="AC126" s="23"/>
      <c r="AD126" s="23"/>
      <c r="AE126" s="23"/>
      <c r="AF126" s="23"/>
      <c r="AG126" s="23"/>
      <c r="AH126" s="23"/>
      <c r="AI126" s="23"/>
      <c r="AJ126" s="23"/>
      <c r="AK126" s="23"/>
      <c r="AL126" s="23"/>
      <c r="AM126" s="116"/>
    </row>
    <row r="127" spans="1:39" ht="15" customHeight="1" x14ac:dyDescent="0.2">
      <c r="A127" s="19"/>
      <c r="B127" s="99"/>
      <c r="C127" s="23"/>
      <c r="D127" s="23"/>
      <c r="E127" s="64" t="s">
        <v>12</v>
      </c>
      <c r="F127" s="46">
        <f>F104</f>
        <v>9.76</v>
      </c>
      <c r="G127" s="184" t="s">
        <v>84</v>
      </c>
      <c r="H127" s="23"/>
      <c r="I127" s="23"/>
      <c r="J127" s="34" t="s">
        <v>224</v>
      </c>
      <c r="K127" s="144">
        <f>F46</f>
        <v>22.797499999999999</v>
      </c>
      <c r="L127" s="131" t="s">
        <v>25</v>
      </c>
      <c r="M127" s="122"/>
      <c r="N127" s="23"/>
      <c r="O127" s="23"/>
      <c r="P127" s="23"/>
      <c r="Q127" s="23"/>
      <c r="R127" s="23"/>
      <c r="S127" s="23"/>
      <c r="T127" s="23"/>
      <c r="U127" s="23"/>
      <c r="V127" s="23"/>
      <c r="W127" s="23"/>
      <c r="X127" s="23"/>
      <c r="Y127" s="23"/>
      <c r="Z127" s="23"/>
      <c r="AA127" s="23"/>
      <c r="AB127" s="23"/>
      <c r="AC127" s="23"/>
      <c r="AD127" s="23"/>
      <c r="AE127" s="23"/>
      <c r="AF127" s="23"/>
      <c r="AG127" s="23"/>
      <c r="AH127" s="23"/>
      <c r="AI127" s="23"/>
      <c r="AJ127" s="23"/>
      <c r="AK127" s="23"/>
      <c r="AL127" s="23"/>
      <c r="AM127" s="116"/>
    </row>
    <row r="128" spans="1:39" ht="15" customHeight="1" x14ac:dyDescent="0.2">
      <c r="A128" s="19"/>
      <c r="B128" s="99"/>
      <c r="C128" s="23"/>
      <c r="D128" s="23"/>
      <c r="E128" s="64" t="s">
        <v>13</v>
      </c>
      <c r="F128" s="46">
        <f>F105</f>
        <v>100</v>
      </c>
      <c r="G128" s="184" t="s">
        <v>84</v>
      </c>
      <c r="H128" s="23"/>
      <c r="I128" s="23"/>
      <c r="J128" s="37" t="s">
        <v>216</v>
      </c>
      <c r="K128" s="147">
        <f>IF(F71="YES",Equations!F66,Start_up!M2)</f>
        <v>2.6306643696847032</v>
      </c>
      <c r="L128" s="131" t="s">
        <v>8</v>
      </c>
      <c r="M128" s="122"/>
      <c r="N128" s="23"/>
      <c r="O128" s="23"/>
      <c r="P128" s="23"/>
      <c r="Q128" s="23"/>
      <c r="R128" s="23"/>
      <c r="S128" s="23"/>
      <c r="T128" s="23"/>
      <c r="U128" s="23"/>
      <c r="V128" s="23"/>
      <c r="W128" s="23"/>
      <c r="X128" s="23"/>
      <c r="Y128" s="23"/>
      <c r="Z128" s="23"/>
      <c r="AA128" s="23"/>
      <c r="AB128" s="23"/>
      <c r="AC128" s="23"/>
      <c r="AD128" s="23"/>
      <c r="AE128" s="23"/>
      <c r="AF128" s="23"/>
      <c r="AG128" s="23"/>
      <c r="AH128" s="23"/>
      <c r="AI128" s="23"/>
      <c r="AJ128" s="23"/>
      <c r="AK128" s="23"/>
      <c r="AL128" s="23"/>
      <c r="AM128" s="116"/>
    </row>
    <row r="129" spans="1:40" ht="15" customHeight="1" x14ac:dyDescent="0.2">
      <c r="A129" s="19"/>
      <c r="B129" s="99"/>
      <c r="C129" s="23"/>
      <c r="D129" s="23"/>
      <c r="E129" s="64" t="s">
        <v>14</v>
      </c>
      <c r="F129" s="47">
        <f>IF(F94="Option A","N/A",F106)</f>
        <v>4</v>
      </c>
      <c r="G129" s="184" t="s">
        <v>84</v>
      </c>
      <c r="H129" s="23"/>
      <c r="I129" s="23"/>
      <c r="J129" s="37" t="s">
        <v>217</v>
      </c>
      <c r="K129" s="145">
        <f>TINSERT</f>
        <v>320</v>
      </c>
      <c r="L129" s="131" t="s">
        <v>8</v>
      </c>
      <c r="M129" s="122"/>
      <c r="N129" s="23"/>
      <c r="O129" s="23"/>
      <c r="P129" s="23"/>
      <c r="Q129" s="23"/>
      <c r="R129" s="23"/>
      <c r="S129" s="23"/>
      <c r="T129" s="23"/>
      <c r="U129" s="23"/>
      <c r="V129" s="23"/>
      <c r="W129" s="23"/>
      <c r="X129" s="23"/>
      <c r="Y129" s="23"/>
      <c r="Z129" s="23"/>
      <c r="AA129" s="23"/>
      <c r="AB129" s="23"/>
      <c r="AC129" s="23"/>
      <c r="AD129" s="23"/>
      <c r="AE129" s="23"/>
      <c r="AF129" s="23"/>
      <c r="AG129" s="23"/>
      <c r="AH129" s="23"/>
      <c r="AI129" s="23"/>
      <c r="AJ129" s="23"/>
      <c r="AK129" s="23"/>
      <c r="AL129" s="23"/>
      <c r="AM129" s="116"/>
    </row>
    <row r="130" spans="1:40" ht="15" customHeight="1" x14ac:dyDescent="0.2">
      <c r="A130" s="19"/>
      <c r="B130" s="99"/>
      <c r="C130" s="23"/>
      <c r="D130" s="23"/>
      <c r="E130" s="65" t="s">
        <v>432</v>
      </c>
      <c r="F130" s="50" t="str">
        <f>IF(F71="YES", F84, "DNP")</f>
        <v>DNP</v>
      </c>
      <c r="G130" s="179" t="s">
        <v>118</v>
      </c>
      <c r="H130" s="23"/>
      <c r="I130" s="23"/>
      <c r="J130" s="37" t="s">
        <v>218</v>
      </c>
      <c r="K130" s="147">
        <f>IF(F71="YES", F90,F77)</f>
        <v>20.705882352941178</v>
      </c>
      <c r="L130" s="131" t="s">
        <v>8</v>
      </c>
      <c r="M130" s="122"/>
      <c r="N130" s="23"/>
      <c r="O130" s="23"/>
      <c r="P130" s="23"/>
      <c r="Q130" s="23"/>
      <c r="R130" s="23"/>
      <c r="S130" s="23"/>
      <c r="T130" s="23"/>
      <c r="U130" s="23"/>
      <c r="V130" s="23"/>
      <c r="W130" s="23"/>
      <c r="X130" s="23"/>
      <c r="Y130" s="23"/>
      <c r="Z130" s="23"/>
      <c r="AA130" s="23"/>
      <c r="AB130" s="23"/>
      <c r="AC130" s="23"/>
      <c r="AD130" s="23"/>
      <c r="AE130" s="23"/>
      <c r="AF130" s="23"/>
      <c r="AG130" s="23"/>
      <c r="AH130" s="23"/>
      <c r="AI130" s="23"/>
      <c r="AJ130" s="23"/>
      <c r="AK130" s="23"/>
      <c r="AL130" s="23"/>
      <c r="AM130" s="116"/>
    </row>
    <row r="131" spans="1:40" ht="15" customHeight="1" x14ac:dyDescent="0.2">
      <c r="A131" s="19"/>
      <c r="B131" s="99"/>
      <c r="C131" s="23"/>
      <c r="D131" s="23"/>
      <c r="E131" s="64" t="s">
        <v>55</v>
      </c>
      <c r="F131" s="49">
        <v>0.01</v>
      </c>
      <c r="G131" s="184" t="s">
        <v>83</v>
      </c>
      <c r="H131" s="23"/>
      <c r="I131" s="23"/>
      <c r="J131" s="37" t="s">
        <v>219</v>
      </c>
      <c r="K131" s="148">
        <f>F93</f>
        <v>4138.8470588235305</v>
      </c>
      <c r="L131" s="131" t="s">
        <v>8</v>
      </c>
      <c r="M131" s="122"/>
      <c r="N131" s="23"/>
      <c r="O131" s="23"/>
      <c r="P131" s="23"/>
      <c r="Q131" s="23"/>
      <c r="R131" s="23"/>
      <c r="S131" s="23"/>
      <c r="T131" s="23"/>
      <c r="U131" s="23"/>
      <c r="V131" s="23"/>
      <c r="W131" s="23"/>
      <c r="X131" s="23"/>
      <c r="Y131" s="23"/>
      <c r="Z131" s="23"/>
      <c r="AA131" s="23"/>
      <c r="AB131" s="23"/>
      <c r="AC131" s="23"/>
      <c r="AD131" s="23"/>
      <c r="AE131" s="23"/>
      <c r="AF131" s="23"/>
      <c r="AG131" s="23"/>
      <c r="AH131" s="23"/>
      <c r="AI131" s="23"/>
      <c r="AJ131" s="23"/>
      <c r="AK131" s="23"/>
      <c r="AL131" s="23"/>
      <c r="AM131" s="116"/>
    </row>
    <row r="132" spans="1:40" ht="15" customHeight="1" x14ac:dyDescent="0.2">
      <c r="A132" s="19"/>
      <c r="B132" s="99"/>
      <c r="C132" s="23"/>
      <c r="D132" s="23"/>
      <c r="E132" s="269" t="s">
        <v>464</v>
      </c>
      <c r="F132" s="270" t="s">
        <v>465</v>
      </c>
      <c r="G132" s="179"/>
      <c r="H132" s="23"/>
      <c r="I132" s="23"/>
      <c r="J132" s="138" t="s">
        <v>220</v>
      </c>
      <c r="K132" s="141">
        <f>E109</f>
        <v>30.214754098360654</v>
      </c>
      <c r="L132" s="131" t="s">
        <v>86</v>
      </c>
      <c r="M132" s="122"/>
      <c r="N132" s="23"/>
      <c r="O132" s="23"/>
      <c r="P132" s="23"/>
      <c r="Q132" s="23"/>
      <c r="R132" s="23"/>
      <c r="S132" s="23"/>
      <c r="T132" s="23"/>
      <c r="U132" s="23"/>
      <c r="V132" s="23"/>
      <c r="W132" s="23"/>
      <c r="X132" s="23"/>
      <c r="Y132" s="23"/>
      <c r="Z132" s="23"/>
      <c r="AA132" s="23"/>
      <c r="AB132" s="23"/>
      <c r="AC132" s="23"/>
      <c r="AD132" s="23"/>
      <c r="AE132" s="23"/>
      <c r="AF132" s="23"/>
      <c r="AG132" s="23"/>
      <c r="AH132" s="23"/>
      <c r="AI132" s="23"/>
      <c r="AJ132" s="23"/>
      <c r="AK132" s="23"/>
      <c r="AL132" s="23"/>
      <c r="AM132" s="116"/>
    </row>
    <row r="133" spans="1:40" ht="15" customHeight="1" x14ac:dyDescent="0.2">
      <c r="A133" s="19"/>
      <c r="B133" s="99"/>
      <c r="C133" s="23"/>
      <c r="D133" s="23"/>
      <c r="E133" s="269" t="s">
        <v>438</v>
      </c>
      <c r="F133" s="270" t="str">
        <f>IF(F71="YES","1N4148W-7-F","DNP")</f>
        <v>DNP</v>
      </c>
      <c r="G133" s="179"/>
      <c r="H133" s="23"/>
      <c r="I133" s="23"/>
      <c r="J133" s="138" t="s">
        <v>222</v>
      </c>
      <c r="K133" s="141">
        <f>E110</f>
        <v>28.11475409836066</v>
      </c>
      <c r="L133" s="131" t="s">
        <v>86</v>
      </c>
      <c r="M133" s="122"/>
      <c r="N133" s="23"/>
      <c r="O133" s="23"/>
      <c r="P133" s="23"/>
      <c r="Q133" s="23"/>
      <c r="R133" s="23"/>
      <c r="S133" s="23"/>
      <c r="T133" s="23"/>
      <c r="U133" s="23"/>
      <c r="V133" s="23"/>
      <c r="W133" s="23"/>
      <c r="X133" s="23"/>
      <c r="Y133" s="23"/>
      <c r="Z133" s="23"/>
      <c r="AA133" s="23"/>
      <c r="AB133" s="23"/>
      <c r="AC133" s="23"/>
      <c r="AD133" s="23"/>
      <c r="AE133" s="23"/>
      <c r="AF133" s="23"/>
      <c r="AG133" s="23"/>
      <c r="AH133" s="23"/>
      <c r="AI133" s="23"/>
      <c r="AJ133" s="23"/>
      <c r="AK133" s="23"/>
      <c r="AL133" s="23"/>
      <c r="AM133" s="116"/>
    </row>
    <row r="134" spans="1:40" ht="15" customHeight="1" x14ac:dyDescent="0.2">
      <c r="A134" s="19"/>
      <c r="B134" s="99"/>
      <c r="C134" s="23"/>
      <c r="D134" s="23"/>
      <c r="E134" s="269" t="s">
        <v>475</v>
      </c>
      <c r="F134" s="270" t="s">
        <v>474</v>
      </c>
      <c r="G134" s="179"/>
      <c r="H134" s="23"/>
      <c r="I134" s="23"/>
      <c r="J134" s="138" t="s">
        <v>223</v>
      </c>
      <c r="K134" s="141">
        <f>E111</f>
        <v>65</v>
      </c>
      <c r="L134" s="131" t="s">
        <v>86</v>
      </c>
      <c r="M134" s="122"/>
      <c r="N134" s="23"/>
      <c r="O134" s="23"/>
      <c r="P134" s="23"/>
      <c r="Q134" s="23"/>
      <c r="R134" s="23"/>
      <c r="S134" s="23"/>
      <c r="T134" s="23"/>
      <c r="U134" s="23"/>
      <c r="V134" s="23"/>
      <c r="W134" s="23"/>
      <c r="X134" s="23"/>
      <c r="Y134" s="23"/>
      <c r="Z134" s="23"/>
      <c r="AA134" s="23"/>
      <c r="AB134" s="23"/>
      <c r="AC134" s="23"/>
      <c r="AD134" s="23"/>
      <c r="AE134" s="23"/>
      <c r="AF134" s="23"/>
      <c r="AG134" s="23"/>
      <c r="AH134" s="23"/>
      <c r="AI134" s="23"/>
      <c r="AJ134" s="23"/>
      <c r="AK134" s="23"/>
      <c r="AL134" s="23"/>
      <c r="AM134" s="116"/>
    </row>
    <row r="135" spans="1:40" ht="15" customHeight="1" x14ac:dyDescent="0.2">
      <c r="A135" s="19"/>
      <c r="B135" s="99"/>
      <c r="C135" s="23"/>
      <c r="D135" s="23"/>
      <c r="E135" s="269" t="s">
        <v>476</v>
      </c>
      <c r="F135" s="270" t="str">
        <f>IF(F71="YES","MMBT5401LT1G","DNP")</f>
        <v>DNP</v>
      </c>
      <c r="G135" s="179"/>
      <c r="H135" s="23"/>
      <c r="I135" s="23"/>
      <c r="J135" s="138" t="s">
        <v>221</v>
      </c>
      <c r="K135" s="141">
        <f>E112</f>
        <v>62.9</v>
      </c>
      <c r="L135" s="131" t="s">
        <v>86</v>
      </c>
      <c r="M135" s="122"/>
      <c r="N135" s="23"/>
      <c r="O135" s="23"/>
      <c r="P135" s="23"/>
      <c r="Q135" s="23"/>
      <c r="R135" s="23"/>
      <c r="S135" s="23"/>
      <c r="T135" s="23"/>
      <c r="U135" s="23"/>
      <c r="V135" s="23"/>
      <c r="W135" s="23"/>
      <c r="X135" s="23"/>
      <c r="Y135" s="23"/>
      <c r="Z135" s="23"/>
      <c r="AA135" s="23"/>
      <c r="AB135" s="23"/>
      <c r="AC135" s="23"/>
      <c r="AD135" s="23"/>
      <c r="AE135" s="23"/>
      <c r="AF135" s="23"/>
      <c r="AG135" s="23"/>
      <c r="AH135" s="23"/>
      <c r="AI135" s="23"/>
      <c r="AJ135" s="23"/>
      <c r="AK135" s="23"/>
      <c r="AL135" s="23"/>
      <c r="AM135" s="116"/>
    </row>
    <row r="136" spans="1:40" ht="15" customHeight="1" x14ac:dyDescent="0.2">
      <c r="A136" s="19"/>
      <c r="B136" s="99"/>
      <c r="C136" s="23"/>
      <c r="D136" s="23"/>
      <c r="E136" s="269" t="s">
        <v>463</v>
      </c>
      <c r="F136" s="270" t="s">
        <v>477</v>
      </c>
      <c r="G136" s="179"/>
      <c r="H136" s="23"/>
      <c r="I136" s="23"/>
      <c r="J136" s="138"/>
      <c r="K136" s="266"/>
      <c r="L136" s="131"/>
      <c r="M136" s="122"/>
      <c r="N136" s="23"/>
      <c r="O136" s="23"/>
      <c r="P136" s="23"/>
      <c r="Q136" s="23"/>
      <c r="R136" s="23"/>
      <c r="S136" s="23"/>
      <c r="T136" s="23"/>
      <c r="U136" s="23"/>
      <c r="V136" s="23"/>
      <c r="W136" s="23"/>
      <c r="X136" s="23"/>
      <c r="Y136" s="23"/>
      <c r="Z136" s="23"/>
      <c r="AA136" s="23"/>
      <c r="AB136" s="23"/>
      <c r="AC136" s="23"/>
      <c r="AD136" s="23"/>
      <c r="AE136" s="23"/>
      <c r="AF136" s="23"/>
      <c r="AG136" s="23"/>
      <c r="AH136" s="23"/>
      <c r="AI136" s="23"/>
      <c r="AJ136" s="23"/>
      <c r="AK136" s="23"/>
      <c r="AL136" s="23"/>
      <c r="AM136" s="116"/>
    </row>
    <row r="137" spans="1:40" ht="15" customHeight="1" x14ac:dyDescent="0.2">
      <c r="A137" s="19"/>
      <c r="B137" s="99"/>
      <c r="C137" s="23"/>
      <c r="D137" s="23"/>
      <c r="F137" s="149"/>
      <c r="G137" s="190"/>
      <c r="H137" s="23"/>
      <c r="I137" s="23"/>
      <c r="J137" s="138"/>
      <c r="K137" s="266"/>
      <c r="L137" s="131"/>
      <c r="M137" s="122"/>
      <c r="N137" s="23"/>
      <c r="O137" s="23"/>
      <c r="P137" s="23"/>
      <c r="Q137" s="23"/>
      <c r="R137" s="23"/>
      <c r="S137" s="23"/>
      <c r="T137" s="23"/>
      <c r="U137" s="23"/>
      <c r="V137" s="23"/>
      <c r="W137" s="23"/>
      <c r="X137" s="23"/>
      <c r="Y137" s="23"/>
      <c r="Z137" s="23"/>
      <c r="AA137" s="23"/>
      <c r="AB137" s="23"/>
      <c r="AC137" s="23"/>
      <c r="AD137" s="23"/>
      <c r="AE137" s="23"/>
      <c r="AF137" s="23"/>
      <c r="AG137" s="23"/>
      <c r="AH137" s="23"/>
      <c r="AI137" s="23"/>
      <c r="AJ137" s="23"/>
      <c r="AK137" s="23"/>
      <c r="AL137" s="23"/>
      <c r="AM137" s="116"/>
    </row>
    <row r="138" spans="1:40" ht="15" customHeight="1" x14ac:dyDescent="0.2">
      <c r="A138" s="19"/>
      <c r="B138" s="99"/>
      <c r="C138" s="23"/>
      <c r="D138" s="23"/>
      <c r="E138" s="65"/>
      <c r="F138" s="149"/>
      <c r="G138" s="190"/>
      <c r="H138" s="23"/>
      <c r="I138" s="23"/>
      <c r="J138" s="23"/>
      <c r="K138" s="23"/>
      <c r="L138" s="23"/>
      <c r="M138" s="122"/>
      <c r="N138" s="23"/>
      <c r="O138" s="23"/>
      <c r="P138" s="23"/>
      <c r="Q138" s="23"/>
      <c r="R138" s="23"/>
      <c r="S138" s="23"/>
      <c r="T138" s="23"/>
      <c r="U138" s="23"/>
      <c r="V138" s="23"/>
      <c r="W138" s="23"/>
      <c r="X138" s="23"/>
      <c r="Y138" s="23"/>
      <c r="Z138" s="23"/>
      <c r="AA138" s="23"/>
      <c r="AB138" s="23"/>
      <c r="AC138" s="23"/>
      <c r="AD138" s="23"/>
      <c r="AE138" s="23"/>
      <c r="AF138" s="23"/>
      <c r="AG138" s="23"/>
      <c r="AH138" s="23"/>
      <c r="AI138" s="23"/>
      <c r="AJ138" s="23"/>
      <c r="AK138" s="23"/>
      <c r="AL138" s="23"/>
      <c r="AM138" s="111"/>
      <c r="AN138" s="33"/>
    </row>
    <row r="139" spans="1:40" ht="15.75" x14ac:dyDescent="0.3">
      <c r="A139" s="19"/>
      <c r="B139" s="261" t="s">
        <v>18</v>
      </c>
      <c r="C139" s="35" t="s">
        <v>90</v>
      </c>
      <c r="D139" s="22"/>
      <c r="E139" s="35"/>
      <c r="F139" s="133"/>
      <c r="G139" s="191"/>
      <c r="H139" s="23"/>
      <c r="I139" s="23"/>
      <c r="J139" s="23"/>
      <c r="K139" s="23"/>
      <c r="L139" s="23"/>
      <c r="M139" s="23"/>
      <c r="N139" s="23"/>
      <c r="O139" s="23"/>
      <c r="P139" s="23"/>
      <c r="Q139" s="23"/>
      <c r="R139" s="23"/>
      <c r="S139" s="23"/>
      <c r="T139" s="23"/>
      <c r="U139" s="23"/>
      <c r="V139" s="23"/>
      <c r="W139" s="23"/>
      <c r="X139" s="23"/>
      <c r="Y139" s="23"/>
      <c r="Z139" s="23"/>
      <c r="AA139" s="23"/>
      <c r="AB139" s="23"/>
      <c r="AC139" s="23"/>
      <c r="AD139" s="23"/>
      <c r="AE139" s="23"/>
      <c r="AF139" s="23"/>
      <c r="AG139" s="23"/>
      <c r="AH139" s="23"/>
      <c r="AI139" s="23"/>
      <c r="AJ139" s="23"/>
      <c r="AK139" s="23"/>
      <c r="AL139" s="23"/>
      <c r="AM139" s="111"/>
      <c r="AN139" s="33"/>
    </row>
    <row r="140" spans="1:40" x14ac:dyDescent="0.2">
      <c r="A140" s="19"/>
      <c r="B140" s="99"/>
      <c r="C140" s="35" t="s">
        <v>110</v>
      </c>
      <c r="D140" s="23"/>
      <c r="E140" s="35"/>
      <c r="F140" s="23"/>
      <c r="G140" s="191"/>
      <c r="H140" s="23"/>
      <c r="I140" s="23"/>
      <c r="J140" s="23"/>
      <c r="K140" s="23"/>
      <c r="L140" s="23"/>
      <c r="M140" s="23"/>
      <c r="N140" s="23"/>
      <c r="O140" s="23"/>
      <c r="P140" s="23"/>
      <c r="Q140" s="23"/>
      <c r="R140" s="23"/>
      <c r="S140" s="23"/>
      <c r="T140" s="23"/>
      <c r="U140" s="23"/>
      <c r="V140" s="23"/>
      <c r="W140" s="23"/>
      <c r="X140" s="23"/>
      <c r="Y140" s="23"/>
      <c r="Z140" s="23"/>
      <c r="AA140" s="23"/>
      <c r="AB140" s="23"/>
      <c r="AC140" s="23"/>
      <c r="AD140" s="23"/>
      <c r="AE140" s="23"/>
      <c r="AF140" s="23"/>
      <c r="AG140" s="23"/>
      <c r="AH140" s="23"/>
      <c r="AI140" s="23"/>
      <c r="AJ140" s="23"/>
      <c r="AK140" s="23"/>
      <c r="AL140" s="23"/>
      <c r="AM140" s="111"/>
    </row>
    <row r="141" spans="1:40" x14ac:dyDescent="0.2">
      <c r="A141" s="19"/>
      <c r="B141" s="99"/>
      <c r="C141" s="35" t="s">
        <v>255</v>
      </c>
      <c r="D141" s="23"/>
      <c r="E141" s="35"/>
      <c r="F141" s="23"/>
      <c r="G141" s="191"/>
      <c r="H141" s="23"/>
      <c r="I141" s="23"/>
      <c r="J141" s="23"/>
      <c r="K141" s="23"/>
      <c r="L141" s="23"/>
      <c r="M141" s="23"/>
      <c r="N141" s="23"/>
      <c r="O141" s="23"/>
      <c r="P141" s="23"/>
      <c r="Q141" s="23"/>
      <c r="R141" s="23"/>
      <c r="S141" s="23"/>
      <c r="T141" s="23"/>
      <c r="U141" s="23"/>
      <c r="V141" s="23"/>
      <c r="W141" s="23"/>
      <c r="X141" s="23"/>
      <c r="Y141" s="23"/>
      <c r="Z141" s="23"/>
      <c r="AA141" s="23"/>
      <c r="AB141" s="23"/>
      <c r="AC141" s="23"/>
      <c r="AD141" s="23"/>
      <c r="AE141" s="23"/>
      <c r="AF141" s="23"/>
      <c r="AG141" s="23"/>
      <c r="AH141" s="23"/>
      <c r="AI141" s="23"/>
      <c r="AJ141" s="23"/>
      <c r="AK141" s="23"/>
      <c r="AL141" s="23"/>
      <c r="AM141" s="111"/>
    </row>
    <row r="142" spans="1:40" ht="13.5" thickBot="1" x14ac:dyDescent="0.25">
      <c r="A142" s="19"/>
      <c r="B142" s="100"/>
      <c r="C142" s="101"/>
      <c r="D142" s="101"/>
      <c r="E142" s="134"/>
      <c r="F142" s="101"/>
      <c r="G142" s="192"/>
      <c r="H142" s="101"/>
      <c r="I142" s="101"/>
      <c r="J142" s="101"/>
      <c r="K142" s="101"/>
      <c r="L142" s="101"/>
      <c r="M142" s="101"/>
      <c r="N142" s="101"/>
      <c r="O142" s="101"/>
      <c r="P142" s="101"/>
      <c r="Q142" s="101"/>
      <c r="R142" s="101"/>
      <c r="S142" s="101"/>
      <c r="T142" s="101"/>
      <c r="U142" s="101"/>
      <c r="V142" s="101"/>
      <c r="W142" s="101"/>
      <c r="X142" s="101"/>
      <c r="Y142" s="101"/>
      <c r="Z142" s="101"/>
      <c r="AA142" s="101"/>
      <c r="AB142" s="101"/>
      <c r="AC142" s="101"/>
      <c r="AD142" s="101"/>
      <c r="AE142" s="101"/>
      <c r="AF142" s="101"/>
      <c r="AG142" s="101"/>
      <c r="AH142" s="101"/>
      <c r="AI142" s="101"/>
      <c r="AJ142" s="101"/>
      <c r="AK142" s="101"/>
      <c r="AL142" s="101"/>
      <c r="AM142" s="115"/>
    </row>
    <row r="143" spans="1:40" x14ac:dyDescent="0.2">
      <c r="A143" s="19"/>
      <c r="B143" s="19"/>
      <c r="C143" s="19"/>
      <c r="D143" s="19"/>
      <c r="E143" s="19"/>
      <c r="F143" s="32"/>
      <c r="G143" s="20"/>
      <c r="H143" s="19"/>
      <c r="I143" s="19"/>
      <c r="J143" s="19"/>
      <c r="K143" s="19"/>
      <c r="L143" s="19"/>
      <c r="M143" s="19"/>
      <c r="N143" s="19"/>
      <c r="O143" s="19"/>
      <c r="P143" s="19"/>
      <c r="Q143" s="19"/>
      <c r="R143" s="19"/>
      <c r="S143" s="19"/>
      <c r="T143" s="19"/>
      <c r="U143" s="19"/>
      <c r="V143" s="19"/>
      <c r="W143" s="19"/>
      <c r="X143" s="19"/>
      <c r="Y143" s="19"/>
      <c r="Z143" s="19"/>
      <c r="AA143" s="19"/>
      <c r="AB143" s="19"/>
      <c r="AC143" s="19"/>
      <c r="AD143" s="19"/>
      <c r="AE143" s="19"/>
      <c r="AF143" s="19"/>
      <c r="AG143" s="19"/>
      <c r="AH143" s="19"/>
      <c r="AI143" s="19"/>
      <c r="AJ143" s="19"/>
      <c r="AK143" s="19"/>
      <c r="AL143" s="19"/>
      <c r="AM143" s="19"/>
    </row>
    <row r="144" spans="1:40" ht="15" x14ac:dyDescent="0.25">
      <c r="A144" s="19"/>
      <c r="B144" s="43"/>
      <c r="C144" s="19"/>
      <c r="D144" s="19"/>
      <c r="E144" s="19"/>
      <c r="F144" s="36"/>
      <c r="G144" s="193"/>
      <c r="H144" s="19"/>
      <c r="J144" s="19"/>
      <c r="K144" s="19"/>
      <c r="L144" s="19"/>
      <c r="M144" s="19"/>
      <c r="N144" s="19"/>
      <c r="O144" s="19"/>
      <c r="P144" s="19"/>
      <c r="Q144" s="19"/>
      <c r="R144" s="19"/>
      <c r="S144" s="19"/>
      <c r="T144" s="19"/>
      <c r="U144" s="19"/>
      <c r="V144" s="19"/>
      <c r="W144" s="19"/>
      <c r="X144" s="19"/>
      <c r="Y144" s="19"/>
      <c r="Z144" s="19"/>
      <c r="AA144" s="19"/>
      <c r="AB144" s="19"/>
      <c r="AC144" s="19"/>
      <c r="AD144" s="19"/>
      <c r="AE144" s="19"/>
      <c r="AF144" s="19"/>
      <c r="AG144" s="19"/>
      <c r="AH144" s="19"/>
      <c r="AI144" s="19"/>
      <c r="AJ144" s="19"/>
      <c r="AK144" s="19"/>
      <c r="AL144" s="19"/>
      <c r="AM144" s="19"/>
    </row>
    <row r="145" spans="1:39" x14ac:dyDescent="0.2">
      <c r="A145" s="19"/>
      <c r="B145" s="19"/>
      <c r="C145" s="19"/>
      <c r="D145" s="19"/>
      <c r="E145" s="19"/>
      <c r="F145" s="36"/>
      <c r="G145" s="193"/>
      <c r="H145" s="19"/>
      <c r="I145" s="19"/>
      <c r="J145" s="19"/>
      <c r="K145" s="19"/>
      <c r="L145" s="19"/>
      <c r="M145" s="19"/>
      <c r="N145" s="19"/>
      <c r="O145" s="19"/>
      <c r="P145" s="19"/>
      <c r="Q145" s="19"/>
      <c r="R145" s="19"/>
      <c r="S145" s="19"/>
      <c r="T145" s="19"/>
      <c r="U145" s="19"/>
      <c r="V145" s="19"/>
      <c r="W145" s="19"/>
      <c r="X145" s="19"/>
      <c r="Y145" s="19"/>
      <c r="Z145" s="19"/>
      <c r="AA145" s="19"/>
      <c r="AB145" s="19"/>
      <c r="AC145" s="19"/>
      <c r="AD145" s="19"/>
      <c r="AE145" s="19"/>
      <c r="AF145" s="19"/>
      <c r="AG145" s="19"/>
      <c r="AH145" s="19"/>
      <c r="AI145" s="19"/>
      <c r="AJ145" s="19"/>
      <c r="AK145" s="19"/>
      <c r="AL145" s="19"/>
      <c r="AM145" s="19"/>
    </row>
    <row r="146" spans="1:39" x14ac:dyDescent="0.2">
      <c r="A146" s="19"/>
      <c r="B146" s="19"/>
      <c r="C146" s="19"/>
      <c r="D146" s="19"/>
      <c r="E146" s="19"/>
      <c r="F146" s="36"/>
      <c r="G146" s="193"/>
      <c r="H146" s="19"/>
      <c r="I146" s="19"/>
      <c r="J146" s="19"/>
      <c r="K146" s="19"/>
      <c r="L146" s="19"/>
      <c r="M146" s="19"/>
      <c r="N146" s="19"/>
      <c r="O146" s="19"/>
      <c r="P146" s="19"/>
      <c r="Q146" s="19"/>
      <c r="R146" s="19"/>
      <c r="S146" s="19"/>
      <c r="T146" s="19"/>
      <c r="U146" s="19"/>
      <c r="V146" s="19"/>
      <c r="W146" s="19"/>
      <c r="X146" s="19"/>
      <c r="Y146" s="19"/>
      <c r="Z146" s="19"/>
      <c r="AA146" s="19"/>
      <c r="AB146" s="19"/>
      <c r="AC146" s="19"/>
      <c r="AD146" s="19"/>
      <c r="AE146" s="19"/>
      <c r="AF146" s="19"/>
      <c r="AG146" s="19"/>
      <c r="AH146" s="19"/>
      <c r="AI146" s="19"/>
      <c r="AJ146" s="19"/>
      <c r="AK146" s="19"/>
      <c r="AL146" s="19"/>
      <c r="AM146" s="19"/>
    </row>
    <row r="147" spans="1:39" x14ac:dyDescent="0.2">
      <c r="A147" s="19"/>
      <c r="B147" s="19"/>
      <c r="C147" s="19"/>
      <c r="D147" s="19"/>
      <c r="E147" s="19"/>
      <c r="F147" s="36"/>
      <c r="G147" s="193"/>
      <c r="H147" s="19"/>
      <c r="I147" s="19"/>
      <c r="J147" s="19"/>
      <c r="K147" s="19"/>
      <c r="L147" s="19"/>
      <c r="M147" s="19"/>
      <c r="N147" s="19"/>
      <c r="O147" s="19"/>
      <c r="P147" s="19"/>
      <c r="Q147" s="19"/>
      <c r="R147" s="19"/>
      <c r="S147" s="19"/>
      <c r="T147" s="19"/>
      <c r="U147" s="19"/>
      <c r="V147" s="19"/>
      <c r="W147" s="19"/>
      <c r="X147" s="19"/>
      <c r="Y147" s="19"/>
      <c r="Z147" s="19"/>
      <c r="AA147" s="19"/>
      <c r="AB147" s="19"/>
      <c r="AC147" s="19"/>
      <c r="AD147" s="19"/>
      <c r="AE147" s="19"/>
      <c r="AF147" s="19"/>
      <c r="AG147" s="19"/>
      <c r="AH147" s="19"/>
      <c r="AI147" s="19"/>
      <c r="AJ147" s="19"/>
      <c r="AK147" s="19"/>
      <c r="AL147" s="19"/>
      <c r="AM147" s="19"/>
    </row>
    <row r="148" spans="1:39" x14ac:dyDescent="0.2">
      <c r="A148" s="19"/>
      <c r="B148" s="19"/>
      <c r="C148" s="19"/>
      <c r="D148" s="19"/>
      <c r="E148" s="19"/>
      <c r="F148" s="36"/>
      <c r="G148" s="193"/>
      <c r="H148" s="19"/>
      <c r="I148" s="19"/>
      <c r="J148" s="19"/>
      <c r="K148" s="19"/>
      <c r="L148" s="19"/>
      <c r="M148" s="19"/>
      <c r="N148" s="19"/>
      <c r="O148" s="19"/>
      <c r="P148" s="19"/>
      <c r="Q148" s="19"/>
      <c r="R148" s="19"/>
      <c r="S148" s="19"/>
      <c r="T148" s="19"/>
      <c r="U148" s="19"/>
      <c r="V148" s="19"/>
      <c r="W148" s="19"/>
      <c r="X148" s="19"/>
      <c r="Y148" s="19"/>
      <c r="Z148" s="19"/>
      <c r="AA148" s="19"/>
      <c r="AB148" s="19"/>
      <c r="AC148" s="19"/>
      <c r="AD148" s="19"/>
      <c r="AE148" s="19"/>
      <c r="AF148" s="19"/>
      <c r="AG148" s="19"/>
      <c r="AH148" s="19"/>
      <c r="AI148" s="19"/>
      <c r="AJ148" s="19"/>
      <c r="AK148" s="19"/>
      <c r="AL148" s="19"/>
      <c r="AM148" s="19"/>
    </row>
    <row r="149" spans="1:39" x14ac:dyDescent="0.2">
      <c r="A149" s="19"/>
      <c r="B149" s="19"/>
      <c r="C149" s="19"/>
      <c r="D149" s="19"/>
      <c r="E149" s="19"/>
      <c r="F149" s="36"/>
      <c r="G149" s="193"/>
      <c r="H149" s="36"/>
      <c r="I149" s="36"/>
      <c r="J149" s="36"/>
      <c r="K149" s="19"/>
      <c r="L149" s="19"/>
      <c r="M149" s="19"/>
      <c r="N149" s="19"/>
      <c r="O149" s="19"/>
      <c r="P149" s="19"/>
      <c r="Q149" s="19"/>
      <c r="R149" s="19"/>
      <c r="S149" s="19"/>
      <c r="T149" s="19"/>
      <c r="U149" s="19"/>
      <c r="V149" s="19"/>
      <c r="W149" s="19"/>
      <c r="X149" s="19"/>
      <c r="Y149" s="19"/>
      <c r="Z149" s="19"/>
      <c r="AA149" s="19"/>
      <c r="AB149" s="19"/>
      <c r="AC149" s="19"/>
      <c r="AD149" s="19"/>
      <c r="AE149" s="19"/>
      <c r="AF149" s="19"/>
      <c r="AG149" s="19"/>
      <c r="AH149" s="19"/>
      <c r="AI149" s="19"/>
      <c r="AJ149" s="19"/>
      <c r="AK149" s="19"/>
      <c r="AL149" s="19"/>
      <c r="AM149" s="19"/>
    </row>
    <row r="150" spans="1:39" x14ac:dyDescent="0.2">
      <c r="A150" s="19"/>
      <c r="B150" s="19"/>
      <c r="C150" s="19"/>
      <c r="D150" s="19"/>
      <c r="E150" s="19"/>
      <c r="F150" s="36"/>
      <c r="G150" s="193"/>
      <c r="H150" s="36"/>
      <c r="I150" s="36"/>
      <c r="J150" s="36"/>
      <c r="K150" s="19"/>
      <c r="L150" s="19"/>
      <c r="M150" s="19"/>
      <c r="N150" s="19"/>
      <c r="O150" s="19"/>
      <c r="P150" s="19"/>
      <c r="Q150" s="19"/>
      <c r="R150" s="19"/>
      <c r="S150" s="19"/>
      <c r="T150" s="19"/>
      <c r="U150" s="19"/>
      <c r="V150" s="19"/>
      <c r="W150" s="19"/>
      <c r="X150" s="19"/>
      <c r="Y150" s="19"/>
      <c r="Z150" s="19"/>
      <c r="AA150" s="19"/>
      <c r="AB150" s="19"/>
      <c r="AC150" s="19"/>
      <c r="AD150" s="19"/>
      <c r="AE150" s="19"/>
      <c r="AF150" s="19"/>
      <c r="AG150" s="19"/>
      <c r="AH150" s="19"/>
      <c r="AI150" s="19"/>
      <c r="AJ150" s="19"/>
      <c r="AK150" s="19"/>
      <c r="AL150" s="19"/>
      <c r="AM150" s="19"/>
    </row>
    <row r="151" spans="1:39" x14ac:dyDescent="0.2">
      <c r="A151" s="19"/>
      <c r="B151" s="19"/>
      <c r="C151" s="19"/>
      <c r="D151" s="19"/>
      <c r="E151" s="19"/>
      <c r="F151" s="36"/>
      <c r="G151" s="193"/>
      <c r="H151" s="19"/>
      <c r="I151" s="19"/>
      <c r="J151" s="19"/>
      <c r="K151" s="19"/>
      <c r="L151" s="19"/>
      <c r="M151" s="19"/>
      <c r="N151" s="19"/>
      <c r="O151" s="19"/>
      <c r="P151" s="19"/>
      <c r="Q151" s="19"/>
      <c r="R151" s="19"/>
      <c r="S151" s="19"/>
      <c r="T151" s="19"/>
      <c r="U151" s="19"/>
      <c r="V151" s="19"/>
      <c r="W151" s="19"/>
      <c r="X151" s="19"/>
      <c r="Y151" s="19"/>
      <c r="Z151" s="19"/>
      <c r="AA151" s="19"/>
      <c r="AB151" s="19"/>
      <c r="AC151" s="19"/>
      <c r="AD151" s="19"/>
      <c r="AE151" s="19"/>
      <c r="AF151" s="19"/>
      <c r="AG151" s="19"/>
      <c r="AH151" s="19"/>
      <c r="AI151" s="19"/>
      <c r="AJ151" s="19"/>
      <c r="AK151" s="19"/>
      <c r="AL151" s="19"/>
      <c r="AM151" s="19"/>
    </row>
    <row r="152" spans="1:39" x14ac:dyDescent="0.2">
      <c r="A152" s="19"/>
      <c r="B152" s="19"/>
      <c r="C152" s="19"/>
      <c r="D152" s="19"/>
      <c r="E152" s="19"/>
      <c r="F152" s="19"/>
      <c r="G152" s="20"/>
      <c r="H152" s="19"/>
      <c r="I152" s="19"/>
      <c r="J152" s="19"/>
      <c r="K152" s="19"/>
      <c r="L152" s="19"/>
      <c r="M152" s="19"/>
      <c r="N152" s="19"/>
      <c r="O152" s="19"/>
      <c r="P152" s="19"/>
      <c r="Q152" s="19"/>
      <c r="R152" s="19"/>
      <c r="S152" s="19"/>
      <c r="T152" s="19"/>
      <c r="U152" s="19"/>
      <c r="V152" s="19"/>
      <c r="W152" s="19"/>
      <c r="X152" s="19"/>
      <c r="Y152" s="19"/>
      <c r="Z152" s="19"/>
      <c r="AA152" s="19"/>
      <c r="AB152" s="19"/>
      <c r="AC152" s="19"/>
      <c r="AD152" s="19"/>
      <c r="AE152" s="19"/>
      <c r="AF152" s="19"/>
      <c r="AG152" s="19"/>
      <c r="AH152" s="19"/>
      <c r="AI152" s="19"/>
      <c r="AJ152" s="19"/>
      <c r="AK152" s="19"/>
      <c r="AL152" s="19"/>
      <c r="AM152" s="19"/>
    </row>
    <row r="153" spans="1:39" x14ac:dyDescent="0.2">
      <c r="A153" s="19"/>
      <c r="B153" s="19"/>
      <c r="C153" s="19"/>
      <c r="D153" s="19"/>
      <c r="E153" s="19"/>
      <c r="F153" s="36"/>
      <c r="G153" s="193"/>
      <c r="H153" s="36"/>
      <c r="I153" s="36"/>
      <c r="J153" s="36"/>
      <c r="K153" s="36"/>
      <c r="L153" s="36"/>
      <c r="M153" s="19"/>
      <c r="N153" s="19"/>
      <c r="O153" s="19"/>
      <c r="P153" s="19"/>
      <c r="Q153" s="19"/>
      <c r="R153" s="19"/>
      <c r="S153" s="19"/>
      <c r="T153" s="19"/>
      <c r="U153" s="19"/>
      <c r="V153" s="19"/>
      <c r="W153" s="19"/>
      <c r="X153" s="19"/>
      <c r="Y153" s="19"/>
      <c r="Z153" s="19"/>
      <c r="AA153" s="19"/>
      <c r="AB153" s="19"/>
      <c r="AC153" s="19"/>
      <c r="AD153" s="19"/>
      <c r="AE153" s="19"/>
      <c r="AF153" s="19"/>
      <c r="AG153" s="19"/>
      <c r="AH153" s="19"/>
      <c r="AI153" s="19"/>
      <c r="AJ153" s="19"/>
      <c r="AK153" s="19"/>
      <c r="AL153" s="19"/>
      <c r="AM153" s="19"/>
    </row>
    <row r="154" spans="1:39" x14ac:dyDescent="0.2">
      <c r="A154" s="19"/>
      <c r="B154" s="19"/>
      <c r="C154" s="19"/>
      <c r="D154" s="19"/>
      <c r="E154" s="19"/>
      <c r="F154" s="36"/>
      <c r="G154" s="193"/>
      <c r="H154" s="36"/>
      <c r="I154" s="36"/>
      <c r="J154" s="36"/>
      <c r="K154" s="36"/>
      <c r="L154" s="36"/>
      <c r="M154" s="19"/>
      <c r="N154" s="19"/>
      <c r="O154" s="19"/>
      <c r="P154" s="19"/>
      <c r="Q154" s="19"/>
      <c r="R154" s="19"/>
      <c r="S154" s="19"/>
      <c r="T154" s="19"/>
      <c r="U154" s="19"/>
      <c r="V154" s="19"/>
      <c r="W154" s="19"/>
      <c r="X154" s="19"/>
      <c r="Y154" s="19"/>
      <c r="Z154" s="19"/>
      <c r="AA154" s="19"/>
      <c r="AB154" s="19"/>
      <c r="AC154" s="19"/>
      <c r="AD154" s="19"/>
      <c r="AE154" s="19"/>
      <c r="AF154" s="19"/>
      <c r="AG154" s="19"/>
      <c r="AH154" s="19"/>
      <c r="AI154" s="19"/>
      <c r="AJ154" s="19"/>
      <c r="AK154" s="19"/>
      <c r="AL154" s="19"/>
      <c r="AM154" s="19"/>
    </row>
    <row r="155" spans="1:39" x14ac:dyDescent="0.2">
      <c r="A155" s="19"/>
      <c r="B155" s="19"/>
      <c r="C155" s="19"/>
      <c r="D155" s="19"/>
      <c r="E155" s="19"/>
      <c r="F155" s="36"/>
      <c r="G155" s="193"/>
      <c r="H155" s="36"/>
      <c r="I155" s="36"/>
      <c r="J155" s="36"/>
      <c r="K155" s="36"/>
      <c r="L155" s="36"/>
      <c r="M155" s="19"/>
      <c r="N155" s="19"/>
      <c r="O155" s="19"/>
      <c r="P155" s="19"/>
      <c r="Q155" s="19"/>
      <c r="R155" s="19"/>
      <c r="S155" s="19"/>
      <c r="T155" s="19"/>
      <c r="U155" s="19"/>
      <c r="V155" s="19"/>
      <c r="W155" s="19"/>
      <c r="X155" s="19"/>
      <c r="Y155" s="19"/>
      <c r="Z155" s="19"/>
      <c r="AA155" s="19"/>
      <c r="AB155" s="19"/>
      <c r="AC155" s="19"/>
      <c r="AD155" s="19"/>
      <c r="AE155" s="19"/>
      <c r="AF155" s="19"/>
      <c r="AG155" s="19"/>
      <c r="AH155" s="19"/>
      <c r="AI155" s="19"/>
      <c r="AJ155" s="19"/>
      <c r="AK155" s="19"/>
      <c r="AL155" s="19"/>
      <c r="AM155" s="19"/>
    </row>
    <row r="156" spans="1:39" x14ac:dyDescent="0.2">
      <c r="A156" s="19"/>
      <c r="B156" s="19"/>
      <c r="C156" s="19"/>
      <c r="D156" s="19"/>
      <c r="E156" s="19"/>
      <c r="F156" s="36"/>
      <c r="G156" s="193"/>
      <c r="H156" s="36"/>
      <c r="I156" s="36"/>
      <c r="J156" s="36"/>
      <c r="K156" s="36"/>
      <c r="L156" s="36"/>
      <c r="M156" s="19"/>
      <c r="N156" s="19"/>
      <c r="O156" s="19"/>
      <c r="P156" s="19"/>
      <c r="Q156" s="19"/>
      <c r="R156" s="19"/>
      <c r="S156" s="19"/>
      <c r="T156" s="19"/>
      <c r="U156" s="19"/>
      <c r="V156" s="19"/>
      <c r="W156" s="19"/>
      <c r="X156" s="19"/>
      <c r="Y156" s="19"/>
      <c r="Z156" s="19"/>
      <c r="AA156" s="19"/>
      <c r="AB156" s="19"/>
      <c r="AC156" s="19"/>
      <c r="AD156" s="19"/>
      <c r="AE156" s="19"/>
      <c r="AF156" s="19"/>
      <c r="AG156" s="19"/>
      <c r="AH156" s="19"/>
      <c r="AI156" s="19"/>
      <c r="AJ156" s="19"/>
      <c r="AK156" s="19"/>
      <c r="AL156" s="19"/>
      <c r="AM156" s="19"/>
    </row>
    <row r="157" spans="1:39" x14ac:dyDescent="0.2">
      <c r="A157" s="19"/>
      <c r="B157" s="19"/>
      <c r="C157" s="19"/>
      <c r="D157" s="19"/>
      <c r="E157" s="19"/>
      <c r="F157" s="36"/>
      <c r="G157" s="193"/>
      <c r="H157" s="36"/>
      <c r="I157" s="36"/>
      <c r="J157" s="36"/>
      <c r="K157" s="36"/>
      <c r="L157" s="36"/>
      <c r="M157" s="19"/>
      <c r="N157" s="19"/>
      <c r="O157" s="19"/>
      <c r="P157" s="19"/>
      <c r="Q157" s="19"/>
      <c r="R157" s="19"/>
      <c r="S157" s="19"/>
      <c r="T157" s="19"/>
      <c r="U157" s="19"/>
      <c r="V157" s="19"/>
      <c r="W157" s="19"/>
      <c r="X157" s="19"/>
      <c r="Y157" s="19"/>
      <c r="Z157" s="19"/>
      <c r="AA157" s="19"/>
      <c r="AB157" s="19"/>
      <c r="AC157" s="19"/>
      <c r="AD157" s="19"/>
      <c r="AE157" s="19"/>
      <c r="AF157" s="19"/>
      <c r="AG157" s="19"/>
      <c r="AH157" s="19"/>
      <c r="AI157" s="19"/>
      <c r="AJ157" s="19"/>
      <c r="AK157" s="19"/>
      <c r="AL157" s="19"/>
      <c r="AM157" s="19"/>
    </row>
    <row r="158" spans="1:39" x14ac:dyDescent="0.2">
      <c r="A158" s="19"/>
      <c r="B158" s="19"/>
      <c r="C158" s="19"/>
      <c r="D158" s="19"/>
      <c r="E158" s="19"/>
      <c r="F158" s="36"/>
      <c r="G158" s="193"/>
      <c r="H158" s="36"/>
      <c r="I158" s="36"/>
      <c r="J158" s="36"/>
      <c r="K158" s="36"/>
      <c r="L158" s="36"/>
      <c r="M158" s="19"/>
      <c r="N158" s="19"/>
      <c r="O158" s="19"/>
      <c r="P158" s="19"/>
      <c r="Q158" s="19"/>
      <c r="R158" s="19"/>
      <c r="S158" s="19"/>
      <c r="T158" s="19"/>
      <c r="U158" s="19"/>
      <c r="V158" s="19"/>
      <c r="W158" s="19"/>
      <c r="X158" s="19"/>
      <c r="Y158" s="19"/>
      <c r="Z158" s="19"/>
      <c r="AA158" s="19"/>
      <c r="AB158" s="19"/>
      <c r="AC158" s="19"/>
      <c r="AD158" s="19"/>
      <c r="AE158" s="19"/>
      <c r="AF158" s="19"/>
      <c r="AG158" s="19"/>
      <c r="AH158" s="19"/>
      <c r="AI158" s="19"/>
      <c r="AJ158" s="19"/>
      <c r="AK158" s="19"/>
      <c r="AL158" s="19"/>
      <c r="AM158" s="19"/>
    </row>
    <row r="159" spans="1:39" x14ac:dyDescent="0.2">
      <c r="A159" s="19"/>
      <c r="B159" s="19"/>
      <c r="C159" s="19"/>
      <c r="D159" s="19"/>
      <c r="E159" s="19"/>
      <c r="F159" s="19"/>
      <c r="G159" s="20"/>
      <c r="H159" s="19"/>
      <c r="I159" s="19"/>
      <c r="J159" s="19"/>
      <c r="K159" s="19"/>
      <c r="L159" s="19"/>
      <c r="M159" s="19"/>
      <c r="N159" s="19"/>
      <c r="O159" s="19"/>
      <c r="P159" s="19"/>
      <c r="Q159" s="19"/>
      <c r="R159" s="19"/>
      <c r="S159" s="19"/>
      <c r="T159" s="19"/>
      <c r="U159" s="19"/>
      <c r="V159" s="19"/>
      <c r="W159" s="19"/>
      <c r="X159" s="19"/>
      <c r="Y159" s="19"/>
      <c r="Z159" s="19"/>
      <c r="AA159" s="19"/>
      <c r="AB159" s="19"/>
      <c r="AC159" s="19"/>
      <c r="AD159" s="19"/>
      <c r="AE159" s="19"/>
      <c r="AF159" s="19"/>
      <c r="AG159" s="19"/>
      <c r="AH159" s="19"/>
      <c r="AI159" s="19"/>
      <c r="AJ159" s="19"/>
      <c r="AK159" s="19"/>
      <c r="AL159" s="19"/>
      <c r="AM159" s="19"/>
    </row>
    <row r="160" spans="1:39" x14ac:dyDescent="0.2">
      <c r="A160" s="19"/>
      <c r="B160" s="19"/>
      <c r="C160" s="19"/>
      <c r="D160" s="19"/>
      <c r="E160" s="19"/>
      <c r="F160" s="19"/>
      <c r="G160" s="20"/>
      <c r="H160" s="19"/>
      <c r="I160" s="19"/>
      <c r="J160" s="19"/>
      <c r="K160" s="19"/>
      <c r="L160" s="19"/>
      <c r="M160" s="19"/>
      <c r="N160" s="19"/>
      <c r="O160" s="19"/>
      <c r="P160" s="19"/>
      <c r="Q160" s="19"/>
      <c r="R160" s="19"/>
      <c r="S160" s="19"/>
      <c r="T160" s="19"/>
      <c r="U160" s="19"/>
      <c r="V160" s="19"/>
      <c r="W160" s="19"/>
      <c r="X160" s="19"/>
      <c r="Y160" s="19"/>
      <c r="Z160" s="19"/>
      <c r="AA160" s="19"/>
      <c r="AB160" s="19"/>
      <c r="AC160" s="19"/>
      <c r="AD160" s="19"/>
      <c r="AE160" s="19"/>
      <c r="AF160" s="19"/>
      <c r="AG160" s="19"/>
      <c r="AH160" s="19"/>
      <c r="AI160" s="19"/>
      <c r="AJ160" s="19"/>
      <c r="AK160" s="19"/>
      <c r="AL160" s="19"/>
      <c r="AM160" s="19"/>
    </row>
    <row r="161" spans="1:39" x14ac:dyDescent="0.2">
      <c r="A161" s="19"/>
      <c r="B161" s="19"/>
      <c r="C161" s="19"/>
      <c r="D161" s="19"/>
      <c r="E161" s="19"/>
      <c r="F161" s="19"/>
      <c r="G161" s="20"/>
      <c r="H161" s="19"/>
      <c r="I161" s="19"/>
      <c r="J161" s="19"/>
      <c r="K161" s="19"/>
      <c r="L161" s="19"/>
      <c r="M161" s="19"/>
      <c r="N161" s="19"/>
      <c r="O161" s="19"/>
      <c r="P161" s="19"/>
      <c r="Q161" s="19"/>
      <c r="R161" s="19"/>
      <c r="S161" s="19"/>
      <c r="T161" s="19"/>
      <c r="U161" s="19"/>
      <c r="V161" s="19"/>
      <c r="W161" s="19"/>
      <c r="X161" s="19"/>
      <c r="Y161" s="19"/>
      <c r="Z161" s="19"/>
      <c r="AA161" s="19"/>
      <c r="AB161" s="19"/>
      <c r="AC161" s="19"/>
      <c r="AD161" s="19"/>
      <c r="AE161" s="19"/>
      <c r="AF161" s="19"/>
      <c r="AG161" s="19"/>
      <c r="AH161" s="19"/>
      <c r="AI161" s="19"/>
      <c r="AJ161" s="19"/>
      <c r="AK161" s="19"/>
      <c r="AL161" s="19"/>
      <c r="AM161" s="19"/>
    </row>
    <row r="162" spans="1:39" x14ac:dyDescent="0.2">
      <c r="A162" s="19"/>
      <c r="B162" s="19"/>
      <c r="C162" s="19"/>
      <c r="D162" s="19"/>
      <c r="E162" s="19"/>
      <c r="F162" s="19"/>
      <c r="G162" s="20"/>
      <c r="H162" s="19"/>
      <c r="I162" s="19"/>
      <c r="J162" s="19"/>
      <c r="K162" s="19"/>
      <c r="L162" s="19"/>
      <c r="M162" s="19"/>
      <c r="N162" s="19"/>
      <c r="O162" s="19"/>
      <c r="P162" s="19"/>
      <c r="Q162" s="19"/>
      <c r="R162" s="19"/>
      <c r="S162" s="19"/>
      <c r="T162" s="19"/>
      <c r="U162" s="19"/>
      <c r="V162" s="19"/>
      <c r="W162" s="19"/>
      <c r="X162" s="19"/>
      <c r="Y162" s="19"/>
      <c r="Z162" s="19"/>
      <c r="AA162" s="19"/>
      <c r="AB162" s="19"/>
      <c r="AC162" s="19"/>
      <c r="AD162" s="19"/>
      <c r="AE162" s="19"/>
      <c r="AF162" s="19"/>
      <c r="AG162" s="19"/>
      <c r="AH162" s="19"/>
      <c r="AI162" s="19"/>
      <c r="AJ162" s="19"/>
      <c r="AK162" s="19"/>
      <c r="AL162" s="19"/>
      <c r="AM162" s="19"/>
    </row>
    <row r="163" spans="1:39" x14ac:dyDescent="0.2">
      <c r="A163" s="19"/>
      <c r="B163" s="19"/>
      <c r="C163" s="19"/>
      <c r="D163" s="19"/>
      <c r="E163" s="19"/>
      <c r="F163" s="19"/>
      <c r="G163" s="20"/>
      <c r="H163" s="19"/>
      <c r="I163" s="19"/>
      <c r="J163" s="19"/>
      <c r="K163" s="19"/>
      <c r="L163" s="19"/>
      <c r="M163" s="19"/>
      <c r="N163" s="19"/>
      <c r="O163" s="19"/>
      <c r="P163" s="19"/>
      <c r="Q163" s="19"/>
      <c r="R163" s="19"/>
      <c r="S163" s="19"/>
      <c r="T163" s="19"/>
      <c r="U163" s="19"/>
      <c r="V163" s="19"/>
      <c r="W163" s="19"/>
      <c r="X163" s="19"/>
      <c r="Y163" s="19"/>
      <c r="Z163" s="19"/>
      <c r="AA163" s="19"/>
      <c r="AB163" s="19"/>
      <c r="AC163" s="19"/>
      <c r="AD163" s="19"/>
      <c r="AE163" s="19"/>
      <c r="AF163" s="19"/>
      <c r="AG163" s="19"/>
      <c r="AH163" s="19"/>
      <c r="AI163" s="19"/>
      <c r="AJ163" s="19"/>
      <c r="AK163" s="19"/>
      <c r="AL163" s="19"/>
      <c r="AM163" s="19"/>
    </row>
    <row r="164" spans="1:39" x14ac:dyDescent="0.2">
      <c r="A164" s="19"/>
      <c r="B164" s="19"/>
      <c r="C164" s="19"/>
      <c r="D164" s="19"/>
      <c r="E164" s="19"/>
      <c r="F164" s="19"/>
      <c r="G164" s="20"/>
      <c r="H164" s="19"/>
      <c r="I164" s="19"/>
      <c r="J164" s="19"/>
      <c r="K164" s="19"/>
      <c r="L164" s="19"/>
      <c r="M164" s="19"/>
      <c r="N164" s="19"/>
      <c r="O164" s="19"/>
      <c r="P164" s="19"/>
      <c r="Q164" s="19"/>
      <c r="R164" s="19"/>
      <c r="S164" s="19"/>
      <c r="T164" s="19"/>
      <c r="U164" s="19"/>
      <c r="V164" s="19"/>
      <c r="W164" s="19"/>
      <c r="X164" s="19"/>
      <c r="Y164" s="19"/>
      <c r="Z164" s="19"/>
      <c r="AA164" s="19"/>
      <c r="AB164" s="19"/>
      <c r="AC164" s="19"/>
      <c r="AD164" s="19"/>
      <c r="AE164" s="19"/>
      <c r="AF164" s="19"/>
      <c r="AG164" s="19"/>
      <c r="AH164" s="19"/>
      <c r="AI164" s="19"/>
      <c r="AJ164" s="19"/>
      <c r="AK164" s="19"/>
      <c r="AL164" s="19"/>
      <c r="AM164" s="19"/>
    </row>
    <row r="165" spans="1:39" x14ac:dyDescent="0.2">
      <c r="A165" s="19"/>
      <c r="B165" s="19"/>
      <c r="C165" s="19"/>
      <c r="D165" s="19"/>
      <c r="E165" s="19"/>
      <c r="F165" s="19"/>
      <c r="G165" s="20"/>
      <c r="H165" s="19"/>
      <c r="I165" s="19"/>
      <c r="J165" s="19"/>
      <c r="K165" s="19"/>
      <c r="L165" s="19"/>
      <c r="M165" s="19"/>
      <c r="N165" s="19"/>
      <c r="O165" s="19"/>
      <c r="P165" s="19"/>
      <c r="Q165" s="19"/>
      <c r="R165" s="19"/>
      <c r="S165" s="19"/>
      <c r="T165" s="19"/>
      <c r="U165" s="19"/>
      <c r="V165" s="19"/>
      <c r="W165" s="19"/>
      <c r="X165" s="19"/>
      <c r="Y165" s="19"/>
      <c r="Z165" s="19"/>
      <c r="AA165" s="19"/>
      <c r="AB165" s="19"/>
      <c r="AC165" s="19"/>
      <c r="AD165" s="19"/>
      <c r="AE165" s="19"/>
      <c r="AF165" s="19"/>
      <c r="AG165" s="19"/>
      <c r="AH165" s="19"/>
      <c r="AI165" s="19"/>
      <c r="AJ165" s="19"/>
      <c r="AK165" s="19"/>
      <c r="AL165" s="19"/>
      <c r="AM165" s="19"/>
    </row>
    <row r="166" spans="1:39" x14ac:dyDescent="0.2">
      <c r="A166" s="19"/>
      <c r="B166" s="19"/>
      <c r="C166" s="19"/>
      <c r="D166" s="19"/>
      <c r="E166" s="19"/>
      <c r="F166" s="19"/>
      <c r="G166" s="20"/>
      <c r="H166" s="19"/>
      <c r="I166" s="19"/>
      <c r="J166" s="19"/>
      <c r="K166" s="19"/>
      <c r="L166" s="19"/>
      <c r="M166" s="19"/>
      <c r="N166" s="19"/>
      <c r="O166" s="19"/>
      <c r="P166" s="19"/>
      <c r="Q166" s="19"/>
      <c r="R166" s="19"/>
      <c r="S166" s="19"/>
      <c r="T166" s="19"/>
      <c r="U166" s="19"/>
      <c r="V166" s="19"/>
      <c r="W166" s="19"/>
      <c r="X166" s="19"/>
      <c r="Y166" s="19"/>
      <c r="Z166" s="19"/>
      <c r="AA166" s="19"/>
      <c r="AB166" s="19"/>
      <c r="AC166" s="19"/>
      <c r="AD166" s="19"/>
      <c r="AE166" s="19"/>
      <c r="AF166" s="19"/>
      <c r="AG166" s="19"/>
      <c r="AH166" s="19"/>
      <c r="AI166" s="19"/>
      <c r="AJ166" s="19"/>
      <c r="AK166" s="19"/>
      <c r="AL166" s="19"/>
      <c r="AM166" s="19"/>
    </row>
    <row r="167" spans="1:39" x14ac:dyDescent="0.2">
      <c r="A167" s="19"/>
      <c r="B167" s="19"/>
      <c r="C167" s="19"/>
      <c r="D167" s="19"/>
      <c r="E167" s="19"/>
      <c r="F167" s="19"/>
      <c r="G167" s="20"/>
      <c r="H167" s="19"/>
      <c r="I167" s="19"/>
      <c r="J167" s="19"/>
      <c r="K167" s="19"/>
      <c r="L167" s="19"/>
      <c r="M167" s="19"/>
      <c r="N167" s="19"/>
      <c r="O167" s="19"/>
      <c r="P167" s="19"/>
      <c r="Q167" s="19"/>
      <c r="R167" s="19"/>
      <c r="S167" s="19"/>
      <c r="T167" s="19"/>
      <c r="U167" s="19"/>
      <c r="V167" s="19"/>
      <c r="W167" s="19"/>
      <c r="X167" s="19"/>
      <c r="Y167" s="19"/>
      <c r="Z167" s="19"/>
      <c r="AA167" s="19"/>
      <c r="AB167" s="19"/>
      <c r="AC167" s="19"/>
      <c r="AD167" s="19"/>
      <c r="AE167" s="19"/>
      <c r="AF167" s="19"/>
      <c r="AG167" s="19"/>
      <c r="AH167" s="19"/>
      <c r="AI167" s="19"/>
      <c r="AJ167" s="19"/>
      <c r="AK167" s="19"/>
      <c r="AL167" s="19"/>
      <c r="AM167" s="19"/>
    </row>
    <row r="168" spans="1:39" x14ac:dyDescent="0.2">
      <c r="A168" s="19"/>
      <c r="B168" s="19"/>
      <c r="C168" s="19"/>
      <c r="D168" s="19"/>
      <c r="E168" s="19"/>
      <c r="F168" s="19"/>
      <c r="G168" s="20"/>
      <c r="H168" s="19"/>
      <c r="I168" s="19"/>
      <c r="J168" s="19"/>
      <c r="K168" s="19"/>
      <c r="L168" s="19"/>
      <c r="M168" s="19"/>
      <c r="N168" s="19"/>
      <c r="O168" s="19"/>
      <c r="P168" s="19"/>
      <c r="Q168" s="19"/>
      <c r="R168" s="19"/>
      <c r="S168" s="19"/>
      <c r="T168" s="19"/>
      <c r="U168" s="19"/>
      <c r="V168" s="19"/>
      <c r="W168" s="19"/>
      <c r="X168" s="19"/>
      <c r="Y168" s="19"/>
      <c r="Z168" s="19"/>
      <c r="AA168" s="19"/>
      <c r="AB168" s="19"/>
      <c r="AC168" s="19"/>
      <c r="AD168" s="19"/>
      <c r="AE168" s="19"/>
      <c r="AF168" s="19"/>
      <c r="AG168" s="19"/>
      <c r="AH168" s="19"/>
      <c r="AI168" s="19"/>
      <c r="AJ168" s="19"/>
      <c r="AK168" s="19"/>
      <c r="AL168" s="19"/>
      <c r="AM168" s="19"/>
    </row>
    <row r="169" spans="1:39" x14ac:dyDescent="0.2">
      <c r="A169" s="19"/>
      <c r="B169" s="19"/>
      <c r="C169" s="19"/>
      <c r="D169" s="19"/>
      <c r="E169" s="19"/>
      <c r="F169" s="19"/>
      <c r="G169" s="20"/>
      <c r="H169" s="19"/>
      <c r="I169" s="19"/>
      <c r="J169" s="19"/>
      <c r="K169" s="19"/>
      <c r="L169" s="19"/>
      <c r="M169" s="19"/>
      <c r="N169" s="19"/>
      <c r="O169" s="19"/>
      <c r="P169" s="19"/>
      <c r="Q169" s="19"/>
      <c r="R169" s="19"/>
      <c r="S169" s="19"/>
      <c r="T169" s="19"/>
      <c r="U169" s="19"/>
      <c r="V169" s="19"/>
      <c r="W169" s="19"/>
      <c r="X169" s="19"/>
      <c r="Y169" s="19"/>
      <c r="Z169" s="19"/>
      <c r="AA169" s="19"/>
      <c r="AB169" s="19"/>
      <c r="AC169" s="19"/>
      <c r="AD169" s="19"/>
      <c r="AE169" s="19"/>
      <c r="AF169" s="19"/>
      <c r="AG169" s="19"/>
      <c r="AH169" s="19"/>
      <c r="AI169" s="19"/>
      <c r="AJ169" s="19"/>
      <c r="AK169" s="19"/>
      <c r="AL169" s="19"/>
      <c r="AM169" s="19"/>
    </row>
    <row r="170" spans="1:39" ht="15" x14ac:dyDescent="0.25">
      <c r="A170" s="19"/>
      <c r="B170" s="44"/>
      <c r="C170" s="19"/>
      <c r="D170" s="19"/>
      <c r="E170" s="19"/>
      <c r="F170" s="19"/>
      <c r="G170" s="20"/>
      <c r="H170" s="19"/>
      <c r="I170" s="19"/>
      <c r="J170" s="19"/>
      <c r="K170" s="19"/>
      <c r="L170" s="19"/>
      <c r="M170" s="19"/>
      <c r="N170" s="19"/>
      <c r="O170" s="19"/>
      <c r="P170" s="19"/>
      <c r="Q170" s="19"/>
      <c r="R170" s="19"/>
      <c r="S170" s="19"/>
      <c r="T170" s="19"/>
      <c r="U170" s="19"/>
      <c r="V170" s="19"/>
      <c r="W170" s="19"/>
      <c r="X170" s="19"/>
      <c r="Y170" s="19"/>
      <c r="Z170" s="19"/>
      <c r="AA170" s="19"/>
      <c r="AB170" s="19"/>
      <c r="AC170" s="19"/>
      <c r="AD170" s="19"/>
      <c r="AE170" s="19"/>
      <c r="AF170" s="19"/>
      <c r="AG170" s="19"/>
      <c r="AH170" s="19"/>
      <c r="AI170" s="19"/>
      <c r="AJ170" s="19"/>
      <c r="AK170" s="19"/>
      <c r="AL170" s="19"/>
      <c r="AM170" s="19"/>
    </row>
    <row r="171" spans="1:39" x14ac:dyDescent="0.2">
      <c r="A171" s="19"/>
      <c r="B171" s="19"/>
      <c r="C171" s="19"/>
      <c r="D171" s="19"/>
      <c r="E171" s="19"/>
      <c r="F171" s="19"/>
      <c r="G171" s="20"/>
      <c r="H171" s="19"/>
      <c r="I171" s="19"/>
      <c r="J171" s="19"/>
      <c r="K171" s="19"/>
      <c r="L171" s="19"/>
      <c r="M171" s="19"/>
      <c r="N171" s="19"/>
      <c r="O171" s="19"/>
      <c r="P171" s="19"/>
      <c r="Q171" s="19"/>
      <c r="R171" s="19"/>
      <c r="S171" s="19"/>
      <c r="T171" s="19"/>
      <c r="U171" s="19"/>
      <c r="V171" s="19"/>
      <c r="W171" s="19"/>
      <c r="X171" s="19"/>
      <c r="Y171" s="19"/>
      <c r="Z171" s="19"/>
      <c r="AA171" s="19"/>
      <c r="AB171" s="19"/>
      <c r="AC171" s="19"/>
      <c r="AD171" s="19"/>
      <c r="AE171" s="19"/>
      <c r="AF171" s="19"/>
      <c r="AG171" s="19"/>
      <c r="AH171" s="19"/>
      <c r="AI171" s="19"/>
      <c r="AJ171" s="19"/>
      <c r="AK171" s="19"/>
      <c r="AL171" s="19"/>
      <c r="AM171" s="19"/>
    </row>
    <row r="172" spans="1:39" x14ac:dyDescent="0.2">
      <c r="A172" s="19"/>
      <c r="B172" s="19"/>
      <c r="C172" s="19"/>
      <c r="D172" s="19"/>
      <c r="E172" s="19"/>
      <c r="F172" s="19"/>
      <c r="G172" s="20"/>
      <c r="H172" s="19"/>
      <c r="I172" s="19"/>
      <c r="J172" s="19"/>
      <c r="K172" s="19"/>
      <c r="L172" s="19"/>
      <c r="M172" s="19"/>
      <c r="N172" s="19"/>
      <c r="O172" s="19"/>
      <c r="P172" s="19"/>
      <c r="Q172" s="19"/>
      <c r="R172" s="19"/>
      <c r="S172" s="19"/>
      <c r="T172" s="19"/>
      <c r="U172" s="19"/>
      <c r="V172" s="19"/>
      <c r="W172" s="19"/>
      <c r="X172" s="19"/>
      <c r="Y172" s="19"/>
      <c r="Z172" s="19"/>
      <c r="AA172" s="19"/>
      <c r="AB172" s="19"/>
      <c r="AC172" s="19"/>
      <c r="AD172" s="19"/>
      <c r="AE172" s="19"/>
      <c r="AF172" s="19"/>
      <c r="AG172" s="19"/>
      <c r="AH172" s="19"/>
      <c r="AI172" s="19"/>
      <c r="AJ172" s="19"/>
      <c r="AK172" s="19"/>
      <c r="AL172" s="19"/>
      <c r="AM172" s="19"/>
    </row>
    <row r="173" spans="1:39" x14ac:dyDescent="0.2">
      <c r="A173" s="19"/>
      <c r="B173" s="19"/>
      <c r="C173" s="19"/>
      <c r="D173" s="19"/>
      <c r="E173" s="19"/>
      <c r="F173" s="19"/>
      <c r="G173" s="20"/>
      <c r="H173" s="19"/>
      <c r="I173" s="19"/>
      <c r="J173" s="19"/>
      <c r="K173" s="19"/>
      <c r="L173" s="19"/>
      <c r="M173" s="19"/>
      <c r="N173" s="19"/>
      <c r="O173" s="19"/>
      <c r="P173" s="19"/>
      <c r="Q173" s="19"/>
      <c r="R173" s="19"/>
      <c r="S173" s="19"/>
      <c r="T173" s="19"/>
      <c r="U173" s="19"/>
      <c r="V173" s="19"/>
      <c r="W173" s="19"/>
      <c r="X173" s="19"/>
      <c r="Y173" s="19"/>
      <c r="Z173" s="19"/>
      <c r="AA173" s="19"/>
      <c r="AB173" s="19"/>
      <c r="AC173" s="19"/>
      <c r="AD173" s="19"/>
      <c r="AE173" s="19"/>
      <c r="AF173" s="19"/>
      <c r="AG173" s="19"/>
      <c r="AH173" s="19"/>
      <c r="AI173" s="19"/>
      <c r="AJ173" s="19"/>
      <c r="AK173" s="19"/>
      <c r="AL173" s="19"/>
      <c r="AM173" s="19"/>
    </row>
    <row r="174" spans="1:39" x14ac:dyDescent="0.2">
      <c r="A174" s="19"/>
      <c r="B174" s="19"/>
      <c r="C174" s="19"/>
      <c r="D174" s="19"/>
      <c r="E174" s="19"/>
      <c r="F174" s="19"/>
      <c r="G174" s="20"/>
      <c r="H174" s="19"/>
      <c r="I174" s="19"/>
      <c r="J174" s="19"/>
      <c r="K174" s="19"/>
      <c r="L174" s="19"/>
      <c r="M174" s="19"/>
      <c r="N174" s="19"/>
      <c r="O174" s="19"/>
      <c r="P174" s="19"/>
      <c r="Q174" s="19"/>
      <c r="R174" s="19"/>
      <c r="S174" s="19"/>
      <c r="T174" s="19"/>
      <c r="U174" s="19"/>
      <c r="V174" s="19"/>
      <c r="W174" s="19"/>
      <c r="X174" s="19"/>
      <c r="Y174" s="19"/>
      <c r="Z174" s="19"/>
      <c r="AA174" s="19"/>
      <c r="AB174" s="19"/>
      <c r="AC174" s="19"/>
      <c r="AD174" s="19"/>
      <c r="AE174" s="19"/>
      <c r="AF174" s="19"/>
      <c r="AG174" s="19"/>
      <c r="AH174" s="19"/>
      <c r="AI174" s="19"/>
      <c r="AJ174" s="19"/>
      <c r="AK174" s="19"/>
      <c r="AL174" s="19"/>
      <c r="AM174" s="19"/>
    </row>
    <row r="175" spans="1:39" x14ac:dyDescent="0.2">
      <c r="A175" s="19"/>
      <c r="B175" s="19"/>
      <c r="D175" s="19"/>
      <c r="E175" s="19"/>
      <c r="F175" s="19"/>
      <c r="G175" s="20"/>
      <c r="H175" s="19"/>
      <c r="I175" s="19"/>
      <c r="J175" s="19"/>
      <c r="K175" s="19"/>
      <c r="L175" s="19"/>
      <c r="M175" s="19"/>
      <c r="N175" s="19"/>
      <c r="O175" s="19"/>
      <c r="P175" s="19"/>
      <c r="Q175" s="19"/>
      <c r="R175" s="19"/>
      <c r="S175" s="19"/>
      <c r="T175" s="19"/>
      <c r="U175" s="19"/>
      <c r="V175" s="19"/>
      <c r="W175" s="19"/>
      <c r="X175" s="19"/>
      <c r="Y175" s="19"/>
      <c r="Z175" s="19"/>
      <c r="AA175" s="19"/>
      <c r="AB175" s="19"/>
      <c r="AC175" s="19"/>
      <c r="AD175" s="19"/>
      <c r="AE175" s="19"/>
      <c r="AF175" s="19"/>
      <c r="AG175" s="19"/>
      <c r="AH175" s="19"/>
      <c r="AI175" s="19"/>
      <c r="AJ175" s="19"/>
      <c r="AK175" s="19"/>
      <c r="AL175" s="19"/>
      <c r="AM175" s="19"/>
    </row>
    <row r="176" spans="1:39" x14ac:dyDescent="0.2">
      <c r="A176" s="19"/>
      <c r="B176" s="19"/>
      <c r="C176" s="19"/>
      <c r="D176" s="19"/>
      <c r="E176" s="19"/>
      <c r="F176" s="19"/>
      <c r="G176" s="20"/>
      <c r="H176" s="19"/>
      <c r="I176" s="19"/>
      <c r="J176" s="19"/>
      <c r="K176" s="19"/>
      <c r="L176" s="19"/>
      <c r="M176" s="19"/>
      <c r="N176" s="19"/>
      <c r="O176" s="19"/>
      <c r="P176" s="19"/>
      <c r="Q176" s="19"/>
      <c r="R176" s="19"/>
      <c r="S176" s="19"/>
      <c r="T176" s="19"/>
      <c r="U176" s="19"/>
      <c r="V176" s="19"/>
      <c r="W176" s="19"/>
      <c r="X176" s="19"/>
      <c r="Y176" s="19"/>
      <c r="Z176" s="19"/>
      <c r="AA176" s="19"/>
      <c r="AB176" s="19"/>
      <c r="AC176" s="19"/>
      <c r="AD176" s="19"/>
      <c r="AE176" s="19"/>
      <c r="AF176" s="19"/>
      <c r="AG176" s="19"/>
      <c r="AH176" s="19"/>
      <c r="AI176" s="19"/>
      <c r="AJ176" s="19"/>
      <c r="AK176" s="19"/>
      <c r="AL176" s="19"/>
      <c r="AM176" s="19"/>
    </row>
    <row r="177" spans="1:39" x14ac:dyDescent="0.2">
      <c r="A177" s="19"/>
      <c r="B177" s="19"/>
      <c r="C177" s="19"/>
      <c r="D177" s="19"/>
      <c r="E177" s="19"/>
      <c r="F177" s="19"/>
      <c r="G177" s="20"/>
      <c r="H177" s="19"/>
      <c r="I177" s="19"/>
      <c r="J177" s="19"/>
      <c r="K177" s="19"/>
      <c r="L177" s="19"/>
      <c r="M177" s="19"/>
      <c r="N177" s="19"/>
      <c r="O177" s="19"/>
      <c r="P177" s="19"/>
      <c r="Q177" s="19"/>
      <c r="R177" s="19"/>
      <c r="S177" s="19"/>
      <c r="T177" s="19"/>
      <c r="U177" s="19"/>
      <c r="V177" s="19"/>
      <c r="W177" s="19"/>
      <c r="X177" s="19"/>
      <c r="Y177" s="19"/>
      <c r="Z177" s="19"/>
      <c r="AA177" s="19"/>
      <c r="AB177" s="19"/>
      <c r="AC177" s="19"/>
      <c r="AD177" s="19"/>
      <c r="AE177" s="19"/>
      <c r="AF177" s="19"/>
      <c r="AG177" s="19"/>
      <c r="AH177" s="19"/>
      <c r="AI177" s="19"/>
      <c r="AJ177" s="19"/>
      <c r="AK177" s="19"/>
      <c r="AL177" s="19"/>
      <c r="AM177" s="19"/>
    </row>
    <row r="178" spans="1:39" x14ac:dyDescent="0.2">
      <c r="A178" s="19"/>
      <c r="B178" s="19"/>
      <c r="C178" s="19"/>
      <c r="D178" s="19"/>
      <c r="E178" s="19"/>
      <c r="F178" s="19"/>
      <c r="G178" s="20"/>
      <c r="H178" s="19"/>
      <c r="I178" s="19"/>
      <c r="J178" s="19"/>
      <c r="K178" s="19"/>
      <c r="L178" s="19"/>
      <c r="M178" s="19"/>
      <c r="N178" s="19"/>
      <c r="O178" s="19"/>
      <c r="P178" s="19"/>
      <c r="Q178" s="19"/>
      <c r="R178" s="19"/>
      <c r="S178" s="19"/>
      <c r="T178" s="19"/>
      <c r="U178" s="19"/>
      <c r="V178" s="19"/>
      <c r="W178" s="19"/>
      <c r="X178" s="19"/>
      <c r="Y178" s="19"/>
      <c r="Z178" s="19"/>
      <c r="AA178" s="19"/>
      <c r="AB178" s="19"/>
      <c r="AC178" s="19"/>
      <c r="AD178" s="19"/>
      <c r="AE178" s="19"/>
      <c r="AF178" s="19"/>
      <c r="AG178" s="19"/>
      <c r="AH178" s="19"/>
      <c r="AI178" s="19"/>
      <c r="AJ178" s="19"/>
      <c r="AK178" s="19"/>
      <c r="AL178" s="19"/>
      <c r="AM178" s="19"/>
    </row>
    <row r="179" spans="1:39" x14ac:dyDescent="0.2">
      <c r="A179" s="19"/>
      <c r="B179" s="19"/>
      <c r="C179" s="19"/>
      <c r="D179" s="19"/>
      <c r="E179" s="19"/>
      <c r="F179" s="19"/>
      <c r="G179" s="20"/>
      <c r="H179" s="19"/>
      <c r="I179" s="19"/>
      <c r="J179" s="19"/>
      <c r="K179" s="19"/>
      <c r="L179" s="19"/>
      <c r="M179" s="19"/>
      <c r="N179" s="19"/>
      <c r="O179" s="19"/>
      <c r="P179" s="19"/>
      <c r="Q179" s="19"/>
      <c r="R179" s="19"/>
      <c r="S179" s="19"/>
      <c r="T179" s="19"/>
      <c r="U179" s="19"/>
      <c r="V179" s="19"/>
      <c r="W179" s="19"/>
      <c r="X179" s="19"/>
      <c r="Y179" s="19"/>
      <c r="Z179" s="19"/>
      <c r="AA179" s="19"/>
      <c r="AB179" s="19"/>
      <c r="AC179" s="19"/>
      <c r="AD179" s="19"/>
      <c r="AE179" s="19"/>
      <c r="AF179" s="19"/>
      <c r="AG179" s="19"/>
      <c r="AH179" s="19"/>
      <c r="AI179" s="19"/>
      <c r="AJ179" s="19"/>
      <c r="AK179" s="19"/>
      <c r="AL179" s="19"/>
      <c r="AM179" s="19"/>
    </row>
    <row r="180" spans="1:39" x14ac:dyDescent="0.2">
      <c r="A180" s="19"/>
      <c r="B180" s="19"/>
      <c r="C180" s="19"/>
      <c r="D180" s="19"/>
      <c r="E180" s="19"/>
      <c r="F180" s="19"/>
      <c r="G180" s="20"/>
      <c r="H180" s="19"/>
      <c r="I180" s="19"/>
      <c r="J180" s="19"/>
      <c r="K180" s="19"/>
      <c r="L180" s="19"/>
      <c r="M180" s="19"/>
      <c r="N180" s="19"/>
      <c r="O180" s="19"/>
      <c r="P180" s="19"/>
      <c r="Q180" s="19"/>
      <c r="R180" s="19"/>
      <c r="S180" s="19"/>
      <c r="T180" s="19"/>
      <c r="U180" s="19"/>
      <c r="V180" s="19"/>
      <c r="W180" s="19"/>
      <c r="X180" s="19"/>
      <c r="Y180" s="19"/>
      <c r="Z180" s="19"/>
      <c r="AA180" s="19"/>
      <c r="AB180" s="19"/>
      <c r="AC180" s="19"/>
      <c r="AD180" s="19"/>
      <c r="AE180" s="19"/>
      <c r="AF180" s="19"/>
      <c r="AG180" s="19"/>
      <c r="AH180" s="19"/>
      <c r="AI180" s="19"/>
      <c r="AJ180" s="19"/>
      <c r="AK180" s="19"/>
      <c r="AL180" s="19"/>
      <c r="AM180" s="19"/>
    </row>
    <row r="181" spans="1:39" x14ac:dyDescent="0.2">
      <c r="A181" s="19"/>
      <c r="B181" s="19"/>
      <c r="C181" s="19"/>
      <c r="D181" s="19"/>
      <c r="E181" s="19"/>
      <c r="F181" s="19"/>
      <c r="G181" s="20"/>
      <c r="H181" s="19"/>
      <c r="I181" s="19"/>
      <c r="J181" s="19"/>
      <c r="K181" s="19"/>
      <c r="L181" s="19"/>
      <c r="M181" s="19"/>
      <c r="N181" s="19"/>
      <c r="O181" s="19"/>
      <c r="P181" s="19"/>
      <c r="Q181" s="19"/>
      <c r="R181" s="19"/>
      <c r="S181" s="19"/>
      <c r="T181" s="19"/>
      <c r="U181" s="19"/>
      <c r="V181" s="19"/>
      <c r="W181" s="19"/>
      <c r="X181" s="19"/>
      <c r="Y181" s="19"/>
      <c r="Z181" s="19"/>
      <c r="AA181" s="19"/>
      <c r="AB181" s="19"/>
      <c r="AC181" s="19"/>
      <c r="AD181" s="19"/>
      <c r="AE181" s="19"/>
      <c r="AF181" s="19"/>
      <c r="AG181" s="19"/>
      <c r="AH181" s="19"/>
      <c r="AI181" s="19"/>
      <c r="AJ181" s="19"/>
      <c r="AK181" s="19"/>
      <c r="AL181" s="19"/>
      <c r="AM181" s="19"/>
    </row>
    <row r="182" spans="1:39" x14ac:dyDescent="0.2">
      <c r="A182" s="19"/>
      <c r="B182" s="19"/>
      <c r="C182" s="19"/>
      <c r="D182" s="19"/>
      <c r="E182" s="19"/>
      <c r="F182" s="19"/>
      <c r="G182" s="20"/>
      <c r="H182" s="19"/>
      <c r="I182" s="19"/>
      <c r="J182" s="19"/>
      <c r="K182" s="19"/>
      <c r="L182" s="19"/>
      <c r="M182" s="19"/>
      <c r="N182" s="19"/>
      <c r="O182" s="19"/>
      <c r="P182" s="19"/>
      <c r="Q182" s="19"/>
      <c r="R182" s="19"/>
      <c r="S182" s="19"/>
      <c r="T182" s="19"/>
      <c r="U182" s="19"/>
      <c r="V182" s="19"/>
      <c r="W182" s="19"/>
      <c r="X182" s="19"/>
      <c r="Y182" s="19"/>
      <c r="Z182" s="19"/>
      <c r="AA182" s="19"/>
      <c r="AB182" s="19"/>
      <c r="AC182" s="19"/>
      <c r="AD182" s="19"/>
      <c r="AE182" s="19"/>
      <c r="AF182" s="19"/>
      <c r="AG182" s="19"/>
      <c r="AH182" s="19"/>
      <c r="AI182" s="19"/>
      <c r="AJ182" s="19"/>
      <c r="AK182" s="19"/>
      <c r="AL182" s="19"/>
      <c r="AM182" s="19"/>
    </row>
    <row r="183" spans="1:39" x14ac:dyDescent="0.2">
      <c r="A183" s="19"/>
      <c r="B183" s="19"/>
      <c r="C183" s="19"/>
      <c r="D183" s="19"/>
      <c r="E183" s="19"/>
      <c r="F183" s="19"/>
      <c r="G183" s="20"/>
      <c r="H183" s="19"/>
      <c r="I183" s="19"/>
      <c r="J183" s="19"/>
      <c r="K183" s="19"/>
      <c r="L183" s="19"/>
      <c r="M183" s="19"/>
      <c r="N183" s="19"/>
      <c r="O183" s="19"/>
      <c r="P183" s="19"/>
      <c r="Q183" s="19"/>
      <c r="R183" s="19"/>
      <c r="S183" s="19"/>
      <c r="T183" s="19"/>
      <c r="U183" s="19"/>
      <c r="V183" s="19"/>
      <c r="W183" s="19"/>
      <c r="X183" s="19"/>
      <c r="Y183" s="19"/>
      <c r="Z183" s="19"/>
      <c r="AA183" s="19"/>
      <c r="AB183" s="19"/>
      <c r="AC183" s="19"/>
      <c r="AD183" s="19"/>
      <c r="AE183" s="19"/>
      <c r="AF183" s="19"/>
      <c r="AG183" s="19"/>
      <c r="AH183" s="19"/>
      <c r="AI183" s="19"/>
      <c r="AJ183" s="19"/>
      <c r="AK183" s="19"/>
      <c r="AL183" s="19"/>
      <c r="AM183" s="19"/>
    </row>
    <row r="184" spans="1:39" x14ac:dyDescent="0.2">
      <c r="A184" s="19"/>
      <c r="B184" s="19"/>
      <c r="C184" s="19"/>
      <c r="D184" s="19"/>
      <c r="E184" s="19"/>
      <c r="F184" s="19"/>
      <c r="G184" s="20"/>
      <c r="H184" s="19"/>
      <c r="I184" s="19"/>
      <c r="J184" s="19"/>
      <c r="K184" s="19"/>
      <c r="L184" s="19"/>
      <c r="M184" s="19"/>
      <c r="N184" s="19"/>
      <c r="O184" s="19"/>
      <c r="P184" s="19"/>
      <c r="Q184" s="19"/>
      <c r="R184" s="19"/>
      <c r="S184" s="19"/>
      <c r="T184" s="19"/>
      <c r="U184" s="19"/>
      <c r="V184" s="19"/>
      <c r="W184" s="19"/>
      <c r="X184" s="19"/>
      <c r="Y184" s="19"/>
      <c r="Z184" s="19"/>
      <c r="AA184" s="19"/>
      <c r="AB184" s="19"/>
      <c r="AC184" s="19"/>
      <c r="AD184" s="19"/>
      <c r="AE184" s="19"/>
      <c r="AF184" s="19"/>
      <c r="AG184" s="19"/>
      <c r="AH184" s="19"/>
      <c r="AI184" s="19"/>
      <c r="AJ184" s="19"/>
      <c r="AK184" s="19"/>
      <c r="AL184" s="19"/>
      <c r="AM184" s="19"/>
    </row>
    <row r="185" spans="1:39" x14ac:dyDescent="0.2">
      <c r="A185" s="19"/>
      <c r="B185" s="19"/>
      <c r="C185" s="19"/>
      <c r="D185" s="19"/>
      <c r="E185" s="19"/>
      <c r="F185" s="19"/>
      <c r="G185" s="20"/>
      <c r="H185" s="19"/>
      <c r="I185" s="19"/>
      <c r="J185" s="19"/>
      <c r="K185" s="19"/>
      <c r="L185" s="19"/>
      <c r="M185" s="19"/>
      <c r="N185" s="19"/>
      <c r="O185" s="19"/>
      <c r="P185" s="19"/>
      <c r="Q185" s="19"/>
      <c r="R185" s="19"/>
      <c r="S185" s="19"/>
      <c r="T185" s="19"/>
      <c r="U185" s="19"/>
      <c r="V185" s="19"/>
      <c r="W185" s="19"/>
      <c r="X185" s="19"/>
      <c r="Y185" s="19"/>
      <c r="Z185" s="19"/>
      <c r="AA185" s="19"/>
      <c r="AB185" s="19"/>
      <c r="AC185" s="19"/>
      <c r="AD185" s="19"/>
      <c r="AE185" s="19"/>
      <c r="AF185" s="19"/>
      <c r="AG185" s="19"/>
      <c r="AH185" s="19"/>
      <c r="AI185" s="19"/>
      <c r="AJ185" s="19"/>
      <c r="AK185" s="19"/>
      <c r="AL185" s="19"/>
      <c r="AM185" s="19"/>
    </row>
    <row r="186" spans="1:39" x14ac:dyDescent="0.2">
      <c r="A186" s="19"/>
      <c r="B186" s="19"/>
      <c r="C186" s="19"/>
      <c r="D186" s="19"/>
      <c r="E186" s="19"/>
      <c r="F186" s="19"/>
      <c r="G186" s="20"/>
      <c r="H186" s="19"/>
      <c r="I186" s="19"/>
      <c r="J186" s="19"/>
      <c r="K186" s="19"/>
      <c r="L186" s="19"/>
      <c r="M186" s="19"/>
      <c r="N186" s="19"/>
      <c r="O186" s="19"/>
      <c r="P186" s="19"/>
      <c r="Q186" s="19"/>
      <c r="R186" s="19"/>
      <c r="S186" s="19"/>
      <c r="T186" s="19"/>
      <c r="U186" s="19"/>
      <c r="V186" s="19"/>
      <c r="W186" s="19"/>
      <c r="X186" s="19"/>
      <c r="Y186" s="19"/>
      <c r="Z186" s="19"/>
      <c r="AA186" s="19"/>
      <c r="AB186" s="19"/>
      <c r="AC186" s="19"/>
      <c r="AD186" s="19"/>
      <c r="AE186" s="19"/>
      <c r="AF186" s="19"/>
      <c r="AG186" s="19"/>
      <c r="AH186" s="19"/>
      <c r="AI186" s="19"/>
      <c r="AJ186" s="19"/>
      <c r="AK186" s="19"/>
      <c r="AL186" s="19"/>
      <c r="AM186" s="19"/>
    </row>
    <row r="187" spans="1:39" x14ac:dyDescent="0.2">
      <c r="A187" s="19"/>
      <c r="B187" s="19"/>
      <c r="C187" s="19"/>
      <c r="D187" s="19"/>
      <c r="E187" s="19"/>
      <c r="F187" s="19"/>
      <c r="G187" s="20"/>
      <c r="H187" s="19"/>
      <c r="I187" s="19"/>
      <c r="J187" s="19"/>
      <c r="K187" s="19"/>
      <c r="L187" s="19"/>
      <c r="M187" s="19"/>
      <c r="N187" s="19"/>
      <c r="O187" s="19"/>
      <c r="P187" s="19"/>
      <c r="Q187" s="19"/>
      <c r="R187" s="19"/>
      <c r="S187" s="19"/>
      <c r="T187" s="19"/>
      <c r="U187" s="19"/>
      <c r="V187" s="19"/>
      <c r="W187" s="19"/>
      <c r="X187" s="19"/>
      <c r="Y187" s="19"/>
      <c r="Z187" s="19"/>
      <c r="AA187" s="19"/>
      <c r="AB187" s="19"/>
      <c r="AC187" s="19"/>
      <c r="AD187" s="19"/>
      <c r="AE187" s="19"/>
      <c r="AF187" s="19"/>
      <c r="AG187" s="19"/>
      <c r="AH187" s="19"/>
      <c r="AI187" s="19"/>
      <c r="AJ187" s="19"/>
      <c r="AK187" s="19"/>
      <c r="AL187" s="19"/>
      <c r="AM187" s="19"/>
    </row>
    <row r="188" spans="1:39" x14ac:dyDescent="0.2">
      <c r="A188" s="19"/>
      <c r="B188" s="19"/>
      <c r="C188" s="19"/>
      <c r="D188" s="19"/>
      <c r="E188" s="19"/>
      <c r="F188" s="19"/>
      <c r="G188" s="20"/>
      <c r="H188" s="19"/>
      <c r="I188" s="19"/>
      <c r="J188" s="19"/>
      <c r="K188" s="19"/>
      <c r="L188" s="19"/>
      <c r="M188" s="19"/>
      <c r="N188" s="19"/>
      <c r="O188" s="19"/>
      <c r="P188" s="19"/>
      <c r="Q188" s="19"/>
      <c r="R188" s="19"/>
      <c r="S188" s="19"/>
      <c r="T188" s="19"/>
      <c r="U188" s="19"/>
      <c r="V188" s="19"/>
      <c r="W188" s="19"/>
      <c r="X188" s="19"/>
      <c r="Y188" s="19"/>
      <c r="Z188" s="19"/>
      <c r="AA188" s="19"/>
      <c r="AB188" s="19"/>
      <c r="AC188" s="19"/>
      <c r="AD188" s="19"/>
      <c r="AE188" s="19"/>
      <c r="AF188" s="19"/>
      <c r="AG188" s="19"/>
      <c r="AH188" s="19"/>
      <c r="AI188" s="19"/>
      <c r="AJ188" s="19"/>
      <c r="AK188" s="19"/>
      <c r="AL188" s="19"/>
      <c r="AM188" s="19"/>
    </row>
    <row r="189" spans="1:39" x14ac:dyDescent="0.2">
      <c r="A189" s="19"/>
      <c r="B189" s="19"/>
      <c r="C189" s="19"/>
      <c r="D189" s="19"/>
      <c r="E189" s="19"/>
      <c r="F189" s="19"/>
      <c r="G189" s="20"/>
      <c r="H189" s="19"/>
      <c r="I189" s="19"/>
      <c r="J189" s="19"/>
      <c r="K189" s="19"/>
      <c r="L189" s="19"/>
      <c r="M189" s="19"/>
      <c r="N189" s="19"/>
      <c r="O189" s="19"/>
      <c r="P189" s="19"/>
      <c r="Q189" s="19"/>
      <c r="R189" s="19"/>
      <c r="S189" s="19"/>
      <c r="T189" s="19"/>
      <c r="U189" s="19"/>
      <c r="V189" s="19"/>
      <c r="W189" s="19"/>
      <c r="X189" s="19"/>
      <c r="Y189" s="19"/>
      <c r="Z189" s="19"/>
      <c r="AA189" s="19"/>
      <c r="AB189" s="19"/>
      <c r="AC189" s="19"/>
      <c r="AD189" s="19"/>
      <c r="AE189" s="19"/>
      <c r="AF189" s="19"/>
      <c r="AG189" s="19"/>
      <c r="AH189" s="19"/>
      <c r="AI189" s="19"/>
      <c r="AJ189" s="19"/>
      <c r="AK189" s="19"/>
      <c r="AL189" s="19"/>
      <c r="AM189" s="19"/>
    </row>
    <row r="190" spans="1:39" x14ac:dyDescent="0.2">
      <c r="A190" s="19"/>
      <c r="B190" s="19"/>
      <c r="C190" s="19"/>
      <c r="D190" s="19"/>
      <c r="E190" s="19"/>
      <c r="F190" s="19"/>
      <c r="G190" s="20"/>
      <c r="H190" s="19"/>
      <c r="I190" s="19"/>
      <c r="J190" s="19"/>
      <c r="K190" s="19"/>
      <c r="L190" s="19"/>
      <c r="M190" s="19"/>
      <c r="N190" s="19"/>
      <c r="O190" s="19"/>
      <c r="P190" s="19"/>
      <c r="Q190" s="19"/>
      <c r="R190" s="19"/>
      <c r="S190" s="19"/>
      <c r="T190" s="19"/>
      <c r="U190" s="19"/>
      <c r="V190" s="19"/>
      <c r="W190" s="19"/>
      <c r="X190" s="19"/>
      <c r="Y190" s="19"/>
      <c r="Z190" s="19"/>
      <c r="AA190" s="19"/>
      <c r="AB190" s="19"/>
      <c r="AC190" s="19"/>
      <c r="AD190" s="19"/>
      <c r="AE190" s="19"/>
      <c r="AF190" s="19"/>
      <c r="AG190" s="19"/>
      <c r="AH190" s="19"/>
      <c r="AI190" s="19"/>
      <c r="AJ190" s="19"/>
      <c r="AK190" s="19"/>
      <c r="AL190" s="19"/>
      <c r="AM190" s="19"/>
    </row>
    <row r="191" spans="1:39" x14ac:dyDescent="0.2">
      <c r="A191" s="19"/>
      <c r="B191" s="19"/>
      <c r="C191" s="19"/>
      <c r="D191" s="19"/>
      <c r="E191" s="19"/>
      <c r="F191" s="19"/>
      <c r="G191" s="20"/>
      <c r="H191" s="19"/>
      <c r="I191" s="19"/>
      <c r="J191" s="19"/>
      <c r="K191" s="19"/>
      <c r="L191" s="19"/>
      <c r="M191" s="19"/>
      <c r="N191" s="19"/>
      <c r="O191" s="19"/>
      <c r="P191" s="19"/>
      <c r="Q191" s="19"/>
      <c r="R191" s="19"/>
      <c r="S191" s="19"/>
      <c r="T191" s="19"/>
      <c r="U191" s="19"/>
      <c r="V191" s="19"/>
      <c r="W191" s="19"/>
      <c r="X191" s="19"/>
      <c r="Y191" s="19"/>
      <c r="Z191" s="19"/>
      <c r="AA191" s="19"/>
      <c r="AB191" s="19"/>
      <c r="AC191" s="19"/>
      <c r="AD191" s="19"/>
      <c r="AE191" s="19"/>
      <c r="AF191" s="19"/>
      <c r="AG191" s="19"/>
      <c r="AH191" s="19"/>
      <c r="AI191" s="19"/>
      <c r="AJ191" s="19"/>
      <c r="AK191" s="19"/>
      <c r="AL191" s="19"/>
      <c r="AM191" s="19"/>
    </row>
    <row r="192" spans="1:39" x14ac:dyDescent="0.2">
      <c r="A192" s="19"/>
      <c r="B192" s="19"/>
      <c r="C192" s="19"/>
      <c r="D192" s="19"/>
      <c r="E192" s="19"/>
      <c r="F192" s="19"/>
      <c r="G192" s="20"/>
      <c r="H192" s="19"/>
      <c r="I192" s="19"/>
      <c r="J192" s="19"/>
      <c r="K192" s="19"/>
      <c r="L192" s="19"/>
      <c r="M192" s="19"/>
      <c r="N192" s="19"/>
      <c r="O192" s="19"/>
      <c r="P192" s="19"/>
      <c r="Q192" s="19"/>
      <c r="R192" s="19"/>
      <c r="S192" s="19"/>
      <c r="T192" s="19"/>
      <c r="U192" s="19"/>
      <c r="V192" s="19"/>
      <c r="W192" s="19"/>
      <c r="X192" s="19"/>
      <c r="Y192" s="19"/>
      <c r="Z192" s="19"/>
      <c r="AA192" s="19"/>
      <c r="AB192" s="19"/>
      <c r="AC192" s="19"/>
      <c r="AD192" s="19"/>
      <c r="AE192" s="19"/>
      <c r="AF192" s="19"/>
      <c r="AG192" s="19"/>
      <c r="AH192" s="19"/>
      <c r="AI192" s="19"/>
      <c r="AJ192" s="19"/>
      <c r="AK192" s="19"/>
      <c r="AL192" s="19"/>
      <c r="AM192" s="19"/>
    </row>
    <row r="193" spans="1:39" x14ac:dyDescent="0.2">
      <c r="A193" s="19"/>
      <c r="B193" s="19"/>
      <c r="C193" s="19"/>
      <c r="D193" s="19"/>
      <c r="E193" s="19"/>
      <c r="F193" s="19"/>
      <c r="G193" s="20"/>
      <c r="H193" s="19"/>
      <c r="I193" s="19"/>
      <c r="J193" s="19"/>
      <c r="K193" s="19"/>
      <c r="L193" s="19"/>
      <c r="M193" s="19"/>
      <c r="N193" s="19"/>
      <c r="O193" s="19"/>
      <c r="P193" s="19"/>
      <c r="Q193" s="19"/>
      <c r="R193" s="19"/>
      <c r="S193" s="19"/>
      <c r="T193" s="19"/>
      <c r="U193" s="19"/>
      <c r="V193" s="19"/>
      <c r="W193" s="19"/>
      <c r="X193" s="19"/>
      <c r="Y193" s="19"/>
      <c r="Z193" s="19"/>
      <c r="AA193" s="19"/>
      <c r="AB193" s="19"/>
      <c r="AC193" s="19"/>
      <c r="AD193" s="19"/>
      <c r="AE193" s="19"/>
      <c r="AF193" s="19"/>
      <c r="AG193" s="19"/>
      <c r="AH193" s="19"/>
      <c r="AI193" s="19"/>
      <c r="AJ193" s="19"/>
      <c r="AK193" s="19"/>
      <c r="AL193" s="19"/>
      <c r="AM193" s="19"/>
    </row>
    <row r="194" spans="1:39" x14ac:dyDescent="0.2">
      <c r="A194" s="19"/>
      <c r="B194" s="19"/>
      <c r="C194" s="19"/>
      <c r="D194" s="19"/>
      <c r="E194" s="19"/>
      <c r="F194" s="19"/>
      <c r="G194" s="20"/>
      <c r="H194" s="19"/>
      <c r="I194" s="19"/>
      <c r="J194" s="19"/>
      <c r="K194" s="19"/>
      <c r="L194" s="19"/>
      <c r="M194" s="19"/>
      <c r="N194" s="19"/>
      <c r="O194" s="19"/>
      <c r="P194" s="19"/>
      <c r="Q194" s="19"/>
      <c r="R194" s="19"/>
      <c r="S194" s="19"/>
      <c r="T194" s="19"/>
      <c r="U194" s="19"/>
      <c r="V194" s="19"/>
      <c r="W194" s="19"/>
      <c r="X194" s="19"/>
      <c r="Y194" s="19"/>
      <c r="Z194" s="19"/>
      <c r="AA194" s="19"/>
      <c r="AB194" s="19"/>
      <c r="AC194" s="19"/>
      <c r="AD194" s="19"/>
      <c r="AE194" s="19"/>
      <c r="AF194" s="19"/>
      <c r="AG194" s="19"/>
      <c r="AH194" s="19"/>
      <c r="AI194" s="19"/>
      <c r="AJ194" s="19"/>
      <c r="AK194" s="19"/>
      <c r="AL194" s="19"/>
      <c r="AM194" s="19"/>
    </row>
    <row r="195" spans="1:39" x14ac:dyDescent="0.2">
      <c r="A195" s="19"/>
      <c r="B195" s="19"/>
      <c r="C195" s="19"/>
      <c r="D195" s="19"/>
      <c r="E195" s="19"/>
      <c r="F195" s="19"/>
      <c r="G195" s="20"/>
      <c r="H195" s="19"/>
      <c r="I195" s="19"/>
      <c r="J195" s="19"/>
      <c r="K195" s="19"/>
      <c r="L195" s="19"/>
      <c r="M195" s="19"/>
      <c r="N195" s="19"/>
      <c r="O195" s="19"/>
      <c r="P195" s="19"/>
      <c r="Q195" s="19"/>
      <c r="R195" s="19"/>
      <c r="S195" s="19"/>
      <c r="T195" s="19"/>
      <c r="U195" s="19"/>
      <c r="V195" s="19"/>
      <c r="W195" s="19"/>
      <c r="X195" s="19"/>
      <c r="Y195" s="19"/>
      <c r="Z195" s="19"/>
      <c r="AA195" s="19"/>
      <c r="AB195" s="19"/>
      <c r="AC195" s="19"/>
      <c r="AD195" s="19"/>
      <c r="AE195" s="19"/>
      <c r="AF195" s="19"/>
      <c r="AG195" s="19"/>
      <c r="AH195" s="19"/>
      <c r="AI195" s="19"/>
      <c r="AJ195" s="19"/>
      <c r="AK195" s="19"/>
      <c r="AL195" s="19"/>
      <c r="AM195" s="19"/>
    </row>
    <row r="196" spans="1:39" x14ac:dyDescent="0.2">
      <c r="A196" s="19"/>
      <c r="B196" s="19"/>
      <c r="C196" s="19"/>
      <c r="D196" s="19"/>
      <c r="E196" s="19"/>
      <c r="F196" s="19"/>
      <c r="G196" s="20"/>
      <c r="H196" s="19"/>
      <c r="I196" s="19"/>
      <c r="J196" s="19"/>
      <c r="K196" s="19"/>
      <c r="L196" s="19"/>
      <c r="M196" s="19"/>
      <c r="N196" s="19"/>
      <c r="O196" s="19"/>
      <c r="P196" s="19"/>
      <c r="Q196" s="19"/>
      <c r="R196" s="19"/>
      <c r="S196" s="19"/>
      <c r="T196" s="19"/>
      <c r="U196" s="19"/>
      <c r="V196" s="19"/>
      <c r="W196" s="19"/>
      <c r="X196" s="19"/>
      <c r="Y196" s="19"/>
      <c r="Z196" s="19"/>
      <c r="AA196" s="19"/>
      <c r="AB196" s="19"/>
      <c r="AC196" s="19"/>
      <c r="AD196" s="19"/>
      <c r="AE196" s="19"/>
      <c r="AF196" s="19"/>
      <c r="AG196" s="19"/>
      <c r="AH196" s="19"/>
      <c r="AI196" s="19"/>
      <c r="AJ196" s="19"/>
      <c r="AK196" s="19"/>
      <c r="AL196" s="19"/>
      <c r="AM196" s="19"/>
    </row>
    <row r="197" spans="1:39" x14ac:dyDescent="0.2">
      <c r="A197" s="19"/>
      <c r="B197" s="19"/>
      <c r="C197" s="19"/>
      <c r="D197" s="19"/>
      <c r="E197" s="19"/>
      <c r="F197" s="19"/>
      <c r="G197" s="20"/>
      <c r="H197" s="19"/>
      <c r="I197" s="19"/>
      <c r="J197" s="19"/>
      <c r="K197" s="19"/>
      <c r="L197" s="19"/>
      <c r="M197" s="19"/>
      <c r="N197" s="19"/>
      <c r="O197" s="19"/>
      <c r="P197" s="19"/>
      <c r="Q197" s="19"/>
      <c r="R197" s="19"/>
      <c r="S197" s="19"/>
      <c r="T197" s="19"/>
      <c r="U197" s="19"/>
      <c r="V197" s="19"/>
      <c r="W197" s="19"/>
      <c r="X197" s="19"/>
      <c r="Y197" s="19"/>
      <c r="Z197" s="19"/>
      <c r="AA197" s="19"/>
      <c r="AB197" s="19"/>
      <c r="AC197" s="19"/>
      <c r="AD197" s="19"/>
      <c r="AE197" s="19"/>
      <c r="AF197" s="19"/>
      <c r="AG197" s="19"/>
      <c r="AH197" s="19"/>
      <c r="AI197" s="19"/>
      <c r="AJ197" s="19"/>
      <c r="AK197" s="19"/>
      <c r="AL197" s="19"/>
      <c r="AM197" s="19"/>
    </row>
    <row r="198" spans="1:39" x14ac:dyDescent="0.2">
      <c r="A198" s="19"/>
      <c r="B198" s="19"/>
      <c r="C198" s="19"/>
      <c r="D198" s="19"/>
      <c r="E198" s="19"/>
      <c r="F198" s="19"/>
      <c r="G198" s="20"/>
      <c r="H198" s="19"/>
      <c r="I198" s="19"/>
      <c r="J198" s="19"/>
      <c r="K198" s="19"/>
      <c r="L198" s="19"/>
      <c r="M198" s="19"/>
      <c r="N198" s="19"/>
      <c r="O198" s="19"/>
      <c r="P198" s="19"/>
      <c r="Q198" s="19"/>
      <c r="R198" s="19"/>
      <c r="S198" s="19"/>
      <c r="T198" s="19"/>
      <c r="U198" s="19"/>
      <c r="V198" s="19"/>
      <c r="W198" s="19"/>
      <c r="X198" s="19"/>
      <c r="Y198" s="19"/>
      <c r="Z198" s="19"/>
      <c r="AA198" s="19"/>
      <c r="AB198" s="19"/>
      <c r="AC198" s="19"/>
      <c r="AD198" s="19"/>
      <c r="AE198" s="19"/>
      <c r="AF198" s="19"/>
      <c r="AG198" s="19"/>
      <c r="AH198" s="19"/>
      <c r="AI198" s="19"/>
      <c r="AJ198" s="19"/>
      <c r="AK198" s="19"/>
      <c r="AL198" s="19"/>
      <c r="AM198" s="19"/>
    </row>
    <row r="199" spans="1:39" x14ac:dyDescent="0.2">
      <c r="A199" s="19"/>
      <c r="B199" s="19"/>
      <c r="C199" s="19"/>
      <c r="D199" s="19"/>
      <c r="E199" s="19"/>
      <c r="F199" s="19"/>
      <c r="G199" s="20"/>
      <c r="H199" s="19"/>
      <c r="I199" s="19"/>
      <c r="J199" s="19"/>
      <c r="K199" s="19"/>
      <c r="L199" s="19"/>
      <c r="M199" s="19"/>
      <c r="N199" s="19"/>
      <c r="O199" s="19"/>
      <c r="P199" s="19"/>
      <c r="Q199" s="19"/>
      <c r="R199" s="19"/>
      <c r="S199" s="19"/>
      <c r="T199" s="19"/>
      <c r="U199" s="19"/>
      <c r="V199" s="19"/>
      <c r="W199" s="19"/>
      <c r="X199" s="19"/>
      <c r="Y199" s="19"/>
      <c r="Z199" s="19"/>
      <c r="AA199" s="19"/>
      <c r="AB199" s="19"/>
      <c r="AC199" s="19"/>
      <c r="AD199" s="19"/>
      <c r="AE199" s="19"/>
      <c r="AF199" s="19"/>
      <c r="AG199" s="19"/>
      <c r="AH199" s="19"/>
      <c r="AI199" s="19"/>
      <c r="AJ199" s="19"/>
      <c r="AK199" s="19"/>
      <c r="AL199" s="19"/>
      <c r="AM199" s="19"/>
    </row>
    <row r="200" spans="1:39" x14ac:dyDescent="0.2">
      <c r="A200" s="19"/>
      <c r="B200" s="19"/>
      <c r="C200" s="19"/>
      <c r="D200" s="19"/>
      <c r="E200" s="19"/>
      <c r="F200" s="19"/>
      <c r="G200" s="20"/>
      <c r="H200" s="19"/>
      <c r="I200" s="19"/>
      <c r="J200" s="19"/>
      <c r="K200" s="19"/>
      <c r="L200" s="19"/>
      <c r="M200" s="19"/>
      <c r="N200" s="19"/>
      <c r="O200" s="19"/>
      <c r="P200" s="19"/>
      <c r="Q200" s="19"/>
      <c r="R200" s="19"/>
      <c r="S200" s="19"/>
      <c r="T200" s="19"/>
      <c r="U200" s="19"/>
      <c r="V200" s="19"/>
      <c r="W200" s="19"/>
      <c r="X200" s="19"/>
      <c r="Y200" s="19"/>
      <c r="Z200" s="19"/>
      <c r="AA200" s="19"/>
      <c r="AB200" s="19"/>
      <c r="AC200" s="19"/>
      <c r="AD200" s="19"/>
      <c r="AE200" s="19"/>
      <c r="AF200" s="19"/>
      <c r="AG200" s="19"/>
      <c r="AH200" s="19"/>
      <c r="AI200" s="19"/>
      <c r="AJ200" s="19"/>
      <c r="AK200" s="19"/>
      <c r="AL200" s="19"/>
      <c r="AM200" s="19"/>
    </row>
    <row r="201" spans="1:39" x14ac:dyDescent="0.2">
      <c r="A201" s="19"/>
      <c r="B201" s="19"/>
      <c r="C201" s="19"/>
      <c r="D201" s="19"/>
      <c r="E201" s="19"/>
      <c r="F201" s="19"/>
      <c r="G201" s="20"/>
      <c r="H201" s="19"/>
      <c r="I201" s="19"/>
      <c r="J201" s="19"/>
      <c r="K201" s="19"/>
      <c r="L201" s="19"/>
      <c r="M201" s="19"/>
      <c r="N201" s="19"/>
      <c r="O201" s="19"/>
      <c r="P201" s="19"/>
      <c r="Q201" s="19"/>
      <c r="R201" s="19"/>
      <c r="S201" s="19"/>
      <c r="T201" s="19"/>
      <c r="U201" s="19"/>
      <c r="V201" s="19"/>
      <c r="W201" s="19"/>
      <c r="X201" s="19"/>
      <c r="Y201" s="19"/>
      <c r="Z201" s="19"/>
      <c r="AA201" s="19"/>
      <c r="AB201" s="19"/>
      <c r="AC201" s="19"/>
      <c r="AD201" s="19"/>
      <c r="AE201" s="19"/>
      <c r="AF201" s="19"/>
      <c r="AG201" s="19"/>
      <c r="AH201" s="19"/>
      <c r="AI201" s="19"/>
      <c r="AJ201" s="19"/>
      <c r="AK201" s="19"/>
      <c r="AL201" s="19"/>
      <c r="AM201" s="19"/>
    </row>
    <row r="202" spans="1:39" x14ac:dyDescent="0.2">
      <c r="A202" s="19"/>
      <c r="B202" s="19"/>
      <c r="C202" s="19"/>
      <c r="D202" s="19"/>
      <c r="E202" s="19"/>
      <c r="F202" s="19"/>
      <c r="G202" s="20"/>
      <c r="H202" s="19"/>
      <c r="I202" s="19"/>
      <c r="J202" s="19"/>
      <c r="K202" s="19"/>
      <c r="L202" s="19"/>
      <c r="M202" s="19"/>
      <c r="N202" s="19"/>
      <c r="O202" s="19"/>
      <c r="P202" s="19"/>
      <c r="Q202" s="19"/>
      <c r="R202" s="19"/>
      <c r="S202" s="19"/>
      <c r="T202" s="19"/>
      <c r="U202" s="19"/>
      <c r="V202" s="19"/>
      <c r="W202" s="19"/>
      <c r="X202" s="19"/>
      <c r="Y202" s="19"/>
      <c r="Z202" s="19"/>
      <c r="AA202" s="19"/>
      <c r="AB202" s="19"/>
      <c r="AC202" s="19"/>
      <c r="AD202" s="19"/>
      <c r="AE202" s="19"/>
      <c r="AF202" s="19"/>
      <c r="AG202" s="19"/>
      <c r="AH202" s="19"/>
      <c r="AI202" s="19"/>
      <c r="AJ202" s="19"/>
      <c r="AK202" s="19"/>
      <c r="AL202" s="19"/>
      <c r="AM202" s="19"/>
    </row>
    <row r="203" spans="1:39" x14ac:dyDescent="0.2">
      <c r="A203" s="19"/>
      <c r="B203" s="19"/>
      <c r="C203" s="19"/>
      <c r="D203" s="19"/>
      <c r="E203" s="19"/>
      <c r="F203" s="19"/>
      <c r="G203" s="20"/>
      <c r="H203" s="19"/>
      <c r="I203" s="19"/>
      <c r="J203" s="19"/>
      <c r="K203" s="19"/>
      <c r="L203" s="19"/>
      <c r="M203" s="19"/>
      <c r="N203" s="19"/>
      <c r="O203" s="19"/>
      <c r="P203" s="19"/>
      <c r="Q203" s="19"/>
      <c r="R203" s="19"/>
      <c r="S203" s="19"/>
      <c r="T203" s="19"/>
      <c r="U203" s="19"/>
      <c r="V203" s="19"/>
      <c r="W203" s="19"/>
      <c r="X203" s="19"/>
      <c r="Y203" s="19"/>
      <c r="Z203" s="19"/>
      <c r="AA203" s="19"/>
      <c r="AB203" s="19"/>
      <c r="AC203" s="19"/>
      <c r="AD203" s="19"/>
      <c r="AE203" s="19"/>
      <c r="AF203" s="19"/>
      <c r="AG203" s="19"/>
      <c r="AH203" s="19"/>
      <c r="AI203" s="19"/>
      <c r="AJ203" s="19"/>
      <c r="AK203" s="19"/>
      <c r="AL203" s="19"/>
      <c r="AM203" s="19"/>
    </row>
    <row r="204" spans="1:39" x14ac:dyDescent="0.2">
      <c r="A204" s="19"/>
      <c r="B204" s="19"/>
      <c r="C204" s="19"/>
      <c r="D204" s="19"/>
      <c r="E204" s="19"/>
      <c r="F204" s="19"/>
      <c r="G204" s="20"/>
      <c r="H204" s="19"/>
      <c r="I204" s="19"/>
      <c r="J204" s="19"/>
      <c r="K204" s="19"/>
      <c r="L204" s="19"/>
      <c r="M204" s="19"/>
      <c r="N204" s="19"/>
      <c r="O204" s="19"/>
      <c r="P204" s="19"/>
      <c r="Q204" s="19"/>
      <c r="R204" s="19"/>
      <c r="S204" s="19"/>
      <c r="T204" s="19"/>
      <c r="U204" s="19"/>
      <c r="V204" s="19"/>
      <c r="W204" s="19"/>
      <c r="X204" s="19"/>
      <c r="Y204" s="19"/>
      <c r="Z204" s="19"/>
      <c r="AA204" s="19"/>
      <c r="AB204" s="19"/>
      <c r="AC204" s="19"/>
      <c r="AD204" s="19"/>
      <c r="AE204" s="19"/>
      <c r="AF204" s="19"/>
      <c r="AG204" s="19"/>
      <c r="AH204" s="19"/>
      <c r="AI204" s="19"/>
      <c r="AJ204" s="19"/>
      <c r="AK204" s="19"/>
      <c r="AL204" s="19"/>
      <c r="AM204" s="19"/>
    </row>
    <row r="205" spans="1:39" x14ac:dyDescent="0.2">
      <c r="A205" s="19"/>
      <c r="B205" s="19"/>
      <c r="C205" s="19"/>
      <c r="D205" s="19"/>
      <c r="E205" s="19"/>
      <c r="F205" s="19"/>
      <c r="G205" s="20"/>
      <c r="H205" s="19"/>
      <c r="I205" s="19"/>
      <c r="J205" s="19"/>
      <c r="K205" s="19"/>
      <c r="L205" s="19"/>
      <c r="M205" s="19"/>
      <c r="N205" s="19"/>
      <c r="O205" s="19"/>
      <c r="P205" s="19"/>
      <c r="Q205" s="19"/>
      <c r="R205" s="19"/>
      <c r="S205" s="19"/>
      <c r="T205" s="19"/>
      <c r="U205" s="19"/>
      <c r="V205" s="19"/>
      <c r="W205" s="19"/>
      <c r="X205" s="19"/>
      <c r="Y205" s="19"/>
      <c r="Z205" s="19"/>
      <c r="AA205" s="19"/>
      <c r="AB205" s="19"/>
      <c r="AC205" s="19"/>
      <c r="AD205" s="19"/>
      <c r="AE205" s="19"/>
      <c r="AF205" s="19"/>
      <c r="AG205" s="19"/>
      <c r="AH205" s="19"/>
      <c r="AI205" s="19"/>
      <c r="AJ205" s="19"/>
      <c r="AK205" s="19"/>
      <c r="AL205" s="19"/>
      <c r="AM205" s="19"/>
    </row>
    <row r="206" spans="1:39" x14ac:dyDescent="0.2">
      <c r="A206" s="19"/>
      <c r="B206" s="19"/>
      <c r="C206" s="19"/>
      <c r="D206" s="19"/>
      <c r="E206" s="19"/>
      <c r="F206" s="19"/>
      <c r="G206" s="20"/>
      <c r="H206" s="19"/>
      <c r="I206" s="19"/>
      <c r="J206" s="19"/>
      <c r="K206" s="19"/>
      <c r="L206" s="19"/>
      <c r="M206" s="19"/>
      <c r="N206" s="19"/>
      <c r="O206" s="19"/>
      <c r="P206" s="19"/>
      <c r="Q206" s="19"/>
      <c r="R206" s="19"/>
      <c r="S206" s="19"/>
      <c r="T206" s="19"/>
      <c r="U206" s="19"/>
      <c r="V206" s="19"/>
      <c r="W206" s="19"/>
      <c r="X206" s="19"/>
      <c r="Y206" s="19"/>
      <c r="Z206" s="19"/>
      <c r="AA206" s="19"/>
      <c r="AB206" s="19"/>
      <c r="AC206" s="19"/>
      <c r="AD206" s="19"/>
      <c r="AE206" s="19"/>
      <c r="AF206" s="19"/>
      <c r="AG206" s="19"/>
      <c r="AH206" s="19"/>
      <c r="AI206" s="19"/>
      <c r="AJ206" s="19"/>
      <c r="AK206" s="19"/>
      <c r="AL206" s="19"/>
      <c r="AM206" s="19"/>
    </row>
    <row r="207" spans="1:39" x14ac:dyDescent="0.2">
      <c r="A207" s="19"/>
      <c r="B207" s="19"/>
      <c r="C207" s="19"/>
      <c r="D207" s="19"/>
      <c r="E207" s="19"/>
      <c r="F207" s="19"/>
      <c r="G207" s="20"/>
      <c r="H207" s="19"/>
      <c r="I207" s="19"/>
      <c r="J207" s="19"/>
      <c r="K207" s="19"/>
      <c r="L207" s="19"/>
      <c r="M207" s="19"/>
      <c r="N207" s="19"/>
      <c r="O207" s="19"/>
      <c r="P207" s="19"/>
      <c r="Q207" s="19"/>
      <c r="R207" s="19"/>
      <c r="S207" s="19"/>
      <c r="T207" s="19"/>
      <c r="U207" s="19"/>
      <c r="V207" s="19"/>
      <c r="W207" s="19"/>
      <c r="X207" s="19"/>
      <c r="Y207" s="19"/>
      <c r="Z207" s="19"/>
      <c r="AA207" s="19"/>
      <c r="AB207" s="19"/>
      <c r="AC207" s="19"/>
      <c r="AD207" s="19"/>
      <c r="AE207" s="19"/>
      <c r="AF207" s="19"/>
      <c r="AG207" s="19"/>
      <c r="AH207" s="19"/>
      <c r="AI207" s="19"/>
      <c r="AJ207" s="19"/>
      <c r="AK207" s="19"/>
      <c r="AL207" s="19"/>
      <c r="AM207" s="19"/>
    </row>
    <row r="208" spans="1:39" x14ac:dyDescent="0.2">
      <c r="A208" s="19"/>
      <c r="B208" s="19"/>
      <c r="C208" s="19"/>
      <c r="D208" s="19"/>
      <c r="E208" s="19"/>
      <c r="F208" s="19"/>
      <c r="G208" s="20"/>
      <c r="H208" s="19"/>
      <c r="I208" s="19"/>
      <c r="J208" s="19"/>
      <c r="K208" s="19"/>
      <c r="L208" s="19"/>
      <c r="M208" s="19"/>
      <c r="N208" s="19"/>
      <c r="O208" s="19"/>
      <c r="P208" s="19"/>
      <c r="Q208" s="19"/>
      <c r="R208" s="19"/>
      <c r="S208" s="19"/>
      <c r="T208" s="19"/>
      <c r="U208" s="19"/>
      <c r="V208" s="19"/>
      <c r="W208" s="19"/>
      <c r="X208" s="19"/>
      <c r="Y208" s="19"/>
      <c r="Z208" s="19"/>
      <c r="AA208" s="19"/>
      <c r="AB208" s="19"/>
      <c r="AC208" s="19"/>
      <c r="AD208" s="19"/>
      <c r="AE208" s="19"/>
      <c r="AF208" s="19"/>
      <c r="AG208" s="19"/>
      <c r="AH208" s="19"/>
      <c r="AI208" s="19"/>
      <c r="AJ208" s="19"/>
      <c r="AK208" s="19"/>
      <c r="AL208" s="19"/>
      <c r="AM208" s="19"/>
    </row>
    <row r="209" spans="1:39" x14ac:dyDescent="0.2">
      <c r="A209" s="19"/>
      <c r="B209" s="19"/>
      <c r="C209" s="19"/>
      <c r="D209" s="19"/>
      <c r="E209" s="19"/>
      <c r="F209" s="19"/>
      <c r="G209" s="20"/>
      <c r="H209" s="19"/>
      <c r="I209" s="19"/>
      <c r="J209" s="19"/>
      <c r="K209" s="19"/>
      <c r="L209" s="19"/>
      <c r="M209" s="19"/>
      <c r="N209" s="19"/>
      <c r="O209" s="19"/>
      <c r="P209" s="19"/>
      <c r="Q209" s="19"/>
      <c r="R209" s="19"/>
      <c r="S209" s="19"/>
      <c r="T209" s="19"/>
      <c r="U209" s="19"/>
      <c r="V209" s="19"/>
      <c r="W209" s="19"/>
      <c r="X209" s="19"/>
      <c r="Y209" s="19"/>
      <c r="Z209" s="19"/>
      <c r="AA209" s="19"/>
      <c r="AB209" s="19"/>
      <c r="AC209" s="19"/>
      <c r="AD209" s="19"/>
      <c r="AE209" s="19"/>
      <c r="AF209" s="19"/>
      <c r="AG209" s="19"/>
      <c r="AH209" s="19"/>
      <c r="AI209" s="19"/>
      <c r="AJ209" s="19"/>
      <c r="AK209" s="19"/>
      <c r="AL209" s="19"/>
      <c r="AM209" s="19"/>
    </row>
    <row r="210" spans="1:39" x14ac:dyDescent="0.2">
      <c r="A210" s="19"/>
      <c r="B210" s="19"/>
      <c r="C210" s="19"/>
      <c r="D210" s="19"/>
      <c r="E210" s="19"/>
      <c r="F210" s="19"/>
      <c r="G210" s="20"/>
      <c r="H210" s="19"/>
      <c r="I210" s="19"/>
      <c r="J210" s="19"/>
      <c r="K210" s="19"/>
      <c r="L210" s="19"/>
      <c r="M210" s="19"/>
      <c r="N210" s="19"/>
      <c r="O210" s="19"/>
      <c r="P210" s="19"/>
      <c r="Q210" s="19"/>
      <c r="R210" s="19"/>
      <c r="S210" s="19"/>
      <c r="T210" s="19"/>
      <c r="U210" s="19"/>
      <c r="V210" s="19"/>
      <c r="W210" s="19"/>
      <c r="X210" s="19"/>
      <c r="Y210" s="19"/>
      <c r="Z210" s="19"/>
      <c r="AA210" s="19"/>
      <c r="AB210" s="19"/>
      <c r="AC210" s="19"/>
      <c r="AD210" s="19"/>
      <c r="AE210" s="19"/>
      <c r="AF210" s="19"/>
      <c r="AG210" s="19"/>
      <c r="AH210" s="19"/>
      <c r="AI210" s="19"/>
      <c r="AJ210" s="19"/>
      <c r="AK210" s="19"/>
      <c r="AL210" s="19"/>
      <c r="AM210" s="19"/>
    </row>
    <row r="211" spans="1:39" x14ac:dyDescent="0.2">
      <c r="A211" s="19"/>
      <c r="B211" s="19"/>
      <c r="C211" s="19"/>
      <c r="D211" s="19"/>
      <c r="E211" s="19"/>
      <c r="F211" s="19"/>
      <c r="G211" s="20"/>
      <c r="H211" s="19"/>
      <c r="I211" s="19"/>
      <c r="J211" s="19"/>
      <c r="K211" s="19"/>
      <c r="L211" s="19"/>
      <c r="M211" s="19"/>
      <c r="N211" s="19"/>
      <c r="O211" s="19"/>
      <c r="P211" s="19"/>
      <c r="Q211" s="19"/>
      <c r="R211" s="19"/>
      <c r="S211" s="19"/>
      <c r="T211" s="19"/>
      <c r="U211" s="19"/>
      <c r="V211" s="19"/>
      <c r="W211" s="19"/>
      <c r="X211" s="19"/>
      <c r="Y211" s="19"/>
      <c r="Z211" s="19"/>
      <c r="AA211" s="19"/>
      <c r="AB211" s="19"/>
      <c r="AC211" s="19"/>
      <c r="AD211" s="19"/>
      <c r="AE211" s="19"/>
      <c r="AF211" s="19"/>
      <c r="AG211" s="19"/>
      <c r="AH211" s="19"/>
      <c r="AI211" s="19"/>
      <c r="AJ211" s="19"/>
      <c r="AK211" s="19"/>
      <c r="AL211" s="19"/>
      <c r="AM211" s="19"/>
    </row>
    <row r="212" spans="1:39" x14ac:dyDescent="0.2">
      <c r="A212" s="19"/>
      <c r="B212" s="19"/>
      <c r="C212" s="19"/>
      <c r="D212" s="19"/>
      <c r="E212" s="19"/>
      <c r="F212" s="19"/>
      <c r="G212" s="20"/>
      <c r="H212" s="19"/>
      <c r="I212" s="19"/>
      <c r="J212" s="19"/>
      <c r="K212" s="19"/>
      <c r="L212" s="19"/>
      <c r="M212" s="19"/>
      <c r="N212" s="19"/>
      <c r="O212" s="19"/>
      <c r="P212" s="19"/>
      <c r="Q212" s="19"/>
      <c r="R212" s="19"/>
      <c r="S212" s="19"/>
      <c r="T212" s="19"/>
      <c r="U212" s="19"/>
      <c r="V212" s="19"/>
      <c r="W212" s="19"/>
      <c r="X212" s="19"/>
      <c r="Y212" s="19"/>
      <c r="Z212" s="19"/>
      <c r="AA212" s="19"/>
      <c r="AB212" s="19"/>
      <c r="AC212" s="19"/>
      <c r="AD212" s="19"/>
      <c r="AE212" s="19"/>
      <c r="AF212" s="19"/>
      <c r="AG212" s="19"/>
      <c r="AH212" s="19"/>
      <c r="AI212" s="19"/>
      <c r="AJ212" s="19"/>
      <c r="AK212" s="19"/>
      <c r="AL212" s="19"/>
      <c r="AM212" s="19"/>
    </row>
    <row r="213" spans="1:39" x14ac:dyDescent="0.2">
      <c r="A213" s="19"/>
      <c r="B213" s="19"/>
      <c r="C213" s="19"/>
      <c r="D213" s="19"/>
      <c r="E213" s="19"/>
      <c r="F213" s="19"/>
      <c r="G213" s="20"/>
      <c r="H213" s="19"/>
      <c r="I213" s="19"/>
      <c r="J213" s="19"/>
      <c r="K213" s="19"/>
      <c r="L213" s="19"/>
      <c r="M213" s="19"/>
      <c r="N213" s="19"/>
      <c r="O213" s="19"/>
      <c r="P213" s="19"/>
      <c r="Q213" s="19"/>
      <c r="R213" s="19"/>
      <c r="S213" s="19"/>
      <c r="T213" s="19"/>
      <c r="U213" s="19"/>
      <c r="V213" s="19"/>
      <c r="W213" s="19"/>
      <c r="X213" s="19"/>
      <c r="Y213" s="19"/>
      <c r="Z213" s="19"/>
      <c r="AA213" s="19"/>
      <c r="AB213" s="19"/>
      <c r="AC213" s="19"/>
      <c r="AD213" s="19"/>
      <c r="AE213" s="19"/>
      <c r="AF213" s="19"/>
      <c r="AG213" s="19"/>
      <c r="AH213" s="19"/>
      <c r="AI213" s="19"/>
      <c r="AJ213" s="19"/>
      <c r="AK213" s="19"/>
      <c r="AL213" s="19"/>
      <c r="AM213" s="19"/>
    </row>
    <row r="214" spans="1:39" x14ac:dyDescent="0.2">
      <c r="A214" s="19"/>
      <c r="B214" s="19"/>
      <c r="C214" s="19"/>
      <c r="D214" s="19"/>
      <c r="E214" s="19"/>
      <c r="F214" s="19"/>
      <c r="G214" s="20"/>
      <c r="H214" s="19"/>
      <c r="I214" s="19"/>
      <c r="J214" s="19"/>
      <c r="K214" s="19"/>
      <c r="L214" s="19"/>
      <c r="M214" s="19"/>
      <c r="N214" s="19"/>
      <c r="O214" s="19"/>
      <c r="P214" s="19"/>
      <c r="Q214" s="19"/>
      <c r="R214" s="19"/>
      <c r="S214" s="19"/>
      <c r="T214" s="19"/>
      <c r="U214" s="19"/>
      <c r="V214" s="19"/>
      <c r="W214" s="19"/>
      <c r="X214" s="19"/>
      <c r="Y214" s="19"/>
      <c r="Z214" s="19"/>
      <c r="AA214" s="19"/>
      <c r="AB214" s="19"/>
      <c r="AC214" s="19"/>
      <c r="AD214" s="19"/>
      <c r="AE214" s="19"/>
      <c r="AF214" s="19"/>
      <c r="AG214" s="19"/>
      <c r="AH214" s="19"/>
      <c r="AI214" s="19"/>
      <c r="AJ214" s="19"/>
      <c r="AK214" s="19"/>
      <c r="AL214" s="19"/>
      <c r="AM214" s="19"/>
    </row>
  </sheetData>
  <sheetProtection selectLockedCells="1"/>
  <mergeCells count="18">
    <mergeCell ref="L2:M2"/>
    <mergeCell ref="A1:M1"/>
    <mergeCell ref="D11:E12"/>
    <mergeCell ref="B84:C88"/>
    <mergeCell ref="B16:B19"/>
    <mergeCell ref="D14:G15"/>
    <mergeCell ref="D22:F22"/>
    <mergeCell ref="D24:F25"/>
    <mergeCell ref="D16:I16"/>
    <mergeCell ref="D17:I17"/>
    <mergeCell ref="D18:I18"/>
    <mergeCell ref="D19:I19"/>
    <mergeCell ref="D23:F23"/>
    <mergeCell ref="B33:B34"/>
    <mergeCell ref="I66:M67"/>
    <mergeCell ref="AS59:AS65"/>
    <mergeCell ref="B61:B67"/>
    <mergeCell ref="C113:G115"/>
  </mergeCells>
  <phoneticPr fontId="4" type="noConversion"/>
  <conditionalFormatting sqref="F96">
    <cfRule type="cellIs" dxfId="36" priority="65" stopIfTrue="1" operator="greaterThanOrEqual">
      <formula>F95</formula>
    </cfRule>
  </conditionalFormatting>
  <conditionalFormatting sqref="G98">
    <cfRule type="expression" dxfId="35" priority="67" stopIfTrue="1">
      <formula>F94="Option A"</formula>
    </cfRule>
  </conditionalFormatting>
  <conditionalFormatting sqref="E98">
    <cfRule type="expression" dxfId="34" priority="68" stopIfTrue="1">
      <formula>F94="Option A"</formula>
    </cfRule>
  </conditionalFormatting>
  <conditionalFormatting sqref="F102">
    <cfRule type="expression" dxfId="33" priority="69" stopIfTrue="1">
      <formula>F94="Option A"</formula>
    </cfRule>
  </conditionalFormatting>
  <conditionalFormatting sqref="E102">
    <cfRule type="expression" dxfId="32" priority="71" stopIfTrue="1">
      <formula>F94="Option A"</formula>
    </cfRule>
  </conditionalFormatting>
  <conditionalFormatting sqref="F39">
    <cfRule type="cellIs" dxfId="31" priority="72" stopIfTrue="1" operator="greaterThan">
      <formula>200</formula>
    </cfRule>
  </conditionalFormatting>
  <conditionalFormatting sqref="D109:F112">
    <cfRule type="cellIs" dxfId="30" priority="74" stopIfTrue="1" operator="notBetween">
      <formula>10</formula>
      <formula>80</formula>
    </cfRule>
  </conditionalFormatting>
  <conditionalFormatting sqref="G102">
    <cfRule type="expression" dxfId="29" priority="62">
      <formula>F94="Option A"</formula>
    </cfRule>
  </conditionalFormatting>
  <conditionalFormatting sqref="G106">
    <cfRule type="expression" dxfId="28" priority="61">
      <formula>F94="Option A"</formula>
    </cfRule>
  </conditionalFormatting>
  <conditionalFormatting sqref="E106">
    <cfRule type="expression" dxfId="27" priority="59">
      <formula>F94="Option A"</formula>
    </cfRule>
  </conditionalFormatting>
  <conditionalFormatting sqref="F62">
    <cfRule type="colorScale" priority="36">
      <colorScale>
        <cfvo type="min"/>
        <cfvo type="formula" val="$AN$55*0.8"/>
        <cfvo type="num" val="$AN$55"/>
        <color theme="0"/>
        <color rgb="FFFFC000"/>
        <color rgb="FFFF0000"/>
      </colorScale>
    </cfRule>
  </conditionalFormatting>
  <conditionalFormatting sqref="F40:F41">
    <cfRule type="cellIs" dxfId="26" priority="33" operator="equal">
      <formula>"NA"</formula>
    </cfRule>
    <cfRule type="cellIs" dxfId="25" priority="39" operator="equal">
      <formula>"""NA"""</formula>
    </cfRule>
  </conditionalFormatting>
  <conditionalFormatting sqref="F73">
    <cfRule type="cellIs" dxfId="24" priority="78" operator="lessThan">
      <formula>0.25</formula>
    </cfRule>
  </conditionalFormatting>
  <conditionalFormatting sqref="F76">
    <cfRule type="cellIs" dxfId="23" priority="29" operator="lessThan">
      <formula>$F$75</formula>
    </cfRule>
  </conditionalFormatting>
  <conditionalFormatting sqref="F78">
    <cfRule type="cellIs" dxfId="22" priority="26" operator="lessThan">
      <formula>1.1</formula>
    </cfRule>
    <cfRule type="cellIs" dxfId="21" priority="27" operator="between">
      <formula>1.1</formula>
      <formula>1.3</formula>
    </cfRule>
  </conditionalFormatting>
  <conditionalFormatting sqref="E71:F71">
    <cfRule type="expression" dxfId="20" priority="76">
      <formula>#REF!="Yes"</formula>
    </cfRule>
  </conditionalFormatting>
  <conditionalFormatting sqref="G82 G84:G89">
    <cfRule type="expression" dxfId="19" priority="24">
      <formula>#REF!="Yes"</formula>
    </cfRule>
  </conditionalFormatting>
  <conditionalFormatting sqref="E72:G78">
    <cfRule type="expression" dxfId="18" priority="22" stopIfTrue="1">
      <formula>$F$71="Yes"</formula>
    </cfRule>
  </conditionalFormatting>
  <conditionalFormatting sqref="D80:G91 E79:G79 B84">
    <cfRule type="expression" dxfId="17" priority="8" stopIfTrue="1">
      <formula>$F$71="NO"</formula>
    </cfRule>
  </conditionalFormatting>
  <conditionalFormatting sqref="F82 F85">
    <cfRule type="cellIs" dxfId="16" priority="17" operator="greaterThanOrEqual">
      <formula>$F$80</formula>
    </cfRule>
  </conditionalFormatting>
  <conditionalFormatting sqref="F86 F91">
    <cfRule type="cellIs" dxfId="15" priority="19" operator="lessThan">
      <formula>1.1</formula>
    </cfRule>
  </conditionalFormatting>
  <conditionalFormatting sqref="F67">
    <cfRule type="cellIs" dxfId="14" priority="15" operator="lessThan">
      <formula>$F$63</formula>
    </cfRule>
  </conditionalFormatting>
  <conditionalFormatting sqref="F79">
    <cfRule type="expression" dxfId="13" priority="14">
      <formula>#REF!="Yes"</formula>
    </cfRule>
  </conditionalFormatting>
  <conditionalFormatting sqref="G54:G60">
    <cfRule type="expression" dxfId="12" priority="12" stopIfTrue="1">
      <formula>IF($F$51="Custom", "FALSE", "TRUE")</formula>
    </cfRule>
  </conditionalFormatting>
  <conditionalFormatting sqref="E40:G44">
    <cfRule type="expression" dxfId="11" priority="11" stopIfTrue="1">
      <formula>IF($F$38="No", "TRUE", "FALSE")</formula>
    </cfRule>
  </conditionalFormatting>
  <conditionalFormatting sqref="F45:F47">
    <cfRule type="cellIs" dxfId="10" priority="10" operator="lessThan">
      <formula>$F$30</formula>
    </cfRule>
  </conditionalFormatting>
  <conditionalFormatting sqref="F80:F81">
    <cfRule type="containsText" dxfId="9" priority="9" operator="containsText" text="NA">
      <formula>NOT(ISERROR(SEARCH("NA",F80)))</formula>
    </cfRule>
  </conditionalFormatting>
  <conditionalFormatting sqref="F86">
    <cfRule type="cellIs" dxfId="8" priority="18" operator="between">
      <formula>1.1</formula>
      <formula>1.499999</formula>
    </cfRule>
  </conditionalFormatting>
  <conditionalFormatting sqref="F91">
    <cfRule type="cellIs" dxfId="7" priority="16" operator="between">
      <formula>1.1</formula>
      <formula>1.299999</formula>
    </cfRule>
  </conditionalFormatting>
  <conditionalFormatting sqref="F64">
    <cfRule type="cellIs" dxfId="6" priority="7" operator="lessThan">
      <formula>$F$63</formula>
    </cfRule>
  </conditionalFormatting>
  <conditionalFormatting sqref="B27:AO60 B68:AO142 C61:AO65 C67:H67 C66:I66 N66:AO67">
    <cfRule type="expression" dxfId="5" priority="5">
      <formula>$G$23="No"</formula>
    </cfRule>
    <cfRule type="expression" dxfId="4" priority="6">
      <formula>$G$22="No"</formula>
    </cfRule>
  </conditionalFormatting>
  <conditionalFormatting sqref="AS59:AS65">
    <cfRule type="expression" dxfId="3" priority="3">
      <formula>$G$23="No"</formula>
    </cfRule>
    <cfRule type="expression" dxfId="2" priority="4">
      <formula>$G$22="No"</formula>
    </cfRule>
  </conditionalFormatting>
  <conditionalFormatting sqref="B61:B67">
    <cfRule type="expression" dxfId="1" priority="1">
      <formula>$G$23="No"</formula>
    </cfRule>
    <cfRule type="expression" dxfId="0" priority="2">
      <formula>$G$22="No"</formula>
    </cfRule>
  </conditionalFormatting>
  <dataValidations xWindow="820" yWindow="376" count="18">
    <dataValidation type="decimal" allowBlank="1" showInputMessage="1" showErrorMessage="1" errorTitle="Lower UVLO Violation" error="The lower UVLO threshold MUST be at least 2.65V, and  less than the upper UVLO threshold. They cannot be equal." sqref="F96" xr:uid="{00000000-0002-0000-0100-000000000000}">
      <formula1>2.65</formula1>
      <formula2>F95</formula2>
    </dataValidation>
    <dataValidation type="decimal" allowBlank="1" showInputMessage="1" showErrorMessage="1" errorTitle="Upper OVLO Threshold Violation" error="The Upper OVLO Threshold must be greater than the upper UVLO threshold, and less than 80V." sqref="F97" xr:uid="{00000000-0002-0000-0100-000001000000}">
      <formula1>F95+0.01</formula1>
      <formula2>80</formula2>
    </dataValidation>
    <dataValidation type="decimal" allowBlank="1" showInputMessage="1" showErrorMessage="1" errorTitle="Lower OVLO Threshold Violation" error="The lower OVLO threshold must be greater than the upper UVLO threshold, and less than the upper OVLO threshold." sqref="F98" xr:uid="{00000000-0002-0000-0100-000002000000}">
      <formula1>F95+0.01</formula1>
      <formula2>F97</formula2>
    </dataValidation>
    <dataValidation type="decimal" allowBlank="1" showInputMessage="1" showErrorMessage="1" errorTitle="UVLO Threshold Violation" error="The upper UVLO threshold must be no less than 10V, and no greater than 80V." sqref="F95" xr:uid="{00000000-0002-0000-0100-000003000000}">
      <formula1>10</formula1>
      <formula2>80</formula2>
    </dataValidation>
    <dataValidation type="decimal" allowBlank="1" showInputMessage="1" showErrorMessage="1" errorTitle="Minimum System Voltage Violation" error="Input voltage should be between 10V and 80V." sqref="F28" xr:uid="{00000000-0002-0000-0100-000004000000}">
      <formula1>F27</formula1>
      <formula2>F29</formula2>
    </dataValidation>
    <dataValidation type="decimal" operator="greaterThanOrEqual" allowBlank="1" showInputMessage="1" showErrorMessage="1" errorTitle="Load Capacitance Violation" error="A minimum load capacitance of 10 uF is required to help prevent disruptions at turn off." sqref="F31" xr:uid="{00000000-0002-0000-0100-000005000000}">
      <formula1>10</formula1>
    </dataValidation>
    <dataValidation type="decimal" operator="greaterThan" allowBlank="1" showInputMessage="1" showErrorMessage="1" errorTitle="Maximum Load Current Violation" error="Maximum Load Current must be greater than 0." sqref="F30" xr:uid="{00000000-0002-0000-0100-000006000000}">
      <formula1>0</formula1>
    </dataValidation>
    <dataValidation type="list" allowBlank="1" showInputMessage="1" showErrorMessage="1" sqref="F94" xr:uid="{00000000-0002-0000-0100-000007000000}">
      <formula1>$AN$94:$AN$95</formula1>
    </dataValidation>
    <dataValidation type="list" allowBlank="1" showInputMessage="1" showErrorMessage="1" sqref="F50" xr:uid="{00000000-0002-0000-0100-000008000000}">
      <formula1>$AN$49:$AN$50</formula1>
    </dataValidation>
    <dataValidation type="list" allowBlank="1" showInputMessage="1" showErrorMessage="1" sqref="F49" xr:uid="{00000000-0002-0000-0100-000009000000}">
      <formula1>$AN$47:$AN$48</formula1>
    </dataValidation>
    <dataValidation type="whole" allowBlank="1" showInputMessage="1" showErrorMessage="1" sqref="F53" xr:uid="{00000000-0002-0000-0100-00000A000000}">
      <formula1>1</formula1>
      <formula2>6</formula2>
    </dataValidation>
    <dataValidation type="decimal" operator="greaterThan" allowBlank="1" showInputMessage="1" showErrorMessage="1" sqref="F42 F44" xr:uid="{00000000-0002-0000-0100-00000B000000}">
      <formula1>0</formula1>
    </dataValidation>
    <dataValidation type="custom" errorStyle="information" operator="equal" allowBlank="1" showInputMessage="1" showErrorMessage="1" errorTitle="Resistor Divider" error="When using resistor divider Rs should be set larger than Rs,eff. _x000a__x000a_Otherwise switch to &quot;No resistor divider&quot;" sqref="F40" xr:uid="{00000000-0002-0000-0100-00000C000000}">
      <formula1>"""NA"""</formula1>
    </dataValidation>
    <dataValidation type="list" allowBlank="1" showInputMessage="1" showErrorMessage="1" sqref="F71 F79" xr:uid="{00000000-0002-0000-0100-00000D000000}">
      <formula1>$AN$38:$AN$39</formula1>
    </dataValidation>
    <dataValidation type="list" allowBlank="1" showErrorMessage="1" sqref="F38" xr:uid="{00000000-0002-0000-0100-00000E000000}">
      <formula1>$AN$38:$AN$39</formula1>
    </dataValidation>
    <dataValidation type="list" allowBlank="1" showInputMessage="1" showErrorMessage="1" sqref="F69" xr:uid="{00000000-0002-0000-0100-00000F000000}">
      <formula1>$AN$70:$AN$71</formula1>
    </dataValidation>
    <dataValidation type="decimal" allowBlank="1" showInputMessage="1" showErrorMessage="1" error="Must enter a value less than 10" sqref="F43" xr:uid="{00000000-0002-0000-0100-000010000000}">
      <formula1>0</formula1>
      <formula2>10</formula2>
    </dataValidation>
    <dataValidation type="list" allowBlank="1" showInputMessage="1" showErrorMessage="1" sqref="G22:G23" xr:uid="{00000000-0002-0000-0100-000011000000}">
      <formula1>yesno</formula1>
    </dataValidation>
  </dataValidations>
  <hyperlinks>
    <hyperlink ref="B2" r:id="rId1" xr:uid="{00000000-0004-0000-0100-000000000000}"/>
    <hyperlink ref="D24:F25" r:id="rId2" display="*For additional questions not addressed in the videos, please post on E2E.ti.com" xr:uid="{00000000-0004-0000-0100-000001000000}"/>
    <hyperlink ref="D20" r:id="rId3" xr:uid="{00000000-0004-0000-0100-000002000000}"/>
    <hyperlink ref="B33:B34" r:id="rId4" display="Steps 1 &amp; 2: Operating Conditions, Current Limit, &amp; Circuit Breaker" xr:uid="{00000000-0004-0000-0100-000003000000}"/>
    <hyperlink ref="B57" r:id="rId5" xr:uid="{00000000-0004-0000-0100-000004000000}"/>
    <hyperlink ref="B78" r:id="rId6" xr:uid="{00000000-0004-0000-0100-000005000000}"/>
    <hyperlink ref="D19" r:id="rId7" display="Step 5: UVLO, OVLO &amp; PGD Thresholds" xr:uid="{00000000-0004-0000-0100-000006000000}"/>
    <hyperlink ref="D18" r:id="rId8" display="Step 4: Startup" xr:uid="{00000000-0004-0000-0100-000007000000}"/>
    <hyperlink ref="D17" r:id="rId9" display="Step 3: MOSFET Selection" xr:uid="{00000000-0004-0000-0100-000008000000}"/>
    <hyperlink ref="D16:F16" r:id="rId10" display="Steps 1 &amp; 2: Operating Conditions, Current Limit, &amp; Circuit Breaker" xr:uid="{00000000-0004-0000-0100-000009000000}"/>
    <hyperlink ref="D16:I16" r:id="rId11" display="Steps 1 &amp; 2: Operating Conditions, Current Limit, &amp; Circuit Breaker (7:41)" xr:uid="{00000000-0004-0000-0100-00000A000000}"/>
    <hyperlink ref="D17:I17" r:id="rId12" display="Step 3: MOSFET Selection (9:58)" xr:uid="{00000000-0004-0000-0100-00000B000000}"/>
    <hyperlink ref="D18:I18" r:id="rId13" display="Step 4: Startup (10:32)" xr:uid="{00000000-0004-0000-0100-00000C000000}"/>
    <hyperlink ref="D19:I19" r:id="rId14" display="Step 5: UVLO, OVLO &amp; PGD Thresholds (4:20)" xr:uid="{00000000-0004-0000-0100-00000D000000}"/>
    <hyperlink ref="B43:B45" r:id="rId15" display="Steps 1 &amp; 2: Operating Conditions, Current Limit, &amp; Circuit Breaker" xr:uid="{00000000-0004-0000-0100-00000E000000}"/>
    <hyperlink ref="B43" r:id="rId16" xr:uid="{00000000-0004-0000-0100-00000F000000}"/>
    <hyperlink ref="B101" r:id="rId17" xr:uid="{00000000-0004-0000-0100-000010000000}"/>
  </hyperlinks>
  <pageMargins left="0.17" right="0.17" top="0.55000000000000004" bottom="0.92" header="0.48" footer="0.2"/>
  <pageSetup scale="62" fitToHeight="2" orientation="portrait" r:id="rId18"/>
  <headerFooter alignWithMargins="0"/>
  <drawing r:id="rId19"/>
  <legacyDrawing r:id="rId20"/>
  <extLst>
    <ext xmlns:x14="http://schemas.microsoft.com/office/spreadsheetml/2009/9/main" uri="{CCE6A557-97BC-4b89-ADB6-D9C93CAAB3DF}">
      <x14:dataValidations xmlns:xm="http://schemas.microsoft.com/office/excel/2006/main" xWindow="820" yWindow="376" count="6">
        <x14:dataValidation type="decimal" allowBlank="1" showInputMessage="1" showErrorMessage="1" xr:uid="{00000000-0002-0000-0100-000012000000}">
          <x14:formula1>
            <xm:f>0</xm:f>
          </x14:formula1>
          <x14:formula2>
            <xm:f>Equations!F91</xm:f>
          </x14:formula2>
          <xm:sqref>F68</xm:sqref>
        </x14:dataValidation>
        <x14:dataValidation type="decimal" allowBlank="1" showInputMessage="1" showErrorMessage="1" errorTitle="Ambient Temperature Violation" error="The Ambient Temperature must be between -40C and 125C" xr:uid="{00000000-0002-0000-0100-000013000000}">
          <x14:formula1>
            <xm:f>'Device Parameters'!C5</xm:f>
          </x14:formula1>
          <x14:formula2>
            <xm:f>'Device Parameters'!E5</xm:f>
          </x14:formula2>
          <xm:sqref>F35</xm:sqref>
        </x14:dataValidation>
        <x14:dataValidation type="decimal" allowBlank="1" showInputMessage="1" showErrorMessage="1" errorTitle="Ambient Temperature Violation" error="The Ambient Temperature must be between -40C and 125C" xr:uid="{00000000-0002-0000-0100-000014000000}">
          <x14:formula1>
            <xm:f>'Device Parameters'!C4</xm:f>
          </x14:formula1>
          <x14:formula2>
            <xm:f>'Device Parameters'!E4</xm:f>
          </x14:formula2>
          <xm:sqref>F34 F32</xm:sqref>
        </x14:dataValidation>
        <x14:dataValidation type="decimal" operator="lessThanOrEqual" allowBlank="1" showInputMessage="1" showErrorMessage="1" errorTitle="Maximum System Voltage Violation" error="The maximum system voltage must be no greater than 80V." xr:uid="{00000000-0002-0000-0100-000015000000}">
          <x14:formula1>
            <xm:f>'Device Parameters'!E5</xm:f>
          </x14:formula1>
          <xm:sqref>F29</xm:sqref>
        </x14:dataValidation>
        <x14:dataValidation type="decimal" allowBlank="1" showInputMessage="1" showErrorMessage="1" errorTitle="Ambient Temperature Violation" error="The Ambient Temperature must be between -40C and 125C" xr:uid="{00000000-0002-0000-0100-000016000000}">
          <x14:formula1>
            <xm:f>'Device Parameters'!C6</xm:f>
          </x14:formula1>
          <x14:formula2>
            <xm:f>'Device Parameters'!E6</xm:f>
          </x14:formula2>
          <xm:sqref>F33</xm:sqref>
        </x14:dataValidation>
        <x14:dataValidation type="decimal" operator="greaterThanOrEqual" allowBlank="1" showInputMessage="1" showErrorMessage="1" errorTitle="Minimum System Voltage Violation" error="The minimum system voltage must be at least 9V." xr:uid="{00000000-0002-0000-0100-000017000000}">
          <x14:formula1>
            <xm:f>'Device Parameters'!C5</xm:f>
          </x14:formula1>
          <xm:sqref>F27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6"/>
  <dimension ref="A2:Q52"/>
  <sheetViews>
    <sheetView topLeftCell="A61" workbookViewId="0">
      <selection activeCell="R19" sqref="R19"/>
    </sheetView>
  </sheetViews>
  <sheetFormatPr defaultRowHeight="12.75" x14ac:dyDescent="0.2"/>
  <cols>
    <col min="1" max="1" width="9.42578125" customWidth="1"/>
    <col min="2" max="2" width="24.28515625" customWidth="1"/>
    <col min="3" max="3" width="9.140625" customWidth="1"/>
    <col min="12" max="12" width="13.5703125" customWidth="1"/>
  </cols>
  <sheetData>
    <row r="2" spans="1:17" x14ac:dyDescent="0.2">
      <c r="A2" s="33"/>
      <c r="C2" s="33" t="s">
        <v>71</v>
      </c>
      <c r="D2" s="33" t="s">
        <v>72</v>
      </c>
      <c r="E2" s="33" t="s">
        <v>73</v>
      </c>
      <c r="F2" s="33" t="s">
        <v>158</v>
      </c>
    </row>
    <row r="3" spans="1:17" x14ac:dyDescent="0.2">
      <c r="A3" s="27" t="s">
        <v>155</v>
      </c>
      <c r="C3" s="33"/>
      <c r="D3" s="33"/>
      <c r="E3" s="33"/>
    </row>
    <row r="4" spans="1:17" x14ac:dyDescent="0.2">
      <c r="A4" s="27"/>
      <c r="B4" s="33" t="s">
        <v>166</v>
      </c>
      <c r="C4" s="80">
        <v>-40</v>
      </c>
      <c r="D4" s="80"/>
      <c r="E4" s="80">
        <v>125</v>
      </c>
    </row>
    <row r="5" spans="1:17" x14ac:dyDescent="0.2">
      <c r="B5" s="34" t="s">
        <v>156</v>
      </c>
      <c r="C5" s="1">
        <v>9</v>
      </c>
      <c r="D5" s="1"/>
      <c r="E5" s="1">
        <v>80</v>
      </c>
      <c r="F5" s="33" t="s">
        <v>86</v>
      </c>
      <c r="J5" s="2"/>
    </row>
    <row r="6" spans="1:17" ht="16.5" customHeight="1" x14ac:dyDescent="0.2">
      <c r="A6" s="27" t="s">
        <v>132</v>
      </c>
      <c r="B6" s="34"/>
      <c r="C6" s="1"/>
      <c r="D6" s="1"/>
      <c r="E6" s="1"/>
      <c r="J6" s="2"/>
    </row>
    <row r="7" spans="1:17" x14ac:dyDescent="0.2">
      <c r="B7" s="34"/>
      <c r="C7" s="1"/>
      <c r="D7" s="1"/>
      <c r="E7" s="1"/>
      <c r="J7" s="2"/>
    </row>
    <row r="8" spans="1:17" x14ac:dyDescent="0.2">
      <c r="B8" s="34"/>
      <c r="C8" s="1">
        <v>48.5</v>
      </c>
      <c r="D8" s="1">
        <v>55</v>
      </c>
      <c r="E8" s="1">
        <v>61.5</v>
      </c>
      <c r="J8" s="34"/>
    </row>
    <row r="9" spans="1:17" x14ac:dyDescent="0.2">
      <c r="B9" s="34" t="s">
        <v>157</v>
      </c>
      <c r="C9" s="1"/>
      <c r="D9" s="1">
        <v>23</v>
      </c>
      <c r="E9" s="1"/>
      <c r="F9" s="33" t="s">
        <v>159</v>
      </c>
      <c r="J9" s="34"/>
    </row>
    <row r="10" spans="1:17" x14ac:dyDescent="0.2">
      <c r="C10" s="1"/>
      <c r="D10" s="1"/>
      <c r="E10" s="1"/>
    </row>
    <row r="11" spans="1:17" x14ac:dyDescent="0.2">
      <c r="A11" s="27" t="s">
        <v>168</v>
      </c>
      <c r="C11" s="1"/>
      <c r="D11" s="1"/>
      <c r="E11" s="1"/>
    </row>
    <row r="12" spans="1:17" x14ac:dyDescent="0.2">
      <c r="B12" s="33" t="s">
        <v>264</v>
      </c>
      <c r="C12" s="1"/>
      <c r="D12" s="1"/>
      <c r="E12" s="1">
        <v>1E-3</v>
      </c>
      <c r="F12" s="33" t="s">
        <v>86</v>
      </c>
    </row>
    <row r="13" spans="1:17" x14ac:dyDescent="0.2">
      <c r="B13" s="33" t="s">
        <v>265</v>
      </c>
      <c r="C13" s="156"/>
      <c r="D13" s="156"/>
      <c r="E13" s="156">
        <v>5.0000000000000001E-3</v>
      </c>
      <c r="F13" s="33" t="s">
        <v>86</v>
      </c>
      <c r="G13" s="33" t="s">
        <v>266</v>
      </c>
    </row>
    <row r="14" spans="1:17" x14ac:dyDescent="0.2">
      <c r="B14" s="33" t="s">
        <v>267</v>
      </c>
      <c r="C14" s="156"/>
      <c r="D14" s="156"/>
      <c r="E14" s="160">
        <v>125000</v>
      </c>
      <c r="F14" s="33"/>
    </row>
    <row r="15" spans="1:17" x14ac:dyDescent="0.2">
      <c r="B15" s="33"/>
      <c r="C15" s="156"/>
      <c r="D15" s="156"/>
      <c r="E15" s="160"/>
      <c r="F15" s="33"/>
    </row>
    <row r="16" spans="1:17" x14ac:dyDescent="0.2">
      <c r="B16" s="33" t="s">
        <v>274</v>
      </c>
      <c r="C16" s="159" t="s">
        <v>268</v>
      </c>
      <c r="D16" s="156"/>
      <c r="E16" s="156"/>
      <c r="F16" s="33"/>
      <c r="I16" s="33" t="s">
        <v>269</v>
      </c>
      <c r="J16" s="33" t="s">
        <v>70</v>
      </c>
      <c r="K16" s="33" t="s">
        <v>270</v>
      </c>
      <c r="L16" s="33" t="s">
        <v>272</v>
      </c>
      <c r="M16" s="33" t="s">
        <v>271</v>
      </c>
      <c r="N16" s="33" t="s">
        <v>273</v>
      </c>
      <c r="P16" s="33" t="s">
        <v>271</v>
      </c>
      <c r="Q16" s="33" t="s">
        <v>270</v>
      </c>
    </row>
    <row r="17" spans="1:17" x14ac:dyDescent="0.2">
      <c r="B17" s="33"/>
      <c r="C17" s="159" t="s">
        <v>471</v>
      </c>
      <c r="D17" s="156"/>
      <c r="E17" s="156"/>
      <c r="F17" s="33"/>
      <c r="J17">
        <v>12</v>
      </c>
      <c r="K17">
        <v>25</v>
      </c>
      <c r="L17">
        <f>0.5</f>
        <v>0.5</v>
      </c>
      <c r="M17" s="162">
        <f>1/(0.001*L17)*(K17*1000/$E$14+J17*$E$12)</f>
        <v>424.00000000000006</v>
      </c>
      <c r="N17" s="161">
        <f>K17*1000/$E$14/J17+$E$12</f>
        <v>1.7666666666666667E-2</v>
      </c>
      <c r="P17">
        <v>82</v>
      </c>
      <c r="Q17">
        <f>E14*(P17*L17*0.001-J17*E12)</f>
        <v>3625</v>
      </c>
    </row>
    <row r="18" spans="1:17" x14ac:dyDescent="0.2">
      <c r="B18" s="33"/>
      <c r="C18" s="159" t="s">
        <v>470</v>
      </c>
      <c r="D18" s="156"/>
      <c r="E18" s="156"/>
      <c r="F18" s="33"/>
      <c r="J18">
        <v>12</v>
      </c>
      <c r="K18">
        <v>5</v>
      </c>
      <c r="L18">
        <f>0.5</f>
        <v>0.5</v>
      </c>
      <c r="M18" s="162">
        <f>1/(0.001*L18)*(K18*1000/$E$14+J18*$E$12)</f>
        <v>104.00000000000001</v>
      </c>
      <c r="N18" s="161">
        <f>K18*1000/$E$14/J18+$E$12*0.001</f>
        <v>3.3343333333333337E-3</v>
      </c>
    </row>
    <row r="19" spans="1:17" x14ac:dyDescent="0.2">
      <c r="B19" s="33" t="s">
        <v>275</v>
      </c>
      <c r="E19" s="156"/>
      <c r="F19" s="33"/>
      <c r="I19" s="33" t="s">
        <v>277</v>
      </c>
      <c r="M19" s="162"/>
      <c r="N19" s="161"/>
    </row>
    <row r="20" spans="1:17" x14ac:dyDescent="0.2">
      <c r="C20" s="1"/>
      <c r="D20" s="1"/>
      <c r="E20" s="1"/>
    </row>
    <row r="21" spans="1:17" x14ac:dyDescent="0.2">
      <c r="A21" s="27" t="s">
        <v>161</v>
      </c>
      <c r="C21" s="1"/>
      <c r="D21" s="1"/>
      <c r="E21" s="1"/>
    </row>
    <row r="22" spans="1:17" x14ac:dyDescent="0.2">
      <c r="B22" s="34" t="s">
        <v>162</v>
      </c>
      <c r="C22" s="1">
        <v>3.76</v>
      </c>
      <c r="D22" s="1">
        <v>4</v>
      </c>
      <c r="E22" s="1">
        <v>4.16</v>
      </c>
      <c r="F22" s="33" t="s">
        <v>86</v>
      </c>
    </row>
    <row r="23" spans="1:17" x14ac:dyDescent="0.2">
      <c r="B23" s="34" t="s">
        <v>163</v>
      </c>
      <c r="C23" s="1">
        <v>-8</v>
      </c>
      <c r="D23" s="1">
        <v>-5.5</v>
      </c>
      <c r="E23" s="1">
        <v>-3</v>
      </c>
      <c r="F23" s="33" t="s">
        <v>159</v>
      </c>
    </row>
    <row r="24" spans="1:17" x14ac:dyDescent="0.2">
      <c r="B24" s="34" t="s">
        <v>363</v>
      </c>
      <c r="C24" s="196"/>
      <c r="D24" s="196"/>
      <c r="E24" s="196"/>
      <c r="F24" s="33"/>
    </row>
    <row r="25" spans="1:17" x14ac:dyDescent="0.2">
      <c r="B25" s="34" t="s">
        <v>164</v>
      </c>
      <c r="C25" s="1">
        <v>120</v>
      </c>
      <c r="D25" s="1">
        <v>85</v>
      </c>
      <c r="E25" s="1">
        <v>51</v>
      </c>
      <c r="F25" s="33" t="s">
        <v>159</v>
      </c>
    </row>
    <row r="26" spans="1:17" x14ac:dyDescent="0.2">
      <c r="B26" s="34" t="s">
        <v>300</v>
      </c>
      <c r="C26" s="157"/>
      <c r="D26" s="157">
        <f>SQRT(0.66^2+ ((120-90)/90)^2+ 0.1^2)</f>
        <v>0.74613076006227697</v>
      </c>
      <c r="E26" s="157"/>
      <c r="F26" s="33"/>
      <c r="G26" s="33" t="s">
        <v>299</v>
      </c>
    </row>
    <row r="27" spans="1:17" x14ac:dyDescent="0.2">
      <c r="B27" s="34" t="s">
        <v>297</v>
      </c>
      <c r="C27" s="157"/>
      <c r="D27" s="157">
        <v>0.5</v>
      </c>
      <c r="E27" s="157"/>
      <c r="F27" s="33"/>
      <c r="G27" s="33" t="s">
        <v>298</v>
      </c>
    </row>
    <row r="28" spans="1:17" x14ac:dyDescent="0.2">
      <c r="B28" s="2"/>
      <c r="C28" s="1"/>
      <c r="D28" s="1"/>
      <c r="E28" s="1"/>
    </row>
    <row r="29" spans="1:17" x14ac:dyDescent="0.2">
      <c r="A29" s="27" t="s">
        <v>196</v>
      </c>
      <c r="B29" s="2"/>
      <c r="C29" s="1"/>
      <c r="D29" s="1"/>
      <c r="E29" s="1"/>
    </row>
    <row r="30" spans="1:17" x14ac:dyDescent="0.2">
      <c r="B30" s="34" t="s">
        <v>200</v>
      </c>
      <c r="C30" s="1">
        <v>10</v>
      </c>
      <c r="D30" s="1">
        <v>16</v>
      </c>
      <c r="E30" s="1">
        <v>22</v>
      </c>
    </row>
    <row r="31" spans="1:17" x14ac:dyDescent="0.2">
      <c r="B31" s="2"/>
      <c r="C31" s="1"/>
      <c r="D31" s="1"/>
      <c r="E31" s="1"/>
    </row>
    <row r="32" spans="1:17" x14ac:dyDescent="0.2">
      <c r="A32" s="27" t="s">
        <v>160</v>
      </c>
      <c r="B32" s="2"/>
      <c r="C32" s="348"/>
      <c r="D32" s="348"/>
      <c r="E32" s="348"/>
      <c r="F32" s="348"/>
      <c r="G32" s="348"/>
      <c r="H32" s="348"/>
    </row>
    <row r="33" spans="1:8" x14ac:dyDescent="0.2">
      <c r="B33" s="34"/>
      <c r="C33" s="1"/>
      <c r="D33" s="1"/>
      <c r="E33" s="1"/>
      <c r="F33" s="218"/>
      <c r="G33" s="218"/>
      <c r="H33" s="218"/>
    </row>
    <row r="34" spans="1:8" x14ac:dyDescent="0.2">
      <c r="B34" s="34"/>
      <c r="C34" s="1"/>
      <c r="D34" s="1"/>
      <c r="E34" s="1"/>
      <c r="F34" s="218"/>
      <c r="G34" s="218"/>
      <c r="H34" s="218"/>
    </row>
    <row r="35" spans="1:8" x14ac:dyDescent="0.2">
      <c r="B35" s="34"/>
      <c r="C35" s="1"/>
      <c r="D35" s="1"/>
      <c r="E35" s="1"/>
      <c r="F35" s="218"/>
      <c r="G35" s="218"/>
      <c r="H35" s="218"/>
    </row>
    <row r="36" spans="1:8" x14ac:dyDescent="0.2">
      <c r="B36" s="34"/>
      <c r="C36" s="1"/>
      <c r="D36" s="1"/>
      <c r="E36" s="1"/>
      <c r="F36" s="218"/>
      <c r="G36" s="218"/>
      <c r="H36" s="218"/>
    </row>
    <row r="37" spans="1:8" x14ac:dyDescent="0.2">
      <c r="B37" s="2"/>
      <c r="C37" s="1"/>
      <c r="D37" s="1"/>
      <c r="E37" s="1"/>
    </row>
    <row r="38" spans="1:8" x14ac:dyDescent="0.2">
      <c r="A38" s="27" t="s">
        <v>232</v>
      </c>
      <c r="B38" s="2"/>
    </row>
    <row r="39" spans="1:8" x14ac:dyDescent="0.2">
      <c r="B39" s="34" t="s">
        <v>162</v>
      </c>
      <c r="C39">
        <v>3.76</v>
      </c>
      <c r="D39">
        <v>4</v>
      </c>
      <c r="E39">
        <v>4.16</v>
      </c>
    </row>
    <row r="40" spans="1:8" x14ac:dyDescent="0.2">
      <c r="B40" s="34" t="s">
        <v>233</v>
      </c>
      <c r="C40">
        <v>1.1870000000000001</v>
      </c>
      <c r="D40">
        <v>1.25</v>
      </c>
      <c r="E40">
        <v>1.3129999999999999</v>
      </c>
    </row>
    <row r="41" spans="1:8" x14ac:dyDescent="0.2">
      <c r="B41" s="34" t="s">
        <v>234</v>
      </c>
      <c r="D41">
        <v>0.3</v>
      </c>
    </row>
    <row r="42" spans="1:8" x14ac:dyDescent="0.2">
      <c r="B42" s="34" t="s">
        <v>235</v>
      </c>
      <c r="D42">
        <v>0.3</v>
      </c>
    </row>
    <row r="43" spans="1:8" x14ac:dyDescent="0.2">
      <c r="B43" s="34" t="s">
        <v>236</v>
      </c>
      <c r="C43">
        <v>3</v>
      </c>
      <c r="D43">
        <v>5.5</v>
      </c>
      <c r="E43">
        <v>8</v>
      </c>
    </row>
    <row r="44" spans="1:8" x14ac:dyDescent="0.2">
      <c r="B44" s="34" t="s">
        <v>237</v>
      </c>
      <c r="C44">
        <v>1</v>
      </c>
      <c r="D44">
        <v>1.5</v>
      </c>
      <c r="E44">
        <v>2</v>
      </c>
    </row>
    <row r="45" spans="1:8" x14ac:dyDescent="0.2">
      <c r="B45" s="34" t="s">
        <v>164</v>
      </c>
      <c r="C45">
        <v>51</v>
      </c>
      <c r="D45">
        <v>85</v>
      </c>
      <c r="E45">
        <v>120</v>
      </c>
    </row>
    <row r="46" spans="1:8" x14ac:dyDescent="0.2">
      <c r="B46" s="34" t="s">
        <v>238</v>
      </c>
      <c r="C46">
        <v>1.25</v>
      </c>
      <c r="D46">
        <v>2.5</v>
      </c>
      <c r="E46">
        <v>3.75</v>
      </c>
    </row>
    <row r="48" spans="1:8" x14ac:dyDescent="0.2">
      <c r="A48" s="27" t="s">
        <v>242</v>
      </c>
    </row>
    <row r="49" spans="1:8" x14ac:dyDescent="0.2">
      <c r="B49" s="34" t="s">
        <v>243</v>
      </c>
      <c r="D49">
        <v>60</v>
      </c>
      <c r="E49">
        <v>150</v>
      </c>
      <c r="F49" s="33" t="s">
        <v>169</v>
      </c>
      <c r="G49">
        <v>2</v>
      </c>
      <c r="H49" s="33" t="s">
        <v>244</v>
      </c>
    </row>
    <row r="50" spans="1:8" x14ac:dyDescent="0.2">
      <c r="A50" s="27" t="s">
        <v>245</v>
      </c>
    </row>
    <row r="51" spans="1:8" x14ac:dyDescent="0.2">
      <c r="B51" s="33" t="s">
        <v>246</v>
      </c>
      <c r="C51">
        <v>2.41</v>
      </c>
      <c r="D51">
        <v>2.46</v>
      </c>
      <c r="E51">
        <v>2.52</v>
      </c>
      <c r="F51" s="33" t="s">
        <v>86</v>
      </c>
    </row>
    <row r="52" spans="1:8" x14ac:dyDescent="0.2">
      <c r="B52" s="33" t="s">
        <v>247</v>
      </c>
      <c r="C52">
        <v>15</v>
      </c>
      <c r="D52">
        <v>20</v>
      </c>
      <c r="E52">
        <v>25</v>
      </c>
      <c r="F52" s="33" t="s">
        <v>159</v>
      </c>
    </row>
  </sheetData>
  <mergeCells count="2">
    <mergeCell ref="C32:E32"/>
    <mergeCell ref="F32:H3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dimension ref="A13:Y282"/>
  <sheetViews>
    <sheetView topLeftCell="A227" zoomScale="70" zoomScaleNormal="70" workbookViewId="0">
      <selection activeCell="R19" sqref="R19"/>
    </sheetView>
  </sheetViews>
  <sheetFormatPr defaultRowHeight="12.75" x14ac:dyDescent="0.2"/>
  <cols>
    <col min="6" max="6" width="12.42578125" bestFit="1" customWidth="1"/>
    <col min="8" max="8" width="14" customWidth="1"/>
    <col min="9" max="9" width="12.7109375" customWidth="1"/>
    <col min="10" max="10" width="11.7109375" customWidth="1"/>
  </cols>
  <sheetData>
    <row r="13" spans="1:6" x14ac:dyDescent="0.2">
      <c r="A13" s="27" t="s">
        <v>132</v>
      </c>
    </row>
    <row r="14" spans="1:6" x14ac:dyDescent="0.2">
      <c r="E14" s="2"/>
    </row>
    <row r="15" spans="1:6" x14ac:dyDescent="0.2">
      <c r="D15" t="s">
        <v>207</v>
      </c>
      <c r="E15">
        <f>IF('Design Calculator'!$F$36="26 mV",'Device Parameters'!C7,'Device Parameters'!C8)</f>
        <v>48.5</v>
      </c>
      <c r="F15" s="106" t="s">
        <v>169</v>
      </c>
    </row>
    <row r="16" spans="1:6" x14ac:dyDescent="0.2">
      <c r="D16" t="s">
        <v>206</v>
      </c>
      <c r="E16">
        <f>IF('Design Calculator'!$F$36="26 mV",'Device Parameters'!D7,'Device Parameters'!D8)</f>
        <v>55</v>
      </c>
      <c r="F16" s="106" t="s">
        <v>169</v>
      </c>
    </row>
    <row r="17" spans="1:8" x14ac:dyDescent="0.2">
      <c r="D17" t="s">
        <v>205</v>
      </c>
      <c r="E17">
        <f>IF('Design Calculator'!$F$36="26 mV",'Device Parameters'!E7,'Device Parameters'!E8)</f>
        <v>61.5</v>
      </c>
      <c r="F17" s="106" t="s">
        <v>169</v>
      </c>
    </row>
    <row r="18" spans="1:8" x14ac:dyDescent="0.2">
      <c r="E18" s="2"/>
    </row>
    <row r="19" spans="1:8" x14ac:dyDescent="0.2">
      <c r="A19" s="27"/>
      <c r="E19" s="2"/>
    </row>
    <row r="20" spans="1:8" x14ac:dyDescent="0.2">
      <c r="E20" s="2" t="s">
        <v>0</v>
      </c>
      <c r="F20">
        <f>CLMIN_Threshold/('Design Calculator'!F30*1.01)</f>
        <v>2.389044874636717</v>
      </c>
    </row>
    <row r="21" spans="1:8" x14ac:dyDescent="0.2">
      <c r="E21" s="34" t="s">
        <v>208</v>
      </c>
      <c r="F21" s="33">
        <f>IF(Rs&gt;RsMAX,10,"NA")</f>
        <v>10</v>
      </c>
    </row>
    <row r="22" spans="1:8" x14ac:dyDescent="0.2">
      <c r="E22" s="34" t="s">
        <v>209</v>
      </c>
      <c r="F22">
        <f>IF(Rs&gt;RsMAX,(((IOUTMAX*Rs)/CLMIN_Threshold)-1)*F21,"NA")</f>
        <v>6.5773195876288675</v>
      </c>
    </row>
    <row r="23" spans="1:8" x14ac:dyDescent="0.2">
      <c r="E23" s="34" t="s">
        <v>210</v>
      </c>
      <c r="F23">
        <f>IF(RsMAX&gt;Rs,Rs,IF('Design Calculator'!F38="Yes",IF(Rs&gt;RsMAX,Rs/(1+RDIV2/RDIV1),Rs),Rs))</f>
        <v>2.4125452352231607</v>
      </c>
      <c r="H23" s="142"/>
    </row>
    <row r="24" spans="1:8" x14ac:dyDescent="0.2">
      <c r="E24" s="2" t="s">
        <v>1</v>
      </c>
      <c r="F24" s="4">
        <f>CLMIN_Threshold/RsEFF</f>
        <v>20.103249999999999</v>
      </c>
      <c r="G24" s="4"/>
    </row>
    <row r="25" spans="1:8" x14ac:dyDescent="0.2">
      <c r="E25" s="2" t="s">
        <v>2</v>
      </c>
      <c r="F25">
        <f>CLNOM_Threshold/RsEFF</f>
        <v>22.797499999999999</v>
      </c>
    </row>
    <row r="26" spans="1:8" x14ac:dyDescent="0.2">
      <c r="E26" s="2" t="s">
        <v>3</v>
      </c>
      <c r="F26">
        <f>CLMAX_Threshold/RsEFF</f>
        <v>25.491749999999996</v>
      </c>
    </row>
    <row r="27" spans="1:8" x14ac:dyDescent="0.2">
      <c r="E27" s="2" t="s">
        <v>4</v>
      </c>
      <c r="F27">
        <f>F26^2*'Design Calculator'!F39</f>
        <v>2599.3172722499994</v>
      </c>
    </row>
    <row r="30" spans="1:8" x14ac:dyDescent="0.2">
      <c r="E30" s="2"/>
    </row>
    <row r="31" spans="1:8" x14ac:dyDescent="0.2">
      <c r="A31" s="27" t="s">
        <v>152</v>
      </c>
    </row>
    <row r="32" spans="1:8" x14ac:dyDescent="0.2">
      <c r="A32" s="33"/>
      <c r="F32" s="33" t="s">
        <v>153</v>
      </c>
      <c r="H32" s="33" t="s">
        <v>154</v>
      </c>
    </row>
    <row r="33" spans="1:8" x14ac:dyDescent="0.2">
      <c r="A33" s="33"/>
      <c r="E33" s="66" t="s">
        <v>128</v>
      </c>
      <c r="F33" s="67">
        <f>VINMAX*'Design Calculator'!F56</f>
        <v>4250</v>
      </c>
      <c r="G33" s="33" t="s">
        <v>87</v>
      </c>
      <c r="H33">
        <f>F33*(TJMAX-TJ)/(TJMAX-25)</f>
        <v>2892.0309333333335</v>
      </c>
    </row>
    <row r="34" spans="1:8" x14ac:dyDescent="0.2">
      <c r="A34" s="33"/>
      <c r="E34" s="66" t="s">
        <v>129</v>
      </c>
      <c r="F34" s="67">
        <f>VINMAX*'Design Calculator'!F57</f>
        <v>1147.5</v>
      </c>
      <c r="G34" s="33" t="s">
        <v>87</v>
      </c>
      <c r="H34">
        <f>F34*(TJMAX-TJ)/(TJMAX-25)</f>
        <v>780.84835199999998</v>
      </c>
    </row>
    <row r="35" spans="1:8" x14ac:dyDescent="0.2">
      <c r="A35" s="33"/>
      <c r="E35" s="66" t="s">
        <v>130</v>
      </c>
      <c r="F35" s="67">
        <f>VINMAX*'Design Calculator'!F58</f>
        <v>255</v>
      </c>
      <c r="G35" s="33" t="s">
        <v>87</v>
      </c>
      <c r="H35">
        <f>F35*(TJMAX-TJ)/(TJMAX-25)</f>
        <v>173.52185599999999</v>
      </c>
    </row>
    <row r="36" spans="1:8" x14ac:dyDescent="0.2">
      <c r="A36" s="33"/>
      <c r="E36" s="66" t="s">
        <v>131</v>
      </c>
      <c r="F36" s="67">
        <f>VINMAX*'Design Calculator'!F59</f>
        <v>89.25</v>
      </c>
      <c r="G36" s="75" t="s">
        <v>87</v>
      </c>
      <c r="H36">
        <f>F36*(TJMAX-TJ)/(TJMAX-25)</f>
        <v>60.732649600000002</v>
      </c>
    </row>
    <row r="37" spans="1:8" x14ac:dyDescent="0.2">
      <c r="A37" s="33"/>
      <c r="E37" s="77"/>
      <c r="F37" s="76"/>
      <c r="G37" s="75"/>
    </row>
    <row r="38" spans="1:8" x14ac:dyDescent="0.2">
      <c r="A38" s="33"/>
      <c r="E38" s="77" t="s">
        <v>170</v>
      </c>
      <c r="F38" s="76">
        <f>VINMAX*'Device Parameters'!E13/RsEFF/0.001</f>
        <v>88.081249999999983</v>
      </c>
      <c r="G38" s="75" t="s">
        <v>87</v>
      </c>
    </row>
    <row r="39" spans="1:8" x14ac:dyDescent="0.2">
      <c r="A39" s="33"/>
      <c r="D39" s="150"/>
      <c r="E39" s="77" t="s">
        <v>280</v>
      </c>
      <c r="F39" s="76">
        <f>'Design Calculator'!F64</f>
        <v>75</v>
      </c>
      <c r="G39" s="75" t="s">
        <v>87</v>
      </c>
      <c r="H39" s="150"/>
    </row>
    <row r="40" spans="1:8" x14ac:dyDescent="0.2">
      <c r="A40" s="33"/>
      <c r="D40" s="150"/>
      <c r="E40" s="77" t="s">
        <v>270</v>
      </c>
      <c r="F40" s="267">
        <f>'Device Parameters'!E14*RsEFF*0.001*F39/1000</f>
        <v>22.61761158021713</v>
      </c>
      <c r="G40" s="75" t="s">
        <v>281</v>
      </c>
      <c r="H40" s="150"/>
    </row>
    <row r="41" spans="1:8" x14ac:dyDescent="0.2">
      <c r="A41" s="33"/>
      <c r="D41" s="150"/>
      <c r="E41" s="77" t="s">
        <v>283</v>
      </c>
      <c r="F41" s="76">
        <f>RPWR</f>
        <v>38.299999999999997</v>
      </c>
      <c r="G41" s="75" t="s">
        <v>281</v>
      </c>
      <c r="H41" s="150"/>
    </row>
    <row r="42" spans="1:8" x14ac:dyDescent="0.2">
      <c r="A42" s="33"/>
      <c r="D42" s="150"/>
      <c r="E42" s="77" t="s">
        <v>284</v>
      </c>
      <c r="F42" s="222">
        <f>(1/RsEFF)*1000*(Equations!F41*1000/'Device Parameters'!E14)</f>
        <v>127.00280000000001</v>
      </c>
      <c r="G42" s="75" t="s">
        <v>87</v>
      </c>
      <c r="H42" s="150"/>
    </row>
    <row r="43" spans="1:8" x14ac:dyDescent="0.2">
      <c r="A43" s="33"/>
      <c r="D43" s="150"/>
      <c r="E43" s="77"/>
      <c r="F43" s="150"/>
      <c r="G43" s="75"/>
      <c r="H43" s="150"/>
    </row>
    <row r="44" spans="1:8" x14ac:dyDescent="0.2">
      <c r="A44" s="33"/>
      <c r="D44" s="150"/>
      <c r="E44" s="77"/>
      <c r="F44" s="150"/>
      <c r="G44" s="75"/>
      <c r="H44" s="150"/>
    </row>
    <row r="45" spans="1:8" x14ac:dyDescent="0.2">
      <c r="A45" s="33"/>
      <c r="D45" s="150"/>
      <c r="E45" s="77"/>
      <c r="F45" s="150"/>
      <c r="G45" s="75"/>
      <c r="H45" s="150"/>
    </row>
    <row r="46" spans="1:8" x14ac:dyDescent="0.2">
      <c r="D46" s="150"/>
      <c r="E46" s="223" t="s">
        <v>5</v>
      </c>
      <c r="F46" s="224">
        <f>F47*(1-0.24)</f>
        <v>96.522128000000009</v>
      </c>
      <c r="G46" s="150" t="s">
        <v>15</v>
      </c>
      <c r="H46" s="150"/>
    </row>
    <row r="47" spans="1:8" x14ac:dyDescent="0.2">
      <c r="D47" s="150"/>
      <c r="E47" s="223" t="s">
        <v>6</v>
      </c>
      <c r="F47" s="224">
        <f>F42</f>
        <v>127.00280000000001</v>
      </c>
      <c r="G47" s="150"/>
      <c r="H47" s="150"/>
    </row>
    <row r="48" spans="1:8" x14ac:dyDescent="0.2">
      <c r="D48" s="150"/>
      <c r="E48" s="223" t="s">
        <v>7</v>
      </c>
      <c r="F48" s="224">
        <f>F47*(1+0.24)</f>
        <v>157.48347200000001</v>
      </c>
      <c r="G48" s="150"/>
      <c r="H48" s="150"/>
    </row>
    <row r="49" spans="1:12" x14ac:dyDescent="0.2">
      <c r="D49" s="150"/>
      <c r="E49" s="223"/>
      <c r="F49" s="225"/>
      <c r="G49" s="150"/>
      <c r="H49" s="223"/>
      <c r="I49" s="1"/>
      <c r="K49" s="2"/>
      <c r="L49" s="1"/>
    </row>
    <row r="50" spans="1:12" x14ac:dyDescent="0.2">
      <c r="D50" s="150"/>
      <c r="E50" s="223"/>
      <c r="F50" s="225"/>
      <c r="G50" s="150"/>
      <c r="H50" s="223"/>
      <c r="I50" s="1"/>
      <c r="K50" s="2"/>
      <c r="L50" s="1"/>
    </row>
    <row r="51" spans="1:12" x14ac:dyDescent="0.2">
      <c r="A51" s="27" t="s">
        <v>151</v>
      </c>
      <c r="D51" s="150"/>
      <c r="E51" s="150"/>
      <c r="F51" s="150"/>
      <c r="G51" s="150"/>
      <c r="H51" s="150"/>
    </row>
    <row r="52" spans="1:12" x14ac:dyDescent="0.2">
      <c r="A52" s="27"/>
      <c r="D52" s="349" t="s">
        <v>323</v>
      </c>
      <c r="E52" s="350"/>
      <c r="F52" s="350"/>
      <c r="G52" s="350"/>
      <c r="H52" s="150"/>
    </row>
    <row r="53" spans="1:12" x14ac:dyDescent="0.2">
      <c r="A53" s="27"/>
      <c r="D53" s="150"/>
      <c r="E53" s="77" t="s">
        <v>303</v>
      </c>
      <c r="F53" s="224">
        <f>Start_up!M2</f>
        <v>2.6306643696847032</v>
      </c>
      <c r="G53" s="226" t="s">
        <v>8</v>
      </c>
      <c r="H53" s="150"/>
    </row>
    <row r="54" spans="1:12" x14ac:dyDescent="0.2">
      <c r="A54" s="27"/>
      <c r="D54" s="150"/>
      <c r="E54" s="77" t="s">
        <v>304</v>
      </c>
      <c r="F54" s="224">
        <f>'Device Parameters'!D27</f>
        <v>0.5</v>
      </c>
      <c r="G54" s="150"/>
      <c r="H54" s="150"/>
    </row>
    <row r="55" spans="1:12" x14ac:dyDescent="0.2">
      <c r="A55" s="27"/>
      <c r="D55" s="150"/>
      <c r="E55" s="77" t="s">
        <v>305</v>
      </c>
      <c r="F55" s="150">
        <f>F53*(1+F54)</f>
        <v>3.9459965545270546</v>
      </c>
      <c r="G55" s="226" t="s">
        <v>8</v>
      </c>
      <c r="H55" s="150"/>
    </row>
    <row r="56" spans="1:12" x14ac:dyDescent="0.2">
      <c r="A56" s="27"/>
      <c r="D56" s="150"/>
      <c r="E56" s="77" t="s">
        <v>306</v>
      </c>
      <c r="F56" s="150">
        <f>'Device Parameters'!D25/'Device Parameters'!D22*F55</f>
        <v>83.852426783699912</v>
      </c>
      <c r="G56" s="226" t="s">
        <v>118</v>
      </c>
      <c r="H56" s="150"/>
    </row>
    <row r="57" spans="1:12" x14ac:dyDescent="0.2">
      <c r="A57" s="27"/>
      <c r="D57" s="150"/>
      <c r="E57" s="77" t="s">
        <v>307</v>
      </c>
      <c r="F57" s="224">
        <f>'Design Calculator'!F76</f>
        <v>440</v>
      </c>
      <c r="G57" s="226" t="s">
        <v>118</v>
      </c>
      <c r="H57" s="150"/>
    </row>
    <row r="58" spans="1:12" x14ac:dyDescent="0.2">
      <c r="A58" s="27"/>
      <c r="D58" s="150"/>
      <c r="E58" s="77" t="s">
        <v>310</v>
      </c>
      <c r="F58" s="150">
        <f>'Device Parameters'!D22/'Device Parameters'!D25*F57</f>
        <v>20.705882352941178</v>
      </c>
      <c r="G58" s="226" t="s">
        <v>8</v>
      </c>
      <c r="H58" s="150"/>
    </row>
    <row r="59" spans="1:12" x14ac:dyDescent="0.2">
      <c r="A59" s="27"/>
      <c r="D59" s="150"/>
      <c r="E59" s="77" t="s">
        <v>318</v>
      </c>
      <c r="F59" s="150">
        <f>SOA!C26/F47</f>
        <v>0.98044593539580394</v>
      </c>
      <c r="G59" s="226"/>
      <c r="H59" s="150"/>
    </row>
    <row r="60" spans="1:12" x14ac:dyDescent="0.2">
      <c r="A60" s="27"/>
      <c r="D60" s="349" t="s">
        <v>327</v>
      </c>
      <c r="E60" s="350"/>
      <c r="F60" s="350"/>
      <c r="G60" s="350"/>
      <c r="H60" s="150"/>
    </row>
    <row r="61" spans="1:12" x14ac:dyDescent="0.2">
      <c r="A61" s="27"/>
      <c r="C61" s="33"/>
      <c r="D61" s="227"/>
      <c r="E61" s="77" t="s">
        <v>324</v>
      </c>
      <c r="F61" s="228">
        <f>'Design Calculator'!F82</f>
        <v>2</v>
      </c>
      <c r="G61" s="228" t="s">
        <v>325</v>
      </c>
      <c r="H61" s="150"/>
    </row>
    <row r="62" spans="1:12" x14ac:dyDescent="0.2">
      <c r="A62" s="27"/>
      <c r="C62" s="33"/>
      <c r="D62" s="227"/>
      <c r="E62" s="77" t="s">
        <v>348</v>
      </c>
      <c r="F62" s="225">
        <f>'Device Parameters'!D30/ss_rate</f>
        <v>8</v>
      </c>
      <c r="G62" s="226" t="s">
        <v>118</v>
      </c>
      <c r="H62" s="150"/>
    </row>
    <row r="63" spans="1:12" x14ac:dyDescent="0.2">
      <c r="A63" s="27"/>
      <c r="C63" s="33"/>
      <c r="D63" s="227"/>
      <c r="E63" s="77" t="s">
        <v>349</v>
      </c>
      <c r="F63" s="228">
        <f>'Design Calculator'!F84</f>
        <v>10</v>
      </c>
      <c r="G63" s="226" t="s">
        <v>118</v>
      </c>
      <c r="H63" s="150"/>
    </row>
    <row r="64" spans="1:12" x14ac:dyDescent="0.2">
      <c r="A64" s="27"/>
      <c r="C64" s="33"/>
      <c r="D64" s="227"/>
      <c r="E64" s="77" t="s">
        <v>350</v>
      </c>
      <c r="F64" s="225">
        <f>ss_rate*F62/F63</f>
        <v>1.6</v>
      </c>
      <c r="G64" s="226" t="s">
        <v>325</v>
      </c>
      <c r="H64" s="150"/>
    </row>
    <row r="65" spans="1:8" x14ac:dyDescent="0.2">
      <c r="A65" s="27"/>
      <c r="C65" s="33"/>
      <c r="D65" s="227"/>
      <c r="E65" s="77" t="s">
        <v>326</v>
      </c>
      <c r="F65" s="228">
        <f>COUTMAX*F64/1000</f>
        <v>0.35199999999999998</v>
      </c>
      <c r="G65" s="228" t="s">
        <v>25</v>
      </c>
      <c r="H65" s="150"/>
    </row>
    <row r="66" spans="1:8" x14ac:dyDescent="0.2">
      <c r="A66" s="27"/>
      <c r="C66" s="33"/>
      <c r="D66" s="227"/>
      <c r="E66" s="77" t="s">
        <v>341</v>
      </c>
      <c r="F66" s="228">
        <f>VINMAX/F64</f>
        <v>26.5625</v>
      </c>
      <c r="G66" s="228" t="s">
        <v>8</v>
      </c>
      <c r="H66" s="150"/>
    </row>
    <row r="67" spans="1:8" x14ac:dyDescent="0.2">
      <c r="A67" s="27"/>
      <c r="C67" s="33"/>
      <c r="D67" s="227"/>
      <c r="E67" s="77" t="s">
        <v>342</v>
      </c>
      <c r="F67" s="228">
        <f>Start_up!N5</f>
        <v>0.32965254823762624</v>
      </c>
      <c r="G67" s="228" t="s">
        <v>331</v>
      </c>
      <c r="H67" s="150"/>
    </row>
    <row r="68" spans="1:8" x14ac:dyDescent="0.2">
      <c r="A68" s="27"/>
      <c r="C68" s="33"/>
      <c r="D68" s="227"/>
      <c r="E68" s="77" t="s">
        <v>343</v>
      </c>
      <c r="F68" s="228">
        <f>Start_up!Q4</f>
        <v>127.00280000000002</v>
      </c>
      <c r="G68" s="228" t="s">
        <v>87</v>
      </c>
      <c r="H68" s="150"/>
    </row>
    <row r="69" spans="1:8" x14ac:dyDescent="0.2">
      <c r="A69" s="27"/>
      <c r="D69" s="229"/>
      <c r="E69" s="77" t="s">
        <v>344</v>
      </c>
      <c r="F69" s="228">
        <f>F67/F68*1000</f>
        <v>2.5956321296666385</v>
      </c>
      <c r="G69" s="228" t="s">
        <v>8</v>
      </c>
      <c r="H69" s="150"/>
    </row>
    <row r="70" spans="1:8" x14ac:dyDescent="0.2">
      <c r="A70" s="27"/>
      <c r="D70" s="150"/>
      <c r="E70" s="77" t="s">
        <v>345</v>
      </c>
      <c r="F70" s="226">
        <f>SOA!H28</f>
        <v>471.81361800494551</v>
      </c>
      <c r="G70" s="228" t="s">
        <v>87</v>
      </c>
      <c r="H70" s="150"/>
    </row>
    <row r="71" spans="1:8" x14ac:dyDescent="0.2">
      <c r="A71" s="27"/>
      <c r="D71" s="150"/>
      <c r="E71" s="77" t="s">
        <v>346</v>
      </c>
      <c r="F71" s="226">
        <f>F70/F68</f>
        <v>3.714985953104541</v>
      </c>
      <c r="G71" s="226"/>
      <c r="H71" s="150"/>
    </row>
    <row r="72" spans="1:8" x14ac:dyDescent="0.2">
      <c r="A72" s="27"/>
      <c r="D72" s="150"/>
      <c r="E72" s="77"/>
      <c r="F72" s="226"/>
      <c r="G72" s="226"/>
      <c r="H72" s="150"/>
    </row>
    <row r="73" spans="1:8" x14ac:dyDescent="0.2">
      <c r="A73" s="27"/>
      <c r="D73" s="150"/>
      <c r="E73" s="77"/>
      <c r="F73" s="226">
        <v>1</v>
      </c>
      <c r="G73" s="228" t="s">
        <v>8</v>
      </c>
      <c r="H73" s="150"/>
    </row>
    <row r="74" spans="1:8" x14ac:dyDescent="0.2">
      <c r="A74" s="27"/>
      <c r="D74" s="351" t="s">
        <v>355</v>
      </c>
      <c r="E74" s="351"/>
      <c r="F74" s="351"/>
      <c r="G74" s="351"/>
      <c r="H74" s="351"/>
    </row>
    <row r="75" spans="1:8" x14ac:dyDescent="0.2">
      <c r="A75" s="27"/>
      <c r="D75" s="150"/>
      <c r="E75" s="77" t="s">
        <v>351</v>
      </c>
      <c r="F75" s="230">
        <f>'Design Calculator'!F87</f>
        <v>0.52</v>
      </c>
      <c r="G75" s="226"/>
      <c r="H75" s="150"/>
    </row>
    <row r="76" spans="1:8" x14ac:dyDescent="0.2">
      <c r="A76" s="27"/>
      <c r="D76" s="150"/>
      <c r="E76" s="77" t="s">
        <v>352</v>
      </c>
      <c r="F76" s="226">
        <f>'Device Parameters'!D25/'Device Parameters'!D22*F75</f>
        <v>11.05</v>
      </c>
      <c r="G76" s="226" t="s">
        <v>118</v>
      </c>
      <c r="H76" s="150"/>
    </row>
    <row r="77" spans="1:8" x14ac:dyDescent="0.2">
      <c r="A77" s="27"/>
      <c r="D77" s="150"/>
      <c r="E77" s="194" t="s">
        <v>353</v>
      </c>
      <c r="F77" s="230">
        <f>'Design Calculator'!F89</f>
        <v>10</v>
      </c>
      <c r="G77" s="226" t="s">
        <v>118</v>
      </c>
      <c r="H77" s="150"/>
    </row>
    <row r="78" spans="1:8" x14ac:dyDescent="0.2">
      <c r="A78" s="27"/>
      <c r="D78" s="150"/>
      <c r="E78" s="77" t="s">
        <v>358</v>
      </c>
      <c r="F78" s="226">
        <f>'Device Parameters'!D22/'Device Parameters'!D25*F77</f>
        <v>0.47058823529411764</v>
      </c>
      <c r="G78" s="226" t="s">
        <v>8</v>
      </c>
      <c r="H78" s="150"/>
    </row>
    <row r="79" spans="1:8" x14ac:dyDescent="0.2">
      <c r="A79" s="27"/>
      <c r="D79" s="150"/>
      <c r="E79" s="194" t="s">
        <v>357</v>
      </c>
      <c r="F79" s="226">
        <f>SOA!C26</f>
        <v>124.51937904388622</v>
      </c>
      <c r="G79" s="226" t="s">
        <v>87</v>
      </c>
      <c r="H79" s="150"/>
    </row>
    <row r="80" spans="1:8" x14ac:dyDescent="0.2">
      <c r="A80" s="27"/>
      <c r="D80" s="150"/>
      <c r="E80" s="77" t="s">
        <v>346</v>
      </c>
      <c r="F80" s="226">
        <f>F79/F42</f>
        <v>0.98044593539580394</v>
      </c>
      <c r="G80" s="226"/>
      <c r="H80" s="150"/>
    </row>
    <row r="81" spans="1:13" x14ac:dyDescent="0.2">
      <c r="A81" s="27"/>
      <c r="D81" s="150"/>
      <c r="E81" s="77"/>
      <c r="F81" s="226"/>
      <c r="G81" s="226"/>
      <c r="H81" s="150"/>
    </row>
    <row r="82" spans="1:13" x14ac:dyDescent="0.2">
      <c r="A82" s="27"/>
      <c r="D82" s="150"/>
      <c r="E82" s="77"/>
      <c r="F82" s="226"/>
      <c r="G82" s="226"/>
      <c r="H82" s="150"/>
    </row>
    <row r="83" spans="1:13" x14ac:dyDescent="0.2">
      <c r="A83" s="27"/>
      <c r="D83" s="150"/>
      <c r="E83" s="77"/>
      <c r="F83" s="226"/>
      <c r="G83" s="226"/>
      <c r="H83" s="150"/>
    </row>
    <row r="84" spans="1:13" x14ac:dyDescent="0.2">
      <c r="A84" s="27"/>
      <c r="D84" s="150"/>
      <c r="E84" s="77"/>
      <c r="F84" s="226"/>
      <c r="G84" s="226"/>
      <c r="H84" s="150"/>
    </row>
    <row r="85" spans="1:13" x14ac:dyDescent="0.2">
      <c r="A85" s="27"/>
      <c r="D85" s="150"/>
      <c r="E85" s="77"/>
      <c r="F85" s="226"/>
      <c r="G85" s="226"/>
      <c r="H85" s="150"/>
    </row>
    <row r="86" spans="1:13" x14ac:dyDescent="0.2">
      <c r="A86" s="27"/>
      <c r="D86" s="150"/>
      <c r="E86" s="77"/>
      <c r="F86" s="226"/>
      <c r="G86" s="226"/>
      <c r="H86" s="150"/>
    </row>
    <row r="87" spans="1:13" x14ac:dyDescent="0.2">
      <c r="A87" s="27"/>
      <c r="D87" s="150"/>
      <c r="E87" s="77"/>
      <c r="F87" s="226"/>
      <c r="G87" s="226"/>
      <c r="H87" s="150"/>
    </row>
    <row r="88" spans="1:13" x14ac:dyDescent="0.2">
      <c r="A88" s="27"/>
      <c r="D88" s="150"/>
      <c r="E88" s="77"/>
      <c r="F88" s="226"/>
      <c r="G88" s="226"/>
      <c r="H88" s="150"/>
    </row>
    <row r="89" spans="1:13" x14ac:dyDescent="0.2">
      <c r="A89" s="27"/>
      <c r="D89" s="150"/>
      <c r="E89" s="150"/>
      <c r="F89" s="226"/>
      <c r="G89" s="150"/>
      <c r="H89" s="150"/>
    </row>
    <row r="90" spans="1:13" x14ac:dyDescent="0.2">
      <c r="A90" s="33"/>
      <c r="D90" s="150"/>
      <c r="E90" s="77"/>
      <c r="F90" s="226"/>
      <c r="G90" s="150"/>
      <c r="H90" s="150"/>
    </row>
    <row r="91" spans="1:13" x14ac:dyDescent="0.2">
      <c r="A91" s="33"/>
      <c r="D91" s="150"/>
      <c r="E91" s="77"/>
      <c r="F91" s="226"/>
      <c r="G91" s="150"/>
      <c r="H91" s="150"/>
    </row>
    <row r="92" spans="1:13" x14ac:dyDescent="0.2">
      <c r="D92" s="226"/>
      <c r="E92" s="77"/>
      <c r="F92" s="226"/>
      <c r="G92" s="150"/>
      <c r="H92" s="150"/>
    </row>
    <row r="93" spans="1:13" x14ac:dyDescent="0.2">
      <c r="D93" s="226"/>
      <c r="E93" s="77"/>
      <c r="F93" s="226"/>
      <c r="G93" s="150"/>
      <c r="H93" s="150"/>
    </row>
    <row r="94" spans="1:13" x14ac:dyDescent="0.2">
      <c r="D94" s="226"/>
      <c r="E94" s="77"/>
      <c r="F94" s="226"/>
      <c r="G94" s="150"/>
      <c r="H94" s="150"/>
    </row>
    <row r="95" spans="1:13" x14ac:dyDescent="0.2">
      <c r="D95" s="150"/>
      <c r="E95" s="77"/>
      <c r="F95" s="226"/>
      <c r="G95" s="150"/>
      <c r="H95" s="150"/>
      <c r="J95" s="6"/>
      <c r="M95" s="6"/>
    </row>
    <row r="96" spans="1:13" x14ac:dyDescent="0.2">
      <c r="D96" s="150"/>
      <c r="E96" s="77"/>
      <c r="F96" s="226"/>
      <c r="G96" s="150"/>
      <c r="H96" s="150"/>
      <c r="J96" s="6"/>
      <c r="M96" s="6"/>
    </row>
    <row r="97" spans="4:13" x14ac:dyDescent="0.2">
      <c r="D97" s="150"/>
      <c r="E97" s="223"/>
      <c r="F97" s="226"/>
      <c r="G97" s="150" t="s">
        <v>16</v>
      </c>
      <c r="H97" s="150"/>
      <c r="J97" s="7"/>
      <c r="M97" s="7"/>
    </row>
    <row r="98" spans="4:13" x14ac:dyDescent="0.2">
      <c r="D98" s="150"/>
      <c r="E98" s="77"/>
      <c r="F98" s="226"/>
      <c r="G98" s="150"/>
      <c r="H98" s="150"/>
      <c r="J98" s="7"/>
      <c r="M98" s="7"/>
    </row>
    <row r="99" spans="4:13" x14ac:dyDescent="0.2">
      <c r="D99" s="150"/>
      <c r="E99" s="223"/>
      <c r="F99" s="226"/>
      <c r="G99" s="150"/>
      <c r="H99" s="150"/>
    </row>
    <row r="100" spans="4:13" x14ac:dyDescent="0.2">
      <c r="D100" s="150"/>
      <c r="E100" s="223"/>
      <c r="F100" s="226"/>
      <c r="G100" s="150"/>
      <c r="H100" s="150"/>
      <c r="I100" t="s">
        <v>27</v>
      </c>
      <c r="L100" t="s">
        <v>50</v>
      </c>
    </row>
    <row r="101" spans="4:13" x14ac:dyDescent="0.2">
      <c r="D101" s="150"/>
      <c r="E101" s="77"/>
      <c r="F101" s="226"/>
      <c r="G101" s="226" t="s">
        <v>25</v>
      </c>
      <c r="H101" s="150"/>
    </row>
    <row r="102" spans="4:13" x14ac:dyDescent="0.2">
      <c r="D102" s="150"/>
      <c r="E102" s="77"/>
      <c r="F102" s="226"/>
      <c r="G102" s="226" t="s">
        <v>199</v>
      </c>
      <c r="H102" s="150"/>
    </row>
    <row r="103" spans="4:13" x14ac:dyDescent="0.2">
      <c r="D103" s="150"/>
      <c r="E103" s="77"/>
      <c r="F103" s="226"/>
      <c r="G103" s="226" t="s">
        <v>118</v>
      </c>
      <c r="H103" s="150"/>
    </row>
    <row r="104" spans="4:13" x14ac:dyDescent="0.2">
      <c r="D104" s="150"/>
      <c r="E104" s="77"/>
      <c r="F104" s="150"/>
      <c r="G104" s="226"/>
      <c r="H104" s="150"/>
    </row>
    <row r="105" spans="4:13" x14ac:dyDescent="0.2">
      <c r="D105" s="150"/>
      <c r="E105" s="77"/>
      <c r="F105" s="150"/>
      <c r="G105" s="226"/>
      <c r="H105" s="150"/>
    </row>
    <row r="106" spans="4:13" x14ac:dyDescent="0.2">
      <c r="D106" s="150"/>
      <c r="E106" s="77" t="s">
        <v>229</v>
      </c>
      <c r="F106" s="224">
        <f>IF('Design Calculator'!F71="YES", Equations!F77, Equations!F57)*'Device Parameters'!C39*1000/'Device Parameters'!E43*0.001</f>
        <v>206.79999999999998</v>
      </c>
      <c r="G106" s="226" t="s">
        <v>8</v>
      </c>
      <c r="H106" s="150"/>
    </row>
    <row r="107" spans="4:13" x14ac:dyDescent="0.2">
      <c r="D107" s="150"/>
      <c r="E107" s="77" t="s">
        <v>9</v>
      </c>
      <c r="F107" s="224">
        <f>IF('Design Calculator'!F71="YES", Equations!F77, Equations!F57)*0.001*'Device Parameters'!D39*1000/'Device Parameters'!D43</f>
        <v>320</v>
      </c>
      <c r="G107" s="226" t="s">
        <v>8</v>
      </c>
      <c r="H107" s="150"/>
    </row>
    <row r="108" spans="4:13" x14ac:dyDescent="0.2">
      <c r="D108" s="150"/>
      <c r="E108" s="77" t="s">
        <v>230</v>
      </c>
      <c r="F108" s="224">
        <f>IF('Design Calculator'!F71="YES", Equations!F77, Equations!F57)*0.001*'Device Parameters'!E39*1000/'Device Parameters'!C43</f>
        <v>610.13333333333333</v>
      </c>
      <c r="G108" s="226" t="s">
        <v>8</v>
      </c>
      <c r="H108" s="150"/>
    </row>
    <row r="109" spans="4:13" x14ac:dyDescent="0.2">
      <c r="D109" s="150"/>
      <c r="E109" s="77" t="s">
        <v>231</v>
      </c>
      <c r="F109" s="150">
        <f>IF('Design Calculator'!F71="YES", Equations!F77, Equations!F57)*(H109+I109+J109)</f>
        <v>3841.7023333333332</v>
      </c>
      <c r="G109" s="226" t="s">
        <v>8</v>
      </c>
      <c r="H109" s="150">
        <f>(('Device Parameters'!C39-'Device Parameters'!E40)/'Device Parameters'!E45)*7</f>
        <v>0.14274166666666666</v>
      </c>
      <c r="I109">
        <f>(('Device Parameters'!C39-'Device Parameters'!C40)/'Device Parameters'!D46)*8</f>
        <v>8.2335999999999991</v>
      </c>
      <c r="J109">
        <f>(('Device Parameters'!C40-'Device Parameters'!D41)/'Device Parameters'!D46)</f>
        <v>0.3548</v>
      </c>
    </row>
    <row r="110" spans="4:13" x14ac:dyDescent="0.2">
      <c r="D110" s="150"/>
      <c r="E110" s="77" t="s">
        <v>10</v>
      </c>
      <c r="F110" s="150">
        <f>IF('Design Calculator'!F71="YES", Equations!F77, Equations!F57)*(H110+I110+J110)</f>
        <v>4138.8470588235305</v>
      </c>
      <c r="G110" s="226" t="s">
        <v>8</v>
      </c>
      <c r="H110" s="150">
        <f>(('Device Parameters'!D39-'Device Parameters'!D40)/'Device Parameters'!D45)*7</f>
        <v>0.22647058823529415</v>
      </c>
      <c r="I110">
        <f>(('Device Parameters'!D39-'Device Parameters'!D40)/'Device Parameters'!D46)*8</f>
        <v>8.8000000000000007</v>
      </c>
      <c r="J110">
        <f>(('Device Parameters'!D40-'Device Parameters'!D41)/'Device Parameters'!D46)</f>
        <v>0.38</v>
      </c>
    </row>
    <row r="111" spans="4:13" x14ac:dyDescent="0.2">
      <c r="D111" s="150"/>
      <c r="E111" s="77" t="s">
        <v>251</v>
      </c>
      <c r="F111" s="150">
        <f>IF('Design Calculator'!F71="YES", Equations!F77, Equations!F57)*(H111+I111+J111)</f>
        <v>4366.409882352943</v>
      </c>
      <c r="G111" s="226" t="s">
        <v>8</v>
      </c>
      <c r="H111" s="150">
        <f>(('Device Parameters'!E39-'Device Parameters'!C40)/'Device Parameters'!C45)*7</f>
        <v>0.40805882352941175</v>
      </c>
      <c r="I111">
        <f>(('Device Parameters'!E39-'Device Parameters'!E40)/'Device Parameters'!D46)*8</f>
        <v>9.1104000000000021</v>
      </c>
      <c r="J111">
        <f>(('Device Parameters'!E40-'Device Parameters'!D41)/'Device Parameters'!D46)</f>
        <v>0.40519999999999995</v>
      </c>
    </row>
    <row r="112" spans="4:13" x14ac:dyDescent="0.2">
      <c r="D112" s="150"/>
      <c r="E112" s="77" t="s">
        <v>250</v>
      </c>
      <c r="F112" s="150" t="e">
        <f>(1+'Design Calculator'!#REF!/'Design Calculator'!#REF!)*'Device Parameters'!C51</f>
        <v>#REF!</v>
      </c>
      <c r="G112" s="226"/>
      <c r="H112" s="150"/>
    </row>
    <row r="113" spans="4:12" x14ac:dyDescent="0.2">
      <c r="D113" s="150"/>
      <c r="E113" s="77" t="s">
        <v>249</v>
      </c>
      <c r="F113" s="150" t="e">
        <f>(1+'Design Calculator'!#REF!/'Design Calculator'!#REF!)*'Device Parameters'!D51</f>
        <v>#REF!</v>
      </c>
      <c r="G113" s="226"/>
      <c r="H113" s="150"/>
    </row>
    <row r="114" spans="4:12" x14ac:dyDescent="0.2">
      <c r="D114" s="150"/>
      <c r="E114" s="77" t="s">
        <v>248</v>
      </c>
      <c r="F114" s="150" t="e">
        <f>(1+'Design Calculator'!#REF!/'Design Calculator'!#REF!)*'Device Parameters'!E51</f>
        <v>#REF!</v>
      </c>
      <c r="G114" s="150"/>
      <c r="H114" s="150"/>
    </row>
    <row r="115" spans="4:12" x14ac:dyDescent="0.2">
      <c r="D115" s="150"/>
      <c r="E115" s="77" t="s">
        <v>252</v>
      </c>
      <c r="F115" s="150" t="e">
        <f>('Design Calculator'!#REF!*'Device Parameters'!C52)</f>
        <v>#REF!</v>
      </c>
      <c r="G115" s="150"/>
      <c r="H115" s="150"/>
    </row>
    <row r="116" spans="4:12" x14ac:dyDescent="0.2">
      <c r="D116" s="150"/>
      <c r="E116" s="77" t="s">
        <v>253</v>
      </c>
      <c r="F116" s="150" t="e">
        <f>('Design Calculator'!#REF!*'Device Parameters'!$D$52)</f>
        <v>#REF!</v>
      </c>
      <c r="G116" s="150"/>
      <c r="H116" s="150"/>
    </row>
    <row r="117" spans="4:12" x14ac:dyDescent="0.2">
      <c r="D117" s="150"/>
      <c r="E117" s="77" t="s">
        <v>254</v>
      </c>
      <c r="F117" s="150" t="e">
        <f>('Design Calculator'!#REF!*'Device Parameters'!$E$52)</f>
        <v>#REF!</v>
      </c>
      <c r="G117" s="150"/>
      <c r="H117" s="150"/>
    </row>
    <row r="118" spans="4:12" x14ac:dyDescent="0.2">
      <c r="D118" s="150"/>
      <c r="E118" s="77"/>
      <c r="F118" s="150"/>
      <c r="G118" s="150"/>
      <c r="H118" s="150"/>
    </row>
    <row r="119" spans="4:12" x14ac:dyDescent="0.2">
      <c r="D119" s="150"/>
      <c r="E119" s="77"/>
      <c r="F119" s="150"/>
      <c r="G119" s="150"/>
      <c r="H119" s="150"/>
    </row>
    <row r="120" spans="4:12" x14ac:dyDescent="0.2">
      <c r="D120" s="231"/>
      <c r="E120" s="150"/>
      <c r="F120" s="150"/>
      <c r="G120" s="150"/>
      <c r="H120" s="150"/>
      <c r="I120" t="s">
        <v>28</v>
      </c>
      <c r="L120" t="s">
        <v>51</v>
      </c>
    </row>
    <row r="121" spans="4:12" x14ac:dyDescent="0.2">
      <c r="D121" s="231"/>
      <c r="E121" s="150"/>
      <c r="F121" s="150"/>
      <c r="G121" s="150"/>
      <c r="H121" s="150"/>
      <c r="I121" t="s">
        <v>29</v>
      </c>
      <c r="L121" t="s">
        <v>52</v>
      </c>
    </row>
    <row r="122" spans="4:12" x14ac:dyDescent="0.2">
      <c r="D122" s="231"/>
      <c r="E122" s="150"/>
      <c r="F122" s="150"/>
      <c r="G122" s="150"/>
      <c r="H122" s="150"/>
      <c r="I122" t="s">
        <v>30</v>
      </c>
      <c r="L122" t="s">
        <v>53</v>
      </c>
    </row>
    <row r="123" spans="4:12" x14ac:dyDescent="0.2">
      <c r="D123" s="150"/>
      <c r="E123" s="150"/>
      <c r="F123" s="150"/>
      <c r="G123" s="150"/>
      <c r="H123" s="150"/>
    </row>
    <row r="124" spans="4:12" x14ac:dyDescent="0.2">
      <c r="D124" s="150"/>
      <c r="E124" s="150"/>
      <c r="F124" s="150"/>
      <c r="G124" s="150"/>
      <c r="H124" s="150"/>
    </row>
    <row r="125" spans="4:12" x14ac:dyDescent="0.2">
      <c r="D125" s="150"/>
      <c r="E125" s="223" t="s">
        <v>19</v>
      </c>
      <c r="F125" s="150"/>
      <c r="G125" s="150"/>
      <c r="H125" s="150"/>
    </row>
    <row r="126" spans="4:12" x14ac:dyDescent="0.2">
      <c r="D126" s="150"/>
      <c r="E126" s="223" t="s">
        <v>20</v>
      </c>
      <c r="F126" s="150"/>
      <c r="G126" s="150"/>
      <c r="H126" s="150"/>
    </row>
    <row r="127" spans="4:12" x14ac:dyDescent="0.2">
      <c r="D127" s="150"/>
      <c r="E127" s="223"/>
      <c r="F127" s="225" t="s">
        <v>25</v>
      </c>
      <c r="G127" s="225" t="s">
        <v>26</v>
      </c>
      <c r="H127" s="225" t="s">
        <v>427</v>
      </c>
      <c r="I127" s="218" t="s">
        <v>428</v>
      </c>
    </row>
    <row r="128" spans="4:12" x14ac:dyDescent="0.2">
      <c r="D128" s="150"/>
      <c r="E128" s="223" t="s">
        <v>33</v>
      </c>
      <c r="F128" s="232">
        <f>('Design Calculator'!F95-'Design Calculator'!F96)*1000/21</f>
        <v>95.238095238095241</v>
      </c>
      <c r="G128" s="232">
        <f>('Design Calculator'!F95-'Design Calculator'!F96)*1000/21</f>
        <v>95.238095238095241</v>
      </c>
      <c r="H128" s="150"/>
    </row>
    <row r="129" spans="2:8" x14ac:dyDescent="0.2">
      <c r="D129" s="150"/>
      <c r="E129" s="223" t="s">
        <v>32</v>
      </c>
      <c r="F129" s="232">
        <f>2.5*F128/('Design Calculator'!F96-2.5)-F130</f>
        <v>5.3149464914170794</v>
      </c>
      <c r="G129" s="232">
        <f>2.5*G128/('Design Calculator'!F96-2.5)</f>
        <v>9.3370681605975729</v>
      </c>
      <c r="H129" s="150"/>
    </row>
    <row r="130" spans="2:8" x14ac:dyDescent="0.2">
      <c r="D130" s="150"/>
      <c r="E130" s="223" t="s">
        <v>31</v>
      </c>
      <c r="F130" s="232">
        <f>(F128*'Design Calculator'!F96*2.5)/('Design Calculator'!F97*('Design Calculator'!F96-2.5))</f>
        <v>4.0221216691804935</v>
      </c>
      <c r="G130" s="232">
        <f>('Design Calculator'!F97-'Design Calculator'!F98)*1000/21</f>
        <v>95.238095238095241</v>
      </c>
      <c r="H130" s="150"/>
    </row>
    <row r="131" spans="2:8" x14ac:dyDescent="0.2">
      <c r="D131" s="150"/>
      <c r="E131" s="223" t="s">
        <v>34</v>
      </c>
      <c r="F131" s="225"/>
      <c r="G131" s="232">
        <f>2.5*G130/('Design Calculator'!F97-2.5)</f>
        <v>3.8095238095238098</v>
      </c>
      <c r="H131" s="150"/>
    </row>
    <row r="132" spans="2:8" x14ac:dyDescent="0.2">
      <c r="B132" s="10"/>
      <c r="C132" s="11"/>
      <c r="D132" s="233"/>
      <c r="E132" s="12" t="s">
        <v>38</v>
      </c>
      <c r="F132" s="232">
        <f>2.45+('Design Calculator'!F$103*((2.45/('Design Calculator'!F$104+'Design Calculator'!F$105))+(12/1000)))</f>
        <v>5.882142857142858</v>
      </c>
      <c r="G132" s="232">
        <f>2.45+('Design Calculator'!F$103*((2.45/'Design Calculator'!F$104)+(12/1000)))</f>
        <v>28.752459016393448</v>
      </c>
      <c r="H132" s="150"/>
    </row>
    <row r="133" spans="2:8" x14ac:dyDescent="0.2">
      <c r="B133" s="13"/>
      <c r="C133" s="9"/>
      <c r="D133" s="234"/>
      <c r="E133" s="14" t="s">
        <v>39</v>
      </c>
      <c r="F133" s="232">
        <f>2.5+('Design Calculator'!F$103*((2.5/('Design Calculator'!F$104+'Design Calculator'!F$105))+(21/1000)))</f>
        <v>6.8776967930029151</v>
      </c>
      <c r="G133" s="232">
        <f>2.5+('Design Calculator'!F$103*((2.5/'Design Calculator'!F$104)+(21/1000)))</f>
        <v>30.214754098360654</v>
      </c>
      <c r="H133" s="150"/>
    </row>
    <row r="134" spans="2:8" x14ac:dyDescent="0.2">
      <c r="B134" s="15"/>
      <c r="C134" s="16"/>
      <c r="D134" s="235"/>
      <c r="E134" s="17" t="s">
        <v>40</v>
      </c>
      <c r="F134" s="232">
        <f>2.55+('Design Calculator'!F$103*((2.55/('Design Calculator'!F$104+'Design Calculator'!F$105))+(30/1000)))</f>
        <v>7.8732507288629732</v>
      </c>
      <c r="G134" s="232">
        <f>2.55+('Design Calculator'!F$103*((2.55/'Design Calculator'!F$104)+(30/1000)))</f>
        <v>31.67704918032787</v>
      </c>
      <c r="H134" s="150"/>
    </row>
    <row r="135" spans="2:8" x14ac:dyDescent="0.2">
      <c r="D135" s="150"/>
      <c r="E135" s="3" t="s">
        <v>41</v>
      </c>
      <c r="F135" s="232">
        <f>2.45*('Design Calculator'!F$103+'Design Calculator'!F$104+'Design Calculator'!F$105)/('Design Calculator'!F$104+'Design Calculator'!F$105)</f>
        <v>4.6821428571428569</v>
      </c>
      <c r="G135" s="232">
        <f>2.45*('Design Calculator'!F$103+'Design Calculator'!F$104)/'Design Calculator'!F$104</f>
        <v>27.552459016393446</v>
      </c>
      <c r="H135" s="150"/>
    </row>
    <row r="136" spans="2:8" x14ac:dyDescent="0.2">
      <c r="D136" s="150"/>
      <c r="E136" s="3" t="s">
        <v>42</v>
      </c>
      <c r="F136" s="232">
        <f>2.5*('Design Calculator'!F$103+'Design Calculator'!F$104+'Design Calculator'!F$105)/('Design Calculator'!F$104+'Design Calculator'!F$105)</f>
        <v>4.7776967930029146</v>
      </c>
      <c r="G136" s="232">
        <f>2.5*('Design Calculator'!F$103+'Design Calculator'!F$104)/'Design Calculator'!F$104</f>
        <v>28.11475409836066</v>
      </c>
      <c r="H136" s="150"/>
    </row>
    <row r="137" spans="2:8" x14ac:dyDescent="0.2">
      <c r="D137" s="150"/>
      <c r="E137" s="3" t="s">
        <v>43</v>
      </c>
      <c r="F137" s="232">
        <f>2.55*('Design Calculator'!F$103+'Design Calculator'!F$104+'Design Calculator'!F$105)/('Design Calculator'!F$104+'Design Calculator'!F$105)</f>
        <v>4.8732507288629732</v>
      </c>
      <c r="G137" s="232">
        <f>2.55*('Design Calculator'!F$103+'Design Calculator'!F$104)/'Design Calculator'!F$104</f>
        <v>28.677049180327867</v>
      </c>
      <c r="H137" s="150"/>
    </row>
    <row r="138" spans="2:8" x14ac:dyDescent="0.2">
      <c r="B138" s="10"/>
      <c r="C138" s="11"/>
      <c r="D138" s="233"/>
      <c r="E138" s="12" t="s">
        <v>44</v>
      </c>
      <c r="F138" s="232">
        <f>2.45*('Design Calculator'!F$103+'Design Calculator'!F$104+'Design Calculator'!F$105)/'Design Calculator'!F$105</f>
        <v>5.1391200000000001</v>
      </c>
      <c r="G138" s="232">
        <f>2.45*('Design Calculator'!F$105+'Design Calculator'!F$106)/'Design Calculator'!F$106</f>
        <v>63.7</v>
      </c>
      <c r="H138" s="150"/>
    </row>
    <row r="139" spans="2:8" x14ac:dyDescent="0.2">
      <c r="B139" s="13"/>
      <c r="C139" s="9"/>
      <c r="D139" s="234"/>
      <c r="E139" s="14" t="s">
        <v>45</v>
      </c>
      <c r="F139" s="232">
        <f>2.5*('Design Calculator'!F$103+'Design Calculator'!F$104+'Design Calculator'!F$105)/'Design Calculator'!F$105</f>
        <v>5.2439999999999998</v>
      </c>
      <c r="G139" s="232">
        <f>2.5*('Design Calculator'!F$105+'Design Calculator'!F$106)/'Design Calculator'!F$106</f>
        <v>65</v>
      </c>
      <c r="H139" s="150"/>
    </row>
    <row r="140" spans="2:8" x14ac:dyDescent="0.2">
      <c r="B140" s="15"/>
      <c r="C140" s="16"/>
      <c r="D140" s="235"/>
      <c r="E140" s="17" t="s">
        <v>46</v>
      </c>
      <c r="F140" s="232">
        <f>2.55*('Design Calculator'!F$103+'Design Calculator'!F$104+'Design Calculator'!F$105)/'Design Calculator'!F$105</f>
        <v>5.3488799999999994</v>
      </c>
      <c r="G140" s="232">
        <f>2.55*('Design Calculator'!F$105+'Design Calculator'!F$106)/'Design Calculator'!F$106</f>
        <v>66.3</v>
      </c>
      <c r="H140" s="150"/>
    </row>
    <row r="141" spans="2:8" x14ac:dyDescent="0.2">
      <c r="D141" s="150"/>
      <c r="E141" s="3" t="s">
        <v>47</v>
      </c>
      <c r="F141" s="232">
        <f>2.45+(('Design Calculator'!F$103+'Design Calculator'!F$104)*((2.45/'Design Calculator'!F$105)-(30/1000)))</f>
        <v>1.8463200000000004</v>
      </c>
      <c r="G141" s="232">
        <f>2.45+('Design Calculator'!F$105*((2.45/'Design Calculator'!F$106)-(30/1000)))</f>
        <v>60.7</v>
      </c>
      <c r="H141" s="150"/>
    </row>
    <row r="142" spans="2:8" x14ac:dyDescent="0.2">
      <c r="D142" s="150"/>
      <c r="E142" s="3" t="s">
        <v>48</v>
      </c>
      <c r="F142" s="232">
        <f>2.5+(('Design Calculator'!F$103+'Design Calculator'!F$104)*((2.5/'Design Calculator'!F$105)-(21/1000)))</f>
        <v>2.9390399999999999</v>
      </c>
      <c r="G142" s="232">
        <f>2.5+('Design Calculator'!F$105*((2.5/'Design Calculator'!F$106)-(21/1000)))</f>
        <v>62.9</v>
      </c>
      <c r="H142" s="150"/>
    </row>
    <row r="143" spans="2:8" x14ac:dyDescent="0.2">
      <c r="D143" s="150"/>
      <c r="E143" s="3" t="s">
        <v>49</v>
      </c>
      <c r="F143" s="232">
        <f>2.55+(('Design Calculator'!F$103+'Design Calculator'!F$104)*((2.55/'Design Calculator'!F$105)-(12/1000)))</f>
        <v>4.0317600000000002</v>
      </c>
      <c r="G143" s="232">
        <f>2.55+('Design Calculator'!F$105*((2.55/'Design Calculator'!F$106)-(12/1000)))</f>
        <v>65.099999999999994</v>
      </c>
      <c r="H143" s="150"/>
    </row>
    <row r="144" spans="2:8" x14ac:dyDescent="0.2">
      <c r="D144" s="150"/>
      <c r="E144" s="150"/>
      <c r="F144" s="150"/>
      <c r="G144" s="150"/>
      <c r="H144" s="150"/>
    </row>
    <row r="145" spans="4:8" x14ac:dyDescent="0.2">
      <c r="D145" s="150"/>
      <c r="E145" s="150"/>
      <c r="F145" s="150"/>
      <c r="G145" s="150"/>
      <c r="H145" s="150"/>
    </row>
    <row r="146" spans="4:8" x14ac:dyDescent="0.2">
      <c r="D146" s="150"/>
      <c r="E146" s="150"/>
      <c r="F146" s="150"/>
      <c r="G146" s="150"/>
      <c r="H146" s="150"/>
    </row>
    <row r="147" spans="4:8" x14ac:dyDescent="0.2">
      <c r="D147" s="150"/>
      <c r="E147" s="150"/>
      <c r="F147" s="150"/>
      <c r="G147" s="150"/>
      <c r="H147" s="150"/>
    </row>
    <row r="148" spans="4:8" x14ac:dyDescent="0.2">
      <c r="D148" s="150"/>
      <c r="E148" s="150"/>
      <c r="F148" s="150"/>
      <c r="G148" s="150"/>
      <c r="H148" s="150"/>
    </row>
    <row r="149" spans="4:8" x14ac:dyDescent="0.2">
      <c r="D149" s="150"/>
      <c r="E149" s="150"/>
      <c r="F149" s="150"/>
      <c r="G149" s="150"/>
      <c r="H149" s="150"/>
    </row>
    <row r="150" spans="4:8" x14ac:dyDescent="0.2">
      <c r="D150" s="150"/>
      <c r="E150" s="150"/>
      <c r="F150" s="150"/>
      <c r="G150" s="150"/>
      <c r="H150" s="150"/>
    </row>
    <row r="151" spans="4:8" x14ac:dyDescent="0.2">
      <c r="D151" s="150"/>
      <c r="E151" s="77" t="s">
        <v>115</v>
      </c>
      <c r="F151" s="226" t="e">
        <f>'Design Calculator'!#REF!</f>
        <v>#REF!</v>
      </c>
      <c r="G151" s="226" t="s">
        <v>8</v>
      </c>
      <c r="H151" s="150"/>
    </row>
    <row r="152" spans="4:8" x14ac:dyDescent="0.2">
      <c r="D152" s="150"/>
      <c r="E152" s="77" t="s">
        <v>116</v>
      </c>
      <c r="F152" s="226">
        <f>'Design Calculator'!F28</f>
        <v>37</v>
      </c>
      <c r="G152" s="226" t="s">
        <v>86</v>
      </c>
      <c r="H152" s="150"/>
    </row>
    <row r="153" spans="4:8" x14ac:dyDescent="0.2">
      <c r="D153" s="150"/>
      <c r="E153" s="77" t="s">
        <v>117</v>
      </c>
      <c r="F153" s="150" t="e">
        <f>22/F152*F151</f>
        <v>#REF!</v>
      </c>
      <c r="G153" s="226" t="s">
        <v>118</v>
      </c>
      <c r="H153" s="150"/>
    </row>
    <row r="154" spans="4:8" x14ac:dyDescent="0.2">
      <c r="D154" s="150"/>
      <c r="E154" s="150"/>
      <c r="F154" s="150"/>
      <c r="G154" s="150"/>
      <c r="H154" s="150"/>
    </row>
    <row r="155" spans="4:8" x14ac:dyDescent="0.2">
      <c r="D155" s="150"/>
      <c r="E155" s="150"/>
      <c r="F155" s="150"/>
      <c r="G155" s="150"/>
      <c r="H155" s="150"/>
    </row>
    <row r="156" spans="4:8" x14ac:dyDescent="0.2">
      <c r="D156" s="150"/>
      <c r="E156" s="150"/>
      <c r="F156" s="150"/>
      <c r="G156" s="150"/>
      <c r="H156" s="150"/>
    </row>
    <row r="157" spans="4:8" x14ac:dyDescent="0.2">
      <c r="D157" s="150"/>
      <c r="E157" s="150"/>
      <c r="F157" s="150"/>
      <c r="G157" s="150"/>
      <c r="H157" s="150"/>
    </row>
    <row r="158" spans="4:8" x14ac:dyDescent="0.2">
      <c r="D158" s="150"/>
      <c r="E158" s="150"/>
      <c r="F158" s="150"/>
      <c r="G158" s="150"/>
      <c r="H158" s="150"/>
    </row>
    <row r="159" spans="4:8" x14ac:dyDescent="0.2">
      <c r="D159" s="150"/>
      <c r="E159" s="150"/>
      <c r="F159" s="150"/>
      <c r="G159" s="150"/>
      <c r="H159" s="150"/>
    </row>
    <row r="160" spans="4:8" x14ac:dyDescent="0.2">
      <c r="D160" s="150"/>
      <c r="E160" s="150"/>
      <c r="F160" s="150"/>
      <c r="G160" s="150"/>
      <c r="H160" s="150"/>
    </row>
    <row r="161" spans="3:8" x14ac:dyDescent="0.2">
      <c r="D161" s="150"/>
      <c r="E161" s="150"/>
      <c r="F161" s="150"/>
      <c r="G161" s="150"/>
      <c r="H161" s="150"/>
    </row>
    <row r="162" spans="3:8" x14ac:dyDescent="0.2">
      <c r="D162" s="150"/>
      <c r="E162" s="150"/>
      <c r="F162" s="150"/>
      <c r="G162" s="150"/>
      <c r="H162" s="150"/>
    </row>
    <row r="163" spans="3:8" x14ac:dyDescent="0.2">
      <c r="D163" s="150"/>
      <c r="E163" s="150"/>
      <c r="F163" s="150"/>
      <c r="G163" s="150"/>
      <c r="H163" s="150"/>
    </row>
    <row r="164" spans="3:8" x14ac:dyDescent="0.2">
      <c r="D164" s="150"/>
      <c r="E164" s="150"/>
      <c r="F164" s="150"/>
      <c r="G164" s="150"/>
      <c r="H164" s="150"/>
    </row>
    <row r="165" spans="3:8" x14ac:dyDescent="0.2">
      <c r="D165" s="150"/>
      <c r="E165" s="150"/>
      <c r="F165" s="150"/>
      <c r="G165" s="150"/>
      <c r="H165" s="150"/>
    </row>
    <row r="166" spans="3:8" x14ac:dyDescent="0.2">
      <c r="D166" s="150"/>
      <c r="E166" s="150"/>
      <c r="F166" s="150"/>
      <c r="G166" s="150"/>
      <c r="H166" s="150"/>
    </row>
    <row r="167" spans="3:8" x14ac:dyDescent="0.2">
      <c r="D167" s="150"/>
      <c r="E167" s="150"/>
      <c r="F167" s="150"/>
      <c r="G167" s="150"/>
      <c r="H167" s="150"/>
    </row>
    <row r="168" spans="3:8" x14ac:dyDescent="0.2">
      <c r="D168" s="150"/>
      <c r="E168" s="150"/>
      <c r="F168" s="150"/>
      <c r="G168" s="150"/>
      <c r="H168" s="150"/>
    </row>
    <row r="169" spans="3:8" x14ac:dyDescent="0.2">
      <c r="D169" s="150"/>
      <c r="E169" s="150"/>
      <c r="F169" s="150"/>
      <c r="G169" s="150"/>
      <c r="H169" s="150"/>
    </row>
    <row r="170" spans="3:8" x14ac:dyDescent="0.2">
      <c r="D170" s="150"/>
      <c r="E170" s="150"/>
      <c r="F170" s="150"/>
      <c r="G170" s="150"/>
      <c r="H170" s="150"/>
    </row>
    <row r="171" spans="3:8" x14ac:dyDescent="0.2">
      <c r="D171" s="150"/>
      <c r="E171" s="150"/>
      <c r="F171" s="150"/>
      <c r="G171" s="150"/>
      <c r="H171" s="150"/>
    </row>
    <row r="174" spans="3:8" x14ac:dyDescent="0.2">
      <c r="C174" s="27" t="s">
        <v>56</v>
      </c>
    </row>
    <row r="175" spans="3:8" x14ac:dyDescent="0.2">
      <c r="E175" s="2" t="s">
        <v>57</v>
      </c>
      <c r="F175" s="1">
        <f>'Design Calculator'!F39</f>
        <v>4</v>
      </c>
    </row>
    <row r="176" spans="3:8" ht="15.75" x14ac:dyDescent="0.3">
      <c r="E176" s="2" t="s">
        <v>58</v>
      </c>
      <c r="F176" s="1">
        <f>'Design Calculator'!F66</f>
        <v>38.299999999999997</v>
      </c>
    </row>
    <row r="177" spans="2:25" x14ac:dyDescent="0.2">
      <c r="E177" s="2" t="s">
        <v>59</v>
      </c>
      <c r="F177" s="1">
        <f>'Design Calculator'!F29</f>
        <v>42.5</v>
      </c>
    </row>
    <row r="179" spans="2:25" x14ac:dyDescent="0.2">
      <c r="E179" s="2" t="s">
        <v>60</v>
      </c>
      <c r="F179" s="18">
        <f>F24</f>
        <v>20.103249999999999</v>
      </c>
    </row>
    <row r="180" spans="2:25" x14ac:dyDescent="0.2">
      <c r="E180" s="2" t="s">
        <v>61</v>
      </c>
      <c r="F180" s="18">
        <f>F25</f>
        <v>22.797499999999999</v>
      </c>
    </row>
    <row r="181" spans="2:25" x14ac:dyDescent="0.2">
      <c r="E181" s="2" t="s">
        <v>62</v>
      </c>
      <c r="F181" s="18">
        <f>F26</f>
        <v>25.491749999999996</v>
      </c>
    </row>
    <row r="183" spans="2:25" x14ac:dyDescent="0.2">
      <c r="E183" s="2" t="s">
        <v>63</v>
      </c>
      <c r="F183" s="6">
        <f>F46</f>
        <v>96.522128000000009</v>
      </c>
    </row>
    <row r="184" spans="2:25" x14ac:dyDescent="0.2">
      <c r="E184" s="2" t="s">
        <v>64</v>
      </c>
      <c r="F184" s="6">
        <f>F47</f>
        <v>127.00280000000001</v>
      </c>
      <c r="Y184" s="33" t="s">
        <v>87</v>
      </c>
    </row>
    <row r="185" spans="2:25" x14ac:dyDescent="0.2">
      <c r="E185" s="2" t="s">
        <v>65</v>
      </c>
      <c r="F185" s="6">
        <f>F48</f>
        <v>157.48347200000001</v>
      </c>
    </row>
    <row r="190" spans="2:25" x14ac:dyDescent="0.2">
      <c r="D190" t="s">
        <v>66</v>
      </c>
      <c r="E190" s="2"/>
      <c r="I190" t="s">
        <v>67</v>
      </c>
      <c r="N190" t="s">
        <v>82</v>
      </c>
      <c r="R190" s="33" t="s">
        <v>88</v>
      </c>
    </row>
    <row r="191" spans="2:25" x14ac:dyDescent="0.2">
      <c r="D191" t="s">
        <v>68</v>
      </c>
      <c r="I191" t="s">
        <v>69</v>
      </c>
      <c r="N191" t="s">
        <v>74</v>
      </c>
      <c r="R191" s="33" t="s">
        <v>89</v>
      </c>
    </row>
    <row r="192" spans="2:25" x14ac:dyDescent="0.2">
      <c r="B192" s="33" t="s">
        <v>144</v>
      </c>
      <c r="D192" s="5" t="s">
        <v>70</v>
      </c>
      <c r="E192" s="5" t="s">
        <v>71</v>
      </c>
      <c r="F192" s="158" t="s">
        <v>72</v>
      </c>
      <c r="G192" s="5" t="s">
        <v>73</v>
      </c>
      <c r="I192" s="5" t="s">
        <v>70</v>
      </c>
      <c r="J192" s="5" t="s">
        <v>71</v>
      </c>
      <c r="K192" s="5" t="s">
        <v>72</v>
      </c>
      <c r="L192" s="5" t="s">
        <v>73</v>
      </c>
      <c r="N192" t="s">
        <v>75</v>
      </c>
      <c r="R192" s="5" t="s">
        <v>70</v>
      </c>
      <c r="S192" s="26" t="s">
        <v>71</v>
      </c>
      <c r="T192" s="26" t="s">
        <v>72</v>
      </c>
      <c r="U192" s="26" t="s">
        <v>73</v>
      </c>
      <c r="V192" s="170" t="s">
        <v>81</v>
      </c>
      <c r="X192" s="171" t="s">
        <v>316</v>
      </c>
    </row>
    <row r="193" spans="2:24" x14ac:dyDescent="0.2">
      <c r="B193">
        <f>D193*F193</f>
        <v>109.80105</v>
      </c>
      <c r="D193" s="5">
        <v>1</v>
      </c>
      <c r="E193" s="28">
        <f t="shared" ref="E193:E209" si="0">(1-$F$280)*F193</f>
        <v>82.350787499999996</v>
      </c>
      <c r="F193" s="28">
        <f t="shared" ref="F193:F224" si="1">($F$184+(D193-VINMAX)*$E$277/$E$278)/D193</f>
        <v>109.80105</v>
      </c>
      <c r="G193" s="28">
        <f t="shared" ref="G193:G209" si="2">F193*(1+$F$280)</f>
        <v>137.25131250000001</v>
      </c>
      <c r="I193" s="5">
        <v>1</v>
      </c>
      <c r="J193" s="28">
        <f t="shared" ref="J193:J209" si="3">IF(E193&gt;$F$179,$F$179,E193)</f>
        <v>20.103249999999999</v>
      </c>
      <c r="K193" s="28">
        <f t="shared" ref="K193:K209" si="4">IF(F193&gt;$F$180,$F$180,F193)</f>
        <v>22.797499999999999</v>
      </c>
      <c r="L193" s="28">
        <f t="shared" ref="L193:L209" si="5">IF(G193&gt;$F$181,$F$181,G193)</f>
        <v>25.491749999999996</v>
      </c>
      <c r="N193" t="s">
        <v>76</v>
      </c>
      <c r="R193" s="5">
        <v>1</v>
      </c>
      <c r="S193" s="28">
        <f>IF($R193&gt;$F$177,0.0000000005,J193)</f>
        <v>20.103249999999999</v>
      </c>
      <c r="T193" s="28">
        <f>IF($R193&gt;$F$177,0.0000000005,K193)</f>
        <v>22.797499999999999</v>
      </c>
      <c r="U193" s="28">
        <f t="shared" ref="U193:U209" si="6">IF($R193&gt;$F$177,0.0000000005,L193)</f>
        <v>25.491749999999996</v>
      </c>
      <c r="V193" s="28">
        <f t="shared" ref="V193:V209" si="7">$X$193/R193</f>
        <v>124.51937904388622</v>
      </c>
      <c r="X193">
        <f>SOA!C26</f>
        <v>124.51937904388622</v>
      </c>
    </row>
    <row r="194" spans="2:24" x14ac:dyDescent="0.2">
      <c r="B194">
        <f t="shared" ref="B194:B257" si="8">D194*F194</f>
        <v>110.21555000000001</v>
      </c>
      <c r="D194" s="5">
        <v>2</v>
      </c>
      <c r="E194" s="28">
        <f t="shared" si="0"/>
        <v>41.330831250000003</v>
      </c>
      <c r="F194" s="28">
        <f t="shared" si="1"/>
        <v>55.107775000000004</v>
      </c>
      <c r="G194" s="28">
        <f t="shared" si="2"/>
        <v>68.884718750000005</v>
      </c>
      <c r="I194" s="5">
        <v>2</v>
      </c>
      <c r="J194" s="28">
        <f t="shared" si="3"/>
        <v>20.103249999999999</v>
      </c>
      <c r="K194" s="28">
        <f t="shared" si="4"/>
        <v>22.797499999999999</v>
      </c>
      <c r="L194" s="28">
        <f t="shared" si="5"/>
        <v>25.491749999999996</v>
      </c>
      <c r="R194" s="5">
        <v>2</v>
      </c>
      <c r="S194" s="28">
        <f t="shared" ref="S194:S209" si="9">IF($R194&gt;$F$177,0.0000000005,J194)</f>
        <v>20.103249999999999</v>
      </c>
      <c r="T194" s="28">
        <f t="shared" ref="T194:T209" si="10">IF($R194&gt;$F$177,0.0000000005,K194)</f>
        <v>22.797499999999999</v>
      </c>
      <c r="U194" s="28">
        <f t="shared" si="6"/>
        <v>25.491749999999996</v>
      </c>
      <c r="V194" s="28">
        <f t="shared" si="7"/>
        <v>62.259689521943109</v>
      </c>
    </row>
    <row r="195" spans="2:24" x14ac:dyDescent="0.2">
      <c r="B195">
        <f t="shared" si="8"/>
        <v>110.63005000000001</v>
      </c>
      <c r="D195" s="5">
        <v>3</v>
      </c>
      <c r="E195" s="28">
        <f t="shared" si="0"/>
        <v>27.657512500000003</v>
      </c>
      <c r="F195" s="28">
        <f t="shared" si="1"/>
        <v>36.876683333333339</v>
      </c>
      <c r="G195" s="28">
        <f t="shared" si="2"/>
        <v>46.095854166666676</v>
      </c>
      <c r="I195" s="5">
        <v>3</v>
      </c>
      <c r="J195" s="28">
        <f t="shared" si="3"/>
        <v>20.103249999999999</v>
      </c>
      <c r="K195" s="28">
        <f t="shared" si="4"/>
        <v>22.797499999999999</v>
      </c>
      <c r="L195" s="28">
        <f t="shared" si="5"/>
        <v>25.491749999999996</v>
      </c>
      <c r="O195" s="29" t="s">
        <v>77</v>
      </c>
      <c r="R195" s="5">
        <v>3</v>
      </c>
      <c r="S195" s="28">
        <f t="shared" si="9"/>
        <v>20.103249999999999</v>
      </c>
      <c r="T195" s="28">
        <f t="shared" si="10"/>
        <v>22.797499999999999</v>
      </c>
      <c r="U195" s="28">
        <f t="shared" si="6"/>
        <v>25.491749999999996</v>
      </c>
      <c r="V195" s="28">
        <f t="shared" si="7"/>
        <v>41.506459681295404</v>
      </c>
    </row>
    <row r="196" spans="2:24" x14ac:dyDescent="0.2">
      <c r="B196">
        <f t="shared" si="8"/>
        <v>111.04455000000002</v>
      </c>
      <c r="D196" s="5">
        <v>4</v>
      </c>
      <c r="E196" s="28">
        <f t="shared" si="0"/>
        <v>20.820853125000003</v>
      </c>
      <c r="F196" s="28">
        <f t="shared" si="1"/>
        <v>27.761137500000004</v>
      </c>
      <c r="G196" s="28">
        <f t="shared" si="2"/>
        <v>34.701421875000008</v>
      </c>
      <c r="I196" s="5">
        <v>4</v>
      </c>
      <c r="J196" s="28">
        <f t="shared" si="3"/>
        <v>20.103249999999999</v>
      </c>
      <c r="K196" s="28">
        <f t="shared" si="4"/>
        <v>22.797499999999999</v>
      </c>
      <c r="L196" s="28">
        <f t="shared" si="5"/>
        <v>25.491749999999996</v>
      </c>
      <c r="N196" s="8" t="s">
        <v>70</v>
      </c>
      <c r="O196" s="30" t="s">
        <v>78</v>
      </c>
      <c r="R196" s="5">
        <v>4</v>
      </c>
      <c r="S196" s="28">
        <f t="shared" si="9"/>
        <v>20.103249999999999</v>
      </c>
      <c r="T196" s="28">
        <f t="shared" si="10"/>
        <v>22.797499999999999</v>
      </c>
      <c r="U196" s="28">
        <f t="shared" si="6"/>
        <v>25.491749999999996</v>
      </c>
      <c r="V196" s="28">
        <f t="shared" si="7"/>
        <v>31.129844760971555</v>
      </c>
    </row>
    <row r="197" spans="2:24" x14ac:dyDescent="0.2">
      <c r="B197">
        <f t="shared" si="8"/>
        <v>111.45905</v>
      </c>
      <c r="D197" s="5">
        <v>5</v>
      </c>
      <c r="E197" s="28">
        <f t="shared" si="0"/>
        <v>16.718857500000002</v>
      </c>
      <c r="F197" s="28">
        <f t="shared" si="1"/>
        <v>22.291810000000002</v>
      </c>
      <c r="G197" s="28">
        <f t="shared" si="2"/>
        <v>27.864762500000001</v>
      </c>
      <c r="I197" s="5">
        <v>5</v>
      </c>
      <c r="J197" s="28">
        <f t="shared" si="3"/>
        <v>16.718857500000002</v>
      </c>
      <c r="K197" s="28">
        <f t="shared" si="4"/>
        <v>22.291810000000002</v>
      </c>
      <c r="L197" s="28">
        <f t="shared" si="5"/>
        <v>25.491749999999996</v>
      </c>
      <c r="N197" s="5">
        <v>1</v>
      </c>
      <c r="O197" s="5" t="e">
        <f>#REF!</f>
        <v>#REF!</v>
      </c>
      <c r="P197" t="s">
        <v>79</v>
      </c>
      <c r="R197" s="5">
        <v>5</v>
      </c>
      <c r="S197" s="28">
        <f t="shared" si="9"/>
        <v>16.718857500000002</v>
      </c>
      <c r="T197" s="28">
        <f t="shared" si="10"/>
        <v>22.291810000000002</v>
      </c>
      <c r="U197" s="28">
        <f t="shared" si="6"/>
        <v>25.491749999999996</v>
      </c>
      <c r="V197" s="28">
        <f t="shared" si="7"/>
        <v>24.903875808777244</v>
      </c>
    </row>
    <row r="198" spans="2:24" x14ac:dyDescent="0.2">
      <c r="B198">
        <f t="shared" si="8"/>
        <v>111.87355000000001</v>
      </c>
      <c r="D198" s="5">
        <v>6</v>
      </c>
      <c r="E198" s="28">
        <f t="shared" si="0"/>
        <v>13.984193750000001</v>
      </c>
      <c r="F198" s="28">
        <f t="shared" si="1"/>
        <v>18.645591666666668</v>
      </c>
      <c r="G198" s="28">
        <f t="shared" si="2"/>
        <v>23.306989583333333</v>
      </c>
      <c r="I198" s="5">
        <v>6</v>
      </c>
      <c r="J198" s="28">
        <f t="shared" si="3"/>
        <v>13.984193750000001</v>
      </c>
      <c r="K198" s="28">
        <f t="shared" si="4"/>
        <v>18.645591666666668</v>
      </c>
      <c r="L198" s="28">
        <f t="shared" si="5"/>
        <v>23.306989583333333</v>
      </c>
      <c r="N198" s="5">
        <v>2</v>
      </c>
      <c r="O198" s="28" t="e">
        <f>O201+((O197-O201)*3/7)</f>
        <v>#REF!</v>
      </c>
      <c r="R198" s="5">
        <v>6</v>
      </c>
      <c r="S198" s="28">
        <f t="shared" si="9"/>
        <v>13.984193750000001</v>
      </c>
      <c r="T198" s="28">
        <f t="shared" si="10"/>
        <v>18.645591666666668</v>
      </c>
      <c r="U198" s="28">
        <f t="shared" si="6"/>
        <v>23.306989583333333</v>
      </c>
      <c r="V198" s="28">
        <f t="shared" si="7"/>
        <v>20.753229840647702</v>
      </c>
    </row>
    <row r="199" spans="2:24" x14ac:dyDescent="0.2">
      <c r="B199">
        <f t="shared" si="8"/>
        <v>112.28805000000001</v>
      </c>
      <c r="D199" s="5">
        <v>7</v>
      </c>
      <c r="E199" s="28">
        <f t="shared" si="0"/>
        <v>12.030862500000001</v>
      </c>
      <c r="F199" s="28">
        <f t="shared" si="1"/>
        <v>16.041150000000002</v>
      </c>
      <c r="G199" s="28">
        <f t="shared" si="2"/>
        <v>20.051437500000002</v>
      </c>
      <c r="I199" s="5">
        <v>7</v>
      </c>
      <c r="J199" s="28">
        <f t="shared" si="3"/>
        <v>12.030862500000001</v>
      </c>
      <c r="K199" s="28">
        <f t="shared" si="4"/>
        <v>16.041150000000002</v>
      </c>
      <c r="L199" s="28">
        <f t="shared" si="5"/>
        <v>20.051437500000002</v>
      </c>
      <c r="N199" s="5">
        <v>3</v>
      </c>
      <c r="O199" s="28" t="e">
        <f>O201+((O197-O201)*2/8)</f>
        <v>#REF!</v>
      </c>
      <c r="R199" s="5">
        <v>7</v>
      </c>
      <c r="S199" s="28">
        <f t="shared" si="9"/>
        <v>12.030862500000001</v>
      </c>
      <c r="T199" s="28">
        <f t="shared" si="10"/>
        <v>16.041150000000002</v>
      </c>
      <c r="U199" s="28">
        <f t="shared" si="6"/>
        <v>20.051437500000002</v>
      </c>
      <c r="V199" s="28">
        <f t="shared" si="7"/>
        <v>17.788482720555173</v>
      </c>
    </row>
    <row r="200" spans="2:24" x14ac:dyDescent="0.2">
      <c r="B200">
        <f t="shared" si="8"/>
        <v>112.70255</v>
      </c>
      <c r="D200" s="5">
        <v>8</v>
      </c>
      <c r="E200" s="28">
        <f t="shared" si="0"/>
        <v>10.565864062500001</v>
      </c>
      <c r="F200" s="28">
        <f t="shared" si="1"/>
        <v>14.08781875</v>
      </c>
      <c r="G200" s="28">
        <f t="shared" si="2"/>
        <v>17.609773437499999</v>
      </c>
      <c r="I200" s="5">
        <v>8</v>
      </c>
      <c r="J200" s="28">
        <f t="shared" si="3"/>
        <v>10.565864062500001</v>
      </c>
      <c r="K200" s="28">
        <f t="shared" si="4"/>
        <v>14.08781875</v>
      </c>
      <c r="L200" s="28">
        <f t="shared" si="5"/>
        <v>17.609773437499999</v>
      </c>
      <c r="N200" s="5">
        <v>4</v>
      </c>
      <c r="O200" s="28" t="e">
        <f>O201+((O197-O201)*1/9)</f>
        <v>#REF!</v>
      </c>
      <c r="R200" s="5">
        <v>8</v>
      </c>
      <c r="S200" s="28">
        <f t="shared" si="9"/>
        <v>10.565864062500001</v>
      </c>
      <c r="T200" s="28">
        <f t="shared" si="10"/>
        <v>14.08781875</v>
      </c>
      <c r="U200" s="28">
        <f t="shared" si="6"/>
        <v>17.609773437499999</v>
      </c>
      <c r="V200" s="28">
        <f t="shared" si="7"/>
        <v>15.564922380485777</v>
      </c>
    </row>
    <row r="201" spans="2:24" x14ac:dyDescent="0.2">
      <c r="B201">
        <f t="shared" si="8"/>
        <v>113.11705000000001</v>
      </c>
      <c r="D201" s="5">
        <v>9</v>
      </c>
      <c r="E201" s="28">
        <f t="shared" si="0"/>
        <v>9.426420833333335</v>
      </c>
      <c r="F201" s="28">
        <f t="shared" si="1"/>
        <v>12.568561111111112</v>
      </c>
      <c r="G201" s="28">
        <f t="shared" si="2"/>
        <v>15.710701388888889</v>
      </c>
      <c r="I201" s="5">
        <v>9</v>
      </c>
      <c r="J201" s="28">
        <f t="shared" si="3"/>
        <v>9.426420833333335</v>
      </c>
      <c r="K201" s="28">
        <f t="shared" si="4"/>
        <v>12.568561111111112</v>
      </c>
      <c r="L201" s="28">
        <f t="shared" si="5"/>
        <v>15.710701388888889</v>
      </c>
      <c r="N201" s="5">
        <v>5</v>
      </c>
      <c r="O201" s="28" t="e">
        <f>#REF!</f>
        <v>#REF!</v>
      </c>
      <c r="P201" t="s">
        <v>80</v>
      </c>
      <c r="R201" s="5">
        <v>9</v>
      </c>
      <c r="S201" s="28">
        <f t="shared" si="9"/>
        <v>9.426420833333335</v>
      </c>
      <c r="T201" s="28">
        <f t="shared" si="10"/>
        <v>12.568561111111112</v>
      </c>
      <c r="U201" s="28">
        <f t="shared" si="6"/>
        <v>15.710701388888889</v>
      </c>
      <c r="V201" s="28">
        <f t="shared" si="7"/>
        <v>13.835486560431802</v>
      </c>
    </row>
    <row r="202" spans="2:24" x14ac:dyDescent="0.2">
      <c r="B202">
        <f t="shared" si="8"/>
        <v>113.53155000000001</v>
      </c>
      <c r="D202" s="5">
        <v>10</v>
      </c>
      <c r="E202" s="28">
        <f t="shared" si="0"/>
        <v>8.5148662500000007</v>
      </c>
      <c r="F202" s="28">
        <f t="shared" si="1"/>
        <v>11.353155000000001</v>
      </c>
      <c r="G202" s="28">
        <f t="shared" si="2"/>
        <v>14.191443750000001</v>
      </c>
      <c r="I202" s="5">
        <v>10</v>
      </c>
      <c r="J202" s="28">
        <f t="shared" si="3"/>
        <v>8.5148662500000007</v>
      </c>
      <c r="K202" s="28">
        <f t="shared" si="4"/>
        <v>11.353155000000001</v>
      </c>
      <c r="L202" s="28">
        <f t="shared" si="5"/>
        <v>14.191443750000001</v>
      </c>
      <c r="N202" s="5">
        <v>6</v>
      </c>
      <c r="O202" s="28" t="e">
        <f>O$206+((O$201-O$206)*4/6)</f>
        <v>#REF!</v>
      </c>
      <c r="R202" s="5">
        <v>10</v>
      </c>
      <c r="S202" s="28">
        <f t="shared" si="9"/>
        <v>8.5148662500000007</v>
      </c>
      <c r="T202" s="28">
        <f t="shared" si="10"/>
        <v>11.353155000000001</v>
      </c>
      <c r="U202" s="28">
        <f t="shared" si="6"/>
        <v>14.191443750000001</v>
      </c>
      <c r="V202" s="28">
        <f t="shared" si="7"/>
        <v>12.451937904388622</v>
      </c>
    </row>
    <row r="203" spans="2:24" x14ac:dyDescent="0.2">
      <c r="B203">
        <f t="shared" si="8"/>
        <v>113.94605000000001</v>
      </c>
      <c r="D203" s="5">
        <v>11</v>
      </c>
      <c r="E203" s="28">
        <f t="shared" si="0"/>
        <v>7.7690488636363648</v>
      </c>
      <c r="F203" s="28">
        <f t="shared" si="1"/>
        <v>10.35873181818182</v>
      </c>
      <c r="G203" s="28">
        <f t="shared" si="2"/>
        <v>12.948414772727276</v>
      </c>
      <c r="I203" s="5">
        <v>11</v>
      </c>
      <c r="J203" s="28">
        <f t="shared" si="3"/>
        <v>7.7690488636363648</v>
      </c>
      <c r="K203" s="28">
        <f t="shared" si="4"/>
        <v>10.35873181818182</v>
      </c>
      <c r="L203" s="28">
        <f t="shared" si="5"/>
        <v>12.948414772727276</v>
      </c>
      <c r="N203" s="5">
        <v>7</v>
      </c>
      <c r="O203" s="28" t="e">
        <f>O$206+((O$201-O$206)*3/7)</f>
        <v>#REF!</v>
      </c>
      <c r="R203" s="5">
        <v>11</v>
      </c>
      <c r="S203" s="28">
        <f t="shared" si="9"/>
        <v>7.7690488636363648</v>
      </c>
      <c r="T203" s="28">
        <f t="shared" si="10"/>
        <v>10.35873181818182</v>
      </c>
      <c r="U203" s="28">
        <f t="shared" si="6"/>
        <v>12.948414772727276</v>
      </c>
      <c r="V203" s="28">
        <f t="shared" si="7"/>
        <v>11.319943549444202</v>
      </c>
    </row>
    <row r="204" spans="2:24" x14ac:dyDescent="0.2">
      <c r="B204">
        <f t="shared" si="8"/>
        <v>114.36055000000002</v>
      </c>
      <c r="D204" s="5">
        <v>12</v>
      </c>
      <c r="E204" s="28">
        <f t="shared" si="0"/>
        <v>7.1475343750000011</v>
      </c>
      <c r="F204" s="28">
        <f t="shared" si="1"/>
        <v>9.5300458333333342</v>
      </c>
      <c r="G204" s="28">
        <f t="shared" si="2"/>
        <v>11.912557291666667</v>
      </c>
      <c r="I204" s="5">
        <v>12</v>
      </c>
      <c r="J204" s="28">
        <f t="shared" si="3"/>
        <v>7.1475343750000011</v>
      </c>
      <c r="K204" s="28">
        <f t="shared" si="4"/>
        <v>9.5300458333333342</v>
      </c>
      <c r="L204" s="28">
        <f t="shared" si="5"/>
        <v>11.912557291666667</v>
      </c>
      <c r="N204" s="5">
        <v>8</v>
      </c>
      <c r="O204" s="28" t="e">
        <f>O$206+((O$201-O$206)*2/8)</f>
        <v>#REF!</v>
      </c>
      <c r="R204" s="5">
        <v>12</v>
      </c>
      <c r="S204" s="28">
        <f t="shared" si="9"/>
        <v>7.1475343750000011</v>
      </c>
      <c r="T204" s="28">
        <f t="shared" si="10"/>
        <v>9.5300458333333342</v>
      </c>
      <c r="U204" s="28">
        <f t="shared" si="6"/>
        <v>11.912557291666667</v>
      </c>
      <c r="V204" s="28">
        <f t="shared" si="7"/>
        <v>10.376614920323851</v>
      </c>
    </row>
    <row r="205" spans="2:24" x14ac:dyDescent="0.2">
      <c r="B205">
        <f t="shared" si="8"/>
        <v>114.77505000000001</v>
      </c>
      <c r="D205" s="5">
        <v>13</v>
      </c>
      <c r="E205" s="28">
        <f t="shared" si="0"/>
        <v>6.6216375000000003</v>
      </c>
      <c r="F205" s="28">
        <f t="shared" si="1"/>
        <v>8.828850000000001</v>
      </c>
      <c r="G205" s="28">
        <f t="shared" si="2"/>
        <v>11.036062500000002</v>
      </c>
      <c r="I205" s="5">
        <v>13</v>
      </c>
      <c r="J205" s="28">
        <f t="shared" si="3"/>
        <v>6.6216375000000003</v>
      </c>
      <c r="K205" s="28">
        <f t="shared" si="4"/>
        <v>8.828850000000001</v>
      </c>
      <c r="L205" s="28">
        <f t="shared" si="5"/>
        <v>11.036062500000002</v>
      </c>
      <c r="N205" s="5">
        <v>9</v>
      </c>
      <c r="O205" s="28" t="e">
        <f>O$206+((O$201-O$206)*1/9)</f>
        <v>#REF!</v>
      </c>
      <c r="R205" s="5">
        <v>13</v>
      </c>
      <c r="S205" s="28">
        <f t="shared" si="9"/>
        <v>6.6216375000000003</v>
      </c>
      <c r="T205" s="28">
        <f t="shared" si="10"/>
        <v>8.828850000000001</v>
      </c>
      <c r="U205" s="28">
        <f t="shared" si="6"/>
        <v>11.036062500000002</v>
      </c>
      <c r="V205" s="28">
        <f t="shared" si="7"/>
        <v>9.5784137726066323</v>
      </c>
    </row>
    <row r="206" spans="2:24" x14ac:dyDescent="0.2">
      <c r="B206">
        <f t="shared" si="8"/>
        <v>115.18955000000001</v>
      </c>
      <c r="D206" s="5">
        <v>14</v>
      </c>
      <c r="E206" s="28">
        <f t="shared" si="0"/>
        <v>6.1708687500000003</v>
      </c>
      <c r="F206" s="28">
        <f t="shared" si="1"/>
        <v>8.2278250000000011</v>
      </c>
      <c r="G206" s="28">
        <f t="shared" si="2"/>
        <v>10.284781250000002</v>
      </c>
      <c r="I206" s="5">
        <v>14</v>
      </c>
      <c r="J206" s="28">
        <f t="shared" si="3"/>
        <v>6.1708687500000003</v>
      </c>
      <c r="K206" s="28">
        <f t="shared" si="4"/>
        <v>8.2278250000000011</v>
      </c>
      <c r="L206" s="28">
        <f t="shared" si="5"/>
        <v>10.284781250000002</v>
      </c>
      <c r="N206" s="5">
        <v>10</v>
      </c>
      <c r="O206" s="28" t="e">
        <f>#REF!</f>
        <v>#REF!</v>
      </c>
      <c r="P206" t="s">
        <v>80</v>
      </c>
      <c r="R206" s="5">
        <v>14</v>
      </c>
      <c r="S206" s="28">
        <f t="shared" si="9"/>
        <v>6.1708687500000003</v>
      </c>
      <c r="T206" s="28">
        <f t="shared" si="10"/>
        <v>8.2278250000000011</v>
      </c>
      <c r="U206" s="28">
        <f t="shared" si="6"/>
        <v>10.284781250000002</v>
      </c>
      <c r="V206" s="28">
        <f t="shared" si="7"/>
        <v>8.8942413602775865</v>
      </c>
    </row>
    <row r="207" spans="2:24" x14ac:dyDescent="0.2">
      <c r="B207">
        <f t="shared" si="8"/>
        <v>115.60405000000002</v>
      </c>
      <c r="D207" s="5">
        <v>15</v>
      </c>
      <c r="E207" s="28">
        <f t="shared" si="0"/>
        <v>5.7802025000000006</v>
      </c>
      <c r="F207" s="28">
        <f t="shared" si="1"/>
        <v>7.7069366666666674</v>
      </c>
      <c r="G207" s="28">
        <f t="shared" si="2"/>
        <v>9.6336708333333334</v>
      </c>
      <c r="I207" s="5">
        <v>15</v>
      </c>
      <c r="J207" s="28">
        <f t="shared" si="3"/>
        <v>5.7802025000000006</v>
      </c>
      <c r="K207" s="28">
        <f t="shared" si="4"/>
        <v>7.7069366666666674</v>
      </c>
      <c r="L207" s="28">
        <f t="shared" si="5"/>
        <v>9.6336708333333334</v>
      </c>
      <c r="N207" s="5">
        <v>11</v>
      </c>
      <c r="O207" s="28" t="e">
        <f>O$211+((O$206-O$211)*4/6)</f>
        <v>#REF!</v>
      </c>
      <c r="R207" s="5">
        <v>15</v>
      </c>
      <c r="S207" s="28">
        <f t="shared" si="9"/>
        <v>5.7802025000000006</v>
      </c>
      <c r="T207" s="28">
        <f t="shared" si="10"/>
        <v>7.7069366666666674</v>
      </c>
      <c r="U207" s="28">
        <f t="shared" si="6"/>
        <v>9.6336708333333334</v>
      </c>
      <c r="V207" s="28">
        <f t="shared" si="7"/>
        <v>8.3012919362590818</v>
      </c>
    </row>
    <row r="208" spans="2:24" x14ac:dyDescent="0.2">
      <c r="B208">
        <f t="shared" si="8"/>
        <v>116.01855</v>
      </c>
      <c r="D208" s="5">
        <v>16</v>
      </c>
      <c r="E208" s="28">
        <f t="shared" si="0"/>
        <v>5.4383695312500002</v>
      </c>
      <c r="F208" s="28">
        <f t="shared" si="1"/>
        <v>7.2511593750000003</v>
      </c>
      <c r="G208" s="28">
        <f t="shared" si="2"/>
        <v>9.0639492187500004</v>
      </c>
      <c r="I208" s="5">
        <v>16</v>
      </c>
      <c r="J208" s="28">
        <f t="shared" si="3"/>
        <v>5.4383695312500002</v>
      </c>
      <c r="K208" s="28">
        <f t="shared" si="4"/>
        <v>7.2511593750000003</v>
      </c>
      <c r="L208" s="28">
        <f t="shared" si="5"/>
        <v>9.0639492187500004</v>
      </c>
      <c r="N208" s="5">
        <v>12</v>
      </c>
      <c r="O208" s="28" t="e">
        <f>O$211+((O$206-O$211)*3/7)</f>
        <v>#REF!</v>
      </c>
      <c r="R208" s="5">
        <v>16</v>
      </c>
      <c r="S208" s="28">
        <f t="shared" si="9"/>
        <v>5.4383695312500002</v>
      </c>
      <c r="T208" s="28">
        <f t="shared" si="10"/>
        <v>7.2511593750000003</v>
      </c>
      <c r="U208" s="28">
        <f t="shared" si="6"/>
        <v>9.0639492187500004</v>
      </c>
      <c r="V208" s="28">
        <f t="shared" si="7"/>
        <v>7.7824611902428886</v>
      </c>
    </row>
    <row r="209" spans="2:22" x14ac:dyDescent="0.2">
      <c r="B209">
        <f t="shared" si="8"/>
        <v>116.43305000000001</v>
      </c>
      <c r="D209" s="5">
        <v>17</v>
      </c>
      <c r="E209" s="28">
        <f t="shared" si="0"/>
        <v>5.1367522058823534</v>
      </c>
      <c r="F209" s="28">
        <f t="shared" si="1"/>
        <v>6.8490029411764715</v>
      </c>
      <c r="G209" s="28">
        <f t="shared" si="2"/>
        <v>8.5612536764705887</v>
      </c>
      <c r="I209" s="5">
        <v>17</v>
      </c>
      <c r="J209" s="28">
        <f t="shared" si="3"/>
        <v>5.1367522058823534</v>
      </c>
      <c r="K209" s="28">
        <f t="shared" si="4"/>
        <v>6.8490029411764715</v>
      </c>
      <c r="L209" s="28">
        <f t="shared" si="5"/>
        <v>8.5612536764705887</v>
      </c>
      <c r="N209" s="5">
        <v>13</v>
      </c>
      <c r="O209" s="28" t="e">
        <f>O$211+((O$206-O$211)*2/8)</f>
        <v>#REF!</v>
      </c>
      <c r="R209" s="5">
        <v>17</v>
      </c>
      <c r="S209" s="28">
        <f t="shared" si="9"/>
        <v>5.1367522058823534</v>
      </c>
      <c r="T209" s="28">
        <f t="shared" si="10"/>
        <v>6.8490029411764715</v>
      </c>
      <c r="U209" s="28">
        <f t="shared" si="6"/>
        <v>8.5612536764705887</v>
      </c>
      <c r="V209" s="28">
        <f t="shared" si="7"/>
        <v>7.3246693555227189</v>
      </c>
    </row>
    <row r="210" spans="2:22" x14ac:dyDescent="0.2">
      <c r="B210">
        <f t="shared" si="8"/>
        <v>116.84755000000001</v>
      </c>
      <c r="D210" s="5">
        <v>18</v>
      </c>
      <c r="E210" s="28">
        <f t="shared" ref="E210:E272" si="11">(1-$F$280)*F210</f>
        <v>4.8686479166666672</v>
      </c>
      <c r="F210" s="28">
        <f t="shared" si="1"/>
        <v>6.4915305555555562</v>
      </c>
      <c r="G210" s="28">
        <f t="shared" ref="G210:G272" si="12">F210*(1+$F$280)</f>
        <v>8.1144131944444453</v>
      </c>
      <c r="I210" s="5">
        <v>18</v>
      </c>
      <c r="J210" s="28">
        <f t="shared" ref="J210:J272" si="13">IF(E210&gt;$F$179,$F$179,E210)</f>
        <v>4.8686479166666672</v>
      </c>
      <c r="K210" s="28">
        <f t="shared" ref="K210:K272" si="14">IF(F210&gt;$F$180,$F$180,F210)</f>
        <v>6.4915305555555562</v>
      </c>
      <c r="L210" s="28">
        <f t="shared" ref="L210:L272" si="15">IF(G210&gt;$F$181,$F$181,G210)</f>
        <v>8.1144131944444453</v>
      </c>
      <c r="N210" s="5">
        <v>14</v>
      </c>
      <c r="O210" s="28" t="e">
        <f>O$211+((O$206-O$211)*1/9)</f>
        <v>#REF!</v>
      </c>
      <c r="R210" s="26">
        <v>18</v>
      </c>
      <c r="S210" s="28">
        <f t="shared" ref="S210:S212" si="16">IF($R210&gt;$F$177,0.0000000005,J210)</f>
        <v>4.8686479166666672</v>
      </c>
      <c r="T210" s="28">
        <f t="shared" ref="T210:T212" si="17">IF($R210&gt;$F$177,0.0000000005,K210)</f>
        <v>6.4915305555555562</v>
      </c>
      <c r="U210" s="28">
        <f t="shared" ref="U210:U212" si="18">IF($R210&gt;$F$177,0.0000000005,L210)</f>
        <v>8.1144131944444453</v>
      </c>
      <c r="V210" s="28">
        <f t="shared" ref="V210:V212" si="19">$X$193/R210</f>
        <v>6.9177432802159009</v>
      </c>
    </row>
    <row r="211" spans="2:22" x14ac:dyDescent="0.2">
      <c r="B211">
        <f t="shared" si="8"/>
        <v>117.26205000000002</v>
      </c>
      <c r="D211" s="5">
        <v>19</v>
      </c>
      <c r="E211" s="28">
        <f t="shared" si="11"/>
        <v>4.6287651315789482</v>
      </c>
      <c r="F211" s="28">
        <f t="shared" si="1"/>
        <v>6.171686842105264</v>
      </c>
      <c r="G211" s="28">
        <f t="shared" si="12"/>
        <v>7.7146085526315797</v>
      </c>
      <c r="I211" s="5">
        <v>19</v>
      </c>
      <c r="J211" s="28">
        <f t="shared" si="13"/>
        <v>4.6287651315789482</v>
      </c>
      <c r="K211" s="28">
        <f t="shared" si="14"/>
        <v>6.171686842105264</v>
      </c>
      <c r="L211" s="28">
        <f t="shared" si="15"/>
        <v>7.7146085526315797</v>
      </c>
      <c r="N211" s="5">
        <v>15</v>
      </c>
      <c r="O211" s="28" t="e">
        <f>#REF!</f>
        <v>#REF!</v>
      </c>
      <c r="P211" t="s">
        <v>80</v>
      </c>
      <c r="R211" s="26">
        <v>19</v>
      </c>
      <c r="S211" s="28">
        <f t="shared" si="16"/>
        <v>4.6287651315789482</v>
      </c>
      <c r="T211" s="28">
        <f t="shared" si="17"/>
        <v>6.171686842105264</v>
      </c>
      <c r="U211" s="28">
        <f t="shared" si="18"/>
        <v>7.7146085526315797</v>
      </c>
      <c r="V211" s="28">
        <f t="shared" si="19"/>
        <v>6.5536515286255907</v>
      </c>
    </row>
    <row r="212" spans="2:22" x14ac:dyDescent="0.2">
      <c r="B212">
        <f t="shared" si="8"/>
        <v>117.67655000000002</v>
      </c>
      <c r="D212" s="5">
        <v>20</v>
      </c>
      <c r="E212" s="28">
        <f t="shared" si="11"/>
        <v>4.412870625</v>
      </c>
      <c r="F212" s="28">
        <f t="shared" si="1"/>
        <v>5.8838275000000007</v>
      </c>
      <c r="G212" s="28">
        <f t="shared" si="12"/>
        <v>7.3547843750000013</v>
      </c>
      <c r="I212" s="5">
        <v>20</v>
      </c>
      <c r="J212" s="28">
        <f t="shared" si="13"/>
        <v>4.412870625</v>
      </c>
      <c r="K212" s="28">
        <f t="shared" si="14"/>
        <v>5.8838275000000007</v>
      </c>
      <c r="L212" s="28">
        <f t="shared" si="15"/>
        <v>7.3547843750000013</v>
      </c>
      <c r="N212" s="5">
        <v>16</v>
      </c>
      <c r="O212" s="28" t="e">
        <f>O$216+((O$211-O$216)*4/6)</f>
        <v>#REF!</v>
      </c>
      <c r="R212" s="26">
        <v>20</v>
      </c>
      <c r="S212" s="28">
        <f t="shared" si="16"/>
        <v>4.412870625</v>
      </c>
      <c r="T212" s="28">
        <f t="shared" si="17"/>
        <v>5.8838275000000007</v>
      </c>
      <c r="U212" s="28">
        <f t="shared" si="18"/>
        <v>7.3547843750000013</v>
      </c>
      <c r="V212" s="28">
        <f t="shared" si="19"/>
        <v>6.2259689521943109</v>
      </c>
    </row>
    <row r="213" spans="2:22" x14ac:dyDescent="0.2">
      <c r="B213">
        <f t="shared" si="8"/>
        <v>118.09105000000001</v>
      </c>
      <c r="D213" s="5">
        <v>21</v>
      </c>
      <c r="E213" s="28">
        <f t="shared" si="11"/>
        <v>4.2175375000000006</v>
      </c>
      <c r="F213" s="28">
        <f t="shared" si="1"/>
        <v>5.6233833333333338</v>
      </c>
      <c r="G213" s="28">
        <f t="shared" si="12"/>
        <v>7.0292291666666671</v>
      </c>
      <c r="I213" s="5">
        <v>21</v>
      </c>
      <c r="J213" s="28">
        <f t="shared" si="13"/>
        <v>4.2175375000000006</v>
      </c>
      <c r="K213" s="28">
        <f t="shared" si="14"/>
        <v>5.6233833333333338</v>
      </c>
      <c r="L213" s="28">
        <f t="shared" si="15"/>
        <v>7.0292291666666671</v>
      </c>
      <c r="N213" s="5">
        <v>17</v>
      </c>
      <c r="O213" s="28" t="e">
        <f>O$216+((O$211-O$216)*3/7)</f>
        <v>#REF!</v>
      </c>
      <c r="R213" s="5">
        <v>21</v>
      </c>
      <c r="S213" s="28">
        <f t="shared" ref="S213:S228" si="20">IF($R213&gt;$F$177,0.0000000005,J213)</f>
        <v>4.2175375000000006</v>
      </c>
      <c r="T213" s="28">
        <f t="shared" ref="T213:T228" si="21">IF($R213&gt;$F$177,0.0000000005,K213)</f>
        <v>5.6233833333333338</v>
      </c>
      <c r="U213" s="28">
        <f t="shared" ref="U213:U228" si="22">IF($R213&gt;$F$177,0.0000000005,L213)</f>
        <v>7.0292291666666671</v>
      </c>
      <c r="V213" s="28">
        <f t="shared" ref="V213:V249" si="23">$X$193/R213</f>
        <v>5.9294942401850577</v>
      </c>
    </row>
    <row r="214" spans="2:22" x14ac:dyDescent="0.2">
      <c r="B214">
        <f t="shared" si="8"/>
        <v>118.50555000000003</v>
      </c>
      <c r="D214" s="5">
        <v>22</v>
      </c>
      <c r="E214" s="28">
        <f t="shared" si="11"/>
        <v>4.0399619318181825</v>
      </c>
      <c r="F214" s="28">
        <f t="shared" si="1"/>
        <v>5.38661590909091</v>
      </c>
      <c r="G214" s="28">
        <f t="shared" si="12"/>
        <v>6.7332698863636375</v>
      </c>
      <c r="I214" s="5">
        <v>22</v>
      </c>
      <c r="J214" s="28">
        <f t="shared" si="13"/>
        <v>4.0399619318181825</v>
      </c>
      <c r="K214" s="28">
        <f t="shared" si="14"/>
        <v>5.38661590909091</v>
      </c>
      <c r="L214" s="28">
        <f t="shared" si="15"/>
        <v>6.7332698863636375</v>
      </c>
      <c r="N214" s="26">
        <v>18</v>
      </c>
      <c r="O214" s="28" t="e">
        <f>O$216+((O$211-O$216)*2/8)</f>
        <v>#REF!</v>
      </c>
      <c r="R214" s="5">
        <v>22</v>
      </c>
      <c r="S214" s="28">
        <f t="shared" si="20"/>
        <v>4.0399619318181825</v>
      </c>
      <c r="T214" s="28">
        <f t="shared" si="21"/>
        <v>5.38661590909091</v>
      </c>
      <c r="U214" s="28">
        <f t="shared" si="22"/>
        <v>6.7332698863636375</v>
      </c>
      <c r="V214" s="28">
        <f t="shared" si="23"/>
        <v>5.6599717747221012</v>
      </c>
    </row>
    <row r="215" spans="2:22" x14ac:dyDescent="0.2">
      <c r="B215">
        <f t="shared" si="8"/>
        <v>118.92005000000002</v>
      </c>
      <c r="D215" s="5">
        <v>23</v>
      </c>
      <c r="E215" s="28">
        <f t="shared" si="11"/>
        <v>3.8778277173913045</v>
      </c>
      <c r="F215" s="28">
        <f t="shared" si="1"/>
        <v>5.1704369565217396</v>
      </c>
      <c r="G215" s="28">
        <f t="shared" si="12"/>
        <v>6.4630461956521748</v>
      </c>
      <c r="I215" s="5">
        <v>23</v>
      </c>
      <c r="J215" s="28">
        <f t="shared" si="13"/>
        <v>3.8778277173913045</v>
      </c>
      <c r="K215" s="28">
        <f t="shared" si="14"/>
        <v>5.1704369565217396</v>
      </c>
      <c r="L215" s="28">
        <f t="shared" si="15"/>
        <v>6.4630461956521748</v>
      </c>
      <c r="N215" s="26">
        <v>19</v>
      </c>
      <c r="O215" s="28" t="e">
        <f>O$216+((O$211-O$216)*1/9)</f>
        <v>#REF!</v>
      </c>
      <c r="R215" s="5">
        <v>23</v>
      </c>
      <c r="S215" s="28">
        <f t="shared" si="20"/>
        <v>3.8778277173913045</v>
      </c>
      <c r="T215" s="28">
        <f t="shared" si="21"/>
        <v>5.1704369565217396</v>
      </c>
      <c r="U215" s="28">
        <f t="shared" si="22"/>
        <v>6.4630461956521748</v>
      </c>
      <c r="V215" s="28">
        <f t="shared" si="23"/>
        <v>5.4138860453863575</v>
      </c>
    </row>
    <row r="216" spans="2:22" x14ac:dyDescent="0.2">
      <c r="B216">
        <f t="shared" si="8"/>
        <v>119.33455000000001</v>
      </c>
      <c r="D216" s="5">
        <v>24</v>
      </c>
      <c r="E216" s="28">
        <f t="shared" si="11"/>
        <v>3.7292046875000002</v>
      </c>
      <c r="F216" s="28">
        <f t="shared" si="1"/>
        <v>4.9722729166666673</v>
      </c>
      <c r="G216" s="28">
        <f t="shared" si="12"/>
        <v>6.2153411458333343</v>
      </c>
      <c r="I216" s="5">
        <v>24</v>
      </c>
      <c r="J216" s="28">
        <f t="shared" si="13"/>
        <v>3.7292046875000002</v>
      </c>
      <c r="K216" s="28">
        <f t="shared" si="14"/>
        <v>4.9722729166666673</v>
      </c>
      <c r="L216" s="28">
        <f t="shared" si="15"/>
        <v>6.2153411458333343</v>
      </c>
      <c r="N216" s="26">
        <v>20</v>
      </c>
      <c r="O216" s="28" t="e">
        <f>#REF!</f>
        <v>#REF!</v>
      </c>
      <c r="P216" t="s">
        <v>80</v>
      </c>
      <c r="R216" s="5">
        <v>24</v>
      </c>
      <c r="S216" s="28">
        <f t="shared" si="20"/>
        <v>3.7292046875000002</v>
      </c>
      <c r="T216" s="28">
        <f t="shared" si="21"/>
        <v>4.9722729166666673</v>
      </c>
      <c r="U216" s="28">
        <f t="shared" si="22"/>
        <v>6.2153411458333343</v>
      </c>
      <c r="V216" s="28">
        <f t="shared" si="23"/>
        <v>5.1883074601619255</v>
      </c>
    </row>
    <row r="217" spans="2:22" x14ac:dyDescent="0.2">
      <c r="B217">
        <f t="shared" si="8"/>
        <v>119.74905</v>
      </c>
      <c r="D217" s="5">
        <v>25</v>
      </c>
      <c r="E217" s="28">
        <f t="shared" si="11"/>
        <v>3.5924715000000003</v>
      </c>
      <c r="F217" s="28">
        <f t="shared" si="1"/>
        <v>4.7899620000000001</v>
      </c>
      <c r="G217" s="28">
        <f t="shared" si="12"/>
        <v>5.9874524999999998</v>
      </c>
      <c r="I217" s="5">
        <v>25</v>
      </c>
      <c r="J217" s="28">
        <f t="shared" si="13"/>
        <v>3.5924715000000003</v>
      </c>
      <c r="K217" s="28">
        <f t="shared" si="14"/>
        <v>4.7899620000000001</v>
      </c>
      <c r="L217" s="28">
        <f t="shared" si="15"/>
        <v>5.9874524999999998</v>
      </c>
      <c r="R217" s="5">
        <v>25</v>
      </c>
      <c r="S217" s="28">
        <f t="shared" si="20"/>
        <v>3.5924715000000003</v>
      </c>
      <c r="T217" s="28">
        <f t="shared" si="21"/>
        <v>4.7899620000000001</v>
      </c>
      <c r="U217" s="28">
        <f t="shared" si="22"/>
        <v>5.9874524999999998</v>
      </c>
      <c r="V217" s="28">
        <f t="shared" si="23"/>
        <v>4.9807751617554485</v>
      </c>
    </row>
    <row r="218" spans="2:22" x14ac:dyDescent="0.2">
      <c r="B218">
        <f t="shared" si="8"/>
        <v>120.16355000000001</v>
      </c>
      <c r="D218" s="5">
        <v>26</v>
      </c>
      <c r="E218" s="28">
        <f t="shared" si="11"/>
        <v>3.4662562500000007</v>
      </c>
      <c r="F218" s="28">
        <f t="shared" si="1"/>
        <v>4.6216750000000006</v>
      </c>
      <c r="G218" s="28">
        <f t="shared" si="12"/>
        <v>5.7770937500000006</v>
      </c>
      <c r="I218" s="5">
        <v>26</v>
      </c>
      <c r="J218" s="28">
        <f t="shared" si="13"/>
        <v>3.4662562500000007</v>
      </c>
      <c r="K218" s="28">
        <f t="shared" si="14"/>
        <v>4.6216750000000006</v>
      </c>
      <c r="L218" s="28">
        <f t="shared" si="15"/>
        <v>5.7770937500000006</v>
      </c>
      <c r="R218" s="5">
        <v>26</v>
      </c>
      <c r="S218" s="28">
        <f t="shared" si="20"/>
        <v>3.4662562500000007</v>
      </c>
      <c r="T218" s="28">
        <f t="shared" si="21"/>
        <v>4.6216750000000006</v>
      </c>
      <c r="U218" s="28">
        <f t="shared" si="22"/>
        <v>5.7770937500000006</v>
      </c>
      <c r="V218" s="28">
        <f t="shared" si="23"/>
        <v>4.7892068863033161</v>
      </c>
    </row>
    <row r="219" spans="2:22" x14ac:dyDescent="0.2">
      <c r="B219">
        <f t="shared" si="8"/>
        <v>120.57805000000002</v>
      </c>
      <c r="D219" s="5">
        <v>27</v>
      </c>
      <c r="E219" s="28">
        <f t="shared" si="11"/>
        <v>3.3493902777777782</v>
      </c>
      <c r="F219" s="28">
        <f t="shared" si="1"/>
        <v>4.4658537037037043</v>
      </c>
      <c r="G219" s="28">
        <f t="shared" si="12"/>
        <v>5.5823171296296303</v>
      </c>
      <c r="I219" s="5">
        <v>27</v>
      </c>
      <c r="J219" s="28">
        <f t="shared" si="13"/>
        <v>3.3493902777777782</v>
      </c>
      <c r="K219" s="28">
        <f t="shared" si="14"/>
        <v>4.4658537037037043</v>
      </c>
      <c r="L219" s="28">
        <f t="shared" si="15"/>
        <v>5.5823171296296303</v>
      </c>
      <c r="R219" s="5">
        <v>27</v>
      </c>
      <c r="S219" s="28">
        <f t="shared" si="20"/>
        <v>3.3493902777777782</v>
      </c>
      <c r="T219" s="28">
        <f t="shared" si="21"/>
        <v>4.4658537037037043</v>
      </c>
      <c r="U219" s="28">
        <f t="shared" si="22"/>
        <v>5.5823171296296303</v>
      </c>
      <c r="V219" s="28">
        <f t="shared" si="23"/>
        <v>4.6118288534772676</v>
      </c>
    </row>
    <row r="220" spans="2:22" x14ac:dyDescent="0.2">
      <c r="B220">
        <f t="shared" si="8"/>
        <v>120.99255000000002</v>
      </c>
      <c r="D220" s="5">
        <v>28</v>
      </c>
      <c r="E220" s="28">
        <f t="shared" si="11"/>
        <v>3.2408718750000007</v>
      </c>
      <c r="F220" s="28">
        <f t="shared" si="1"/>
        <v>4.3211625000000007</v>
      </c>
      <c r="G220" s="28">
        <f t="shared" si="12"/>
        <v>5.4014531250000006</v>
      </c>
      <c r="I220" s="5">
        <v>28</v>
      </c>
      <c r="J220" s="28">
        <f t="shared" si="13"/>
        <v>3.2408718750000007</v>
      </c>
      <c r="K220" s="28">
        <f t="shared" si="14"/>
        <v>4.3211625000000007</v>
      </c>
      <c r="L220" s="28">
        <f t="shared" si="15"/>
        <v>5.4014531250000006</v>
      </c>
      <c r="R220" s="5">
        <v>28</v>
      </c>
      <c r="S220" s="28">
        <f t="shared" si="20"/>
        <v>3.2408718750000007</v>
      </c>
      <c r="T220" s="28">
        <f t="shared" si="21"/>
        <v>4.3211625000000007</v>
      </c>
      <c r="U220" s="28">
        <f t="shared" si="22"/>
        <v>5.4014531250000006</v>
      </c>
      <c r="V220" s="28">
        <f t="shared" si="23"/>
        <v>4.4471206801387932</v>
      </c>
    </row>
    <row r="221" spans="2:22" x14ac:dyDescent="0.2">
      <c r="B221">
        <f t="shared" si="8"/>
        <v>121.40705000000003</v>
      </c>
      <c r="D221" s="5">
        <v>29</v>
      </c>
      <c r="E221" s="28">
        <f t="shared" si="11"/>
        <v>3.1398375000000005</v>
      </c>
      <c r="F221" s="28">
        <f t="shared" si="1"/>
        <v>4.1864500000000007</v>
      </c>
      <c r="G221" s="28">
        <f t="shared" si="12"/>
        <v>5.2330625000000008</v>
      </c>
      <c r="I221" s="5">
        <v>29</v>
      </c>
      <c r="J221" s="28">
        <f t="shared" si="13"/>
        <v>3.1398375000000005</v>
      </c>
      <c r="K221" s="28">
        <f t="shared" si="14"/>
        <v>4.1864500000000007</v>
      </c>
      <c r="L221" s="28">
        <f t="shared" si="15"/>
        <v>5.2330625000000008</v>
      </c>
      <c r="R221" s="5">
        <v>29</v>
      </c>
      <c r="S221" s="28">
        <f t="shared" si="20"/>
        <v>3.1398375000000005</v>
      </c>
      <c r="T221" s="28">
        <f t="shared" si="21"/>
        <v>4.1864500000000007</v>
      </c>
      <c r="U221" s="28">
        <f t="shared" si="22"/>
        <v>5.2330625000000008</v>
      </c>
      <c r="V221" s="28">
        <f t="shared" si="23"/>
        <v>4.29377169116849</v>
      </c>
    </row>
    <row r="222" spans="2:22" x14ac:dyDescent="0.2">
      <c r="B222">
        <f t="shared" si="8"/>
        <v>121.82154999999999</v>
      </c>
      <c r="D222" s="5">
        <v>30</v>
      </c>
      <c r="E222" s="28">
        <f t="shared" si="11"/>
        <v>3.0455387499999995</v>
      </c>
      <c r="F222" s="28">
        <f t="shared" si="1"/>
        <v>4.060718333333333</v>
      </c>
      <c r="G222" s="28">
        <f t="shared" si="12"/>
        <v>5.0758979166666665</v>
      </c>
      <c r="I222" s="5">
        <v>30</v>
      </c>
      <c r="J222" s="28">
        <f t="shared" si="13"/>
        <v>3.0455387499999995</v>
      </c>
      <c r="K222" s="28">
        <f t="shared" si="14"/>
        <v>4.060718333333333</v>
      </c>
      <c r="L222" s="28">
        <f t="shared" si="15"/>
        <v>5.0758979166666665</v>
      </c>
      <c r="R222" s="5">
        <v>30</v>
      </c>
      <c r="S222" s="28">
        <f t="shared" si="20"/>
        <v>3.0455387499999995</v>
      </c>
      <c r="T222" s="28">
        <f t="shared" si="21"/>
        <v>4.060718333333333</v>
      </c>
      <c r="U222" s="28">
        <f t="shared" si="22"/>
        <v>5.0758979166666665</v>
      </c>
      <c r="V222" s="28">
        <f t="shared" si="23"/>
        <v>4.1506459681295409</v>
      </c>
    </row>
    <row r="223" spans="2:22" x14ac:dyDescent="0.2">
      <c r="B223">
        <f t="shared" si="8"/>
        <v>122.23605000000001</v>
      </c>
      <c r="D223" s="5">
        <v>31</v>
      </c>
      <c r="E223" s="28">
        <f t="shared" si="11"/>
        <v>2.9573237903225804</v>
      </c>
      <c r="F223" s="28">
        <f t="shared" si="1"/>
        <v>3.9430983870967742</v>
      </c>
      <c r="G223" s="28">
        <f t="shared" si="12"/>
        <v>4.9288729838709679</v>
      </c>
      <c r="I223" s="5">
        <v>31</v>
      </c>
      <c r="J223" s="28">
        <f t="shared" si="13"/>
        <v>2.9573237903225804</v>
      </c>
      <c r="K223" s="28">
        <f t="shared" si="14"/>
        <v>3.9430983870967742</v>
      </c>
      <c r="L223" s="28">
        <f t="shared" si="15"/>
        <v>4.9288729838709679</v>
      </c>
      <c r="R223" s="5">
        <v>31</v>
      </c>
      <c r="S223" s="28">
        <f t="shared" si="20"/>
        <v>2.9573237903225804</v>
      </c>
      <c r="T223" s="28">
        <f t="shared" si="21"/>
        <v>3.9430983870967742</v>
      </c>
      <c r="U223" s="28">
        <f t="shared" si="22"/>
        <v>4.9288729838709679</v>
      </c>
      <c r="V223" s="28">
        <f t="shared" si="23"/>
        <v>4.0167541627060066</v>
      </c>
    </row>
    <row r="224" spans="2:22" x14ac:dyDescent="0.2">
      <c r="B224">
        <f t="shared" si="8"/>
        <v>122.65055000000001</v>
      </c>
      <c r="D224" s="5">
        <v>32</v>
      </c>
      <c r="E224" s="28">
        <f t="shared" si="11"/>
        <v>2.8746222656250002</v>
      </c>
      <c r="F224" s="28">
        <f t="shared" si="1"/>
        <v>3.8328296875000003</v>
      </c>
      <c r="G224" s="28">
        <f t="shared" si="12"/>
        <v>4.7910371093750008</v>
      </c>
      <c r="I224" s="5">
        <v>32</v>
      </c>
      <c r="J224" s="28">
        <f t="shared" si="13"/>
        <v>2.8746222656250002</v>
      </c>
      <c r="K224" s="28">
        <f t="shared" si="14"/>
        <v>3.8328296875000003</v>
      </c>
      <c r="L224" s="28">
        <f t="shared" si="15"/>
        <v>4.7910371093750008</v>
      </c>
      <c r="R224" s="5">
        <v>32</v>
      </c>
      <c r="S224" s="28">
        <f t="shared" si="20"/>
        <v>2.8746222656250002</v>
      </c>
      <c r="T224" s="28">
        <f t="shared" si="21"/>
        <v>3.8328296875000003</v>
      </c>
      <c r="U224" s="28">
        <f t="shared" si="22"/>
        <v>4.7910371093750008</v>
      </c>
      <c r="V224" s="28">
        <f t="shared" si="23"/>
        <v>3.8912305951214443</v>
      </c>
    </row>
    <row r="225" spans="2:22" x14ac:dyDescent="0.2">
      <c r="B225">
        <f t="shared" si="8"/>
        <v>123.06505000000001</v>
      </c>
      <c r="D225" s="5">
        <v>33</v>
      </c>
      <c r="E225" s="28">
        <f t="shared" si="11"/>
        <v>2.7969329545454551</v>
      </c>
      <c r="F225" s="28">
        <f t="shared" ref="F225:F256" si="24">($F$184+(D225-VINMAX)*$E$277/$E$278)/D225</f>
        <v>3.7292439393939398</v>
      </c>
      <c r="G225" s="28">
        <f t="shared" si="12"/>
        <v>4.6615549242424246</v>
      </c>
      <c r="I225" s="5">
        <v>33</v>
      </c>
      <c r="J225" s="28">
        <f t="shared" si="13"/>
        <v>2.7969329545454551</v>
      </c>
      <c r="K225" s="28">
        <f t="shared" si="14"/>
        <v>3.7292439393939398</v>
      </c>
      <c r="L225" s="28">
        <f t="shared" si="15"/>
        <v>4.6615549242424246</v>
      </c>
      <c r="R225" s="5">
        <v>33</v>
      </c>
      <c r="S225" s="28">
        <f t="shared" si="20"/>
        <v>2.7969329545454551</v>
      </c>
      <c r="T225" s="28">
        <f t="shared" si="21"/>
        <v>3.7292439393939398</v>
      </c>
      <c r="U225" s="28">
        <f t="shared" si="22"/>
        <v>4.6615549242424246</v>
      </c>
      <c r="V225" s="28">
        <f t="shared" si="23"/>
        <v>3.7733145164814004</v>
      </c>
    </row>
    <row r="226" spans="2:22" x14ac:dyDescent="0.2">
      <c r="B226">
        <f t="shared" si="8"/>
        <v>123.47955</v>
      </c>
      <c r="D226" s="5">
        <v>34</v>
      </c>
      <c r="E226" s="28">
        <f t="shared" si="11"/>
        <v>2.7238136029411768</v>
      </c>
      <c r="F226" s="28">
        <f t="shared" si="24"/>
        <v>3.6317514705882354</v>
      </c>
      <c r="G226" s="28">
        <f t="shared" si="12"/>
        <v>4.5396893382352941</v>
      </c>
      <c r="I226" s="5">
        <v>34</v>
      </c>
      <c r="J226" s="28">
        <f t="shared" si="13"/>
        <v>2.7238136029411768</v>
      </c>
      <c r="K226" s="28">
        <f t="shared" si="14"/>
        <v>3.6317514705882354</v>
      </c>
      <c r="L226" s="28">
        <f t="shared" si="15"/>
        <v>4.5396893382352941</v>
      </c>
      <c r="R226" s="5">
        <v>34</v>
      </c>
      <c r="S226" s="28">
        <f t="shared" si="20"/>
        <v>2.7238136029411768</v>
      </c>
      <c r="T226" s="28">
        <f t="shared" si="21"/>
        <v>3.6317514705882354</v>
      </c>
      <c r="U226" s="28">
        <f t="shared" si="22"/>
        <v>4.5396893382352941</v>
      </c>
      <c r="V226" s="28">
        <f t="shared" si="23"/>
        <v>3.6623346777613595</v>
      </c>
    </row>
    <row r="227" spans="2:22" x14ac:dyDescent="0.2">
      <c r="B227">
        <f t="shared" si="8"/>
        <v>123.89405000000001</v>
      </c>
      <c r="D227" s="5">
        <v>35</v>
      </c>
      <c r="E227" s="28">
        <f t="shared" si="11"/>
        <v>2.6548725000000002</v>
      </c>
      <c r="F227" s="28">
        <f t="shared" si="24"/>
        <v>3.5398300000000003</v>
      </c>
      <c r="G227" s="28">
        <f t="shared" si="12"/>
        <v>4.4247875000000008</v>
      </c>
      <c r="I227" s="5">
        <v>35</v>
      </c>
      <c r="J227" s="28">
        <f t="shared" si="13"/>
        <v>2.6548725000000002</v>
      </c>
      <c r="K227" s="28">
        <f t="shared" si="14"/>
        <v>3.5398300000000003</v>
      </c>
      <c r="L227" s="28">
        <f t="shared" si="15"/>
        <v>4.4247875000000008</v>
      </c>
      <c r="R227" s="5">
        <v>35</v>
      </c>
      <c r="S227" s="28">
        <f t="shared" si="20"/>
        <v>2.6548725000000002</v>
      </c>
      <c r="T227" s="28">
        <f t="shared" si="21"/>
        <v>3.5398300000000003</v>
      </c>
      <c r="U227" s="28">
        <f t="shared" si="22"/>
        <v>4.4247875000000008</v>
      </c>
      <c r="V227" s="28">
        <f t="shared" si="23"/>
        <v>3.5576965441110349</v>
      </c>
    </row>
    <row r="228" spans="2:22" x14ac:dyDescent="0.2">
      <c r="B228">
        <f t="shared" si="8"/>
        <v>124.30855000000003</v>
      </c>
      <c r="D228" s="5">
        <v>36</v>
      </c>
      <c r="E228" s="28">
        <f t="shared" si="11"/>
        <v>2.5897614583333337</v>
      </c>
      <c r="F228" s="28">
        <f t="shared" si="24"/>
        <v>3.4530152777777783</v>
      </c>
      <c r="G228" s="28">
        <f t="shared" si="12"/>
        <v>4.3162690972222233</v>
      </c>
      <c r="I228" s="5">
        <v>36</v>
      </c>
      <c r="J228" s="28">
        <f t="shared" si="13"/>
        <v>2.5897614583333337</v>
      </c>
      <c r="K228" s="28">
        <f t="shared" si="14"/>
        <v>3.4530152777777783</v>
      </c>
      <c r="L228" s="28">
        <f t="shared" si="15"/>
        <v>4.3162690972222233</v>
      </c>
      <c r="R228" s="5">
        <v>36</v>
      </c>
      <c r="S228" s="28">
        <f t="shared" si="20"/>
        <v>2.5897614583333337</v>
      </c>
      <c r="T228" s="28">
        <f t="shared" si="21"/>
        <v>3.4530152777777783</v>
      </c>
      <c r="U228" s="28">
        <f t="shared" si="22"/>
        <v>4.3162690972222233</v>
      </c>
      <c r="V228" s="28">
        <f t="shared" si="23"/>
        <v>3.4588716401079505</v>
      </c>
    </row>
    <row r="229" spans="2:22" x14ac:dyDescent="0.2">
      <c r="B229">
        <f t="shared" si="8"/>
        <v>124.72305000000001</v>
      </c>
      <c r="D229" s="5">
        <v>37</v>
      </c>
      <c r="E229" s="28">
        <f t="shared" si="11"/>
        <v>2.5281699324324327</v>
      </c>
      <c r="F229" s="28">
        <f t="shared" si="24"/>
        <v>3.3708932432432435</v>
      </c>
      <c r="G229" s="28">
        <f t="shared" si="12"/>
        <v>4.2136165540540542</v>
      </c>
      <c r="I229" s="5">
        <v>37</v>
      </c>
      <c r="J229" s="28">
        <f t="shared" si="13"/>
        <v>2.5281699324324327</v>
      </c>
      <c r="K229" s="28">
        <f t="shared" si="14"/>
        <v>3.3708932432432435</v>
      </c>
      <c r="L229" s="28">
        <f t="shared" si="15"/>
        <v>4.2136165540540542</v>
      </c>
      <c r="R229" s="5">
        <v>37</v>
      </c>
      <c r="S229" s="28">
        <f t="shared" ref="S229:S233" si="25">IF($R229&gt;$F$177,0.0000000005,J229)</f>
        <v>2.5281699324324327</v>
      </c>
      <c r="T229" s="28">
        <f t="shared" ref="T229:T233" si="26">IF($R229&gt;$F$177,0.0000000005,K229)</f>
        <v>3.3708932432432435</v>
      </c>
      <c r="U229" s="28">
        <f t="shared" ref="U229:U233" si="27">IF($R229&gt;$F$177,0.0000000005,L229)</f>
        <v>4.2136165540540542</v>
      </c>
      <c r="V229" s="28">
        <f t="shared" ref="V229:V233" si="28">$X$193/R229</f>
        <v>3.3653886228077354</v>
      </c>
    </row>
    <row r="230" spans="2:22" x14ac:dyDescent="0.2">
      <c r="B230">
        <f t="shared" si="8"/>
        <v>125.13755</v>
      </c>
      <c r="D230" s="5">
        <v>38</v>
      </c>
      <c r="E230" s="28">
        <f t="shared" si="11"/>
        <v>2.4698200657894738</v>
      </c>
      <c r="F230" s="28">
        <f t="shared" si="24"/>
        <v>3.2930934210526317</v>
      </c>
      <c r="G230" s="28">
        <f t="shared" si="12"/>
        <v>4.1163667763157896</v>
      </c>
      <c r="I230" s="5">
        <v>38</v>
      </c>
      <c r="J230" s="28">
        <f t="shared" si="13"/>
        <v>2.4698200657894738</v>
      </c>
      <c r="K230" s="28">
        <f t="shared" si="14"/>
        <v>3.2930934210526317</v>
      </c>
      <c r="L230" s="28">
        <f t="shared" si="15"/>
        <v>4.1163667763157896</v>
      </c>
      <c r="R230" s="26">
        <v>38</v>
      </c>
      <c r="S230" s="28">
        <f t="shared" si="25"/>
        <v>2.4698200657894738</v>
      </c>
      <c r="T230" s="28">
        <f t="shared" si="26"/>
        <v>3.2930934210526317</v>
      </c>
      <c r="U230" s="28">
        <f t="shared" si="27"/>
        <v>4.1163667763157896</v>
      </c>
      <c r="V230" s="28">
        <f t="shared" si="28"/>
        <v>3.2768257643127954</v>
      </c>
    </row>
    <row r="231" spans="2:22" x14ac:dyDescent="0.2">
      <c r="B231">
        <f t="shared" si="8"/>
        <v>125.55205000000001</v>
      </c>
      <c r="D231" s="5">
        <v>39</v>
      </c>
      <c r="E231" s="28">
        <f t="shared" si="11"/>
        <v>2.4144625000000004</v>
      </c>
      <c r="F231" s="28">
        <f t="shared" si="24"/>
        <v>3.2192833333333337</v>
      </c>
      <c r="G231" s="28">
        <f t="shared" si="12"/>
        <v>4.0241041666666675</v>
      </c>
      <c r="I231" s="5">
        <v>39</v>
      </c>
      <c r="J231" s="28">
        <f t="shared" si="13"/>
        <v>2.4144625000000004</v>
      </c>
      <c r="K231" s="28">
        <f t="shared" si="14"/>
        <v>3.2192833333333337</v>
      </c>
      <c r="L231" s="28">
        <f t="shared" si="15"/>
        <v>4.0241041666666675</v>
      </c>
      <c r="R231" s="26">
        <v>39</v>
      </c>
      <c r="S231" s="28">
        <f t="shared" si="25"/>
        <v>2.4144625000000004</v>
      </c>
      <c r="T231" s="28">
        <f t="shared" si="26"/>
        <v>3.2192833333333337</v>
      </c>
      <c r="U231" s="28">
        <f t="shared" si="27"/>
        <v>4.0241041666666675</v>
      </c>
      <c r="V231" s="28">
        <f t="shared" si="28"/>
        <v>3.1928045908688776</v>
      </c>
    </row>
    <row r="232" spans="2:22" x14ac:dyDescent="0.2">
      <c r="B232">
        <f t="shared" si="8"/>
        <v>125.96655000000001</v>
      </c>
      <c r="D232" s="5">
        <v>40</v>
      </c>
      <c r="E232" s="28">
        <f t="shared" si="11"/>
        <v>2.3618728125000006</v>
      </c>
      <c r="F232" s="28">
        <f t="shared" si="24"/>
        <v>3.1491637500000005</v>
      </c>
      <c r="G232" s="28">
        <f t="shared" si="12"/>
        <v>3.9364546875000004</v>
      </c>
      <c r="I232" s="5">
        <v>40</v>
      </c>
      <c r="J232" s="28">
        <f t="shared" si="13"/>
        <v>2.3618728125000006</v>
      </c>
      <c r="K232" s="28">
        <f t="shared" si="14"/>
        <v>3.1491637500000005</v>
      </c>
      <c r="L232" s="28">
        <f t="shared" si="15"/>
        <v>3.9364546875000004</v>
      </c>
      <c r="R232" s="26">
        <v>40</v>
      </c>
      <c r="S232" s="28">
        <f t="shared" si="25"/>
        <v>2.3618728125000006</v>
      </c>
      <c r="T232" s="28">
        <f t="shared" si="26"/>
        <v>3.1491637500000005</v>
      </c>
      <c r="U232" s="28">
        <f t="shared" si="27"/>
        <v>3.9364546875000004</v>
      </c>
      <c r="V232" s="28">
        <f t="shared" si="28"/>
        <v>3.1129844760971555</v>
      </c>
    </row>
    <row r="233" spans="2:22" x14ac:dyDescent="0.2">
      <c r="B233">
        <f t="shared" si="8"/>
        <v>126.38105</v>
      </c>
      <c r="D233" s="5">
        <v>41</v>
      </c>
      <c r="E233" s="28">
        <f t="shared" si="11"/>
        <v>2.3118484756097564</v>
      </c>
      <c r="F233" s="28">
        <f t="shared" si="24"/>
        <v>3.0824646341463415</v>
      </c>
      <c r="G233" s="28">
        <f t="shared" si="12"/>
        <v>3.8530807926829267</v>
      </c>
      <c r="I233" s="5">
        <v>41</v>
      </c>
      <c r="J233" s="28">
        <f t="shared" si="13"/>
        <v>2.3118484756097564</v>
      </c>
      <c r="K233" s="28">
        <f t="shared" si="14"/>
        <v>3.0824646341463415</v>
      </c>
      <c r="L233" s="28">
        <f t="shared" si="15"/>
        <v>3.8530807926829267</v>
      </c>
      <c r="R233" s="5">
        <v>41</v>
      </c>
      <c r="S233" s="28">
        <f t="shared" si="25"/>
        <v>2.3118484756097564</v>
      </c>
      <c r="T233" s="28">
        <f t="shared" si="26"/>
        <v>3.0824646341463415</v>
      </c>
      <c r="U233" s="28">
        <f t="shared" si="27"/>
        <v>3.8530807926829267</v>
      </c>
      <c r="V233" s="28">
        <f t="shared" si="28"/>
        <v>3.0370580254606394</v>
      </c>
    </row>
    <row r="234" spans="2:22" x14ac:dyDescent="0.2">
      <c r="B234">
        <f t="shared" si="8"/>
        <v>126.79554999999999</v>
      </c>
      <c r="D234" s="5">
        <v>42</v>
      </c>
      <c r="E234" s="28">
        <f t="shared" si="11"/>
        <v>2.26420625</v>
      </c>
      <c r="F234" s="28">
        <f t="shared" si="24"/>
        <v>3.0189416666666666</v>
      </c>
      <c r="G234" s="28">
        <f t="shared" si="12"/>
        <v>3.7736770833333333</v>
      </c>
      <c r="I234" s="5">
        <v>42</v>
      </c>
      <c r="J234" s="28">
        <f t="shared" si="13"/>
        <v>2.26420625</v>
      </c>
      <c r="K234" s="28">
        <f t="shared" si="14"/>
        <v>3.0189416666666666</v>
      </c>
      <c r="L234" s="28">
        <f t="shared" si="15"/>
        <v>3.7736770833333333</v>
      </c>
      <c r="R234" s="5">
        <v>42</v>
      </c>
      <c r="S234" s="28">
        <f t="shared" ref="S234:S249" si="29">IF($R234&gt;$F$177,0.0000000005,J234)</f>
        <v>2.26420625</v>
      </c>
      <c r="T234" s="28">
        <f t="shared" ref="T234:T249" si="30">IF($R234&gt;$F$177,0.0000000005,K234)</f>
        <v>3.0189416666666666</v>
      </c>
      <c r="U234" s="28">
        <f t="shared" ref="U234:U249" si="31">IF($R234&gt;$F$177,0.0000000005,L234)</f>
        <v>3.7736770833333333</v>
      </c>
      <c r="V234" s="28">
        <f t="shared" si="23"/>
        <v>2.9647471200925288</v>
      </c>
    </row>
    <row r="235" spans="2:22" x14ac:dyDescent="0.2">
      <c r="B235">
        <f t="shared" si="8"/>
        <v>127.21005</v>
      </c>
      <c r="D235" s="5">
        <v>43</v>
      </c>
      <c r="E235" s="28">
        <f t="shared" si="11"/>
        <v>2.2187799418604652</v>
      </c>
      <c r="F235" s="28">
        <f t="shared" si="24"/>
        <v>2.9583732558139535</v>
      </c>
      <c r="G235" s="28">
        <f t="shared" si="12"/>
        <v>3.6979665697674418</v>
      </c>
      <c r="I235" s="5">
        <v>43</v>
      </c>
      <c r="J235" s="28">
        <f t="shared" si="13"/>
        <v>2.2187799418604652</v>
      </c>
      <c r="K235" s="28">
        <f t="shared" si="14"/>
        <v>2.9583732558139535</v>
      </c>
      <c r="L235" s="28">
        <f t="shared" si="15"/>
        <v>3.6979665697674418</v>
      </c>
      <c r="R235" s="5">
        <v>43</v>
      </c>
      <c r="S235" s="28">
        <f t="shared" si="29"/>
        <v>5.0000000000000003E-10</v>
      </c>
      <c r="T235" s="28">
        <f t="shared" si="30"/>
        <v>5.0000000000000003E-10</v>
      </c>
      <c r="U235" s="28">
        <f t="shared" si="31"/>
        <v>5.0000000000000003E-10</v>
      </c>
      <c r="V235" s="28">
        <f t="shared" si="23"/>
        <v>2.8957995126485168</v>
      </c>
    </row>
    <row r="236" spans="2:22" x14ac:dyDescent="0.2">
      <c r="B236">
        <f t="shared" si="8"/>
        <v>127.62455000000001</v>
      </c>
      <c r="D236" s="5">
        <v>44</v>
      </c>
      <c r="E236" s="28">
        <f t="shared" si="11"/>
        <v>2.1754184659090909</v>
      </c>
      <c r="F236" s="28">
        <f t="shared" si="24"/>
        <v>2.9005579545454547</v>
      </c>
      <c r="G236" s="28">
        <f t="shared" si="12"/>
        <v>3.6256974431818185</v>
      </c>
      <c r="I236" s="5">
        <v>44</v>
      </c>
      <c r="J236" s="28">
        <f t="shared" si="13"/>
        <v>2.1754184659090909</v>
      </c>
      <c r="K236" s="28">
        <f t="shared" si="14"/>
        <v>2.9005579545454547</v>
      </c>
      <c r="L236" s="28">
        <f t="shared" si="15"/>
        <v>3.6256974431818185</v>
      </c>
      <c r="R236" s="5">
        <v>44</v>
      </c>
      <c r="S236" s="28">
        <f t="shared" si="29"/>
        <v>5.0000000000000003E-10</v>
      </c>
      <c r="T236" s="28">
        <f t="shared" si="30"/>
        <v>5.0000000000000003E-10</v>
      </c>
      <c r="U236" s="28">
        <f t="shared" si="31"/>
        <v>5.0000000000000003E-10</v>
      </c>
      <c r="V236" s="28">
        <f t="shared" si="23"/>
        <v>2.8299858873610506</v>
      </c>
    </row>
    <row r="237" spans="2:22" x14ac:dyDescent="0.2">
      <c r="B237">
        <f t="shared" si="8"/>
        <v>128.03905</v>
      </c>
      <c r="D237" s="5">
        <v>45</v>
      </c>
      <c r="E237" s="28">
        <f t="shared" si="11"/>
        <v>2.1339841666666666</v>
      </c>
      <c r="F237" s="28">
        <f t="shared" si="24"/>
        <v>2.8453122222222222</v>
      </c>
      <c r="G237" s="28">
        <f t="shared" si="12"/>
        <v>3.5566402777777779</v>
      </c>
      <c r="I237" s="5">
        <v>45</v>
      </c>
      <c r="J237" s="28">
        <f t="shared" si="13"/>
        <v>2.1339841666666666</v>
      </c>
      <c r="K237" s="28">
        <f t="shared" si="14"/>
        <v>2.8453122222222222</v>
      </c>
      <c r="L237" s="28">
        <f t="shared" si="15"/>
        <v>3.5566402777777779</v>
      </c>
      <c r="R237" s="5">
        <v>45</v>
      </c>
      <c r="S237" s="28">
        <f t="shared" si="29"/>
        <v>5.0000000000000003E-10</v>
      </c>
      <c r="T237" s="28">
        <f t="shared" si="30"/>
        <v>5.0000000000000003E-10</v>
      </c>
      <c r="U237" s="28">
        <f t="shared" si="31"/>
        <v>5.0000000000000003E-10</v>
      </c>
      <c r="V237" s="28">
        <f t="shared" si="23"/>
        <v>2.7670973120863604</v>
      </c>
    </row>
    <row r="238" spans="2:22" x14ac:dyDescent="0.2">
      <c r="B238">
        <f t="shared" si="8"/>
        <v>128.45355000000001</v>
      </c>
      <c r="D238" s="5">
        <v>46</v>
      </c>
      <c r="E238" s="28">
        <f t="shared" si="11"/>
        <v>2.0943513586956524</v>
      </c>
      <c r="F238" s="28">
        <f t="shared" si="24"/>
        <v>2.7924684782608695</v>
      </c>
      <c r="G238" s="28">
        <f t="shared" si="12"/>
        <v>3.4905855978260867</v>
      </c>
      <c r="I238" s="5">
        <v>46</v>
      </c>
      <c r="J238" s="28">
        <f t="shared" si="13"/>
        <v>2.0943513586956524</v>
      </c>
      <c r="K238" s="28">
        <f t="shared" si="14"/>
        <v>2.7924684782608695</v>
      </c>
      <c r="L238" s="28">
        <f t="shared" si="15"/>
        <v>3.4905855978260867</v>
      </c>
      <c r="R238" s="5">
        <v>46</v>
      </c>
      <c r="S238" s="28">
        <f t="shared" si="29"/>
        <v>5.0000000000000003E-10</v>
      </c>
      <c r="T238" s="28">
        <f t="shared" si="30"/>
        <v>5.0000000000000003E-10</v>
      </c>
      <c r="U238" s="28">
        <f t="shared" si="31"/>
        <v>5.0000000000000003E-10</v>
      </c>
      <c r="V238" s="28">
        <f t="shared" si="23"/>
        <v>2.7069430226931788</v>
      </c>
    </row>
    <row r="239" spans="2:22" x14ac:dyDescent="0.2">
      <c r="B239">
        <f t="shared" si="8"/>
        <v>128.86805000000001</v>
      </c>
      <c r="D239" s="5">
        <v>47</v>
      </c>
      <c r="E239" s="28">
        <f t="shared" si="11"/>
        <v>2.0564050531914897</v>
      </c>
      <c r="F239" s="28">
        <f t="shared" si="24"/>
        <v>2.7418734042553194</v>
      </c>
      <c r="G239" s="28">
        <f t="shared" si="12"/>
        <v>3.4273417553191492</v>
      </c>
      <c r="I239" s="5">
        <v>47</v>
      </c>
      <c r="J239" s="28">
        <f t="shared" si="13"/>
        <v>2.0564050531914897</v>
      </c>
      <c r="K239" s="28">
        <f t="shared" si="14"/>
        <v>2.7418734042553194</v>
      </c>
      <c r="L239" s="28">
        <f t="shared" si="15"/>
        <v>3.4273417553191492</v>
      </c>
      <c r="R239" s="5">
        <v>47</v>
      </c>
      <c r="S239" s="28">
        <f t="shared" si="29"/>
        <v>5.0000000000000003E-10</v>
      </c>
      <c r="T239" s="28">
        <f t="shared" si="30"/>
        <v>5.0000000000000003E-10</v>
      </c>
      <c r="U239" s="28">
        <f t="shared" si="31"/>
        <v>5.0000000000000003E-10</v>
      </c>
      <c r="V239" s="28">
        <f t="shared" si="23"/>
        <v>2.6493484902954516</v>
      </c>
    </row>
    <row r="240" spans="2:22" x14ac:dyDescent="0.2">
      <c r="B240">
        <f t="shared" si="8"/>
        <v>129.28255000000001</v>
      </c>
      <c r="D240" s="5">
        <v>48</v>
      </c>
      <c r="E240" s="28">
        <f t="shared" si="11"/>
        <v>2.0200398437500002</v>
      </c>
      <c r="F240" s="28">
        <f t="shared" si="24"/>
        <v>2.6933864583333338</v>
      </c>
      <c r="G240" s="28">
        <f t="shared" si="12"/>
        <v>3.3667330729166673</v>
      </c>
      <c r="I240" s="5">
        <v>48</v>
      </c>
      <c r="J240" s="28">
        <f t="shared" si="13"/>
        <v>2.0200398437500002</v>
      </c>
      <c r="K240" s="28">
        <f t="shared" si="14"/>
        <v>2.6933864583333338</v>
      </c>
      <c r="L240" s="28">
        <f t="shared" si="15"/>
        <v>3.3667330729166673</v>
      </c>
      <c r="R240" s="5">
        <v>48</v>
      </c>
      <c r="S240" s="28">
        <f t="shared" si="29"/>
        <v>5.0000000000000003E-10</v>
      </c>
      <c r="T240" s="28">
        <f t="shared" si="30"/>
        <v>5.0000000000000003E-10</v>
      </c>
      <c r="U240" s="28">
        <f t="shared" si="31"/>
        <v>5.0000000000000003E-10</v>
      </c>
      <c r="V240" s="28">
        <f t="shared" si="23"/>
        <v>2.5941537300809627</v>
      </c>
    </row>
    <row r="241" spans="2:22" x14ac:dyDescent="0.2">
      <c r="B241">
        <f t="shared" si="8"/>
        <v>129.69705000000002</v>
      </c>
      <c r="D241" s="5">
        <v>49</v>
      </c>
      <c r="E241" s="28">
        <f t="shared" si="11"/>
        <v>1.9851589285714288</v>
      </c>
      <c r="F241" s="28">
        <f t="shared" si="24"/>
        <v>2.6468785714285716</v>
      </c>
      <c r="G241" s="28">
        <f t="shared" si="12"/>
        <v>3.3085982142857144</v>
      </c>
      <c r="I241" s="5">
        <v>49</v>
      </c>
      <c r="J241" s="28">
        <f t="shared" si="13"/>
        <v>1.9851589285714288</v>
      </c>
      <c r="K241" s="28">
        <f t="shared" si="14"/>
        <v>2.6468785714285716</v>
      </c>
      <c r="L241" s="28">
        <f t="shared" si="15"/>
        <v>3.3085982142857144</v>
      </c>
      <c r="R241" s="5">
        <v>49</v>
      </c>
      <c r="S241" s="28">
        <f t="shared" si="29"/>
        <v>5.0000000000000003E-10</v>
      </c>
      <c r="T241" s="28">
        <f t="shared" si="30"/>
        <v>5.0000000000000003E-10</v>
      </c>
      <c r="U241" s="28">
        <f t="shared" si="31"/>
        <v>5.0000000000000003E-10</v>
      </c>
      <c r="V241" s="28">
        <f t="shared" si="23"/>
        <v>2.5412118172221678</v>
      </c>
    </row>
    <row r="242" spans="2:22" x14ac:dyDescent="0.2">
      <c r="B242">
        <f t="shared" si="8"/>
        <v>130.11154999999999</v>
      </c>
      <c r="D242" s="5">
        <v>50</v>
      </c>
      <c r="E242" s="28">
        <f t="shared" si="11"/>
        <v>1.9516732499999998</v>
      </c>
      <c r="F242" s="28">
        <f t="shared" si="24"/>
        <v>2.6022309999999997</v>
      </c>
      <c r="G242" s="28">
        <f t="shared" si="12"/>
        <v>3.2527887499999997</v>
      </c>
      <c r="I242" s="5">
        <v>50</v>
      </c>
      <c r="J242" s="28">
        <f t="shared" si="13"/>
        <v>1.9516732499999998</v>
      </c>
      <c r="K242" s="28">
        <f t="shared" si="14"/>
        <v>2.6022309999999997</v>
      </c>
      <c r="L242" s="28">
        <f t="shared" si="15"/>
        <v>3.2527887499999997</v>
      </c>
      <c r="R242" s="5">
        <v>50</v>
      </c>
      <c r="S242" s="28">
        <f t="shared" si="29"/>
        <v>5.0000000000000003E-10</v>
      </c>
      <c r="T242" s="28">
        <f t="shared" si="30"/>
        <v>5.0000000000000003E-10</v>
      </c>
      <c r="U242" s="28">
        <f t="shared" si="31"/>
        <v>5.0000000000000003E-10</v>
      </c>
      <c r="V242" s="28">
        <f t="shared" si="23"/>
        <v>2.4903875808777243</v>
      </c>
    </row>
    <row r="243" spans="2:22" x14ac:dyDescent="0.2">
      <c r="B243">
        <f t="shared" si="8"/>
        <v>130.52605</v>
      </c>
      <c r="D243" s="5">
        <v>51</v>
      </c>
      <c r="E243" s="28">
        <f t="shared" si="11"/>
        <v>1.9195007352941178</v>
      </c>
      <c r="F243" s="28">
        <f t="shared" si="24"/>
        <v>2.5593343137254903</v>
      </c>
      <c r="G243" s="28">
        <f t="shared" si="12"/>
        <v>3.1991678921568627</v>
      </c>
      <c r="I243" s="5">
        <v>51</v>
      </c>
      <c r="J243" s="28">
        <f t="shared" si="13"/>
        <v>1.9195007352941178</v>
      </c>
      <c r="K243" s="28">
        <f t="shared" si="14"/>
        <v>2.5593343137254903</v>
      </c>
      <c r="L243" s="28">
        <f t="shared" si="15"/>
        <v>3.1991678921568627</v>
      </c>
      <c r="R243" s="5">
        <v>51</v>
      </c>
      <c r="S243" s="28">
        <f t="shared" si="29"/>
        <v>5.0000000000000003E-10</v>
      </c>
      <c r="T243" s="28">
        <f t="shared" si="30"/>
        <v>5.0000000000000003E-10</v>
      </c>
      <c r="U243" s="28">
        <f t="shared" si="31"/>
        <v>5.0000000000000003E-10</v>
      </c>
      <c r="V243" s="28">
        <f t="shared" si="23"/>
        <v>2.4415564518409063</v>
      </c>
    </row>
    <row r="244" spans="2:22" x14ac:dyDescent="0.2">
      <c r="B244">
        <f t="shared" si="8"/>
        <v>130.94055</v>
      </c>
      <c r="D244" s="5">
        <v>52</v>
      </c>
      <c r="E244" s="28">
        <f t="shared" si="11"/>
        <v>1.888565625</v>
      </c>
      <c r="F244" s="28">
        <f t="shared" si="24"/>
        <v>2.5180875</v>
      </c>
      <c r="G244" s="28">
        <f t="shared" si="12"/>
        <v>3.147609375</v>
      </c>
      <c r="I244" s="5">
        <v>52</v>
      </c>
      <c r="J244" s="28">
        <f t="shared" si="13"/>
        <v>1.888565625</v>
      </c>
      <c r="K244" s="28">
        <f t="shared" si="14"/>
        <v>2.5180875</v>
      </c>
      <c r="L244" s="28">
        <f t="shared" si="15"/>
        <v>3.147609375</v>
      </c>
      <c r="R244" s="5">
        <v>52</v>
      </c>
      <c r="S244" s="28">
        <f t="shared" si="29"/>
        <v>5.0000000000000003E-10</v>
      </c>
      <c r="T244" s="28">
        <f t="shared" si="30"/>
        <v>5.0000000000000003E-10</v>
      </c>
      <c r="U244" s="28">
        <f t="shared" si="31"/>
        <v>5.0000000000000003E-10</v>
      </c>
      <c r="V244" s="28">
        <f t="shared" si="23"/>
        <v>2.3946034431516581</v>
      </c>
    </row>
    <row r="245" spans="2:22" x14ac:dyDescent="0.2">
      <c r="B245">
        <f t="shared" si="8"/>
        <v>131.35505000000001</v>
      </c>
      <c r="D245" s="5">
        <v>53</v>
      </c>
      <c r="E245" s="28">
        <f t="shared" si="11"/>
        <v>1.8587978773584906</v>
      </c>
      <c r="F245" s="28">
        <f t="shared" si="24"/>
        <v>2.4783971698113207</v>
      </c>
      <c r="G245" s="28">
        <f t="shared" si="12"/>
        <v>3.0979964622641507</v>
      </c>
      <c r="I245" s="5">
        <v>53</v>
      </c>
      <c r="J245" s="28">
        <f t="shared" si="13"/>
        <v>1.8587978773584906</v>
      </c>
      <c r="K245" s="28">
        <f t="shared" si="14"/>
        <v>2.4783971698113207</v>
      </c>
      <c r="L245" s="28">
        <f t="shared" si="15"/>
        <v>3.0979964622641507</v>
      </c>
      <c r="R245" s="5">
        <v>53</v>
      </c>
      <c r="S245" s="28">
        <f t="shared" si="29"/>
        <v>5.0000000000000003E-10</v>
      </c>
      <c r="T245" s="28">
        <f t="shared" si="30"/>
        <v>5.0000000000000003E-10</v>
      </c>
      <c r="U245" s="28">
        <f t="shared" si="31"/>
        <v>5.0000000000000003E-10</v>
      </c>
      <c r="V245" s="28">
        <f t="shared" si="23"/>
        <v>2.3494222461110605</v>
      </c>
    </row>
    <row r="246" spans="2:22" x14ac:dyDescent="0.2">
      <c r="B246">
        <f t="shared" si="8"/>
        <v>131.76955000000001</v>
      </c>
      <c r="D246" s="5">
        <v>54</v>
      </c>
      <c r="E246" s="28">
        <f t="shared" si="11"/>
        <v>1.8301326388888888</v>
      </c>
      <c r="F246" s="28">
        <f t="shared" si="24"/>
        <v>2.4401768518518518</v>
      </c>
      <c r="G246" s="28">
        <f t="shared" si="12"/>
        <v>3.0502210648148149</v>
      </c>
      <c r="I246" s="5">
        <v>54</v>
      </c>
      <c r="J246" s="28">
        <f t="shared" si="13"/>
        <v>1.8301326388888888</v>
      </c>
      <c r="K246" s="28">
        <f t="shared" si="14"/>
        <v>2.4401768518518518</v>
      </c>
      <c r="L246" s="28">
        <f t="shared" si="15"/>
        <v>3.0502210648148149</v>
      </c>
      <c r="R246" s="5">
        <v>54</v>
      </c>
      <c r="S246" s="28">
        <f t="shared" si="29"/>
        <v>5.0000000000000003E-10</v>
      </c>
      <c r="T246" s="28">
        <f t="shared" si="30"/>
        <v>5.0000000000000003E-10</v>
      </c>
      <c r="U246" s="28">
        <f t="shared" si="31"/>
        <v>5.0000000000000003E-10</v>
      </c>
      <c r="V246" s="28">
        <f t="shared" si="23"/>
        <v>2.3059144267386338</v>
      </c>
    </row>
    <row r="247" spans="2:22" x14ac:dyDescent="0.2">
      <c r="B247">
        <f t="shared" si="8"/>
        <v>132.18405000000001</v>
      </c>
      <c r="D247" s="5">
        <v>55</v>
      </c>
      <c r="E247" s="28">
        <f t="shared" si="11"/>
        <v>1.8025097727272728</v>
      </c>
      <c r="F247" s="28">
        <f t="shared" si="24"/>
        <v>2.4033463636363637</v>
      </c>
      <c r="G247" s="28">
        <f t="shared" si="12"/>
        <v>3.0041829545454544</v>
      </c>
      <c r="I247" s="5">
        <v>55</v>
      </c>
      <c r="J247" s="28">
        <f t="shared" si="13"/>
        <v>1.8025097727272728</v>
      </c>
      <c r="K247" s="28">
        <f t="shared" si="14"/>
        <v>2.4033463636363637</v>
      </c>
      <c r="L247" s="28">
        <f t="shared" si="15"/>
        <v>3.0041829545454544</v>
      </c>
      <c r="R247" s="5">
        <v>55</v>
      </c>
      <c r="S247" s="28">
        <f t="shared" si="29"/>
        <v>5.0000000000000003E-10</v>
      </c>
      <c r="T247" s="28">
        <f t="shared" si="30"/>
        <v>5.0000000000000003E-10</v>
      </c>
      <c r="U247" s="28">
        <f t="shared" si="31"/>
        <v>5.0000000000000003E-10</v>
      </c>
      <c r="V247" s="28">
        <f t="shared" si="23"/>
        <v>2.2639887098888405</v>
      </c>
    </row>
    <row r="248" spans="2:22" x14ac:dyDescent="0.2">
      <c r="B248">
        <f t="shared" si="8"/>
        <v>132.59855000000002</v>
      </c>
      <c r="D248" s="5">
        <v>56</v>
      </c>
      <c r="E248" s="28">
        <f t="shared" si="11"/>
        <v>1.7758734375000005</v>
      </c>
      <c r="F248" s="28">
        <f t="shared" si="24"/>
        <v>2.3678312500000005</v>
      </c>
      <c r="G248" s="28">
        <f t="shared" si="12"/>
        <v>2.9597890625000005</v>
      </c>
      <c r="I248" s="5">
        <v>56</v>
      </c>
      <c r="J248" s="28">
        <f t="shared" si="13"/>
        <v>1.7758734375000005</v>
      </c>
      <c r="K248" s="28">
        <f t="shared" si="14"/>
        <v>2.3678312500000005</v>
      </c>
      <c r="L248" s="28">
        <f t="shared" si="15"/>
        <v>2.9597890625000005</v>
      </c>
      <c r="R248" s="5">
        <v>56</v>
      </c>
      <c r="S248" s="28">
        <f t="shared" si="29"/>
        <v>5.0000000000000003E-10</v>
      </c>
      <c r="T248" s="28">
        <f t="shared" si="30"/>
        <v>5.0000000000000003E-10</v>
      </c>
      <c r="U248" s="28">
        <f t="shared" si="31"/>
        <v>5.0000000000000003E-10</v>
      </c>
      <c r="V248" s="28">
        <f t="shared" si="23"/>
        <v>2.2235603400693966</v>
      </c>
    </row>
    <row r="249" spans="2:22" x14ac:dyDescent="0.2">
      <c r="B249">
        <f t="shared" si="8"/>
        <v>133.01305000000002</v>
      </c>
      <c r="D249" s="5">
        <v>57</v>
      </c>
      <c r="E249" s="28">
        <f t="shared" si="11"/>
        <v>1.7501717105263161</v>
      </c>
      <c r="F249" s="28">
        <f t="shared" si="24"/>
        <v>2.3335622807017549</v>
      </c>
      <c r="G249" s="28">
        <f t="shared" si="12"/>
        <v>2.9169528508771938</v>
      </c>
      <c r="I249" s="5">
        <v>57</v>
      </c>
      <c r="J249" s="28">
        <f t="shared" si="13"/>
        <v>1.7501717105263161</v>
      </c>
      <c r="K249" s="28">
        <f t="shared" si="14"/>
        <v>2.3335622807017549</v>
      </c>
      <c r="L249" s="28">
        <f t="shared" si="15"/>
        <v>2.9169528508771938</v>
      </c>
      <c r="R249" s="5">
        <v>57</v>
      </c>
      <c r="S249" s="28">
        <f t="shared" si="29"/>
        <v>5.0000000000000003E-10</v>
      </c>
      <c r="T249" s="28">
        <f t="shared" si="30"/>
        <v>5.0000000000000003E-10</v>
      </c>
      <c r="U249" s="28">
        <f t="shared" si="31"/>
        <v>5.0000000000000003E-10</v>
      </c>
      <c r="V249" s="28">
        <f t="shared" si="23"/>
        <v>2.1845505095418636</v>
      </c>
    </row>
    <row r="250" spans="2:22" x14ac:dyDescent="0.2">
      <c r="B250">
        <f t="shared" si="8"/>
        <v>133.42755</v>
      </c>
      <c r="D250" s="5">
        <v>58</v>
      </c>
      <c r="E250" s="28">
        <f t="shared" si="11"/>
        <v>1.7253562499999999</v>
      </c>
      <c r="F250" s="28">
        <f t="shared" si="24"/>
        <v>2.300475</v>
      </c>
      <c r="G250" s="28">
        <f t="shared" si="12"/>
        <v>2.8755937500000002</v>
      </c>
      <c r="I250" s="5">
        <v>58</v>
      </c>
      <c r="J250" s="28">
        <f t="shared" si="13"/>
        <v>1.7253562499999999</v>
      </c>
      <c r="K250" s="28">
        <f t="shared" si="14"/>
        <v>2.300475</v>
      </c>
      <c r="L250" s="28">
        <f t="shared" si="15"/>
        <v>2.8755937500000002</v>
      </c>
      <c r="R250" s="26">
        <v>58</v>
      </c>
      <c r="S250" s="28">
        <f t="shared" ref="S250:S272" si="32">IF($R250&gt;$F$177,0.0000000005,J250)</f>
        <v>5.0000000000000003E-10</v>
      </c>
      <c r="T250" s="28">
        <f t="shared" ref="T250:T272" si="33">IF($R250&gt;$F$177,0.0000000005,K250)</f>
        <v>5.0000000000000003E-10</v>
      </c>
      <c r="U250" s="28">
        <f t="shared" ref="U250:U272" si="34">IF($R250&gt;$F$177,0.0000000005,L250)</f>
        <v>5.0000000000000003E-10</v>
      </c>
      <c r="V250" s="28">
        <f t="shared" ref="V250:V272" si="35">$X$193/R250</f>
        <v>2.146885845584245</v>
      </c>
    </row>
    <row r="251" spans="2:22" x14ac:dyDescent="0.2">
      <c r="B251">
        <f t="shared" si="8"/>
        <v>133.84205</v>
      </c>
      <c r="D251" s="5">
        <v>59</v>
      </c>
      <c r="E251" s="28">
        <f t="shared" si="11"/>
        <v>1.7013819915254236</v>
      </c>
      <c r="F251" s="28">
        <f t="shared" si="24"/>
        <v>2.2685093220338981</v>
      </c>
      <c r="G251" s="28">
        <f t="shared" si="12"/>
        <v>2.8356366525423726</v>
      </c>
      <c r="I251" s="5">
        <v>59</v>
      </c>
      <c r="J251" s="28">
        <f t="shared" si="13"/>
        <v>1.7013819915254236</v>
      </c>
      <c r="K251" s="28">
        <f t="shared" si="14"/>
        <v>2.2685093220338981</v>
      </c>
      <c r="L251" s="28">
        <f t="shared" si="15"/>
        <v>2.8356366525423726</v>
      </c>
      <c r="R251" s="26">
        <v>59</v>
      </c>
      <c r="S251" s="28">
        <f t="shared" si="32"/>
        <v>5.0000000000000003E-10</v>
      </c>
      <c r="T251" s="28">
        <f t="shared" si="33"/>
        <v>5.0000000000000003E-10</v>
      </c>
      <c r="U251" s="28">
        <f t="shared" si="34"/>
        <v>5.0000000000000003E-10</v>
      </c>
      <c r="V251" s="28">
        <f t="shared" si="35"/>
        <v>2.1104979498963767</v>
      </c>
    </row>
    <row r="252" spans="2:22" x14ac:dyDescent="0.2">
      <c r="B252">
        <f t="shared" si="8"/>
        <v>134.25655</v>
      </c>
      <c r="D252" s="5">
        <v>60</v>
      </c>
      <c r="E252" s="28">
        <f t="shared" si="11"/>
        <v>1.6782068749999999</v>
      </c>
      <c r="F252" s="28">
        <f t="shared" si="24"/>
        <v>2.2376091666666666</v>
      </c>
      <c r="G252" s="28">
        <f t="shared" si="12"/>
        <v>2.7970114583333334</v>
      </c>
      <c r="I252" s="5">
        <v>60</v>
      </c>
      <c r="J252" s="28">
        <f t="shared" si="13"/>
        <v>1.6782068749999999</v>
      </c>
      <c r="K252" s="28">
        <f t="shared" si="14"/>
        <v>2.2376091666666666</v>
      </c>
      <c r="L252" s="28">
        <f t="shared" si="15"/>
        <v>2.7970114583333334</v>
      </c>
      <c r="R252" s="26">
        <v>60</v>
      </c>
      <c r="S252" s="28">
        <f t="shared" si="32"/>
        <v>5.0000000000000003E-10</v>
      </c>
      <c r="T252" s="28">
        <f t="shared" si="33"/>
        <v>5.0000000000000003E-10</v>
      </c>
      <c r="U252" s="28">
        <f t="shared" si="34"/>
        <v>5.0000000000000003E-10</v>
      </c>
      <c r="V252" s="28">
        <f t="shared" si="35"/>
        <v>2.0753229840647704</v>
      </c>
    </row>
    <row r="253" spans="2:22" x14ac:dyDescent="0.2">
      <c r="B253">
        <f t="shared" si="8"/>
        <v>134.67105000000001</v>
      </c>
      <c r="D253" s="5">
        <v>61</v>
      </c>
      <c r="E253" s="28">
        <f t="shared" si="11"/>
        <v>1.6557915983606559</v>
      </c>
      <c r="F253" s="28">
        <f t="shared" si="24"/>
        <v>2.2077221311475412</v>
      </c>
      <c r="G253" s="28">
        <f t="shared" si="12"/>
        <v>2.7596526639344265</v>
      </c>
      <c r="I253" s="5">
        <v>61</v>
      </c>
      <c r="J253" s="28">
        <f t="shared" si="13"/>
        <v>1.6557915983606559</v>
      </c>
      <c r="K253" s="28">
        <f t="shared" si="14"/>
        <v>2.2077221311475412</v>
      </c>
      <c r="L253" s="28">
        <f t="shared" si="15"/>
        <v>2.7596526639344265</v>
      </c>
      <c r="R253" s="5">
        <v>61</v>
      </c>
      <c r="S253" s="28">
        <f t="shared" si="32"/>
        <v>5.0000000000000003E-10</v>
      </c>
      <c r="T253" s="28">
        <f t="shared" si="33"/>
        <v>5.0000000000000003E-10</v>
      </c>
      <c r="U253" s="28">
        <f t="shared" si="34"/>
        <v>5.0000000000000003E-10</v>
      </c>
      <c r="V253" s="28">
        <f t="shared" si="35"/>
        <v>2.0413012958014134</v>
      </c>
    </row>
    <row r="254" spans="2:22" x14ac:dyDescent="0.2">
      <c r="B254">
        <f t="shared" si="8"/>
        <v>135.08555000000001</v>
      </c>
      <c r="D254" s="5">
        <v>62</v>
      </c>
      <c r="E254" s="28">
        <f t="shared" si="11"/>
        <v>1.6340993951612903</v>
      </c>
      <c r="F254" s="28">
        <f t="shared" si="24"/>
        <v>2.1787991935483872</v>
      </c>
      <c r="G254" s="28">
        <f t="shared" si="12"/>
        <v>2.7234989919354842</v>
      </c>
      <c r="I254" s="5">
        <v>62</v>
      </c>
      <c r="J254" s="28">
        <f t="shared" si="13"/>
        <v>1.6340993951612903</v>
      </c>
      <c r="K254" s="28">
        <f t="shared" si="14"/>
        <v>2.1787991935483872</v>
      </c>
      <c r="L254" s="28">
        <f t="shared" si="15"/>
        <v>2.7234989919354842</v>
      </c>
      <c r="R254" s="5">
        <v>62</v>
      </c>
      <c r="S254" s="28">
        <f t="shared" si="32"/>
        <v>5.0000000000000003E-10</v>
      </c>
      <c r="T254" s="28">
        <f t="shared" si="33"/>
        <v>5.0000000000000003E-10</v>
      </c>
      <c r="U254" s="28">
        <f t="shared" si="34"/>
        <v>5.0000000000000003E-10</v>
      </c>
      <c r="V254" s="28">
        <f t="shared" si="35"/>
        <v>2.0083770813530033</v>
      </c>
    </row>
    <row r="255" spans="2:22" x14ac:dyDescent="0.2">
      <c r="B255">
        <f t="shared" si="8"/>
        <v>135.50005000000002</v>
      </c>
      <c r="D255" s="5">
        <v>63</v>
      </c>
      <c r="E255" s="28">
        <f t="shared" si="11"/>
        <v>1.6130958333333334</v>
      </c>
      <c r="F255" s="28">
        <f t="shared" si="24"/>
        <v>2.1507944444444447</v>
      </c>
      <c r="G255" s="28">
        <f t="shared" si="12"/>
        <v>2.688493055555556</v>
      </c>
      <c r="I255" s="5">
        <v>63</v>
      </c>
      <c r="J255" s="28">
        <f t="shared" si="13"/>
        <v>1.6130958333333334</v>
      </c>
      <c r="K255" s="28">
        <f t="shared" si="14"/>
        <v>2.1507944444444447</v>
      </c>
      <c r="L255" s="28">
        <f t="shared" si="15"/>
        <v>2.688493055555556</v>
      </c>
      <c r="R255" s="5">
        <v>63</v>
      </c>
      <c r="S255" s="28">
        <f t="shared" si="32"/>
        <v>5.0000000000000003E-10</v>
      </c>
      <c r="T255" s="28">
        <f t="shared" si="33"/>
        <v>5.0000000000000003E-10</v>
      </c>
      <c r="U255" s="28">
        <f t="shared" si="34"/>
        <v>5.0000000000000003E-10</v>
      </c>
      <c r="V255" s="28">
        <f t="shared" si="35"/>
        <v>1.976498080061686</v>
      </c>
    </row>
    <row r="256" spans="2:22" x14ac:dyDescent="0.2">
      <c r="B256">
        <f t="shared" si="8"/>
        <v>135.91455000000002</v>
      </c>
      <c r="D256" s="5">
        <v>64</v>
      </c>
      <c r="E256" s="28">
        <f t="shared" si="11"/>
        <v>1.5927486328125002</v>
      </c>
      <c r="F256" s="28">
        <f t="shared" si="24"/>
        <v>2.1236648437500003</v>
      </c>
      <c r="G256" s="28">
        <f t="shared" si="12"/>
        <v>2.6545810546875002</v>
      </c>
      <c r="I256" s="5">
        <v>64</v>
      </c>
      <c r="J256" s="28">
        <f t="shared" si="13"/>
        <v>1.5927486328125002</v>
      </c>
      <c r="K256" s="28">
        <f t="shared" si="14"/>
        <v>2.1236648437500003</v>
      </c>
      <c r="L256" s="28">
        <f t="shared" si="15"/>
        <v>2.6545810546875002</v>
      </c>
      <c r="R256" s="5">
        <v>64</v>
      </c>
      <c r="S256" s="28">
        <f t="shared" si="32"/>
        <v>5.0000000000000003E-10</v>
      </c>
      <c r="T256" s="28">
        <f t="shared" si="33"/>
        <v>5.0000000000000003E-10</v>
      </c>
      <c r="U256" s="28">
        <f t="shared" si="34"/>
        <v>5.0000000000000003E-10</v>
      </c>
      <c r="V256" s="28">
        <f t="shared" si="35"/>
        <v>1.9456152975607222</v>
      </c>
    </row>
    <row r="257" spans="2:22" x14ac:dyDescent="0.2">
      <c r="B257">
        <f t="shared" si="8"/>
        <v>136.32905</v>
      </c>
      <c r="D257" s="5">
        <v>65</v>
      </c>
      <c r="E257" s="28">
        <f t="shared" si="11"/>
        <v>1.5730274999999998</v>
      </c>
      <c r="F257" s="28">
        <f t="shared" ref="F257:F272" si="36">($F$184+(D257-VINMAX)*$E$277/$E$278)/D257</f>
        <v>2.0973699999999997</v>
      </c>
      <c r="G257" s="28">
        <f t="shared" si="12"/>
        <v>2.6217124999999997</v>
      </c>
      <c r="I257" s="5">
        <v>65</v>
      </c>
      <c r="J257" s="28">
        <f t="shared" si="13"/>
        <v>1.5730274999999998</v>
      </c>
      <c r="K257" s="28">
        <f t="shared" si="14"/>
        <v>2.0973699999999997</v>
      </c>
      <c r="L257" s="28">
        <f t="shared" si="15"/>
        <v>2.6217124999999997</v>
      </c>
      <c r="R257" s="5">
        <v>65</v>
      </c>
      <c r="S257" s="28">
        <f t="shared" si="32"/>
        <v>5.0000000000000003E-10</v>
      </c>
      <c r="T257" s="28">
        <f t="shared" si="33"/>
        <v>5.0000000000000003E-10</v>
      </c>
      <c r="U257" s="28">
        <f t="shared" si="34"/>
        <v>5.0000000000000003E-10</v>
      </c>
      <c r="V257" s="28">
        <f t="shared" si="35"/>
        <v>1.9156827545213264</v>
      </c>
    </row>
    <row r="258" spans="2:22" x14ac:dyDescent="0.2">
      <c r="B258">
        <f t="shared" ref="B258:B272" si="37">D258*F258</f>
        <v>136.74355</v>
      </c>
      <c r="D258" s="5">
        <v>66</v>
      </c>
      <c r="E258" s="28">
        <f t="shared" si="11"/>
        <v>1.5539039772727272</v>
      </c>
      <c r="F258" s="28">
        <f t="shared" si="36"/>
        <v>2.0718719696969696</v>
      </c>
      <c r="G258" s="28">
        <f t="shared" si="12"/>
        <v>2.589839962121212</v>
      </c>
      <c r="I258" s="5">
        <v>66</v>
      </c>
      <c r="J258" s="28">
        <f t="shared" si="13"/>
        <v>1.5539039772727272</v>
      </c>
      <c r="K258" s="28">
        <f t="shared" si="14"/>
        <v>2.0718719696969696</v>
      </c>
      <c r="L258" s="28">
        <f t="shared" si="15"/>
        <v>2.589839962121212</v>
      </c>
      <c r="R258" s="5">
        <v>66</v>
      </c>
      <c r="S258" s="28">
        <f t="shared" si="32"/>
        <v>5.0000000000000003E-10</v>
      </c>
      <c r="T258" s="28">
        <f t="shared" si="33"/>
        <v>5.0000000000000003E-10</v>
      </c>
      <c r="U258" s="28">
        <f t="shared" si="34"/>
        <v>5.0000000000000003E-10</v>
      </c>
      <c r="V258" s="28">
        <f t="shared" si="35"/>
        <v>1.8866572582407002</v>
      </c>
    </row>
    <row r="259" spans="2:22" x14ac:dyDescent="0.2">
      <c r="B259">
        <f t="shared" si="37"/>
        <v>137.15805</v>
      </c>
      <c r="D259" s="5">
        <v>67</v>
      </c>
      <c r="E259" s="28">
        <f t="shared" si="11"/>
        <v>1.5353513059701491</v>
      </c>
      <c r="F259" s="28">
        <f t="shared" si="36"/>
        <v>2.0471350746268655</v>
      </c>
      <c r="G259" s="28">
        <f t="shared" si="12"/>
        <v>2.5589188432835819</v>
      </c>
      <c r="I259" s="5">
        <v>67</v>
      </c>
      <c r="J259" s="28">
        <f t="shared" si="13"/>
        <v>1.5353513059701491</v>
      </c>
      <c r="K259" s="28">
        <f t="shared" si="14"/>
        <v>2.0471350746268655</v>
      </c>
      <c r="L259" s="28">
        <f t="shared" si="15"/>
        <v>2.5589188432835819</v>
      </c>
      <c r="R259" s="5">
        <v>67</v>
      </c>
      <c r="S259" s="28">
        <f t="shared" si="32"/>
        <v>5.0000000000000003E-10</v>
      </c>
      <c r="T259" s="28">
        <f t="shared" si="33"/>
        <v>5.0000000000000003E-10</v>
      </c>
      <c r="U259" s="28">
        <f t="shared" si="34"/>
        <v>5.0000000000000003E-10</v>
      </c>
      <c r="V259" s="28">
        <f t="shared" si="35"/>
        <v>1.8584981946848689</v>
      </c>
    </row>
    <row r="260" spans="2:22" x14ac:dyDescent="0.2">
      <c r="B260">
        <f t="shared" si="37"/>
        <v>137.57255000000001</v>
      </c>
      <c r="D260" s="5">
        <v>68</v>
      </c>
      <c r="E260" s="28">
        <f t="shared" si="11"/>
        <v>1.5173443014705885</v>
      </c>
      <c r="F260" s="28">
        <f t="shared" si="36"/>
        <v>2.0231257352941179</v>
      </c>
      <c r="G260" s="28">
        <f t="shared" si="12"/>
        <v>2.5289071691176472</v>
      </c>
      <c r="I260" s="5">
        <v>68</v>
      </c>
      <c r="J260" s="28">
        <f t="shared" si="13"/>
        <v>1.5173443014705885</v>
      </c>
      <c r="K260" s="28">
        <f t="shared" si="14"/>
        <v>2.0231257352941179</v>
      </c>
      <c r="L260" s="28">
        <f t="shared" si="15"/>
        <v>2.5289071691176472</v>
      </c>
      <c r="R260" s="5">
        <v>68</v>
      </c>
      <c r="S260" s="28">
        <f t="shared" si="32"/>
        <v>5.0000000000000003E-10</v>
      </c>
      <c r="T260" s="28">
        <f t="shared" si="33"/>
        <v>5.0000000000000003E-10</v>
      </c>
      <c r="U260" s="28">
        <f t="shared" si="34"/>
        <v>5.0000000000000003E-10</v>
      </c>
      <c r="V260" s="28">
        <f t="shared" si="35"/>
        <v>1.8311673388806797</v>
      </c>
    </row>
    <row r="261" spans="2:22" x14ac:dyDescent="0.2">
      <c r="B261">
        <f t="shared" si="37"/>
        <v>137.98705000000001</v>
      </c>
      <c r="D261" s="5">
        <v>69</v>
      </c>
      <c r="E261" s="28">
        <f t="shared" si="11"/>
        <v>1.4998592391304348</v>
      </c>
      <c r="F261" s="28">
        <f t="shared" si="36"/>
        <v>1.9998123188405799</v>
      </c>
      <c r="G261" s="28">
        <f t="shared" si="12"/>
        <v>2.4997653985507249</v>
      </c>
      <c r="I261" s="5">
        <v>69</v>
      </c>
      <c r="J261" s="28">
        <f t="shared" si="13"/>
        <v>1.4998592391304348</v>
      </c>
      <c r="K261" s="28">
        <f t="shared" si="14"/>
        <v>1.9998123188405799</v>
      </c>
      <c r="L261" s="28">
        <f t="shared" si="15"/>
        <v>2.4997653985507249</v>
      </c>
      <c r="R261" s="5">
        <v>69</v>
      </c>
      <c r="S261" s="28">
        <f t="shared" si="32"/>
        <v>5.0000000000000003E-10</v>
      </c>
      <c r="T261" s="28">
        <f t="shared" si="33"/>
        <v>5.0000000000000003E-10</v>
      </c>
      <c r="U261" s="28">
        <f t="shared" si="34"/>
        <v>5.0000000000000003E-10</v>
      </c>
      <c r="V261" s="28">
        <f t="shared" si="35"/>
        <v>1.8046286817954524</v>
      </c>
    </row>
    <row r="262" spans="2:22" x14ac:dyDescent="0.2">
      <c r="B262">
        <f t="shared" si="37"/>
        <v>138.40155000000001</v>
      </c>
      <c r="D262" s="5">
        <v>70</v>
      </c>
      <c r="E262" s="28">
        <f t="shared" si="11"/>
        <v>1.4828737500000002</v>
      </c>
      <c r="F262" s="28">
        <f t="shared" si="36"/>
        <v>1.9771650000000003</v>
      </c>
      <c r="G262" s="28">
        <f t="shared" si="12"/>
        <v>2.4714562500000001</v>
      </c>
      <c r="I262" s="5">
        <v>70</v>
      </c>
      <c r="J262" s="28">
        <f t="shared" si="13"/>
        <v>1.4828737500000002</v>
      </c>
      <c r="K262" s="28">
        <f t="shared" si="14"/>
        <v>1.9771650000000003</v>
      </c>
      <c r="L262" s="28">
        <f t="shared" si="15"/>
        <v>2.4714562500000001</v>
      </c>
      <c r="R262" s="5">
        <v>70</v>
      </c>
      <c r="S262" s="28">
        <f t="shared" si="32"/>
        <v>5.0000000000000003E-10</v>
      </c>
      <c r="T262" s="28">
        <f t="shared" si="33"/>
        <v>5.0000000000000003E-10</v>
      </c>
      <c r="U262" s="28">
        <f t="shared" si="34"/>
        <v>5.0000000000000003E-10</v>
      </c>
      <c r="V262" s="28">
        <f t="shared" si="35"/>
        <v>1.7788482720555174</v>
      </c>
    </row>
    <row r="263" spans="2:22" x14ac:dyDescent="0.2">
      <c r="B263">
        <f t="shared" si="37"/>
        <v>138.81605000000002</v>
      </c>
      <c r="D263" s="5">
        <v>71</v>
      </c>
      <c r="E263" s="28">
        <f t="shared" si="11"/>
        <v>1.4663667253521129</v>
      </c>
      <c r="F263" s="28">
        <f t="shared" si="36"/>
        <v>1.9551556338028171</v>
      </c>
      <c r="G263" s="28">
        <f t="shared" si="12"/>
        <v>2.4439445422535213</v>
      </c>
      <c r="I263" s="5">
        <v>71</v>
      </c>
      <c r="J263" s="28">
        <f t="shared" si="13"/>
        <v>1.4663667253521129</v>
      </c>
      <c r="K263" s="28">
        <f t="shared" si="14"/>
        <v>1.9551556338028171</v>
      </c>
      <c r="L263" s="28">
        <f t="shared" si="15"/>
        <v>2.4439445422535213</v>
      </c>
      <c r="R263" s="5">
        <v>71</v>
      </c>
      <c r="S263" s="28">
        <f t="shared" si="32"/>
        <v>5.0000000000000003E-10</v>
      </c>
      <c r="T263" s="28">
        <f t="shared" si="33"/>
        <v>5.0000000000000003E-10</v>
      </c>
      <c r="U263" s="28">
        <f t="shared" si="34"/>
        <v>5.0000000000000003E-10</v>
      </c>
      <c r="V263" s="28">
        <f t="shared" si="35"/>
        <v>1.753794071040651</v>
      </c>
    </row>
    <row r="264" spans="2:22" x14ac:dyDescent="0.2">
      <c r="B264">
        <f t="shared" si="37"/>
        <v>139.23054999999999</v>
      </c>
      <c r="D264" s="5">
        <v>72</v>
      </c>
      <c r="E264" s="28">
        <f t="shared" si="11"/>
        <v>1.4503182291666668</v>
      </c>
      <c r="F264" s="28">
        <f t="shared" si="36"/>
        <v>1.9337576388888889</v>
      </c>
      <c r="G264" s="28">
        <f t="shared" si="12"/>
        <v>2.417197048611111</v>
      </c>
      <c r="I264" s="5">
        <v>72</v>
      </c>
      <c r="J264" s="28">
        <f t="shared" si="13"/>
        <v>1.4503182291666668</v>
      </c>
      <c r="K264" s="28">
        <f t="shared" si="14"/>
        <v>1.9337576388888889</v>
      </c>
      <c r="L264" s="28">
        <f t="shared" si="15"/>
        <v>2.417197048611111</v>
      </c>
      <c r="R264" s="5">
        <v>72</v>
      </c>
      <c r="S264" s="28">
        <f t="shared" si="32"/>
        <v>5.0000000000000003E-10</v>
      </c>
      <c r="T264" s="28">
        <f t="shared" si="33"/>
        <v>5.0000000000000003E-10</v>
      </c>
      <c r="U264" s="28">
        <f t="shared" si="34"/>
        <v>5.0000000000000003E-10</v>
      </c>
      <c r="V264" s="28">
        <f t="shared" si="35"/>
        <v>1.7294358200539752</v>
      </c>
    </row>
    <row r="265" spans="2:22" x14ac:dyDescent="0.2">
      <c r="B265">
        <f t="shared" si="37"/>
        <v>139.64505</v>
      </c>
      <c r="D265" s="5">
        <v>73</v>
      </c>
      <c r="E265" s="28">
        <f t="shared" si="11"/>
        <v>1.4347094178082191</v>
      </c>
      <c r="F265" s="28">
        <f t="shared" si="36"/>
        <v>1.9129458904109589</v>
      </c>
      <c r="G265" s="28">
        <f t="shared" si="12"/>
        <v>2.3911823630136988</v>
      </c>
      <c r="I265" s="5">
        <v>73</v>
      </c>
      <c r="J265" s="28">
        <f t="shared" si="13"/>
        <v>1.4347094178082191</v>
      </c>
      <c r="K265" s="28">
        <f t="shared" si="14"/>
        <v>1.9129458904109589</v>
      </c>
      <c r="L265" s="28">
        <f t="shared" si="15"/>
        <v>2.3911823630136988</v>
      </c>
      <c r="R265" s="5">
        <v>73</v>
      </c>
      <c r="S265" s="28">
        <f t="shared" si="32"/>
        <v>5.0000000000000003E-10</v>
      </c>
      <c r="T265" s="28">
        <f t="shared" si="33"/>
        <v>5.0000000000000003E-10</v>
      </c>
      <c r="U265" s="28">
        <f t="shared" si="34"/>
        <v>5.0000000000000003E-10</v>
      </c>
      <c r="V265" s="28">
        <f t="shared" si="35"/>
        <v>1.7057449184094002</v>
      </c>
    </row>
    <row r="266" spans="2:22" x14ac:dyDescent="0.2">
      <c r="B266">
        <f t="shared" si="37"/>
        <v>140.05955</v>
      </c>
      <c r="D266" s="5">
        <v>74</v>
      </c>
      <c r="E266" s="28">
        <f t="shared" si="11"/>
        <v>1.4195224662162162</v>
      </c>
      <c r="F266" s="28">
        <f t="shared" si="36"/>
        <v>1.8926966216216217</v>
      </c>
      <c r="G266" s="28">
        <f t="shared" si="12"/>
        <v>2.3658707770270269</v>
      </c>
      <c r="I266" s="5">
        <v>74</v>
      </c>
      <c r="J266" s="28">
        <f t="shared" si="13"/>
        <v>1.4195224662162162</v>
      </c>
      <c r="K266" s="28">
        <f t="shared" si="14"/>
        <v>1.8926966216216217</v>
      </c>
      <c r="L266" s="28">
        <f t="shared" si="15"/>
        <v>2.3658707770270269</v>
      </c>
      <c r="R266" s="5">
        <v>74</v>
      </c>
      <c r="S266" s="28">
        <f t="shared" si="32"/>
        <v>5.0000000000000003E-10</v>
      </c>
      <c r="T266" s="28">
        <f t="shared" si="33"/>
        <v>5.0000000000000003E-10</v>
      </c>
      <c r="U266" s="28">
        <f t="shared" si="34"/>
        <v>5.0000000000000003E-10</v>
      </c>
      <c r="V266" s="28">
        <f t="shared" si="35"/>
        <v>1.6826943114038677</v>
      </c>
    </row>
    <row r="267" spans="2:22" x14ac:dyDescent="0.2">
      <c r="B267">
        <f t="shared" si="37"/>
        <v>140.47405000000001</v>
      </c>
      <c r="D267" s="5">
        <v>75</v>
      </c>
      <c r="E267" s="28">
        <f t="shared" si="11"/>
        <v>1.4047404999999999</v>
      </c>
      <c r="F267" s="28">
        <f t="shared" si="36"/>
        <v>1.8729873333333333</v>
      </c>
      <c r="G267" s="28">
        <f t="shared" si="12"/>
        <v>2.3412341666666667</v>
      </c>
      <c r="I267" s="5">
        <v>75</v>
      </c>
      <c r="J267" s="28">
        <f t="shared" si="13"/>
        <v>1.4047404999999999</v>
      </c>
      <c r="K267" s="28">
        <f t="shared" si="14"/>
        <v>1.8729873333333333</v>
      </c>
      <c r="L267" s="28">
        <f t="shared" si="15"/>
        <v>2.3412341666666667</v>
      </c>
      <c r="R267" s="5">
        <v>75</v>
      </c>
      <c r="S267" s="28">
        <f t="shared" si="32"/>
        <v>5.0000000000000003E-10</v>
      </c>
      <c r="T267" s="28">
        <f t="shared" si="33"/>
        <v>5.0000000000000003E-10</v>
      </c>
      <c r="U267" s="28">
        <f t="shared" si="34"/>
        <v>5.0000000000000003E-10</v>
      </c>
      <c r="V267" s="28">
        <f t="shared" si="35"/>
        <v>1.6602583872518162</v>
      </c>
    </row>
    <row r="268" spans="2:22" x14ac:dyDescent="0.2">
      <c r="B268">
        <f t="shared" si="37"/>
        <v>140.88855000000001</v>
      </c>
      <c r="D268" s="5">
        <v>76</v>
      </c>
      <c r="E268" s="28">
        <f t="shared" si="11"/>
        <v>1.390347532894737</v>
      </c>
      <c r="F268" s="28">
        <f t="shared" si="36"/>
        <v>1.853796710526316</v>
      </c>
      <c r="G268" s="28">
        <f t="shared" si="12"/>
        <v>2.317245888157895</v>
      </c>
      <c r="I268" s="5">
        <v>76</v>
      </c>
      <c r="J268" s="28">
        <f t="shared" si="13"/>
        <v>1.390347532894737</v>
      </c>
      <c r="K268" s="28">
        <f t="shared" si="14"/>
        <v>1.853796710526316</v>
      </c>
      <c r="L268" s="28">
        <f t="shared" si="15"/>
        <v>2.317245888157895</v>
      </c>
      <c r="R268" s="5">
        <v>76</v>
      </c>
      <c r="S268" s="28">
        <f t="shared" si="32"/>
        <v>5.0000000000000003E-10</v>
      </c>
      <c r="T268" s="28">
        <f t="shared" si="33"/>
        <v>5.0000000000000003E-10</v>
      </c>
      <c r="U268" s="28">
        <f t="shared" si="34"/>
        <v>5.0000000000000003E-10</v>
      </c>
      <c r="V268" s="28">
        <f t="shared" si="35"/>
        <v>1.6384128821563977</v>
      </c>
    </row>
    <row r="269" spans="2:22" x14ac:dyDescent="0.2">
      <c r="B269">
        <f t="shared" si="37"/>
        <v>141.30305000000001</v>
      </c>
      <c r="D269" s="5">
        <v>77</v>
      </c>
      <c r="E269" s="28">
        <f t="shared" si="11"/>
        <v>1.3763284090909091</v>
      </c>
      <c r="F269" s="28">
        <f t="shared" si="36"/>
        <v>1.8351045454545456</v>
      </c>
      <c r="G269" s="28">
        <f t="shared" si="12"/>
        <v>2.2938806818181821</v>
      </c>
      <c r="I269" s="5">
        <v>77</v>
      </c>
      <c r="J269" s="28">
        <f t="shared" si="13"/>
        <v>1.3763284090909091</v>
      </c>
      <c r="K269" s="28">
        <f t="shared" si="14"/>
        <v>1.8351045454545456</v>
      </c>
      <c r="L269" s="28">
        <f t="shared" si="15"/>
        <v>2.2938806818181821</v>
      </c>
      <c r="R269" s="5">
        <v>77</v>
      </c>
      <c r="S269" s="28">
        <f t="shared" si="32"/>
        <v>5.0000000000000003E-10</v>
      </c>
      <c r="T269" s="28">
        <f t="shared" si="33"/>
        <v>5.0000000000000003E-10</v>
      </c>
      <c r="U269" s="28">
        <f t="shared" si="34"/>
        <v>5.0000000000000003E-10</v>
      </c>
      <c r="V269" s="28">
        <f t="shared" si="35"/>
        <v>1.6171347927777431</v>
      </c>
    </row>
    <row r="270" spans="2:22" x14ac:dyDescent="0.2">
      <c r="B270">
        <f t="shared" si="37"/>
        <v>141.71755000000002</v>
      </c>
      <c r="D270" s="5">
        <v>78</v>
      </c>
      <c r="E270" s="28">
        <f t="shared" si="11"/>
        <v>1.3626687500000001</v>
      </c>
      <c r="F270" s="28">
        <f t="shared" si="36"/>
        <v>1.8168916666666668</v>
      </c>
      <c r="G270" s="28">
        <f t="shared" si="12"/>
        <v>2.2711145833333335</v>
      </c>
      <c r="I270" s="5">
        <v>78</v>
      </c>
      <c r="J270" s="28">
        <f t="shared" si="13"/>
        <v>1.3626687500000001</v>
      </c>
      <c r="K270" s="28">
        <f t="shared" si="14"/>
        <v>1.8168916666666668</v>
      </c>
      <c r="L270" s="28">
        <f t="shared" si="15"/>
        <v>2.2711145833333335</v>
      </c>
      <c r="R270" s="26">
        <v>78</v>
      </c>
      <c r="S270" s="28">
        <f t="shared" si="32"/>
        <v>5.0000000000000003E-10</v>
      </c>
      <c r="T270" s="28">
        <f t="shared" si="33"/>
        <v>5.0000000000000003E-10</v>
      </c>
      <c r="U270" s="28">
        <f t="shared" si="34"/>
        <v>5.0000000000000003E-10</v>
      </c>
      <c r="V270" s="28">
        <f t="shared" si="35"/>
        <v>1.5964022954344388</v>
      </c>
    </row>
    <row r="271" spans="2:22" x14ac:dyDescent="0.2">
      <c r="B271">
        <f t="shared" si="37"/>
        <v>142.13204999999999</v>
      </c>
      <c r="D271" s="5">
        <v>79</v>
      </c>
      <c r="E271" s="28">
        <f t="shared" si="11"/>
        <v>1.3493549050632911</v>
      </c>
      <c r="F271" s="28">
        <f t="shared" si="36"/>
        <v>1.7991398734177215</v>
      </c>
      <c r="G271" s="28">
        <f t="shared" si="12"/>
        <v>2.2489248417721521</v>
      </c>
      <c r="I271" s="5">
        <v>79</v>
      </c>
      <c r="J271" s="28">
        <f t="shared" si="13"/>
        <v>1.3493549050632911</v>
      </c>
      <c r="K271" s="28">
        <f t="shared" si="14"/>
        <v>1.7991398734177215</v>
      </c>
      <c r="L271" s="28">
        <f t="shared" si="15"/>
        <v>2.2489248417721521</v>
      </c>
      <c r="R271" s="26">
        <v>79</v>
      </c>
      <c r="S271" s="28">
        <f t="shared" si="32"/>
        <v>5.0000000000000003E-10</v>
      </c>
      <c r="T271" s="28">
        <f t="shared" si="33"/>
        <v>5.0000000000000003E-10</v>
      </c>
      <c r="U271" s="28">
        <f t="shared" si="34"/>
        <v>5.0000000000000003E-10</v>
      </c>
      <c r="V271" s="28">
        <f t="shared" si="35"/>
        <v>1.5761946714415977</v>
      </c>
    </row>
    <row r="272" spans="2:22" x14ac:dyDescent="0.2">
      <c r="B272">
        <f t="shared" si="37"/>
        <v>142.54655</v>
      </c>
      <c r="D272" s="5">
        <v>80</v>
      </c>
      <c r="E272" s="28">
        <f t="shared" si="11"/>
        <v>1.33637390625</v>
      </c>
      <c r="F272" s="28">
        <f t="shared" si="36"/>
        <v>1.781831875</v>
      </c>
      <c r="G272" s="28">
        <f t="shared" si="12"/>
        <v>2.2272898437499999</v>
      </c>
      <c r="I272" s="5">
        <v>80</v>
      </c>
      <c r="J272" s="28">
        <f t="shared" si="13"/>
        <v>1.33637390625</v>
      </c>
      <c r="K272" s="28">
        <f t="shared" si="14"/>
        <v>1.781831875</v>
      </c>
      <c r="L272" s="28">
        <f t="shared" si="15"/>
        <v>2.2272898437499999</v>
      </c>
      <c r="R272" s="26">
        <v>80</v>
      </c>
      <c r="S272" s="28">
        <f t="shared" si="32"/>
        <v>5.0000000000000003E-10</v>
      </c>
      <c r="T272" s="28">
        <f t="shared" si="33"/>
        <v>5.0000000000000003E-10</v>
      </c>
      <c r="U272" s="28">
        <f t="shared" si="34"/>
        <v>5.0000000000000003E-10</v>
      </c>
      <c r="V272" s="28">
        <f t="shared" si="35"/>
        <v>1.5564922380485777</v>
      </c>
    </row>
    <row r="273" spans="4:12" x14ac:dyDescent="0.2">
      <c r="D273" s="212"/>
      <c r="E273" s="238"/>
      <c r="F273" s="238"/>
      <c r="G273" s="238"/>
      <c r="I273" s="212"/>
      <c r="J273" s="238"/>
      <c r="K273" s="238"/>
      <c r="L273" s="238"/>
    </row>
    <row r="275" spans="4:12" x14ac:dyDescent="0.2">
      <c r="D275" s="33" t="s">
        <v>311</v>
      </c>
    </row>
    <row r="277" spans="4:12" x14ac:dyDescent="0.2">
      <c r="D277" s="33" t="s">
        <v>312</v>
      </c>
      <c r="E277">
        <f>'Device Parameters'!E12</f>
        <v>1E-3</v>
      </c>
    </row>
    <row r="278" spans="4:12" x14ac:dyDescent="0.2">
      <c r="D278" s="33" t="s">
        <v>313</v>
      </c>
      <c r="E278">
        <f>RsEFF*0.001</f>
        <v>2.4125452352231607E-3</v>
      </c>
    </row>
    <row r="279" spans="4:12" x14ac:dyDescent="0.2">
      <c r="D279" s="33" t="s">
        <v>314</v>
      </c>
      <c r="E279">
        <f>VINMAX</f>
        <v>42.5</v>
      </c>
    </row>
    <row r="280" spans="4:12" x14ac:dyDescent="0.2">
      <c r="D280" s="33" t="s">
        <v>315</v>
      </c>
      <c r="E280" s="156"/>
      <c r="F280">
        <v>0.25</v>
      </c>
    </row>
    <row r="282" spans="4:12" x14ac:dyDescent="0.2">
      <c r="D282" s="159" t="s">
        <v>276</v>
      </c>
    </row>
  </sheetData>
  <mergeCells count="3">
    <mergeCell ref="D52:G52"/>
    <mergeCell ref="D60:G60"/>
    <mergeCell ref="D74:H74"/>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dimension ref="A1:Y115"/>
  <sheetViews>
    <sheetView zoomScale="85" zoomScaleNormal="85" workbookViewId="0">
      <selection activeCell="R19" sqref="R19"/>
    </sheetView>
  </sheetViews>
  <sheetFormatPr defaultColWidth="9.140625" defaultRowHeight="12.75" x14ac:dyDescent="0.2"/>
  <cols>
    <col min="1" max="1" width="11" style="69" customWidth="1"/>
    <col min="2" max="3" width="9.140625" style="69"/>
    <col min="4" max="5" width="15" style="69" customWidth="1"/>
    <col min="6" max="6" width="15.42578125" style="69" customWidth="1"/>
    <col min="7" max="7" width="14.85546875" style="69" customWidth="1"/>
    <col min="8" max="8" width="10.7109375" style="69" customWidth="1"/>
    <col min="9" max="9" width="12.42578125" style="69" bestFit="1" customWidth="1"/>
    <col min="10" max="10" width="14.85546875" style="69" customWidth="1"/>
    <col min="11" max="11" width="12.85546875" style="69" customWidth="1"/>
    <col min="12" max="12" width="14.28515625" style="69" customWidth="1"/>
    <col min="13" max="13" width="20.85546875" style="69" customWidth="1"/>
    <col min="14" max="14" width="12.7109375" style="69" customWidth="1"/>
    <col min="15" max="15" width="10.140625" style="69" bestFit="1" customWidth="1"/>
    <col min="16" max="16" width="18.85546875" style="69" customWidth="1"/>
    <col min="17" max="17" width="10.85546875" style="69" customWidth="1"/>
    <col min="18" max="16384" width="9.140625" style="69"/>
  </cols>
  <sheetData>
    <row r="1" spans="1:25" x14ac:dyDescent="0.2">
      <c r="B1" s="69" t="s">
        <v>144</v>
      </c>
      <c r="C1" s="69" t="s">
        <v>286</v>
      </c>
      <c r="D1" s="69" t="s">
        <v>287</v>
      </c>
      <c r="F1" s="172" t="s">
        <v>321</v>
      </c>
      <c r="G1" s="172" t="s">
        <v>288</v>
      </c>
      <c r="H1" s="172" t="s">
        <v>289</v>
      </c>
      <c r="I1" s="172" t="s">
        <v>290</v>
      </c>
      <c r="J1" s="172" t="s">
        <v>291</v>
      </c>
      <c r="K1" s="172"/>
      <c r="L1" s="172"/>
      <c r="M1" s="172" t="s">
        <v>295</v>
      </c>
      <c r="N1" s="172"/>
      <c r="O1" s="172" t="s">
        <v>296</v>
      </c>
      <c r="Q1" s="69" t="s">
        <v>336</v>
      </c>
      <c r="R1" s="69" t="s">
        <v>337</v>
      </c>
    </row>
    <row r="2" spans="1:25" x14ac:dyDescent="0.2">
      <c r="B2" s="163">
        <f>'Design Calculator'!F67</f>
        <v>127.00280000000001</v>
      </c>
      <c r="C2" s="69">
        <f>'Design Calculator'!F46</f>
        <v>22.797499999999999</v>
      </c>
      <c r="D2" s="69" t="str">
        <f>IF( 'Design Calculator'!F69 = "Constant Current", "CC", "R")</f>
        <v>CC</v>
      </c>
      <c r="F2" s="69" t="str">
        <f>'Design Calculator'!F71</f>
        <v>No</v>
      </c>
      <c r="G2" s="69">
        <f>'Design Calculator'!F70</f>
        <v>4</v>
      </c>
      <c r="H2" s="69">
        <f>'Design Calculator'!F68</f>
        <v>16</v>
      </c>
      <c r="I2" s="69">
        <f>RsEFF</f>
        <v>2.4125452352231607</v>
      </c>
      <c r="J2" s="69">
        <f>'Device Parameters'!E12</f>
        <v>1E-3</v>
      </c>
      <c r="M2" s="163">
        <f>J114*1000</f>
        <v>2.6306643696847032</v>
      </c>
      <c r="N2" s="69" t="s">
        <v>8</v>
      </c>
      <c r="O2" s="167">
        <f>MIN(L10:L111)</f>
        <v>0.17627497491878436</v>
      </c>
      <c r="Q2" s="69">
        <f>'Device Parameters'!E30/'Device Parameters'!D30</f>
        <v>1.375</v>
      </c>
      <c r="R2" s="69">
        <f>'Device Parameters'!C30/'Device Parameters'!D30</f>
        <v>0.625</v>
      </c>
    </row>
    <row r="3" spans="1:25" x14ac:dyDescent="0.2">
      <c r="B3" s="163"/>
      <c r="M3" s="163"/>
      <c r="O3" s="167"/>
    </row>
    <row r="4" spans="1:25" x14ac:dyDescent="0.2">
      <c r="B4" s="163"/>
      <c r="D4" s="69" t="s">
        <v>328</v>
      </c>
      <c r="M4" s="163" t="s">
        <v>329</v>
      </c>
      <c r="N4" s="69">
        <f>MIN(M10:M114)</f>
        <v>-7.1454786096256679</v>
      </c>
      <c r="O4" s="167" t="s">
        <v>325</v>
      </c>
      <c r="P4" s="69" t="s">
        <v>338</v>
      </c>
      <c r="Q4" s="69">
        <f>MAX(O10:O114)</f>
        <v>127.00280000000002</v>
      </c>
      <c r="R4" s="69" t="s">
        <v>87</v>
      </c>
    </row>
    <row r="5" spans="1:25" x14ac:dyDescent="0.2">
      <c r="B5" s="163"/>
      <c r="M5" s="69" t="s">
        <v>330</v>
      </c>
      <c r="N5" s="69">
        <f>SUM(N10:N114)</f>
        <v>0.32965254823762624</v>
      </c>
      <c r="O5" s="167" t="s">
        <v>331</v>
      </c>
      <c r="P5" s="69" t="s">
        <v>340</v>
      </c>
      <c r="Q5" s="69">
        <f>MAX(P10:P114)</f>
        <v>117.27384615384615</v>
      </c>
      <c r="R5" s="69" t="s">
        <v>87</v>
      </c>
    </row>
    <row r="6" spans="1:25" x14ac:dyDescent="0.2">
      <c r="P6" s="69" t="s">
        <v>339</v>
      </c>
      <c r="Q6" s="69">
        <f>MAX(Q10:Q114)</f>
        <v>110.36923076923075</v>
      </c>
      <c r="R6" s="69" t="s">
        <v>87</v>
      </c>
    </row>
    <row r="7" spans="1:25" x14ac:dyDescent="0.2">
      <c r="A7" s="164" t="s">
        <v>167</v>
      </c>
      <c r="B7" s="165" t="s">
        <v>138</v>
      </c>
      <c r="C7" s="165" t="s">
        <v>139</v>
      </c>
      <c r="D7" s="165" t="s">
        <v>144</v>
      </c>
      <c r="E7" s="165" t="s">
        <v>319</v>
      </c>
      <c r="F7" s="165" t="s">
        <v>320</v>
      </c>
      <c r="G7" s="165" t="s">
        <v>293</v>
      </c>
      <c r="H7" s="165" t="s">
        <v>165</v>
      </c>
      <c r="I7" s="165" t="s">
        <v>292</v>
      </c>
      <c r="J7" s="166" t="s">
        <v>150</v>
      </c>
      <c r="K7" s="166" t="s">
        <v>370</v>
      </c>
      <c r="L7" s="164" t="s">
        <v>294</v>
      </c>
      <c r="M7" s="164" t="s">
        <v>332</v>
      </c>
      <c r="N7" s="164" t="s">
        <v>369</v>
      </c>
      <c r="O7" s="164" t="s">
        <v>333</v>
      </c>
      <c r="P7" s="69" t="s">
        <v>334</v>
      </c>
      <c r="Q7" s="69" t="s">
        <v>335</v>
      </c>
    </row>
    <row r="8" spans="1:25" x14ac:dyDescent="0.2">
      <c r="A8" s="164"/>
      <c r="B8" s="165"/>
      <c r="C8" s="165"/>
      <c r="D8" s="165"/>
      <c r="E8" s="165"/>
      <c r="F8" s="165"/>
      <c r="G8" s="165"/>
      <c r="H8" s="165"/>
      <c r="I8" s="165"/>
      <c r="J8" s="166"/>
      <c r="K8" s="214">
        <v>-1</v>
      </c>
      <c r="L8" s="164"/>
      <c r="M8" s="164"/>
      <c r="N8" s="164"/>
      <c r="O8" s="69">
        <v>0</v>
      </c>
    </row>
    <row r="9" spans="1:25" x14ac:dyDescent="0.2">
      <c r="A9" s="164"/>
      <c r="B9" s="165"/>
      <c r="C9" s="165"/>
      <c r="D9" s="165"/>
      <c r="E9" s="165"/>
      <c r="F9" s="165"/>
      <c r="G9" s="165"/>
      <c r="H9" s="165"/>
      <c r="I9" s="165"/>
      <c r="J9" s="166"/>
      <c r="K9" s="79">
        <v>-0.01</v>
      </c>
      <c r="L9" s="164"/>
      <c r="M9" s="164"/>
      <c r="N9" s="164"/>
      <c r="O9" s="69">
        <v>0</v>
      </c>
    </row>
    <row r="10" spans="1:25" x14ac:dyDescent="0.2">
      <c r="A10" s="69">
        <f t="shared" ref="A10:A41" si="0">VINMAX</f>
        <v>42.5</v>
      </c>
      <c r="B10" s="72">
        <f t="shared" ref="B10:B41" si="1">VINMAX*((ROW()-10)/104)</f>
        <v>0</v>
      </c>
      <c r="C10" s="70">
        <f t="shared" ref="C10:C41" si="2">IF(B10&gt;=$H$2,IF($D$2="CC", $G$2, B10/$G$2), 0)</f>
        <v>0</v>
      </c>
      <c r="D10" s="221">
        <f>B2</f>
        <v>127.00280000000001</v>
      </c>
      <c r="E10" s="68">
        <f>MIN(D10/(A10-B10),$C$2)</f>
        <v>2.9883011764705882</v>
      </c>
      <c r="F10" s="70">
        <f>I_Cout_ss+C10</f>
        <v>0.35199999999999998</v>
      </c>
      <c r="G10" s="68">
        <f>IF($F$2="YES", F10, E10)</f>
        <v>2.9883011764705882</v>
      </c>
      <c r="H10" s="70">
        <f t="shared" ref="H10:H41" si="3">G10-C10</f>
        <v>2.9883011764705882</v>
      </c>
      <c r="I10" s="71">
        <f>(COUTMAX/1000000)*(B10)/H10</f>
        <v>0</v>
      </c>
      <c r="J10" s="78">
        <f>I10</f>
        <v>0</v>
      </c>
      <c r="K10" s="214">
        <f>J10*1000</f>
        <v>0</v>
      </c>
      <c r="L10" s="167">
        <f>H10/G10</f>
        <v>1</v>
      </c>
      <c r="M10" s="69">
        <f t="shared" ref="M10:M41" si="4">1/COUTMAX*(E10/2-C10)*1000</f>
        <v>6.7915935828877005</v>
      </c>
      <c r="N10" s="69">
        <f>I10*G10*(A10-B10)</f>
        <v>0</v>
      </c>
      <c r="O10" s="69">
        <f>G10*(A10-B10)</f>
        <v>127.00279999999999</v>
      </c>
      <c r="P10" s="69">
        <f t="shared" ref="P10:P41" si="5">(A10-B10)*(I_Cout_ss*$Q$2+C10)</f>
        <v>20.57</v>
      </c>
      <c r="Q10" s="69">
        <f t="shared" ref="Q10:Q41" si="6">(A10-B10)*(I_Cout_ss*$R$2+C10)</f>
        <v>9.35</v>
      </c>
    </row>
    <row r="11" spans="1:25" x14ac:dyDescent="0.2">
      <c r="A11" s="69">
        <f t="shared" si="0"/>
        <v>42.5</v>
      </c>
      <c r="B11" s="72">
        <f t="shared" si="1"/>
        <v>0.4086538461538462</v>
      </c>
      <c r="C11" s="70">
        <f t="shared" si="2"/>
        <v>0</v>
      </c>
      <c r="D11" s="221">
        <f>B2</f>
        <v>127.00280000000001</v>
      </c>
      <c r="E11" s="68">
        <f t="shared" ref="E11:E74" si="7">MIN(D11/(A11-B11),$C$2)</f>
        <v>3.0173138092518563</v>
      </c>
      <c r="F11" s="70">
        <f t="shared" ref="F11:F41" si="8">I_Cout_ss+C11</f>
        <v>0.35199999999999998</v>
      </c>
      <c r="G11" s="68">
        <f t="shared" ref="G11:G74" si="9">IF($F$2="YES", F11, E11)</f>
        <v>3.0173138092518563</v>
      </c>
      <c r="H11" s="70">
        <f t="shared" si="3"/>
        <v>3.0173138092518563</v>
      </c>
      <c r="I11" s="71">
        <f t="shared" ref="I11:I42" si="10">(COUTMAX/1000000)*(B11-B10)/H11</f>
        <v>2.9795988033521062E-5</v>
      </c>
      <c r="J11" s="78">
        <f>J10+I11</f>
        <v>2.9795988033521062E-5</v>
      </c>
      <c r="K11" s="214">
        <f t="shared" ref="K11:K74" si="11">J11*1000</f>
        <v>2.9795988033521063E-2</v>
      </c>
      <c r="L11" s="167">
        <f t="shared" ref="L11:L74" si="12">H11/G11</f>
        <v>1</v>
      </c>
      <c r="M11" s="69">
        <f t="shared" si="4"/>
        <v>6.8575313846633099</v>
      </c>
      <c r="N11" s="69">
        <f t="shared" ref="N11:N13" si="13">I11*G11*(A11-B11)</f>
        <v>3.7841739090236689E-3</v>
      </c>
      <c r="O11" s="69">
        <f t="shared" ref="O11:O74" si="14">G11*(A11-B11)</f>
        <v>127.00280000000001</v>
      </c>
      <c r="P11" s="69">
        <f t="shared" si="5"/>
        <v>20.372211538461539</v>
      </c>
      <c r="Q11" s="69">
        <f t="shared" si="6"/>
        <v>9.2600961538461526</v>
      </c>
    </row>
    <row r="12" spans="1:25" x14ac:dyDescent="0.2">
      <c r="A12" s="69">
        <f t="shared" si="0"/>
        <v>42.5</v>
      </c>
      <c r="B12" s="72">
        <f t="shared" si="1"/>
        <v>0.8173076923076924</v>
      </c>
      <c r="C12" s="70">
        <f t="shared" si="2"/>
        <v>0</v>
      </c>
      <c r="D12" s="221">
        <f>B2</f>
        <v>127.00280000000001</v>
      </c>
      <c r="E12" s="68">
        <f t="shared" si="7"/>
        <v>3.0468953171856983</v>
      </c>
      <c r="F12" s="70">
        <f t="shared" si="8"/>
        <v>0.35199999999999998</v>
      </c>
      <c r="G12" s="68">
        <f t="shared" si="9"/>
        <v>3.0468953171856983</v>
      </c>
      <c r="H12" s="70">
        <f t="shared" si="3"/>
        <v>3.0468953171856983</v>
      </c>
      <c r="I12" s="71">
        <f t="shared" si="10"/>
        <v>2.9506706596302409E-5</v>
      </c>
      <c r="J12" s="78">
        <f t="shared" ref="J12:J75" si="15">J11+I12</f>
        <v>5.9302694629823472E-5</v>
      </c>
      <c r="K12" s="214">
        <f t="shared" si="11"/>
        <v>5.9302694629823474E-2</v>
      </c>
      <c r="L12" s="167">
        <f t="shared" si="12"/>
        <v>1</v>
      </c>
      <c r="M12" s="69">
        <f t="shared" si="4"/>
        <v>6.9247620845129507</v>
      </c>
      <c r="N12" s="69">
        <f>I12*G12*(A12-B12)</f>
        <v>3.7474343565088762E-3</v>
      </c>
      <c r="O12" s="69">
        <f t="shared" si="14"/>
        <v>127.00280000000002</v>
      </c>
      <c r="P12" s="69">
        <f t="shared" si="5"/>
        <v>20.174423076923077</v>
      </c>
      <c r="Q12" s="69">
        <f t="shared" si="6"/>
        <v>9.1701923076923055</v>
      </c>
      <c r="X12" s="352" t="s">
        <v>140</v>
      </c>
      <c r="Y12" s="352"/>
    </row>
    <row r="13" spans="1:25" x14ac:dyDescent="0.2">
      <c r="A13" s="69">
        <f t="shared" si="0"/>
        <v>42.5</v>
      </c>
      <c r="B13" s="72">
        <f t="shared" si="1"/>
        <v>1.2259615384615385</v>
      </c>
      <c r="C13" s="70">
        <f t="shared" si="2"/>
        <v>0</v>
      </c>
      <c r="D13" s="221">
        <f>B2</f>
        <v>127.00280000000001</v>
      </c>
      <c r="E13" s="68">
        <f t="shared" si="7"/>
        <v>3.0770625975538732</v>
      </c>
      <c r="F13" s="70">
        <f t="shared" si="8"/>
        <v>0.35199999999999998</v>
      </c>
      <c r="G13" s="68">
        <f t="shared" si="9"/>
        <v>3.0770625975538732</v>
      </c>
      <c r="H13" s="70">
        <f t="shared" si="3"/>
        <v>3.0770625975538732</v>
      </c>
      <c r="I13" s="71">
        <f t="shared" si="10"/>
        <v>2.9217425159083756E-5</v>
      </c>
      <c r="J13" s="78">
        <f t="shared" si="15"/>
        <v>8.8520119788907227E-5</v>
      </c>
      <c r="K13" s="214">
        <f t="shared" si="11"/>
        <v>8.8520119788907226E-2</v>
      </c>
      <c r="L13" s="167">
        <f t="shared" si="12"/>
        <v>1</v>
      </c>
      <c r="M13" s="69">
        <f t="shared" si="4"/>
        <v>6.9933240853497116</v>
      </c>
      <c r="N13" s="69">
        <f t="shared" si="13"/>
        <v>3.7106948039940827E-3</v>
      </c>
      <c r="O13" s="69">
        <f t="shared" si="14"/>
        <v>127.00280000000001</v>
      </c>
      <c r="P13" s="69">
        <f t="shared" si="5"/>
        <v>19.976634615384615</v>
      </c>
      <c r="Q13" s="69">
        <f t="shared" si="6"/>
        <v>9.0802884615384603</v>
      </c>
      <c r="X13" s="73" t="s">
        <v>141</v>
      </c>
      <c r="Y13" s="74">
        <v>0.3</v>
      </c>
    </row>
    <row r="14" spans="1:25" x14ac:dyDescent="0.2">
      <c r="A14" s="69">
        <f t="shared" si="0"/>
        <v>42.5</v>
      </c>
      <c r="B14" s="72">
        <f t="shared" si="1"/>
        <v>1.6346153846153848</v>
      </c>
      <c r="C14" s="70">
        <f t="shared" si="2"/>
        <v>0</v>
      </c>
      <c r="D14" s="221">
        <f>B2</f>
        <v>127.00280000000001</v>
      </c>
      <c r="E14" s="68">
        <f t="shared" si="7"/>
        <v>3.1078332235294122</v>
      </c>
      <c r="F14" s="70">
        <f t="shared" si="8"/>
        <v>0.35199999999999998</v>
      </c>
      <c r="G14" s="68">
        <f t="shared" si="9"/>
        <v>3.1078332235294122</v>
      </c>
      <c r="H14" s="70">
        <f t="shared" si="3"/>
        <v>3.1078332235294122</v>
      </c>
      <c r="I14" s="71">
        <f t="shared" si="10"/>
        <v>2.8928143721865113E-5</v>
      </c>
      <c r="J14" s="78">
        <f t="shared" si="15"/>
        <v>1.1744826351077234E-4</v>
      </c>
      <c r="K14" s="214">
        <f t="shared" si="11"/>
        <v>0.11744826351077234</v>
      </c>
      <c r="L14" s="167">
        <f t="shared" si="12"/>
        <v>1</v>
      </c>
      <c r="M14" s="69">
        <f t="shared" si="4"/>
        <v>7.0632573262032095</v>
      </c>
      <c r="N14" s="69">
        <f t="shared" ref="N14:N74" si="16">I14*G14*(A14-B14)</f>
        <v>3.6739552514792905E-3</v>
      </c>
      <c r="O14" s="69">
        <f t="shared" si="14"/>
        <v>127.00280000000001</v>
      </c>
      <c r="P14" s="69">
        <f t="shared" si="5"/>
        <v>19.778846153846153</v>
      </c>
      <c r="Q14" s="69">
        <f t="shared" si="6"/>
        <v>8.9903846153846132</v>
      </c>
      <c r="X14" s="73" t="s">
        <v>142</v>
      </c>
      <c r="Y14" s="74">
        <v>0.3</v>
      </c>
    </row>
    <row r="15" spans="1:25" x14ac:dyDescent="0.2">
      <c r="A15" s="69">
        <f t="shared" si="0"/>
        <v>42.5</v>
      </c>
      <c r="B15" s="72">
        <f t="shared" si="1"/>
        <v>2.0432692307692308</v>
      </c>
      <c r="C15" s="70">
        <f t="shared" si="2"/>
        <v>0</v>
      </c>
      <c r="D15" s="221">
        <f>B2</f>
        <v>127.00280000000001</v>
      </c>
      <c r="E15" s="68">
        <f t="shared" si="7"/>
        <v>3.1392254783125377</v>
      </c>
      <c r="F15" s="70">
        <f t="shared" si="8"/>
        <v>0.35199999999999998</v>
      </c>
      <c r="G15" s="68">
        <f t="shared" si="9"/>
        <v>3.1392254783125377</v>
      </c>
      <c r="H15" s="70">
        <f t="shared" si="3"/>
        <v>3.1392254783125377</v>
      </c>
      <c r="I15" s="71">
        <f t="shared" si="10"/>
        <v>2.8638862284646446E-5</v>
      </c>
      <c r="J15" s="78">
        <f t="shared" si="15"/>
        <v>1.460871257954188E-4</v>
      </c>
      <c r="K15" s="214">
        <f t="shared" si="11"/>
        <v>0.1460871257954188</v>
      </c>
      <c r="L15" s="167">
        <f t="shared" si="12"/>
        <v>1</v>
      </c>
      <c r="M15" s="69">
        <f t="shared" si="4"/>
        <v>7.134603359801222</v>
      </c>
      <c r="N15" s="69">
        <f t="shared" si="16"/>
        <v>3.6372156989644962E-3</v>
      </c>
      <c r="O15" s="69">
        <f t="shared" si="14"/>
        <v>127.00280000000002</v>
      </c>
      <c r="P15" s="69">
        <f t="shared" si="5"/>
        <v>19.581057692307692</v>
      </c>
      <c r="Q15" s="69">
        <f t="shared" si="6"/>
        <v>8.9004807692307679</v>
      </c>
      <c r="X15" s="73" t="s">
        <v>143</v>
      </c>
      <c r="Y15" s="74">
        <f>SQRT(Y14^2+Y13^2)</f>
        <v>0.42426406871192851</v>
      </c>
    </row>
    <row r="16" spans="1:25" x14ac:dyDescent="0.2">
      <c r="A16" s="69">
        <f t="shared" si="0"/>
        <v>42.5</v>
      </c>
      <c r="B16" s="72">
        <f t="shared" si="1"/>
        <v>2.4519230769230771</v>
      </c>
      <c r="C16" s="70">
        <f t="shared" si="2"/>
        <v>0</v>
      </c>
      <c r="D16" s="221">
        <f>B2</f>
        <v>127.00280000000001</v>
      </c>
      <c r="E16" s="68">
        <f t="shared" si="7"/>
        <v>3.1712583913565431</v>
      </c>
      <c r="F16" s="70">
        <f t="shared" si="8"/>
        <v>0.35199999999999998</v>
      </c>
      <c r="G16" s="68">
        <f t="shared" si="9"/>
        <v>3.1712583913565431</v>
      </c>
      <c r="H16" s="70">
        <f t="shared" si="3"/>
        <v>3.1712583913565431</v>
      </c>
      <c r="I16" s="71">
        <f t="shared" si="10"/>
        <v>2.8349580847427809E-5</v>
      </c>
      <c r="J16" s="78">
        <f t="shared" si="15"/>
        <v>1.7443670664284659E-4</v>
      </c>
      <c r="K16" s="214">
        <f t="shared" si="11"/>
        <v>0.17443670664284661</v>
      </c>
      <c r="L16" s="167">
        <f t="shared" si="12"/>
        <v>1</v>
      </c>
      <c r="M16" s="69">
        <f t="shared" si="4"/>
        <v>7.2074054349012338</v>
      </c>
      <c r="N16" s="69">
        <f t="shared" si="16"/>
        <v>3.6004761464497048E-3</v>
      </c>
      <c r="O16" s="69">
        <f t="shared" si="14"/>
        <v>127.00280000000001</v>
      </c>
      <c r="P16" s="69">
        <f t="shared" si="5"/>
        <v>19.38326923076923</v>
      </c>
      <c r="Q16" s="69">
        <f t="shared" si="6"/>
        <v>8.8105769230769209</v>
      </c>
      <c r="X16" s="74"/>
      <c r="Y16" s="74"/>
    </row>
    <row r="17" spans="1:25" x14ac:dyDescent="0.2">
      <c r="A17" s="69">
        <f t="shared" si="0"/>
        <v>42.5</v>
      </c>
      <c r="B17" s="72">
        <f t="shared" si="1"/>
        <v>2.8605769230769229</v>
      </c>
      <c r="C17" s="70">
        <f t="shared" si="2"/>
        <v>0</v>
      </c>
      <c r="D17" s="221">
        <f>B2</f>
        <v>127.00280000000001</v>
      </c>
      <c r="E17" s="68">
        <f t="shared" si="7"/>
        <v>3.2039517768344452</v>
      </c>
      <c r="F17" s="70">
        <f t="shared" si="8"/>
        <v>0.35199999999999998</v>
      </c>
      <c r="G17" s="68">
        <f t="shared" si="9"/>
        <v>3.2039517768344452</v>
      </c>
      <c r="H17" s="70">
        <f t="shared" si="3"/>
        <v>3.2039517768344452</v>
      </c>
      <c r="I17" s="71">
        <f t="shared" si="10"/>
        <v>2.8060299410209132E-5</v>
      </c>
      <c r="J17" s="78">
        <f t="shared" si="15"/>
        <v>2.0249700605305573E-4</v>
      </c>
      <c r="K17" s="214">
        <f t="shared" si="11"/>
        <v>0.20249700605305573</v>
      </c>
      <c r="L17" s="167">
        <f t="shared" si="12"/>
        <v>1</v>
      </c>
      <c r="M17" s="69">
        <f t="shared" si="4"/>
        <v>7.2817085837146482</v>
      </c>
      <c r="N17" s="69">
        <f t="shared" si="16"/>
        <v>3.5637365939349087E-3</v>
      </c>
      <c r="O17" s="69">
        <f t="shared" si="14"/>
        <v>127.00280000000001</v>
      </c>
      <c r="P17" s="69">
        <f t="shared" si="5"/>
        <v>19.185480769230772</v>
      </c>
      <c r="Q17" s="69">
        <f t="shared" si="6"/>
        <v>8.7206730769230774</v>
      </c>
      <c r="X17" s="73" t="s">
        <v>144</v>
      </c>
      <c r="Y17" s="74">
        <v>0.3</v>
      </c>
    </row>
    <row r="18" spans="1:25" x14ac:dyDescent="0.2">
      <c r="A18" s="69">
        <f t="shared" si="0"/>
        <v>42.5</v>
      </c>
      <c r="B18" s="72">
        <f t="shared" si="1"/>
        <v>3.2692307692307696</v>
      </c>
      <c r="C18" s="70">
        <f t="shared" si="2"/>
        <v>0</v>
      </c>
      <c r="D18" s="221">
        <f>B2</f>
        <v>127.00280000000001</v>
      </c>
      <c r="E18" s="68">
        <f t="shared" si="7"/>
        <v>3.2373262745098037</v>
      </c>
      <c r="F18" s="70">
        <f t="shared" si="8"/>
        <v>0.35199999999999998</v>
      </c>
      <c r="G18" s="68">
        <f t="shared" si="9"/>
        <v>3.2373262745098037</v>
      </c>
      <c r="H18" s="70">
        <f t="shared" si="3"/>
        <v>3.2373262745098037</v>
      </c>
      <c r="I18" s="71">
        <f t="shared" si="10"/>
        <v>2.7771017972990543E-5</v>
      </c>
      <c r="J18" s="78">
        <f t="shared" si="15"/>
        <v>2.3026802402604629E-4</v>
      </c>
      <c r="K18" s="214">
        <f t="shared" si="11"/>
        <v>0.23026802402604629</v>
      </c>
      <c r="L18" s="167">
        <f t="shared" si="12"/>
        <v>1</v>
      </c>
      <c r="M18" s="69">
        <f t="shared" si="4"/>
        <v>7.3575597147950083</v>
      </c>
      <c r="N18" s="69">
        <f t="shared" si="16"/>
        <v>3.5269970414201234E-3</v>
      </c>
      <c r="O18" s="69">
        <f t="shared" si="14"/>
        <v>127.00279999999999</v>
      </c>
      <c r="P18" s="69">
        <f t="shared" si="5"/>
        <v>18.98769230769231</v>
      </c>
      <c r="Q18" s="69">
        <f t="shared" si="6"/>
        <v>8.6307692307692303</v>
      </c>
      <c r="X18" s="73" t="s">
        <v>145</v>
      </c>
      <c r="Y18" s="74">
        <f>MAX(Y15:Y17)</f>
        <v>0.42426406871192851</v>
      </c>
    </row>
    <row r="19" spans="1:25" x14ac:dyDescent="0.2">
      <c r="A19" s="69">
        <f t="shared" si="0"/>
        <v>42.5</v>
      </c>
      <c r="B19" s="72">
        <f t="shared" si="1"/>
        <v>3.6778846153846154</v>
      </c>
      <c r="C19" s="70">
        <f t="shared" si="2"/>
        <v>0</v>
      </c>
      <c r="D19" s="221">
        <f>B2</f>
        <v>127.00280000000001</v>
      </c>
      <c r="E19" s="68">
        <f t="shared" si="7"/>
        <v>3.2714033931888546</v>
      </c>
      <c r="F19" s="70">
        <f t="shared" si="8"/>
        <v>0.35199999999999998</v>
      </c>
      <c r="G19" s="68">
        <f t="shared" si="9"/>
        <v>3.2714033931888546</v>
      </c>
      <c r="H19" s="70">
        <f t="shared" si="3"/>
        <v>3.2714033931888546</v>
      </c>
      <c r="I19" s="71">
        <f t="shared" si="10"/>
        <v>2.7481736535771829E-5</v>
      </c>
      <c r="J19" s="78">
        <f t="shared" si="15"/>
        <v>2.577497605618181E-4</v>
      </c>
      <c r="K19" s="214">
        <f t="shared" si="11"/>
        <v>0.25774976056181809</v>
      </c>
      <c r="L19" s="167">
        <f t="shared" si="12"/>
        <v>1</v>
      </c>
      <c r="M19" s="69">
        <f t="shared" si="4"/>
        <v>7.435007711792851</v>
      </c>
      <c r="N19" s="69">
        <f t="shared" si="16"/>
        <v>3.490257488905323E-3</v>
      </c>
      <c r="O19" s="69">
        <f t="shared" si="14"/>
        <v>127.00280000000001</v>
      </c>
      <c r="P19" s="69">
        <f t="shared" si="5"/>
        <v>18.789903846153848</v>
      </c>
      <c r="Q19" s="69">
        <f t="shared" si="6"/>
        <v>8.5408653846153832</v>
      </c>
      <c r="X19" s="74"/>
      <c r="Y19" s="74"/>
    </row>
    <row r="20" spans="1:25" x14ac:dyDescent="0.2">
      <c r="A20" s="69">
        <f t="shared" si="0"/>
        <v>42.5</v>
      </c>
      <c r="B20" s="72">
        <f t="shared" si="1"/>
        <v>4.0865384615384617</v>
      </c>
      <c r="C20" s="70">
        <f t="shared" si="2"/>
        <v>0</v>
      </c>
      <c r="D20" s="221">
        <f>B2</f>
        <v>127.00280000000001</v>
      </c>
      <c r="E20" s="68">
        <f t="shared" si="7"/>
        <v>3.3062055569461828</v>
      </c>
      <c r="F20" s="70">
        <f t="shared" si="8"/>
        <v>0.35199999999999998</v>
      </c>
      <c r="G20" s="68">
        <f t="shared" si="9"/>
        <v>3.3062055569461828</v>
      </c>
      <c r="H20" s="70">
        <f t="shared" si="3"/>
        <v>3.3062055569461828</v>
      </c>
      <c r="I20" s="71">
        <f t="shared" si="10"/>
        <v>2.719245509855321E-5</v>
      </c>
      <c r="J20" s="78">
        <f t="shared" si="15"/>
        <v>2.8494221566037134E-4</v>
      </c>
      <c r="K20" s="214">
        <f t="shared" si="11"/>
        <v>0.28494221566037137</v>
      </c>
      <c r="L20" s="167">
        <f t="shared" si="12"/>
        <v>1</v>
      </c>
      <c r="M20" s="69">
        <f t="shared" si="4"/>
        <v>7.5141035385140516</v>
      </c>
      <c r="N20" s="69">
        <f t="shared" si="16"/>
        <v>3.4535179363905338E-3</v>
      </c>
      <c r="O20" s="69">
        <f t="shared" si="14"/>
        <v>127.00280000000001</v>
      </c>
      <c r="P20" s="69">
        <f t="shared" si="5"/>
        <v>18.592115384615386</v>
      </c>
      <c r="Q20" s="69">
        <f t="shared" si="6"/>
        <v>8.450961538461538</v>
      </c>
      <c r="X20" s="73" t="s">
        <v>146</v>
      </c>
      <c r="Y20" s="74">
        <v>0.2</v>
      </c>
    </row>
    <row r="21" spans="1:25" x14ac:dyDescent="0.2">
      <c r="A21" s="69">
        <f t="shared" si="0"/>
        <v>42.5</v>
      </c>
      <c r="B21" s="72">
        <f t="shared" si="1"/>
        <v>4.4951923076923075</v>
      </c>
      <c r="C21" s="70">
        <f t="shared" si="2"/>
        <v>0</v>
      </c>
      <c r="D21" s="221">
        <f>B2</f>
        <v>127.00280000000001</v>
      </c>
      <c r="E21" s="68">
        <f t="shared" si="7"/>
        <v>3.341756154332701</v>
      </c>
      <c r="F21" s="70">
        <f t="shared" si="8"/>
        <v>0.35199999999999998</v>
      </c>
      <c r="G21" s="68">
        <f t="shared" si="9"/>
        <v>3.341756154332701</v>
      </c>
      <c r="H21" s="70">
        <f t="shared" si="3"/>
        <v>3.341756154332701</v>
      </c>
      <c r="I21" s="71">
        <f t="shared" si="10"/>
        <v>2.6903173661334529E-5</v>
      </c>
      <c r="J21" s="78">
        <f t="shared" si="15"/>
        <v>3.1184538932170589E-4</v>
      </c>
      <c r="K21" s="214">
        <f t="shared" si="11"/>
        <v>0.31184538932170591</v>
      </c>
      <c r="L21" s="167">
        <f t="shared" si="12"/>
        <v>1</v>
      </c>
      <c r="M21" s="69">
        <f t="shared" si="4"/>
        <v>7.5949003507561388</v>
      </c>
      <c r="N21" s="69">
        <f t="shared" si="16"/>
        <v>3.4167783838757368E-3</v>
      </c>
      <c r="O21" s="69">
        <f t="shared" si="14"/>
        <v>127.00280000000001</v>
      </c>
      <c r="P21" s="69">
        <f t="shared" si="5"/>
        <v>18.394326923076925</v>
      </c>
      <c r="Q21" s="69">
        <f t="shared" si="6"/>
        <v>8.3610576923076909</v>
      </c>
      <c r="X21" s="73" t="s">
        <v>147</v>
      </c>
      <c r="Y21" s="74">
        <v>0.2</v>
      </c>
    </row>
    <row r="22" spans="1:25" x14ac:dyDescent="0.2">
      <c r="A22" s="69">
        <f t="shared" si="0"/>
        <v>42.5</v>
      </c>
      <c r="B22" s="72">
        <f t="shared" si="1"/>
        <v>4.9038461538461542</v>
      </c>
      <c r="C22" s="70">
        <f t="shared" si="2"/>
        <v>0</v>
      </c>
      <c r="D22" s="221">
        <f>B2</f>
        <v>127.00280000000001</v>
      </c>
      <c r="E22" s="68">
        <f t="shared" si="7"/>
        <v>3.3780795907928391</v>
      </c>
      <c r="F22" s="70">
        <f t="shared" si="8"/>
        <v>0.35199999999999998</v>
      </c>
      <c r="G22" s="68">
        <f t="shared" si="9"/>
        <v>3.3780795907928391</v>
      </c>
      <c r="H22" s="70">
        <f t="shared" si="3"/>
        <v>3.3780795907928391</v>
      </c>
      <c r="I22" s="71">
        <f t="shared" si="10"/>
        <v>2.6613892224115933E-5</v>
      </c>
      <c r="J22" s="78">
        <f t="shared" si="15"/>
        <v>3.3845928154582181E-4</v>
      </c>
      <c r="K22" s="214">
        <f t="shared" si="11"/>
        <v>0.33845928154582183</v>
      </c>
      <c r="L22" s="167">
        <f t="shared" si="12"/>
        <v>1</v>
      </c>
      <c r="M22" s="69">
        <f t="shared" si="4"/>
        <v>7.6774536154382709</v>
      </c>
      <c r="N22" s="69">
        <f t="shared" si="16"/>
        <v>3.3800388313609511E-3</v>
      </c>
      <c r="O22" s="69">
        <f t="shared" si="14"/>
        <v>127.00280000000001</v>
      </c>
      <c r="P22" s="69">
        <f t="shared" si="5"/>
        <v>18.196538461538463</v>
      </c>
      <c r="Q22" s="69">
        <f t="shared" si="6"/>
        <v>8.2711538461538456</v>
      </c>
      <c r="X22" s="73" t="s">
        <v>143</v>
      </c>
      <c r="Y22" s="74">
        <f>SQRT(Y21^2+Y20^2)</f>
        <v>0.28284271247461906</v>
      </c>
    </row>
    <row r="23" spans="1:25" x14ac:dyDescent="0.2">
      <c r="A23" s="69">
        <f t="shared" si="0"/>
        <v>42.5</v>
      </c>
      <c r="B23" s="72">
        <f t="shared" si="1"/>
        <v>5.3125</v>
      </c>
      <c r="C23" s="70">
        <f t="shared" si="2"/>
        <v>0</v>
      </c>
      <c r="D23" s="221">
        <f>B2</f>
        <v>127.00280000000001</v>
      </c>
      <c r="E23" s="68">
        <f t="shared" si="7"/>
        <v>3.4152013445378153</v>
      </c>
      <c r="F23" s="70">
        <f t="shared" si="8"/>
        <v>0.35199999999999998</v>
      </c>
      <c r="G23" s="68">
        <f t="shared" si="9"/>
        <v>3.4152013445378153</v>
      </c>
      <c r="H23" s="70">
        <f t="shared" si="3"/>
        <v>3.4152013445378153</v>
      </c>
      <c r="I23" s="71">
        <f t="shared" si="10"/>
        <v>2.6324610786897226E-5</v>
      </c>
      <c r="J23" s="78">
        <f t="shared" si="15"/>
        <v>3.6478389233271903E-4</v>
      </c>
      <c r="K23" s="214">
        <f t="shared" si="11"/>
        <v>0.36478389233271902</v>
      </c>
      <c r="L23" s="167">
        <f t="shared" si="12"/>
        <v>1</v>
      </c>
      <c r="M23" s="69">
        <f t="shared" si="4"/>
        <v>7.7618212375859432</v>
      </c>
      <c r="N23" s="69">
        <f t="shared" si="16"/>
        <v>3.3432992788461511E-3</v>
      </c>
      <c r="O23" s="69">
        <f t="shared" si="14"/>
        <v>127.00280000000001</v>
      </c>
      <c r="P23" s="69">
        <f t="shared" si="5"/>
        <v>17.998750000000001</v>
      </c>
      <c r="Q23" s="69">
        <f t="shared" si="6"/>
        <v>8.1812499999999986</v>
      </c>
      <c r="X23" s="74"/>
      <c r="Y23" s="74"/>
    </row>
    <row r="24" spans="1:25" x14ac:dyDescent="0.2">
      <c r="A24" s="69">
        <f t="shared" si="0"/>
        <v>42.5</v>
      </c>
      <c r="B24" s="72">
        <f t="shared" si="1"/>
        <v>5.7211538461538458</v>
      </c>
      <c r="C24" s="70">
        <f t="shared" si="2"/>
        <v>0</v>
      </c>
      <c r="D24" s="221">
        <f>B2</f>
        <v>127.00280000000001</v>
      </c>
      <c r="E24" s="68">
        <f t="shared" si="7"/>
        <v>3.4531480261437912</v>
      </c>
      <c r="F24" s="70">
        <f t="shared" si="8"/>
        <v>0.35199999999999998</v>
      </c>
      <c r="G24" s="68">
        <f t="shared" si="9"/>
        <v>3.4531480261437912</v>
      </c>
      <c r="H24" s="70">
        <f t="shared" si="3"/>
        <v>3.4531480261437912</v>
      </c>
      <c r="I24" s="71">
        <f t="shared" si="10"/>
        <v>2.6035329349678573E-5</v>
      </c>
      <c r="J24" s="78">
        <f t="shared" si="15"/>
        <v>3.9081922168239763E-4</v>
      </c>
      <c r="K24" s="214">
        <f t="shared" si="11"/>
        <v>0.39081922168239763</v>
      </c>
      <c r="L24" s="167">
        <f t="shared" si="12"/>
        <v>1</v>
      </c>
      <c r="M24" s="69">
        <f t="shared" si="4"/>
        <v>7.8480636957813426</v>
      </c>
      <c r="N24" s="69">
        <f t="shared" si="16"/>
        <v>3.3065597263313585E-3</v>
      </c>
      <c r="O24" s="69">
        <f t="shared" si="14"/>
        <v>127.00280000000001</v>
      </c>
      <c r="P24" s="69">
        <f t="shared" si="5"/>
        <v>17.800961538461539</v>
      </c>
      <c r="Q24" s="69">
        <f t="shared" si="6"/>
        <v>8.0913461538461533</v>
      </c>
      <c r="X24" s="73" t="s">
        <v>148</v>
      </c>
      <c r="Y24" s="74">
        <f>SQRT(Y18^2+Y22^2)</f>
        <v>0.50990195135927852</v>
      </c>
    </row>
    <row r="25" spans="1:25" x14ac:dyDescent="0.2">
      <c r="A25" s="69">
        <f t="shared" si="0"/>
        <v>42.5</v>
      </c>
      <c r="B25" s="72">
        <f t="shared" si="1"/>
        <v>6.1298076923076916</v>
      </c>
      <c r="C25" s="70">
        <f t="shared" si="2"/>
        <v>0</v>
      </c>
      <c r="D25" s="221">
        <f>B2</f>
        <v>127.00280000000001</v>
      </c>
      <c r="E25" s="68">
        <f t="shared" si="7"/>
        <v>3.4919474421678789</v>
      </c>
      <c r="F25" s="70">
        <f t="shared" si="8"/>
        <v>0.35199999999999998</v>
      </c>
      <c r="G25" s="68">
        <f t="shared" si="9"/>
        <v>3.4919474421678789</v>
      </c>
      <c r="H25" s="70">
        <f t="shared" si="3"/>
        <v>3.4919474421678789</v>
      </c>
      <c r="I25" s="71">
        <f t="shared" si="10"/>
        <v>2.5746047912459923E-5</v>
      </c>
      <c r="J25" s="78">
        <f t="shared" si="15"/>
        <v>4.1656526959485754E-4</v>
      </c>
      <c r="K25" s="214">
        <f t="shared" si="11"/>
        <v>0.41656526959485751</v>
      </c>
      <c r="L25" s="167">
        <f t="shared" si="12"/>
        <v>1</v>
      </c>
      <c r="M25" s="69">
        <f t="shared" si="4"/>
        <v>7.9362441867451787</v>
      </c>
      <c r="N25" s="69">
        <f t="shared" si="16"/>
        <v>3.2698201738165654E-3</v>
      </c>
      <c r="O25" s="69">
        <f t="shared" si="14"/>
        <v>127.00280000000001</v>
      </c>
      <c r="P25" s="69">
        <f t="shared" si="5"/>
        <v>17.603173076923078</v>
      </c>
      <c r="Q25" s="69">
        <f t="shared" si="6"/>
        <v>8.0014423076923062</v>
      </c>
    </row>
    <row r="26" spans="1:25" x14ac:dyDescent="0.2">
      <c r="A26" s="69">
        <f t="shared" si="0"/>
        <v>42.5</v>
      </c>
      <c r="B26" s="72">
        <f t="shared" si="1"/>
        <v>6.5384615384615392</v>
      </c>
      <c r="C26" s="70">
        <f t="shared" si="2"/>
        <v>0</v>
      </c>
      <c r="D26" s="221">
        <f>B2</f>
        <v>127.00280000000001</v>
      </c>
      <c r="E26" s="68">
        <f t="shared" si="7"/>
        <v>3.5316286631016047</v>
      </c>
      <c r="F26" s="70">
        <f t="shared" si="8"/>
        <v>0.35199999999999998</v>
      </c>
      <c r="G26" s="68">
        <f t="shared" si="9"/>
        <v>3.5316286631016047</v>
      </c>
      <c r="H26" s="70">
        <f t="shared" si="3"/>
        <v>3.5316286631016047</v>
      </c>
      <c r="I26" s="71">
        <f t="shared" si="10"/>
        <v>2.5456766475241384E-5</v>
      </c>
      <c r="J26" s="78">
        <f t="shared" si="15"/>
        <v>4.4202203607009892E-4</v>
      </c>
      <c r="K26" s="214">
        <f t="shared" si="11"/>
        <v>0.44202203607009893</v>
      </c>
      <c r="L26" s="167">
        <f t="shared" si="12"/>
        <v>1</v>
      </c>
      <c r="M26" s="69">
        <f t="shared" si="4"/>
        <v>8.0264287797763743</v>
      </c>
      <c r="N26" s="69">
        <f t="shared" si="16"/>
        <v>3.2330806213017866E-3</v>
      </c>
      <c r="O26" s="69">
        <f t="shared" si="14"/>
        <v>127.00280000000001</v>
      </c>
      <c r="P26" s="69">
        <f t="shared" si="5"/>
        <v>17.405384615384612</v>
      </c>
      <c r="Q26" s="69">
        <f t="shared" si="6"/>
        <v>7.9115384615384601</v>
      </c>
    </row>
    <row r="27" spans="1:25" x14ac:dyDescent="0.2">
      <c r="A27" s="69">
        <f t="shared" si="0"/>
        <v>42.5</v>
      </c>
      <c r="B27" s="72">
        <f t="shared" si="1"/>
        <v>6.947115384615385</v>
      </c>
      <c r="C27" s="70">
        <f t="shared" si="2"/>
        <v>0</v>
      </c>
      <c r="D27" s="221">
        <f>B2</f>
        <v>127.00280000000001</v>
      </c>
      <c r="E27" s="68">
        <f t="shared" si="7"/>
        <v>3.5722220960108184</v>
      </c>
      <c r="F27" s="70">
        <f t="shared" si="8"/>
        <v>0.35199999999999998</v>
      </c>
      <c r="G27" s="68">
        <f t="shared" si="9"/>
        <v>3.5722220960108184</v>
      </c>
      <c r="H27" s="70">
        <f t="shared" si="3"/>
        <v>3.5722220960108184</v>
      </c>
      <c r="I27" s="71">
        <f t="shared" si="10"/>
        <v>2.5167485038022623E-5</v>
      </c>
      <c r="J27" s="78">
        <f t="shared" si="15"/>
        <v>4.6718952110812157E-4</v>
      </c>
      <c r="K27" s="214">
        <f t="shared" si="11"/>
        <v>0.46718952110812156</v>
      </c>
      <c r="L27" s="167">
        <f t="shared" si="12"/>
        <v>1</v>
      </c>
      <c r="M27" s="69">
        <f t="shared" si="4"/>
        <v>8.118686581842768</v>
      </c>
      <c r="N27" s="69">
        <f t="shared" si="16"/>
        <v>3.1963410687869797E-3</v>
      </c>
      <c r="O27" s="69">
        <f t="shared" si="14"/>
        <v>127.00280000000001</v>
      </c>
      <c r="P27" s="69">
        <f t="shared" si="5"/>
        <v>17.207596153846151</v>
      </c>
      <c r="Q27" s="69">
        <f t="shared" si="6"/>
        <v>7.8216346153846139</v>
      </c>
    </row>
    <row r="28" spans="1:25" x14ac:dyDescent="0.2">
      <c r="A28" s="69">
        <f t="shared" si="0"/>
        <v>42.5</v>
      </c>
      <c r="B28" s="72">
        <f t="shared" si="1"/>
        <v>7.3557692307692308</v>
      </c>
      <c r="C28" s="70">
        <f t="shared" si="2"/>
        <v>0</v>
      </c>
      <c r="D28" s="221">
        <f>B2</f>
        <v>127.00280000000001</v>
      </c>
      <c r="E28" s="68">
        <f t="shared" si="7"/>
        <v>3.6137595622435024</v>
      </c>
      <c r="F28" s="70">
        <f t="shared" si="8"/>
        <v>0.35199999999999998</v>
      </c>
      <c r="G28" s="68">
        <f t="shared" si="9"/>
        <v>3.6137595622435024</v>
      </c>
      <c r="H28" s="70">
        <f t="shared" si="3"/>
        <v>3.6137595622435024</v>
      </c>
      <c r="I28" s="71">
        <f t="shared" si="10"/>
        <v>2.4878203600803973E-5</v>
      </c>
      <c r="J28" s="78">
        <f t="shared" si="15"/>
        <v>4.9206772470892558E-4</v>
      </c>
      <c r="K28" s="214">
        <f t="shared" si="11"/>
        <v>0.49206772470892557</v>
      </c>
      <c r="L28" s="167">
        <f t="shared" si="12"/>
        <v>1</v>
      </c>
      <c r="M28" s="69">
        <f t="shared" si="4"/>
        <v>8.2130899141897782</v>
      </c>
      <c r="N28" s="69">
        <f t="shared" si="16"/>
        <v>3.1596015162721866E-3</v>
      </c>
      <c r="O28" s="69">
        <f t="shared" si="14"/>
        <v>127.00280000000001</v>
      </c>
      <c r="P28" s="69">
        <f t="shared" si="5"/>
        <v>17.009807692307689</v>
      </c>
      <c r="Q28" s="69">
        <f t="shared" si="6"/>
        <v>7.7317307692307677</v>
      </c>
    </row>
    <row r="29" spans="1:25" x14ac:dyDescent="0.2">
      <c r="A29" s="69">
        <f t="shared" si="0"/>
        <v>42.5</v>
      </c>
      <c r="B29" s="72">
        <f t="shared" si="1"/>
        <v>7.7644230769230766</v>
      </c>
      <c r="C29" s="70">
        <f t="shared" si="2"/>
        <v>0</v>
      </c>
      <c r="D29" s="221">
        <f>B2</f>
        <v>127.00280000000001</v>
      </c>
      <c r="E29" s="68">
        <f t="shared" si="7"/>
        <v>3.6562743806228379</v>
      </c>
      <c r="F29" s="70">
        <f t="shared" si="8"/>
        <v>0.35199999999999998</v>
      </c>
      <c r="G29" s="68">
        <f t="shared" si="9"/>
        <v>3.6562743806228379</v>
      </c>
      <c r="H29" s="70">
        <f t="shared" si="3"/>
        <v>3.6562743806228379</v>
      </c>
      <c r="I29" s="71">
        <f t="shared" si="10"/>
        <v>2.4588922163585319E-5</v>
      </c>
      <c r="J29" s="78">
        <f t="shared" si="15"/>
        <v>5.1665664687251085E-4</v>
      </c>
      <c r="K29" s="214">
        <f t="shared" si="11"/>
        <v>0.51665664687251089</v>
      </c>
      <c r="L29" s="167">
        <f t="shared" si="12"/>
        <v>1</v>
      </c>
      <c r="M29" s="69">
        <f t="shared" si="4"/>
        <v>8.3097145014155398</v>
      </c>
      <c r="N29" s="69">
        <f t="shared" si="16"/>
        <v>3.1228619637573935E-3</v>
      </c>
      <c r="O29" s="69">
        <f t="shared" si="14"/>
        <v>127.00280000000001</v>
      </c>
      <c r="P29" s="69">
        <f t="shared" si="5"/>
        <v>16.812019230769227</v>
      </c>
      <c r="Q29" s="69">
        <f t="shared" si="6"/>
        <v>7.6418269230769216</v>
      </c>
    </row>
    <row r="30" spans="1:25" x14ac:dyDescent="0.2">
      <c r="A30" s="69">
        <f t="shared" si="0"/>
        <v>42.5</v>
      </c>
      <c r="B30" s="72">
        <f t="shared" si="1"/>
        <v>8.1730769230769234</v>
      </c>
      <c r="C30" s="70">
        <f t="shared" si="2"/>
        <v>0</v>
      </c>
      <c r="D30" s="221">
        <f>B2</f>
        <v>127.00280000000001</v>
      </c>
      <c r="E30" s="68">
        <f t="shared" si="7"/>
        <v>3.6998014565826329</v>
      </c>
      <c r="F30" s="70">
        <f t="shared" si="8"/>
        <v>0.35199999999999998</v>
      </c>
      <c r="G30" s="68">
        <f t="shared" si="9"/>
        <v>3.6998014565826329</v>
      </c>
      <c r="H30" s="70">
        <f t="shared" si="3"/>
        <v>3.6998014565826329</v>
      </c>
      <c r="I30" s="71">
        <f t="shared" si="10"/>
        <v>2.4299640726366724E-5</v>
      </c>
      <c r="J30" s="78">
        <f t="shared" si="15"/>
        <v>5.4095628759887754E-4</v>
      </c>
      <c r="K30" s="214">
        <f t="shared" si="11"/>
        <v>0.54095628759887748</v>
      </c>
      <c r="L30" s="167">
        <f t="shared" si="12"/>
        <v>1</v>
      </c>
      <c r="M30" s="69">
        <f t="shared" si="4"/>
        <v>8.4086396740514395</v>
      </c>
      <c r="N30" s="69">
        <f t="shared" si="16"/>
        <v>3.0861224112426078E-3</v>
      </c>
      <c r="O30" s="69">
        <f t="shared" si="14"/>
        <v>127.00280000000001</v>
      </c>
      <c r="P30" s="69">
        <f t="shared" si="5"/>
        <v>16.614230769230769</v>
      </c>
      <c r="Q30" s="69">
        <f t="shared" si="6"/>
        <v>7.5519230769230763</v>
      </c>
    </row>
    <row r="31" spans="1:25" x14ac:dyDescent="0.2">
      <c r="A31" s="69">
        <f t="shared" si="0"/>
        <v>42.5</v>
      </c>
      <c r="B31" s="72">
        <f t="shared" si="1"/>
        <v>8.5817307692307701</v>
      </c>
      <c r="C31" s="70">
        <f t="shared" si="2"/>
        <v>0</v>
      </c>
      <c r="D31" s="221">
        <f>B2</f>
        <v>127.00280000000001</v>
      </c>
      <c r="E31" s="68">
        <f t="shared" si="7"/>
        <v>3.7443773777462801</v>
      </c>
      <c r="F31" s="70">
        <f t="shared" si="8"/>
        <v>0.35199999999999998</v>
      </c>
      <c r="G31" s="68">
        <f t="shared" si="9"/>
        <v>3.7443773777462801</v>
      </c>
      <c r="H31" s="70">
        <f t="shared" si="3"/>
        <v>3.7443773777462801</v>
      </c>
      <c r="I31" s="71">
        <f t="shared" si="10"/>
        <v>2.4010359289148067E-5</v>
      </c>
      <c r="J31" s="78">
        <f t="shared" si="15"/>
        <v>5.6496664688802565E-4</v>
      </c>
      <c r="K31" s="214">
        <f t="shared" si="11"/>
        <v>0.56496664688802567</v>
      </c>
      <c r="L31" s="167">
        <f t="shared" si="12"/>
        <v>1</v>
      </c>
      <c r="M31" s="69">
        <f t="shared" si="4"/>
        <v>8.5099485857870008</v>
      </c>
      <c r="N31" s="69">
        <f t="shared" si="16"/>
        <v>3.0493828587278143E-3</v>
      </c>
      <c r="O31" s="69">
        <f t="shared" si="14"/>
        <v>127.00280000000001</v>
      </c>
      <c r="P31" s="69">
        <f t="shared" si="5"/>
        <v>16.416442307692304</v>
      </c>
      <c r="Q31" s="69">
        <f t="shared" si="6"/>
        <v>7.4620192307692292</v>
      </c>
    </row>
    <row r="32" spans="1:25" x14ac:dyDescent="0.2">
      <c r="A32" s="69">
        <f t="shared" si="0"/>
        <v>42.5</v>
      </c>
      <c r="B32" s="72">
        <f t="shared" si="1"/>
        <v>8.990384615384615</v>
      </c>
      <c r="C32" s="70">
        <f t="shared" si="2"/>
        <v>0</v>
      </c>
      <c r="D32" s="221">
        <f>B2</f>
        <v>127.00280000000001</v>
      </c>
      <c r="E32" s="68">
        <f t="shared" si="7"/>
        <v>3.7900405164992828</v>
      </c>
      <c r="F32" s="70">
        <f t="shared" si="8"/>
        <v>0.35199999999999998</v>
      </c>
      <c r="G32" s="68">
        <f t="shared" si="9"/>
        <v>3.7900405164992828</v>
      </c>
      <c r="H32" s="70">
        <f t="shared" si="3"/>
        <v>3.7900405164992828</v>
      </c>
      <c r="I32" s="71">
        <f t="shared" si="10"/>
        <v>2.3721077851929315E-5</v>
      </c>
      <c r="J32" s="78">
        <f t="shared" si="15"/>
        <v>5.8868772473995496E-4</v>
      </c>
      <c r="K32" s="214">
        <f t="shared" si="11"/>
        <v>0.58868772473995501</v>
      </c>
      <c r="L32" s="167">
        <f t="shared" si="12"/>
        <v>1</v>
      </c>
      <c r="M32" s="69">
        <f t="shared" si="4"/>
        <v>8.6137284465892794</v>
      </c>
      <c r="N32" s="69">
        <f t="shared" si="16"/>
        <v>3.0126433062130087E-3</v>
      </c>
      <c r="O32" s="69">
        <f t="shared" si="14"/>
        <v>127.00280000000001</v>
      </c>
      <c r="P32" s="69">
        <f t="shared" si="5"/>
        <v>16.218653846153845</v>
      </c>
      <c r="Q32" s="69">
        <f t="shared" si="6"/>
        <v>7.372115384615384</v>
      </c>
    </row>
    <row r="33" spans="1:17" x14ac:dyDescent="0.2">
      <c r="A33" s="69">
        <f t="shared" si="0"/>
        <v>42.5</v>
      </c>
      <c r="B33" s="72">
        <f t="shared" si="1"/>
        <v>9.3990384615384617</v>
      </c>
      <c r="C33" s="70">
        <f t="shared" si="2"/>
        <v>0</v>
      </c>
      <c r="D33" s="221">
        <f>B2</f>
        <v>127.00280000000001</v>
      </c>
      <c r="E33" s="68">
        <f t="shared" si="7"/>
        <v>3.8368311401597675</v>
      </c>
      <c r="F33" s="70">
        <f t="shared" si="8"/>
        <v>0.35199999999999998</v>
      </c>
      <c r="G33" s="68">
        <f t="shared" si="9"/>
        <v>3.8368311401597675</v>
      </c>
      <c r="H33" s="70">
        <f t="shared" si="3"/>
        <v>3.8368311401597675</v>
      </c>
      <c r="I33" s="71">
        <f t="shared" si="10"/>
        <v>2.3431796414710771E-5</v>
      </c>
      <c r="J33" s="78">
        <f t="shared" si="15"/>
        <v>6.121195211546657E-4</v>
      </c>
      <c r="K33" s="214">
        <f t="shared" si="11"/>
        <v>0.61211952115466572</v>
      </c>
      <c r="L33" s="167">
        <f t="shared" si="12"/>
        <v>1</v>
      </c>
      <c r="M33" s="69">
        <f t="shared" si="4"/>
        <v>8.720070773090379</v>
      </c>
      <c r="N33" s="69">
        <f t="shared" si="16"/>
        <v>2.9759037536982291E-3</v>
      </c>
      <c r="O33" s="69">
        <f t="shared" si="14"/>
        <v>127.00280000000001</v>
      </c>
      <c r="P33" s="69">
        <f t="shared" si="5"/>
        <v>16.020865384615384</v>
      </c>
      <c r="Q33" s="69">
        <f t="shared" si="6"/>
        <v>7.2822115384615378</v>
      </c>
    </row>
    <row r="34" spans="1:17" x14ac:dyDescent="0.2">
      <c r="A34" s="69">
        <f t="shared" si="0"/>
        <v>42.5</v>
      </c>
      <c r="B34" s="72">
        <f t="shared" si="1"/>
        <v>9.8076923076923084</v>
      </c>
      <c r="C34" s="70">
        <f t="shared" si="2"/>
        <v>0</v>
      </c>
      <c r="D34" s="221">
        <f>B2</f>
        <v>127.00280000000001</v>
      </c>
      <c r="E34" s="68">
        <f t="shared" si="7"/>
        <v>3.884791529411765</v>
      </c>
      <c r="F34" s="70">
        <f t="shared" si="8"/>
        <v>0.35199999999999998</v>
      </c>
      <c r="G34" s="68">
        <f t="shared" si="9"/>
        <v>3.884791529411765</v>
      </c>
      <c r="H34" s="70">
        <f t="shared" si="3"/>
        <v>3.884791529411765</v>
      </c>
      <c r="I34" s="71">
        <f t="shared" si="10"/>
        <v>2.3142514977492114E-5</v>
      </c>
      <c r="J34" s="78">
        <f t="shared" si="15"/>
        <v>6.3526203613215786E-4</v>
      </c>
      <c r="K34" s="214">
        <f t="shared" si="11"/>
        <v>0.63526203613215781</v>
      </c>
      <c r="L34" s="167">
        <f t="shared" si="12"/>
        <v>1</v>
      </c>
      <c r="M34" s="69">
        <f t="shared" si="4"/>
        <v>8.8290716577540103</v>
      </c>
      <c r="N34" s="69">
        <f t="shared" si="16"/>
        <v>2.939164201183436E-3</v>
      </c>
      <c r="O34" s="69">
        <f t="shared" si="14"/>
        <v>127.00280000000001</v>
      </c>
      <c r="P34" s="69">
        <f t="shared" si="5"/>
        <v>15.823076923076924</v>
      </c>
      <c r="Q34" s="69">
        <f t="shared" si="6"/>
        <v>7.1923076923076916</v>
      </c>
    </row>
    <row r="35" spans="1:17" x14ac:dyDescent="0.2">
      <c r="A35" s="69">
        <f t="shared" si="0"/>
        <v>42.5</v>
      </c>
      <c r="B35" s="72">
        <f t="shared" si="1"/>
        <v>10.216346153846153</v>
      </c>
      <c r="C35" s="70">
        <f t="shared" si="2"/>
        <v>0</v>
      </c>
      <c r="D35" s="221">
        <f>B2</f>
        <v>127.00280000000001</v>
      </c>
      <c r="E35" s="68">
        <f t="shared" si="7"/>
        <v>3.933966105733433</v>
      </c>
      <c r="F35" s="70">
        <f t="shared" si="8"/>
        <v>0.35199999999999998</v>
      </c>
      <c r="G35" s="68">
        <f t="shared" si="9"/>
        <v>3.933966105733433</v>
      </c>
      <c r="H35" s="70">
        <f t="shared" si="3"/>
        <v>3.933966105733433</v>
      </c>
      <c r="I35" s="71">
        <f t="shared" si="10"/>
        <v>2.2853233540273362E-5</v>
      </c>
      <c r="J35" s="78">
        <f t="shared" si="15"/>
        <v>6.5811526967243122E-4</v>
      </c>
      <c r="K35" s="214">
        <f t="shared" si="11"/>
        <v>0.65811526967243117</v>
      </c>
      <c r="L35" s="167">
        <f t="shared" si="12"/>
        <v>1</v>
      </c>
      <c r="M35" s="69">
        <f t="shared" si="4"/>
        <v>8.9408320584850731</v>
      </c>
      <c r="N35" s="69">
        <f t="shared" si="16"/>
        <v>2.9024246486686303E-3</v>
      </c>
      <c r="O35" s="69">
        <f t="shared" si="14"/>
        <v>127.00280000000001</v>
      </c>
      <c r="P35" s="69">
        <f t="shared" si="5"/>
        <v>15.625288461538462</v>
      </c>
      <c r="Q35" s="69">
        <f t="shared" si="6"/>
        <v>7.1024038461538455</v>
      </c>
    </row>
    <row r="36" spans="1:17" x14ac:dyDescent="0.2">
      <c r="A36" s="69">
        <f t="shared" si="0"/>
        <v>42.5</v>
      </c>
      <c r="B36" s="72">
        <f t="shared" si="1"/>
        <v>10.625</v>
      </c>
      <c r="C36" s="70">
        <f t="shared" si="2"/>
        <v>0</v>
      </c>
      <c r="D36" s="221">
        <f>B2</f>
        <v>127.00280000000001</v>
      </c>
      <c r="E36" s="68">
        <f t="shared" si="7"/>
        <v>3.9844015686274514</v>
      </c>
      <c r="F36" s="70">
        <f t="shared" si="8"/>
        <v>0.35199999999999998</v>
      </c>
      <c r="G36" s="68">
        <f t="shared" si="9"/>
        <v>3.9844015686274514</v>
      </c>
      <c r="H36" s="70">
        <f t="shared" si="3"/>
        <v>3.9844015686274514</v>
      </c>
      <c r="I36" s="71">
        <f t="shared" si="10"/>
        <v>2.2563952103054811E-5</v>
      </c>
      <c r="J36" s="78">
        <f t="shared" si="15"/>
        <v>6.80679221775486E-4</v>
      </c>
      <c r="K36" s="214">
        <f t="shared" si="11"/>
        <v>0.68067922177548601</v>
      </c>
      <c r="L36" s="167">
        <f t="shared" si="12"/>
        <v>1</v>
      </c>
      <c r="M36" s="69">
        <f t="shared" si="4"/>
        <v>9.0554581105169341</v>
      </c>
      <c r="N36" s="69">
        <f t="shared" si="16"/>
        <v>2.8656850961538498E-3</v>
      </c>
      <c r="O36" s="69">
        <f t="shared" si="14"/>
        <v>127.00280000000001</v>
      </c>
      <c r="P36" s="69">
        <f t="shared" si="5"/>
        <v>15.4275</v>
      </c>
      <c r="Q36" s="69">
        <f t="shared" si="6"/>
        <v>7.0124999999999993</v>
      </c>
    </row>
    <row r="37" spans="1:17" x14ac:dyDescent="0.2">
      <c r="A37" s="69">
        <f t="shared" si="0"/>
        <v>42.5</v>
      </c>
      <c r="B37" s="72">
        <f t="shared" si="1"/>
        <v>11.033653846153847</v>
      </c>
      <c r="C37" s="70">
        <f t="shared" si="2"/>
        <v>0</v>
      </c>
      <c r="D37" s="221">
        <f>B2</f>
        <v>127.00280000000001</v>
      </c>
      <c r="E37" s="68">
        <f t="shared" si="7"/>
        <v>4.0361470435446911</v>
      </c>
      <c r="F37" s="70">
        <f t="shared" si="8"/>
        <v>0.35199999999999998</v>
      </c>
      <c r="G37" s="68">
        <f t="shared" si="9"/>
        <v>4.0361470435446911</v>
      </c>
      <c r="H37" s="70">
        <f t="shared" si="3"/>
        <v>4.0361470435446911</v>
      </c>
      <c r="I37" s="71">
        <f t="shared" si="10"/>
        <v>2.2274670665836161E-5</v>
      </c>
      <c r="J37" s="78">
        <f t="shared" si="15"/>
        <v>7.0295389244132221E-4</v>
      </c>
      <c r="K37" s="214">
        <f t="shared" si="11"/>
        <v>0.70295389244132223</v>
      </c>
      <c r="L37" s="167">
        <f t="shared" si="12"/>
        <v>1</v>
      </c>
      <c r="M37" s="69">
        <f t="shared" si="4"/>
        <v>9.1730614626015701</v>
      </c>
      <c r="N37" s="69">
        <f t="shared" si="16"/>
        <v>2.8289455436390568E-3</v>
      </c>
      <c r="O37" s="69">
        <f t="shared" si="14"/>
        <v>127.00280000000001</v>
      </c>
      <c r="P37" s="69">
        <f t="shared" si="5"/>
        <v>15.229711538461538</v>
      </c>
      <c r="Q37" s="69">
        <f t="shared" si="6"/>
        <v>6.9225961538461531</v>
      </c>
    </row>
    <row r="38" spans="1:17" x14ac:dyDescent="0.2">
      <c r="A38" s="69">
        <f t="shared" si="0"/>
        <v>42.5</v>
      </c>
      <c r="B38" s="72">
        <f t="shared" si="1"/>
        <v>11.442307692307692</v>
      </c>
      <c r="C38" s="70">
        <f t="shared" si="2"/>
        <v>0</v>
      </c>
      <c r="D38" s="221">
        <f>B2</f>
        <v>127.00280000000001</v>
      </c>
      <c r="E38" s="68">
        <f t="shared" si="7"/>
        <v>4.0892542414860689</v>
      </c>
      <c r="F38" s="70">
        <f t="shared" si="8"/>
        <v>0.35199999999999998</v>
      </c>
      <c r="G38" s="68">
        <f t="shared" si="9"/>
        <v>4.0892542414860689</v>
      </c>
      <c r="H38" s="70">
        <f t="shared" si="3"/>
        <v>4.0892542414860689</v>
      </c>
      <c r="I38" s="71">
        <f t="shared" si="10"/>
        <v>2.1985389228617412E-5</v>
      </c>
      <c r="J38" s="78">
        <f t="shared" si="15"/>
        <v>7.2493928166993962E-4</v>
      </c>
      <c r="K38" s="214">
        <f t="shared" si="11"/>
        <v>0.72493928166993959</v>
      </c>
      <c r="L38" s="167">
        <f t="shared" si="12"/>
        <v>1</v>
      </c>
      <c r="M38" s="69">
        <f t="shared" si="4"/>
        <v>9.2937596397410651</v>
      </c>
      <c r="N38" s="69">
        <f t="shared" si="16"/>
        <v>2.7922059911242515E-3</v>
      </c>
      <c r="O38" s="69">
        <f t="shared" si="14"/>
        <v>127.00280000000002</v>
      </c>
      <c r="P38" s="69">
        <f t="shared" si="5"/>
        <v>15.031923076923077</v>
      </c>
      <c r="Q38" s="69">
        <f t="shared" si="6"/>
        <v>6.832692307692307</v>
      </c>
    </row>
    <row r="39" spans="1:17" x14ac:dyDescent="0.2">
      <c r="A39" s="69">
        <f t="shared" si="0"/>
        <v>42.5</v>
      </c>
      <c r="B39" s="72">
        <f t="shared" si="1"/>
        <v>11.850961538461538</v>
      </c>
      <c r="C39" s="70">
        <f t="shared" si="2"/>
        <v>0</v>
      </c>
      <c r="D39" s="221">
        <f>B2</f>
        <v>127.00280000000001</v>
      </c>
      <c r="E39" s="68">
        <f t="shared" si="7"/>
        <v>4.1437776313725498</v>
      </c>
      <c r="F39" s="70">
        <f t="shared" si="8"/>
        <v>0.35199999999999998</v>
      </c>
      <c r="G39" s="68">
        <f t="shared" si="9"/>
        <v>4.1437776313725498</v>
      </c>
      <c r="H39" s="70">
        <f t="shared" si="3"/>
        <v>4.1437776313725498</v>
      </c>
      <c r="I39" s="71">
        <f t="shared" si="10"/>
        <v>2.1696107791398854E-5</v>
      </c>
      <c r="J39" s="78">
        <f t="shared" si="15"/>
        <v>7.4663538946133845E-4</v>
      </c>
      <c r="K39" s="214">
        <f t="shared" si="11"/>
        <v>0.74663538946133845</v>
      </c>
      <c r="L39" s="167">
        <f t="shared" si="12"/>
        <v>1</v>
      </c>
      <c r="M39" s="69">
        <f t="shared" si="4"/>
        <v>9.4176764349376132</v>
      </c>
      <c r="N39" s="69">
        <f t="shared" si="16"/>
        <v>2.755466438609471E-3</v>
      </c>
      <c r="O39" s="69">
        <f t="shared" si="14"/>
        <v>127.00280000000002</v>
      </c>
      <c r="P39" s="69">
        <f t="shared" si="5"/>
        <v>14.834134615384615</v>
      </c>
      <c r="Q39" s="69">
        <f t="shared" si="6"/>
        <v>6.7427884615384608</v>
      </c>
    </row>
    <row r="40" spans="1:17" x14ac:dyDescent="0.2">
      <c r="A40" s="69">
        <f t="shared" si="0"/>
        <v>42.5</v>
      </c>
      <c r="B40" s="72">
        <f t="shared" si="1"/>
        <v>12.259615384615383</v>
      </c>
      <c r="C40" s="70">
        <f t="shared" si="2"/>
        <v>0</v>
      </c>
      <c r="D40" s="221">
        <f>B2</f>
        <v>127.00280000000001</v>
      </c>
      <c r="E40" s="68">
        <f t="shared" si="7"/>
        <v>4.1997746263910969</v>
      </c>
      <c r="F40" s="70">
        <f t="shared" si="8"/>
        <v>0.35199999999999998</v>
      </c>
      <c r="G40" s="68">
        <f t="shared" si="9"/>
        <v>4.1997746263910969</v>
      </c>
      <c r="H40" s="70">
        <f t="shared" si="3"/>
        <v>4.1997746263910969</v>
      </c>
      <c r="I40" s="71">
        <f t="shared" si="10"/>
        <v>2.1406826354180116E-5</v>
      </c>
      <c r="J40" s="78">
        <f t="shared" si="15"/>
        <v>7.6804221581551859E-4</v>
      </c>
      <c r="K40" s="214">
        <f t="shared" si="11"/>
        <v>0.76804221581551857</v>
      </c>
      <c r="L40" s="167">
        <f t="shared" si="12"/>
        <v>1</v>
      </c>
      <c r="M40" s="69">
        <f t="shared" si="4"/>
        <v>9.5449423327070377</v>
      </c>
      <c r="N40" s="69">
        <f t="shared" si="16"/>
        <v>2.7187268860946663E-3</v>
      </c>
      <c r="O40" s="69">
        <f t="shared" si="14"/>
        <v>127.00280000000001</v>
      </c>
      <c r="P40" s="69">
        <f t="shared" si="5"/>
        <v>14.636346153846153</v>
      </c>
      <c r="Q40" s="69">
        <f t="shared" si="6"/>
        <v>6.6528846153846146</v>
      </c>
    </row>
    <row r="41" spans="1:17" x14ac:dyDescent="0.2">
      <c r="A41" s="69">
        <f t="shared" si="0"/>
        <v>42.5</v>
      </c>
      <c r="B41" s="72">
        <f t="shared" si="1"/>
        <v>12.66826923076923</v>
      </c>
      <c r="C41" s="70">
        <f t="shared" si="2"/>
        <v>0</v>
      </c>
      <c r="D41" s="221">
        <f>B2</f>
        <v>127.00280000000001</v>
      </c>
      <c r="E41" s="68">
        <f t="shared" si="7"/>
        <v>4.2573057856567287</v>
      </c>
      <c r="F41" s="70">
        <f t="shared" si="8"/>
        <v>0.35199999999999998</v>
      </c>
      <c r="G41" s="68">
        <f t="shared" si="9"/>
        <v>4.2573057856567287</v>
      </c>
      <c r="H41" s="70">
        <f t="shared" si="3"/>
        <v>4.2573057856567287</v>
      </c>
      <c r="I41" s="71">
        <f t="shared" si="10"/>
        <v>2.1117544916961554E-5</v>
      </c>
      <c r="J41" s="78">
        <f t="shared" si="15"/>
        <v>7.8915976073248015E-4</v>
      </c>
      <c r="K41" s="214">
        <f t="shared" si="11"/>
        <v>0.78915976073248018</v>
      </c>
      <c r="L41" s="167">
        <f t="shared" si="12"/>
        <v>1</v>
      </c>
      <c r="M41" s="69">
        <f t="shared" si="4"/>
        <v>9.6756949674016557</v>
      </c>
      <c r="N41" s="69">
        <f t="shared" si="16"/>
        <v>2.6819873335798849E-3</v>
      </c>
      <c r="O41" s="69">
        <f t="shared" si="14"/>
        <v>127.00280000000001</v>
      </c>
      <c r="P41" s="69">
        <f t="shared" si="5"/>
        <v>14.438557692307691</v>
      </c>
      <c r="Q41" s="69">
        <f t="shared" si="6"/>
        <v>6.5629807692307685</v>
      </c>
    </row>
    <row r="42" spans="1:17" x14ac:dyDescent="0.2">
      <c r="A42" s="69">
        <f t="shared" ref="A42:A73" si="17">VINMAX</f>
        <v>42.5</v>
      </c>
      <c r="B42" s="72">
        <f t="shared" ref="B42:B73" si="18">VINMAX*((ROW()-10)/104)</f>
        <v>13.076923076923078</v>
      </c>
      <c r="C42" s="70">
        <f t="shared" ref="C42:C73" si="19">IF(B42&gt;=$H$2,IF($D$2="CC", $G$2, B42/$G$2), 0)</f>
        <v>0</v>
      </c>
      <c r="D42" s="221">
        <f>B2</f>
        <v>127.00280000000001</v>
      </c>
      <c r="E42" s="68">
        <f t="shared" si="7"/>
        <v>4.3164350326797392</v>
      </c>
      <c r="F42" s="70">
        <f t="shared" ref="F42:F73" si="20">I_Cout_ss+C42</f>
        <v>0.35199999999999998</v>
      </c>
      <c r="G42" s="68">
        <f t="shared" si="9"/>
        <v>4.3164350326797392</v>
      </c>
      <c r="H42" s="70">
        <f t="shared" ref="H42:H73" si="21">G42-C42</f>
        <v>4.3164350326797392</v>
      </c>
      <c r="I42" s="71">
        <f t="shared" si="10"/>
        <v>2.0828263479742992E-5</v>
      </c>
      <c r="J42" s="78">
        <f t="shared" si="15"/>
        <v>8.0998802421222314E-4</v>
      </c>
      <c r="K42" s="214">
        <f t="shared" si="11"/>
        <v>0.80998802421222316</v>
      </c>
      <c r="L42" s="167">
        <f t="shared" si="12"/>
        <v>1</v>
      </c>
      <c r="M42" s="69">
        <f t="shared" ref="M42:M73" si="22">1/COUTMAX*(E42/2-C42)*1000</f>
        <v>9.8100796197266789</v>
      </c>
      <c r="N42" s="69">
        <f t="shared" si="16"/>
        <v>2.6452477810651035E-3</v>
      </c>
      <c r="O42" s="69">
        <f t="shared" si="14"/>
        <v>127.00280000000001</v>
      </c>
      <c r="P42" s="69">
        <f t="shared" ref="P42:P73" si="23">(A42-B42)*(I_Cout_ss*$Q$2+C42)</f>
        <v>14.240769230769228</v>
      </c>
      <c r="Q42" s="69">
        <f t="shared" ref="Q42:Q73" si="24">(A42-B42)*(I_Cout_ss*$R$2+C42)</f>
        <v>6.4730769230769214</v>
      </c>
    </row>
    <row r="43" spans="1:17" x14ac:dyDescent="0.2">
      <c r="A43" s="69">
        <f t="shared" si="17"/>
        <v>42.5</v>
      </c>
      <c r="B43" s="72">
        <f t="shared" si="18"/>
        <v>13.485576923076922</v>
      </c>
      <c r="C43" s="70">
        <f t="shared" si="19"/>
        <v>0</v>
      </c>
      <c r="D43" s="221">
        <f>B2</f>
        <v>127.00280000000001</v>
      </c>
      <c r="E43" s="68">
        <f t="shared" si="7"/>
        <v>4.3772298922949462</v>
      </c>
      <c r="F43" s="70">
        <f t="shared" si="20"/>
        <v>0.35199999999999998</v>
      </c>
      <c r="G43" s="68">
        <f t="shared" si="9"/>
        <v>4.3772298922949462</v>
      </c>
      <c r="H43" s="70">
        <f t="shared" si="21"/>
        <v>4.3772298922949462</v>
      </c>
      <c r="I43" s="71">
        <f t="shared" ref="I43:I74" si="25">(COUTMAX/1000000)*(B43-B42)/H43</f>
        <v>2.0538982042524078E-5</v>
      </c>
      <c r="J43" s="78">
        <f t="shared" si="15"/>
        <v>8.3052700625474722E-4</v>
      </c>
      <c r="K43" s="214">
        <f t="shared" si="11"/>
        <v>0.83052700625474718</v>
      </c>
      <c r="L43" s="167">
        <f t="shared" si="12"/>
        <v>1</v>
      </c>
      <c r="M43" s="69">
        <f t="shared" si="22"/>
        <v>9.9482497552157874</v>
      </c>
      <c r="N43" s="69">
        <f t="shared" si="16"/>
        <v>2.6085082285502771E-3</v>
      </c>
      <c r="O43" s="69">
        <f t="shared" si="14"/>
        <v>127.00280000000002</v>
      </c>
      <c r="P43" s="69">
        <f t="shared" si="23"/>
        <v>14.04298076923077</v>
      </c>
      <c r="Q43" s="69">
        <f t="shared" si="24"/>
        <v>6.383173076923077</v>
      </c>
    </row>
    <row r="44" spans="1:17" x14ac:dyDescent="0.2">
      <c r="A44" s="69">
        <f t="shared" si="17"/>
        <v>42.5</v>
      </c>
      <c r="B44" s="72">
        <f t="shared" si="18"/>
        <v>13.89423076923077</v>
      </c>
      <c r="C44" s="70">
        <f t="shared" si="19"/>
        <v>0</v>
      </c>
      <c r="D44" s="221">
        <f>B2</f>
        <v>127.00280000000001</v>
      </c>
      <c r="E44" s="68">
        <f t="shared" si="7"/>
        <v>4.4397617478991602</v>
      </c>
      <c r="F44" s="70">
        <f t="shared" si="20"/>
        <v>0.35199999999999998</v>
      </c>
      <c r="G44" s="68">
        <f t="shared" si="9"/>
        <v>4.4397617478991602</v>
      </c>
      <c r="H44" s="70">
        <f t="shared" si="21"/>
        <v>4.4397617478991602</v>
      </c>
      <c r="I44" s="71">
        <f t="shared" si="25"/>
        <v>2.0249700605305689E-5</v>
      </c>
      <c r="J44" s="78">
        <f t="shared" si="15"/>
        <v>8.5077670686005294E-4</v>
      </c>
      <c r="K44" s="214">
        <f t="shared" si="11"/>
        <v>0.85077670686005291</v>
      </c>
      <c r="L44" s="167">
        <f t="shared" si="12"/>
        <v>1</v>
      </c>
      <c r="M44" s="69">
        <f t="shared" si="22"/>
        <v>10.090367608861728</v>
      </c>
      <c r="N44" s="69">
        <f t="shared" si="16"/>
        <v>2.5717686760355174E-3</v>
      </c>
      <c r="O44" s="69">
        <f t="shared" si="14"/>
        <v>127.00280000000001</v>
      </c>
      <c r="P44" s="69">
        <f t="shared" si="23"/>
        <v>13.845192307692306</v>
      </c>
      <c r="Q44" s="69">
        <f t="shared" si="24"/>
        <v>6.2932692307692299</v>
      </c>
    </row>
    <row r="45" spans="1:17" x14ac:dyDescent="0.2">
      <c r="A45" s="69">
        <f t="shared" si="17"/>
        <v>42.5</v>
      </c>
      <c r="B45" s="72">
        <f t="shared" si="18"/>
        <v>14.302884615384617</v>
      </c>
      <c r="C45" s="70">
        <f t="shared" si="19"/>
        <v>0</v>
      </c>
      <c r="D45" s="221">
        <f>B2</f>
        <v>127.00280000000001</v>
      </c>
      <c r="E45" s="68">
        <f t="shared" si="7"/>
        <v>4.5041061210571192</v>
      </c>
      <c r="F45" s="70">
        <f t="shared" si="20"/>
        <v>0.35199999999999998</v>
      </c>
      <c r="G45" s="68">
        <f t="shared" si="9"/>
        <v>4.5041061210571192</v>
      </c>
      <c r="H45" s="70">
        <f t="shared" si="21"/>
        <v>4.5041061210571192</v>
      </c>
      <c r="I45" s="71">
        <f t="shared" si="25"/>
        <v>1.9960419168086948E-5</v>
      </c>
      <c r="J45" s="78">
        <f t="shared" si="15"/>
        <v>8.7073712602813986E-4</v>
      </c>
      <c r="K45" s="214">
        <f t="shared" si="11"/>
        <v>0.87073712602813991</v>
      </c>
      <c r="L45" s="167">
        <f t="shared" si="12"/>
        <v>1</v>
      </c>
      <c r="M45" s="69">
        <f t="shared" si="22"/>
        <v>10.236604820584361</v>
      </c>
      <c r="N45" s="69">
        <f t="shared" si="16"/>
        <v>2.5350291235207135E-3</v>
      </c>
      <c r="O45" s="69">
        <f t="shared" si="14"/>
        <v>127.00280000000001</v>
      </c>
      <c r="P45" s="69">
        <f t="shared" si="23"/>
        <v>13.647403846153844</v>
      </c>
      <c r="Q45" s="69">
        <f t="shared" si="24"/>
        <v>6.2033653846153838</v>
      </c>
    </row>
    <row r="46" spans="1:17" x14ac:dyDescent="0.2">
      <c r="A46" s="69">
        <f t="shared" si="17"/>
        <v>42.5</v>
      </c>
      <c r="B46" s="72">
        <f t="shared" si="18"/>
        <v>14.711538461538462</v>
      </c>
      <c r="C46" s="70">
        <f t="shared" si="19"/>
        <v>0</v>
      </c>
      <c r="D46" s="221">
        <f>B2</f>
        <v>127.00280000000001</v>
      </c>
      <c r="E46" s="68">
        <f t="shared" si="7"/>
        <v>4.570342975778547</v>
      </c>
      <c r="F46" s="70">
        <f t="shared" si="20"/>
        <v>0.35199999999999998</v>
      </c>
      <c r="G46" s="68">
        <f t="shared" si="9"/>
        <v>4.570342975778547</v>
      </c>
      <c r="H46" s="70">
        <f t="shared" si="21"/>
        <v>4.570342975778547</v>
      </c>
      <c r="I46" s="71">
        <f t="shared" si="25"/>
        <v>1.9671137730868213E-5</v>
      </c>
      <c r="J46" s="78">
        <f t="shared" si="15"/>
        <v>8.904082637590081E-4</v>
      </c>
      <c r="K46" s="214">
        <f t="shared" si="11"/>
        <v>0.89040826375900806</v>
      </c>
      <c r="L46" s="167">
        <f t="shared" si="12"/>
        <v>1</v>
      </c>
      <c r="M46" s="69">
        <f t="shared" si="22"/>
        <v>10.387143126769425</v>
      </c>
      <c r="N46" s="69">
        <f t="shared" si="16"/>
        <v>2.4982895710059095E-3</v>
      </c>
      <c r="O46" s="69">
        <f t="shared" si="14"/>
        <v>127.00280000000002</v>
      </c>
      <c r="P46" s="69">
        <f t="shared" si="23"/>
        <v>13.449615384615385</v>
      </c>
      <c r="Q46" s="69">
        <f t="shared" si="24"/>
        <v>6.1134615384615385</v>
      </c>
    </row>
    <row r="47" spans="1:17" x14ac:dyDescent="0.2">
      <c r="A47" s="69">
        <f t="shared" si="17"/>
        <v>42.5</v>
      </c>
      <c r="B47" s="72">
        <f t="shared" si="18"/>
        <v>15.120192307692308</v>
      </c>
      <c r="C47" s="70">
        <f t="shared" si="19"/>
        <v>0</v>
      </c>
      <c r="D47" s="221">
        <f>B2</f>
        <v>127.00280000000001</v>
      </c>
      <c r="E47" s="68">
        <f t="shared" si="7"/>
        <v>4.6385570500438984</v>
      </c>
      <c r="F47" s="70">
        <f t="shared" si="20"/>
        <v>0.35199999999999998</v>
      </c>
      <c r="G47" s="68">
        <f t="shared" si="9"/>
        <v>4.6385570500438984</v>
      </c>
      <c r="H47" s="70">
        <f t="shared" si="21"/>
        <v>4.6385570500438984</v>
      </c>
      <c r="I47" s="71">
        <f t="shared" si="25"/>
        <v>1.9381856293649648E-5</v>
      </c>
      <c r="J47" s="78">
        <f t="shared" si="15"/>
        <v>9.0979012005265776E-4</v>
      </c>
      <c r="K47" s="214">
        <f t="shared" si="11"/>
        <v>0.9097901200526578</v>
      </c>
      <c r="L47" s="167">
        <f t="shared" si="12"/>
        <v>1</v>
      </c>
      <c r="M47" s="69">
        <f t="shared" si="22"/>
        <v>10.542175113736132</v>
      </c>
      <c r="N47" s="69">
        <f t="shared" si="16"/>
        <v>2.4615500184911277E-3</v>
      </c>
      <c r="O47" s="69">
        <f t="shared" si="14"/>
        <v>127.00280000000001</v>
      </c>
      <c r="P47" s="69">
        <f t="shared" si="23"/>
        <v>13.251826923076923</v>
      </c>
      <c r="Q47" s="69">
        <f t="shared" si="24"/>
        <v>6.0235576923076914</v>
      </c>
    </row>
    <row r="48" spans="1:17" x14ac:dyDescent="0.2">
      <c r="A48" s="69">
        <f t="shared" si="17"/>
        <v>42.5</v>
      </c>
      <c r="B48" s="72">
        <f t="shared" si="18"/>
        <v>15.528846153846153</v>
      </c>
      <c r="C48" s="70">
        <f t="shared" si="19"/>
        <v>0</v>
      </c>
      <c r="D48" s="221">
        <f>B2</f>
        <v>127.00280000000001</v>
      </c>
      <c r="E48" s="68">
        <f t="shared" si="7"/>
        <v>4.7088382174688057</v>
      </c>
      <c r="F48" s="70">
        <f t="shared" si="20"/>
        <v>0.35199999999999998</v>
      </c>
      <c r="G48" s="68">
        <f t="shared" si="9"/>
        <v>4.7088382174688057</v>
      </c>
      <c r="H48" s="70">
        <f t="shared" si="21"/>
        <v>4.7088382174688057</v>
      </c>
      <c r="I48" s="71">
        <f t="shared" si="25"/>
        <v>1.9092574856430913E-5</v>
      </c>
      <c r="J48" s="78">
        <f t="shared" si="15"/>
        <v>9.2888269490908862E-4</v>
      </c>
      <c r="K48" s="214">
        <f t="shared" si="11"/>
        <v>0.92888269490908859</v>
      </c>
      <c r="L48" s="167">
        <f t="shared" si="12"/>
        <v>1</v>
      </c>
      <c r="M48" s="69">
        <f t="shared" si="22"/>
        <v>10.701905039701831</v>
      </c>
      <c r="N48" s="69">
        <f t="shared" si="16"/>
        <v>2.4248104659763238E-3</v>
      </c>
      <c r="O48" s="69">
        <f t="shared" si="14"/>
        <v>127.00280000000001</v>
      </c>
      <c r="P48" s="69">
        <f t="shared" si="23"/>
        <v>13.054038461538461</v>
      </c>
      <c r="Q48" s="69">
        <f t="shared" si="24"/>
        <v>5.9336538461538453</v>
      </c>
    </row>
    <row r="49" spans="1:17" x14ac:dyDescent="0.2">
      <c r="A49" s="69">
        <f t="shared" si="17"/>
        <v>42.5</v>
      </c>
      <c r="B49" s="72">
        <f t="shared" si="18"/>
        <v>15.9375</v>
      </c>
      <c r="C49" s="70">
        <f t="shared" si="19"/>
        <v>0</v>
      </c>
      <c r="D49" s="221">
        <f>B2</f>
        <v>127.00280000000001</v>
      </c>
      <c r="E49" s="68">
        <f t="shared" si="7"/>
        <v>4.7812818823529417</v>
      </c>
      <c r="F49" s="70">
        <f t="shared" si="20"/>
        <v>0.35199999999999998</v>
      </c>
      <c r="G49" s="68">
        <f t="shared" si="9"/>
        <v>4.7812818823529417</v>
      </c>
      <c r="H49" s="70">
        <f t="shared" si="21"/>
        <v>4.7812818823529417</v>
      </c>
      <c r="I49" s="71">
        <f t="shared" si="25"/>
        <v>1.8803293419212344E-5</v>
      </c>
      <c r="J49" s="78">
        <f t="shared" si="15"/>
        <v>9.4768598832830101E-4</v>
      </c>
      <c r="K49" s="214">
        <f t="shared" si="11"/>
        <v>0.94768598832830098</v>
      </c>
      <c r="L49" s="167">
        <f t="shared" si="12"/>
        <v>1</v>
      </c>
      <c r="M49" s="69">
        <f t="shared" si="22"/>
        <v>10.866549732620321</v>
      </c>
      <c r="N49" s="69">
        <f t="shared" si="16"/>
        <v>2.3880709134615416E-3</v>
      </c>
      <c r="O49" s="69">
        <f t="shared" si="14"/>
        <v>127.00280000000001</v>
      </c>
      <c r="P49" s="69">
        <f t="shared" si="23"/>
        <v>12.856249999999999</v>
      </c>
      <c r="Q49" s="69">
        <f t="shared" si="24"/>
        <v>5.8437499999999991</v>
      </c>
    </row>
    <row r="50" spans="1:17" x14ac:dyDescent="0.2">
      <c r="A50" s="69">
        <f t="shared" si="17"/>
        <v>42.5</v>
      </c>
      <c r="B50" s="72">
        <f t="shared" si="18"/>
        <v>16.346153846153847</v>
      </c>
      <c r="C50" s="70">
        <f t="shared" si="19"/>
        <v>4</v>
      </c>
      <c r="D50" s="221">
        <f>B2</f>
        <v>127.00280000000001</v>
      </c>
      <c r="E50" s="68">
        <f t="shared" si="7"/>
        <v>4.855989411764706</v>
      </c>
      <c r="F50" s="70">
        <f t="shared" si="20"/>
        <v>4.3520000000000003</v>
      </c>
      <c r="G50" s="68">
        <f t="shared" si="9"/>
        <v>4.855989411764706</v>
      </c>
      <c r="H50" s="70">
        <f t="shared" si="21"/>
        <v>0.855989411764706</v>
      </c>
      <c r="I50" s="71">
        <f t="shared" si="25"/>
        <v>1.0502915680755991E-4</v>
      </c>
      <c r="J50" s="78">
        <f t="shared" si="15"/>
        <v>1.0527151451358609E-3</v>
      </c>
      <c r="K50" s="214">
        <f t="shared" si="11"/>
        <v>1.052715145135861</v>
      </c>
      <c r="L50" s="167">
        <f t="shared" si="12"/>
        <v>0.17627497491878436</v>
      </c>
      <c r="M50" s="69">
        <f t="shared" si="22"/>
        <v>-7.1454786096256679</v>
      </c>
      <c r="N50" s="69">
        <f t="shared" si="16"/>
        <v>1.3338996996199171E-2</v>
      </c>
      <c r="O50" s="69">
        <f t="shared" si="14"/>
        <v>127.00279999999999</v>
      </c>
      <c r="P50" s="69">
        <f t="shared" si="23"/>
        <v>117.27384615384615</v>
      </c>
      <c r="Q50" s="69">
        <f t="shared" si="24"/>
        <v>110.36923076923075</v>
      </c>
    </row>
    <row r="51" spans="1:17" x14ac:dyDescent="0.2">
      <c r="A51" s="69">
        <f t="shared" si="17"/>
        <v>42.5</v>
      </c>
      <c r="B51" s="72">
        <f t="shared" si="18"/>
        <v>16.754807692307693</v>
      </c>
      <c r="C51" s="70">
        <f t="shared" si="19"/>
        <v>4</v>
      </c>
      <c r="D51" s="221">
        <f>B2</f>
        <v>127.00280000000001</v>
      </c>
      <c r="E51" s="68">
        <f t="shared" si="7"/>
        <v>4.9330686087768445</v>
      </c>
      <c r="F51" s="70">
        <f t="shared" si="20"/>
        <v>4.3520000000000003</v>
      </c>
      <c r="G51" s="68">
        <f t="shared" si="9"/>
        <v>4.9330686087768445</v>
      </c>
      <c r="H51" s="70">
        <f t="shared" si="21"/>
        <v>0.9330686087768445</v>
      </c>
      <c r="I51" s="71">
        <f t="shared" si="25"/>
        <v>9.6352878350179226E-5</v>
      </c>
      <c r="J51" s="78">
        <f t="shared" si="15"/>
        <v>1.14906802348604E-3</v>
      </c>
      <c r="K51" s="214">
        <f t="shared" si="11"/>
        <v>1.14906802348604</v>
      </c>
      <c r="L51" s="167">
        <f t="shared" si="12"/>
        <v>0.18914567843567842</v>
      </c>
      <c r="M51" s="69">
        <f t="shared" si="22"/>
        <v>-6.9702986164162626</v>
      </c>
      <c r="N51" s="69">
        <f t="shared" si="16"/>
        <v>1.2237085338532143E-2</v>
      </c>
      <c r="O51" s="69">
        <f t="shared" si="14"/>
        <v>127.00280000000001</v>
      </c>
      <c r="P51" s="69">
        <f t="shared" si="23"/>
        <v>115.4414423076923</v>
      </c>
      <c r="Q51" s="69">
        <f t="shared" si="24"/>
        <v>108.64471153846152</v>
      </c>
    </row>
    <row r="52" spans="1:17" x14ac:dyDescent="0.2">
      <c r="A52" s="69">
        <f t="shared" si="17"/>
        <v>42.5</v>
      </c>
      <c r="B52" s="72">
        <f t="shared" si="18"/>
        <v>17.16346153846154</v>
      </c>
      <c r="C52" s="70">
        <f t="shared" si="19"/>
        <v>4</v>
      </c>
      <c r="D52" s="221">
        <f>B2</f>
        <v>127.00280000000001</v>
      </c>
      <c r="E52" s="68">
        <f t="shared" si="7"/>
        <v>5.0126342314990522</v>
      </c>
      <c r="F52" s="70">
        <f t="shared" si="20"/>
        <v>4.3520000000000003</v>
      </c>
      <c r="G52" s="68">
        <f t="shared" si="9"/>
        <v>5.0126342314990522</v>
      </c>
      <c r="H52" s="70">
        <f t="shared" si="21"/>
        <v>1.0126342314990522</v>
      </c>
      <c r="I52" s="71">
        <f t="shared" si="25"/>
        <v>8.878215189383554E-5</v>
      </c>
      <c r="J52" s="78">
        <f t="shared" si="15"/>
        <v>1.2378501753798755E-3</v>
      </c>
      <c r="K52" s="214">
        <f t="shared" si="11"/>
        <v>1.2378501753798756</v>
      </c>
      <c r="L52" s="167">
        <f t="shared" si="12"/>
        <v>0.20201638195257249</v>
      </c>
      <c r="M52" s="69">
        <f t="shared" si="22"/>
        <v>-6.7894676556839721</v>
      </c>
      <c r="N52" s="69">
        <f t="shared" si="16"/>
        <v>1.1275581880542418E-2</v>
      </c>
      <c r="O52" s="69">
        <f t="shared" si="14"/>
        <v>127.00280000000002</v>
      </c>
      <c r="P52" s="69">
        <f t="shared" si="23"/>
        <v>113.60903846153846</v>
      </c>
      <c r="Q52" s="69">
        <f t="shared" si="24"/>
        <v>106.92019230769229</v>
      </c>
    </row>
    <row r="53" spans="1:17" x14ac:dyDescent="0.2">
      <c r="A53" s="69">
        <f t="shared" si="17"/>
        <v>42.5</v>
      </c>
      <c r="B53" s="72">
        <f t="shared" si="18"/>
        <v>17.572115384615383</v>
      </c>
      <c r="C53" s="70">
        <f t="shared" si="19"/>
        <v>4</v>
      </c>
      <c r="D53" s="221">
        <f>B2</f>
        <v>127.00280000000001</v>
      </c>
      <c r="E53" s="68">
        <f t="shared" si="7"/>
        <v>5.09480856316297</v>
      </c>
      <c r="F53" s="70">
        <f t="shared" si="20"/>
        <v>4.3520000000000003</v>
      </c>
      <c r="G53" s="68">
        <f t="shared" si="9"/>
        <v>5.09480856316297</v>
      </c>
      <c r="H53" s="70">
        <f t="shared" si="21"/>
        <v>1.09480856316297</v>
      </c>
      <c r="I53" s="71">
        <f t="shared" si="25"/>
        <v>8.2118325686189093E-5</v>
      </c>
      <c r="J53" s="78">
        <f t="shared" si="15"/>
        <v>1.3199685010660646E-3</v>
      </c>
      <c r="K53" s="214">
        <f t="shared" si="11"/>
        <v>1.3199685010660647</v>
      </c>
      <c r="L53" s="167">
        <f t="shared" si="12"/>
        <v>0.21488708546946633</v>
      </c>
      <c r="M53" s="69">
        <f t="shared" si="22"/>
        <v>-6.6027078109932491</v>
      </c>
      <c r="N53" s="69">
        <f t="shared" si="16"/>
        <v>1.0429257293457938E-2</v>
      </c>
      <c r="O53" s="69">
        <f t="shared" si="14"/>
        <v>127.00280000000001</v>
      </c>
      <c r="P53" s="69">
        <f t="shared" si="23"/>
        <v>111.77663461538462</v>
      </c>
      <c r="Q53" s="69">
        <f t="shared" si="24"/>
        <v>105.19567307692307</v>
      </c>
    </row>
    <row r="54" spans="1:17" x14ac:dyDescent="0.2">
      <c r="A54" s="69">
        <f t="shared" si="17"/>
        <v>42.5</v>
      </c>
      <c r="B54" s="72">
        <f t="shared" si="18"/>
        <v>17.98076923076923</v>
      </c>
      <c r="C54" s="70">
        <f t="shared" si="19"/>
        <v>4</v>
      </c>
      <c r="D54" s="221">
        <f>B2</f>
        <v>127.00280000000001</v>
      </c>
      <c r="E54" s="68">
        <f t="shared" si="7"/>
        <v>5.1797220392156866</v>
      </c>
      <c r="F54" s="70">
        <f t="shared" si="20"/>
        <v>4.3520000000000003</v>
      </c>
      <c r="G54" s="68">
        <f t="shared" si="9"/>
        <v>5.1797220392156866</v>
      </c>
      <c r="H54" s="70">
        <f t="shared" si="21"/>
        <v>1.1797220392156866</v>
      </c>
      <c r="I54" s="71">
        <f t="shared" si="25"/>
        <v>7.6207651603776901E-5</v>
      </c>
      <c r="J54" s="78">
        <f t="shared" si="15"/>
        <v>1.3961761526698415E-3</v>
      </c>
      <c r="K54" s="214">
        <f t="shared" si="11"/>
        <v>1.3961761526698415</v>
      </c>
      <c r="L54" s="167">
        <f t="shared" si="12"/>
        <v>0.22775778898636037</v>
      </c>
      <c r="M54" s="69">
        <f t="shared" si="22"/>
        <v>-6.4097226381461665</v>
      </c>
      <c r="N54" s="69">
        <f t="shared" si="16"/>
        <v>9.678585135104157E-3</v>
      </c>
      <c r="O54" s="69">
        <f t="shared" si="14"/>
        <v>127.00280000000001</v>
      </c>
      <c r="P54" s="69">
        <f t="shared" si="23"/>
        <v>109.94423076923077</v>
      </c>
      <c r="Q54" s="69">
        <f t="shared" si="24"/>
        <v>103.47115384615384</v>
      </c>
    </row>
    <row r="55" spans="1:17" x14ac:dyDescent="0.2">
      <c r="A55" s="69">
        <f t="shared" si="17"/>
        <v>42.5</v>
      </c>
      <c r="B55" s="72">
        <f t="shared" si="18"/>
        <v>18.389423076923077</v>
      </c>
      <c r="C55" s="70">
        <f t="shared" si="19"/>
        <v>4</v>
      </c>
      <c r="D55" s="221">
        <f>B2</f>
        <v>127.00280000000001</v>
      </c>
      <c r="E55" s="68">
        <f t="shared" si="7"/>
        <v>5.2675139381854441</v>
      </c>
      <c r="F55" s="70">
        <f t="shared" si="20"/>
        <v>4.3520000000000003</v>
      </c>
      <c r="G55" s="68">
        <f t="shared" si="9"/>
        <v>5.2675139381854441</v>
      </c>
      <c r="H55" s="70">
        <f t="shared" si="21"/>
        <v>1.2675139381854441</v>
      </c>
      <c r="I55" s="71">
        <f t="shared" si="25"/>
        <v>7.0929276156561565E-5</v>
      </c>
      <c r="J55" s="78">
        <f t="shared" si="15"/>
        <v>1.467105428826403E-3</v>
      </c>
      <c r="K55" s="214">
        <f t="shared" si="11"/>
        <v>1.4671054288264029</v>
      </c>
      <c r="L55" s="167">
        <f t="shared" si="12"/>
        <v>0.24062849250325438</v>
      </c>
      <c r="M55" s="69">
        <f t="shared" si="22"/>
        <v>-6.2101955950330812</v>
      </c>
      <c r="N55" s="69">
        <f t="shared" si="16"/>
        <v>9.0082166738565585E-3</v>
      </c>
      <c r="O55" s="69">
        <f t="shared" si="14"/>
        <v>127.00280000000001</v>
      </c>
      <c r="P55" s="69">
        <f t="shared" si="23"/>
        <v>108.11182692307692</v>
      </c>
      <c r="Q55" s="69">
        <f t="shared" si="24"/>
        <v>101.74663461538461</v>
      </c>
    </row>
    <row r="56" spans="1:17" x14ac:dyDescent="0.2">
      <c r="A56" s="69">
        <f t="shared" si="17"/>
        <v>42.5</v>
      </c>
      <c r="B56" s="72">
        <f t="shared" si="18"/>
        <v>18.798076923076923</v>
      </c>
      <c r="C56" s="70">
        <f t="shared" si="19"/>
        <v>4</v>
      </c>
      <c r="D56" s="221">
        <f>B2</f>
        <v>127.00280000000001</v>
      </c>
      <c r="E56" s="68">
        <f t="shared" si="7"/>
        <v>5.3583331440162274</v>
      </c>
      <c r="F56" s="70">
        <f t="shared" si="20"/>
        <v>4.3520000000000003</v>
      </c>
      <c r="G56" s="68">
        <f t="shared" si="9"/>
        <v>5.3583331440162274</v>
      </c>
      <c r="H56" s="70">
        <f t="shared" si="21"/>
        <v>1.3583331440162274</v>
      </c>
      <c r="I56" s="71">
        <f t="shared" si="25"/>
        <v>6.6186889828827029E-5</v>
      </c>
      <c r="J56" s="78">
        <f t="shared" si="15"/>
        <v>1.5332923186552301E-3</v>
      </c>
      <c r="K56" s="214">
        <f t="shared" si="11"/>
        <v>1.5332923186552301</v>
      </c>
      <c r="L56" s="167">
        <f t="shared" si="12"/>
        <v>0.25349919602014837</v>
      </c>
      <c r="M56" s="69">
        <f t="shared" si="22"/>
        <v>-6.0037883090540287</v>
      </c>
      <c r="N56" s="69">
        <f t="shared" si="16"/>
        <v>8.4059203315525535E-3</v>
      </c>
      <c r="O56" s="69">
        <f t="shared" si="14"/>
        <v>127.00280000000001</v>
      </c>
      <c r="P56" s="69">
        <f t="shared" si="23"/>
        <v>106.27942307692308</v>
      </c>
      <c r="Q56" s="69">
        <f t="shared" si="24"/>
        <v>100.02211538461538</v>
      </c>
    </row>
    <row r="57" spans="1:17" x14ac:dyDescent="0.2">
      <c r="A57" s="69">
        <f t="shared" si="17"/>
        <v>42.5</v>
      </c>
      <c r="B57" s="72">
        <f t="shared" si="18"/>
        <v>19.20673076923077</v>
      </c>
      <c r="C57" s="70">
        <f t="shared" si="19"/>
        <v>4</v>
      </c>
      <c r="D57" s="221">
        <f>B2</f>
        <v>127.00280000000001</v>
      </c>
      <c r="E57" s="68">
        <f t="shared" si="7"/>
        <v>5.4523389886480915</v>
      </c>
      <c r="F57" s="70">
        <f t="shared" si="20"/>
        <v>4.3520000000000003</v>
      </c>
      <c r="G57" s="68">
        <f t="shared" si="9"/>
        <v>5.4523389886480915</v>
      </c>
      <c r="H57" s="70">
        <f t="shared" si="21"/>
        <v>1.4523389886480915</v>
      </c>
      <c r="I57" s="71">
        <f t="shared" si="25"/>
        <v>6.1902797388599463E-5</v>
      </c>
      <c r="J57" s="78">
        <f t="shared" si="15"/>
        <v>1.5951951160438297E-3</v>
      </c>
      <c r="K57" s="214">
        <f t="shared" si="11"/>
        <v>1.5951951160438298</v>
      </c>
      <c r="L57" s="167">
        <f t="shared" si="12"/>
        <v>0.26636989953704238</v>
      </c>
      <c r="M57" s="69">
        <f t="shared" si="22"/>
        <v>-5.7901386621634288</v>
      </c>
      <c r="N57" s="69">
        <f t="shared" si="16"/>
        <v>7.8618285961848215E-3</v>
      </c>
      <c r="O57" s="69">
        <f t="shared" si="14"/>
        <v>127.00280000000001</v>
      </c>
      <c r="P57" s="69">
        <f t="shared" si="23"/>
        <v>104.44701923076923</v>
      </c>
      <c r="Q57" s="69">
        <f t="shared" si="24"/>
        <v>98.297596153846143</v>
      </c>
    </row>
    <row r="58" spans="1:17" x14ac:dyDescent="0.2">
      <c r="A58" s="69">
        <f t="shared" si="17"/>
        <v>42.5</v>
      </c>
      <c r="B58" s="72">
        <f t="shared" si="18"/>
        <v>19.615384615384617</v>
      </c>
      <c r="C58" s="70">
        <f t="shared" si="19"/>
        <v>4</v>
      </c>
      <c r="D58" s="221">
        <f>B2</f>
        <v>127.00280000000001</v>
      </c>
      <c r="E58" s="68">
        <f t="shared" si="7"/>
        <v>5.5497021848739498</v>
      </c>
      <c r="F58" s="70">
        <f t="shared" si="20"/>
        <v>4.3520000000000003</v>
      </c>
      <c r="G58" s="68">
        <f t="shared" si="9"/>
        <v>5.5497021848739498</v>
      </c>
      <c r="H58" s="70">
        <f t="shared" si="21"/>
        <v>1.5497021848739498</v>
      </c>
      <c r="I58" s="71">
        <f t="shared" si="25"/>
        <v>5.8013628057934824E-5</v>
      </c>
      <c r="J58" s="78">
        <f t="shared" si="15"/>
        <v>1.6532087441017646E-3</v>
      </c>
      <c r="K58" s="214">
        <f t="shared" si="11"/>
        <v>1.6532087441017647</v>
      </c>
      <c r="L58" s="167">
        <f t="shared" si="12"/>
        <v>0.27924060305393633</v>
      </c>
      <c r="M58" s="69">
        <f t="shared" si="22"/>
        <v>-5.5688586707410233</v>
      </c>
      <c r="N58" s="69">
        <f t="shared" si="16"/>
        <v>7.3678932015162849E-3</v>
      </c>
      <c r="O58" s="69">
        <f t="shared" si="14"/>
        <v>127.00279999999999</v>
      </c>
      <c r="P58" s="69">
        <f t="shared" si="23"/>
        <v>102.61461538461538</v>
      </c>
      <c r="Q58" s="69">
        <f t="shared" si="24"/>
        <v>96.573076923076911</v>
      </c>
    </row>
    <row r="59" spans="1:17" x14ac:dyDescent="0.2">
      <c r="A59" s="69">
        <f t="shared" si="17"/>
        <v>42.5</v>
      </c>
      <c r="B59" s="72">
        <f t="shared" si="18"/>
        <v>20.02403846153846</v>
      </c>
      <c r="C59" s="70">
        <f t="shared" si="19"/>
        <v>4</v>
      </c>
      <c r="D59" s="221">
        <f>B2</f>
        <v>127.00280000000001</v>
      </c>
      <c r="E59" s="68">
        <f t="shared" si="7"/>
        <v>5.6506058609625667</v>
      </c>
      <c r="F59" s="70">
        <f t="shared" si="20"/>
        <v>4.3520000000000003</v>
      </c>
      <c r="G59" s="68">
        <f t="shared" si="9"/>
        <v>5.6506058609625667</v>
      </c>
      <c r="H59" s="70">
        <f t="shared" si="21"/>
        <v>1.6506058609625667</v>
      </c>
      <c r="I59" s="71">
        <f t="shared" si="25"/>
        <v>5.4467179767202093E-5</v>
      </c>
      <c r="J59" s="78">
        <f t="shared" si="15"/>
        <v>1.7076759238689667E-3</v>
      </c>
      <c r="K59" s="214">
        <f t="shared" si="11"/>
        <v>1.7076759238689667</v>
      </c>
      <c r="L59" s="167">
        <f t="shared" si="12"/>
        <v>0.29211130657083029</v>
      </c>
      <c r="M59" s="69">
        <f t="shared" si="22"/>
        <v>-5.3395321341759843</v>
      </c>
      <c r="N59" s="69">
        <f t="shared" si="16"/>
        <v>6.9174843385380142E-3</v>
      </c>
      <c r="O59" s="69">
        <f t="shared" si="14"/>
        <v>127.00280000000001</v>
      </c>
      <c r="P59" s="69">
        <f t="shared" si="23"/>
        <v>100.78221153846154</v>
      </c>
      <c r="Q59" s="69">
        <f t="shared" si="24"/>
        <v>94.848557692307693</v>
      </c>
    </row>
    <row r="60" spans="1:17" x14ac:dyDescent="0.2">
      <c r="A60" s="69">
        <f t="shared" si="17"/>
        <v>42.5</v>
      </c>
      <c r="B60" s="72">
        <f t="shared" si="18"/>
        <v>20.432692307692307</v>
      </c>
      <c r="C60" s="70">
        <f t="shared" si="19"/>
        <v>4</v>
      </c>
      <c r="D60" s="221">
        <f>B2</f>
        <v>127.00280000000001</v>
      </c>
      <c r="E60" s="68">
        <f t="shared" si="7"/>
        <v>5.7552467102396516</v>
      </c>
      <c r="F60" s="70">
        <f t="shared" si="20"/>
        <v>4.3520000000000003</v>
      </c>
      <c r="G60" s="68">
        <f t="shared" si="9"/>
        <v>5.7552467102396516</v>
      </c>
      <c r="H60" s="70">
        <f t="shared" si="21"/>
        <v>1.7552467102396516</v>
      </c>
      <c r="I60" s="71">
        <f t="shared" si="25"/>
        <v>5.1220062472910892E-5</v>
      </c>
      <c r="J60" s="78">
        <f t="shared" si="15"/>
        <v>1.7588959863418774E-3</v>
      </c>
      <c r="K60" s="214">
        <f t="shared" si="11"/>
        <v>1.7588959863418774</v>
      </c>
      <c r="L60" s="167">
        <f t="shared" si="12"/>
        <v>0.3049820100877243</v>
      </c>
      <c r="M60" s="69">
        <f t="shared" si="22"/>
        <v>-5.1017120221826096</v>
      </c>
      <c r="N60" s="69">
        <f t="shared" si="16"/>
        <v>6.505091350234608E-3</v>
      </c>
      <c r="O60" s="69">
        <f t="shared" si="14"/>
        <v>127.00280000000001</v>
      </c>
      <c r="P60" s="69">
        <f t="shared" si="23"/>
        <v>98.949807692307701</v>
      </c>
      <c r="Q60" s="69">
        <f t="shared" si="24"/>
        <v>93.124038461538461</v>
      </c>
    </row>
    <row r="61" spans="1:17" x14ac:dyDescent="0.2">
      <c r="A61" s="69">
        <f t="shared" si="17"/>
        <v>42.5</v>
      </c>
      <c r="B61" s="72">
        <f t="shared" si="18"/>
        <v>20.841346153846153</v>
      </c>
      <c r="C61" s="70">
        <f t="shared" si="19"/>
        <v>4</v>
      </c>
      <c r="D61" s="221">
        <f>B2</f>
        <v>127.00280000000001</v>
      </c>
      <c r="E61" s="68">
        <f t="shared" si="7"/>
        <v>5.8638362708102107</v>
      </c>
      <c r="F61" s="70">
        <f t="shared" si="20"/>
        <v>4.3520000000000003</v>
      </c>
      <c r="G61" s="68">
        <f t="shared" si="9"/>
        <v>5.8638362708102107</v>
      </c>
      <c r="H61" s="70">
        <f t="shared" si="21"/>
        <v>1.8638362708102107</v>
      </c>
      <c r="I61" s="71">
        <f t="shared" si="25"/>
        <v>4.8235914045585675E-5</v>
      </c>
      <c r="J61" s="78">
        <f t="shared" si="15"/>
        <v>1.8071319003874632E-3</v>
      </c>
      <c r="K61" s="214">
        <f t="shared" si="11"/>
        <v>1.8071319003874631</v>
      </c>
      <c r="L61" s="167">
        <f t="shared" si="12"/>
        <v>0.31785271360461825</v>
      </c>
      <c r="M61" s="69">
        <f t="shared" si="22"/>
        <v>-4.85491756634043</v>
      </c>
      <c r="N61" s="69">
        <f>I61*G61*(A61-B61)</f>
        <v>6.1260961443487076E-3</v>
      </c>
      <c r="O61" s="69">
        <f t="shared" si="14"/>
        <v>127.00279999999999</v>
      </c>
      <c r="P61" s="69">
        <f t="shared" si="23"/>
        <v>97.117403846153849</v>
      </c>
      <c r="Q61" s="69">
        <f t="shared" si="24"/>
        <v>91.399519230769229</v>
      </c>
    </row>
    <row r="62" spans="1:17" x14ac:dyDescent="0.2">
      <c r="A62" s="69">
        <f t="shared" si="17"/>
        <v>42.5</v>
      </c>
      <c r="B62" s="72">
        <f t="shared" si="18"/>
        <v>21.25</v>
      </c>
      <c r="C62" s="70">
        <f t="shared" si="19"/>
        <v>4</v>
      </c>
      <c r="D62" s="221">
        <f>B2</f>
        <v>127.00280000000001</v>
      </c>
      <c r="E62" s="68">
        <f t="shared" si="7"/>
        <v>5.9766023529411765</v>
      </c>
      <c r="F62" s="70">
        <f t="shared" si="20"/>
        <v>4.3520000000000003</v>
      </c>
      <c r="G62" s="68">
        <f t="shared" si="9"/>
        <v>5.9766023529411765</v>
      </c>
      <c r="H62" s="70">
        <f t="shared" si="21"/>
        <v>1.9766023529411765</v>
      </c>
      <c r="I62" s="71">
        <f t="shared" si="25"/>
        <v>4.5484032749465114E-5</v>
      </c>
      <c r="J62" s="78">
        <f t="shared" si="15"/>
        <v>1.8526159331369284E-3</v>
      </c>
      <c r="K62" s="214">
        <f t="shared" si="11"/>
        <v>1.8526159331369283</v>
      </c>
      <c r="L62" s="167">
        <f t="shared" si="12"/>
        <v>0.33072341712151226</v>
      </c>
      <c r="M62" s="69">
        <f t="shared" si="22"/>
        <v>-4.5986310160427806</v>
      </c>
      <c r="N62" s="69">
        <f t="shared" si="16"/>
        <v>5.7765995144737677E-3</v>
      </c>
      <c r="O62" s="69">
        <f t="shared" si="14"/>
        <v>127.00279999999999</v>
      </c>
      <c r="P62" s="69">
        <f t="shared" si="23"/>
        <v>95.284999999999997</v>
      </c>
      <c r="Q62" s="69">
        <f t="shared" si="24"/>
        <v>89.674999999999997</v>
      </c>
    </row>
    <row r="63" spans="1:17" x14ac:dyDescent="0.2">
      <c r="A63" s="69">
        <f t="shared" si="17"/>
        <v>42.5</v>
      </c>
      <c r="B63" s="72">
        <f t="shared" si="18"/>
        <v>21.658653846153843</v>
      </c>
      <c r="C63" s="70">
        <f t="shared" si="19"/>
        <v>4</v>
      </c>
      <c r="D63" s="221">
        <f>B2</f>
        <v>127.00280000000001</v>
      </c>
      <c r="E63" s="68">
        <f t="shared" si="7"/>
        <v>6.0937906343713948</v>
      </c>
      <c r="F63" s="70">
        <f t="shared" si="20"/>
        <v>4.3520000000000003</v>
      </c>
      <c r="G63" s="68">
        <f t="shared" si="9"/>
        <v>6.0937906343713948</v>
      </c>
      <c r="H63" s="70">
        <f t="shared" si="21"/>
        <v>2.0937906343713948</v>
      </c>
      <c r="I63" s="71">
        <f t="shared" si="25"/>
        <v>4.2938317078124073E-5</v>
      </c>
      <c r="J63" s="78">
        <f t="shared" si="15"/>
        <v>1.8955542502150525E-3</v>
      </c>
      <c r="K63" s="214">
        <f t="shared" si="11"/>
        <v>1.8955542502150524</v>
      </c>
      <c r="L63" s="167">
        <f t="shared" si="12"/>
        <v>0.34359412063840616</v>
      </c>
      <c r="M63" s="69">
        <f t="shared" si="22"/>
        <v>-4.3322940127922838</v>
      </c>
      <c r="N63" s="69">
        <f t="shared" si="16"/>
        <v>5.4532864962095759E-3</v>
      </c>
      <c r="O63" s="69">
        <f t="shared" si="14"/>
        <v>127.00280000000001</v>
      </c>
      <c r="P63" s="69">
        <f t="shared" si="23"/>
        <v>93.452596153846173</v>
      </c>
      <c r="Q63" s="69">
        <f t="shared" si="24"/>
        <v>87.950480769230779</v>
      </c>
    </row>
    <row r="64" spans="1:17" x14ac:dyDescent="0.2">
      <c r="A64" s="69">
        <f t="shared" si="17"/>
        <v>42.5</v>
      </c>
      <c r="B64" s="72">
        <f t="shared" si="18"/>
        <v>22.067307692307693</v>
      </c>
      <c r="C64" s="70">
        <f t="shared" si="19"/>
        <v>4</v>
      </c>
      <c r="D64" s="221">
        <f>B2</f>
        <v>127.00280000000001</v>
      </c>
      <c r="E64" s="68">
        <f t="shared" si="7"/>
        <v>6.2156664470588243</v>
      </c>
      <c r="F64" s="70">
        <f t="shared" si="20"/>
        <v>4.3520000000000003</v>
      </c>
      <c r="G64" s="68">
        <f t="shared" si="9"/>
        <v>6.2156664470588243</v>
      </c>
      <c r="H64" s="70">
        <f t="shared" si="21"/>
        <v>2.2156664470588243</v>
      </c>
      <c r="I64" s="71">
        <f t="shared" si="25"/>
        <v>4.0576435263164039E-5</v>
      </c>
      <c r="J64" s="78">
        <f t="shared" si="15"/>
        <v>1.9361306854782166E-3</v>
      </c>
      <c r="K64" s="214">
        <f t="shared" si="11"/>
        <v>1.9361306854782165</v>
      </c>
      <c r="L64" s="167">
        <f t="shared" si="12"/>
        <v>0.35646482415530034</v>
      </c>
      <c r="M64" s="69">
        <f t="shared" si="22"/>
        <v>-4.0553035294117628</v>
      </c>
      <c r="N64" s="69">
        <f t="shared" si="16"/>
        <v>5.1533208924405697E-3</v>
      </c>
      <c r="O64" s="69">
        <f t="shared" si="14"/>
        <v>127.00280000000001</v>
      </c>
      <c r="P64" s="69">
        <f t="shared" si="23"/>
        <v>91.620192307692307</v>
      </c>
      <c r="Q64" s="69">
        <f t="shared" si="24"/>
        <v>86.225961538461533</v>
      </c>
    </row>
    <row r="65" spans="1:17" x14ac:dyDescent="0.2">
      <c r="A65" s="69">
        <f t="shared" si="17"/>
        <v>42.5</v>
      </c>
      <c r="B65" s="72">
        <f t="shared" si="18"/>
        <v>22.47596153846154</v>
      </c>
      <c r="C65" s="70">
        <f t="shared" si="19"/>
        <v>4</v>
      </c>
      <c r="D65" s="221">
        <f>B2</f>
        <v>127.00280000000001</v>
      </c>
      <c r="E65" s="68">
        <f t="shared" si="7"/>
        <v>6.3425167827130862</v>
      </c>
      <c r="F65" s="70">
        <f t="shared" si="20"/>
        <v>4.3520000000000003</v>
      </c>
      <c r="G65" s="68">
        <f t="shared" si="9"/>
        <v>6.3425167827130862</v>
      </c>
      <c r="H65" s="70">
        <f t="shared" si="21"/>
        <v>2.3425167827130862</v>
      </c>
      <c r="I65" s="71">
        <f t="shared" si="25"/>
        <v>3.8379168429999582E-5</v>
      </c>
      <c r="J65" s="78">
        <f t="shared" si="15"/>
        <v>1.974509853908216E-3</v>
      </c>
      <c r="K65" s="214">
        <f t="shared" si="11"/>
        <v>1.974509853908216</v>
      </c>
      <c r="L65" s="167">
        <f t="shared" si="12"/>
        <v>0.36933552767219435</v>
      </c>
      <c r="M65" s="69">
        <f t="shared" si="22"/>
        <v>-3.7670073120157128</v>
      </c>
      <c r="N65" s="69">
        <f t="shared" si="16"/>
        <v>4.8742618522815513E-3</v>
      </c>
      <c r="O65" s="69">
        <f t="shared" si="14"/>
        <v>127.00280000000001</v>
      </c>
      <c r="P65" s="69">
        <f t="shared" si="23"/>
        <v>89.787788461538454</v>
      </c>
      <c r="Q65" s="69">
        <f t="shared" si="24"/>
        <v>84.501442307692301</v>
      </c>
    </row>
    <row r="66" spans="1:17" x14ac:dyDescent="0.2">
      <c r="A66" s="69">
        <f t="shared" si="17"/>
        <v>42.5</v>
      </c>
      <c r="B66" s="72">
        <f t="shared" si="18"/>
        <v>22.884615384615383</v>
      </c>
      <c r="C66" s="70">
        <f t="shared" si="19"/>
        <v>4</v>
      </c>
      <c r="D66" s="221">
        <f>B2</f>
        <v>127.00280000000001</v>
      </c>
      <c r="E66" s="68">
        <f t="shared" si="7"/>
        <v>6.4746525490196074</v>
      </c>
      <c r="F66" s="70">
        <f t="shared" si="20"/>
        <v>4.3520000000000003</v>
      </c>
      <c r="G66" s="68">
        <f t="shared" si="9"/>
        <v>6.4746525490196074</v>
      </c>
      <c r="H66" s="70">
        <f t="shared" si="21"/>
        <v>2.4746525490196074</v>
      </c>
      <c r="I66" s="71">
        <f t="shared" si="25"/>
        <v>3.632988646808743E-5</v>
      </c>
      <c r="J66" s="78">
        <f t="shared" si="15"/>
        <v>2.0108397403763036E-3</v>
      </c>
      <c r="K66" s="214">
        <f t="shared" si="11"/>
        <v>2.0108397403763036</v>
      </c>
      <c r="L66" s="167">
        <f t="shared" si="12"/>
        <v>0.3822062311890882</v>
      </c>
      <c r="M66" s="69">
        <f t="shared" si="22"/>
        <v>-3.4666987522281651</v>
      </c>
      <c r="N66" s="69">
        <f t="shared" si="16"/>
        <v>4.6139973051292143E-3</v>
      </c>
      <c r="O66" s="69">
        <f t="shared" si="14"/>
        <v>127.00279999999999</v>
      </c>
      <c r="P66" s="69">
        <f t="shared" si="23"/>
        <v>87.955384615384617</v>
      </c>
      <c r="Q66" s="69">
        <f t="shared" si="24"/>
        <v>82.776923076923083</v>
      </c>
    </row>
    <row r="67" spans="1:17" x14ac:dyDescent="0.2">
      <c r="A67" s="69">
        <f t="shared" si="17"/>
        <v>42.5</v>
      </c>
      <c r="B67" s="72">
        <f t="shared" si="18"/>
        <v>23.293269230769234</v>
      </c>
      <c r="C67" s="70">
        <f t="shared" si="19"/>
        <v>4</v>
      </c>
      <c r="D67" s="221">
        <f>B2</f>
        <v>127.00280000000001</v>
      </c>
      <c r="E67" s="68">
        <f t="shared" si="7"/>
        <v>6.6124111138923665</v>
      </c>
      <c r="F67" s="70">
        <f t="shared" si="20"/>
        <v>4.3520000000000003</v>
      </c>
      <c r="G67" s="68">
        <f t="shared" si="9"/>
        <v>6.6124111138923665</v>
      </c>
      <c r="H67" s="70">
        <f t="shared" si="21"/>
        <v>2.6124111138923665</v>
      </c>
      <c r="I67" s="71">
        <f t="shared" si="25"/>
        <v>3.4414126350846316E-5</v>
      </c>
      <c r="J67" s="78">
        <f t="shared" si="15"/>
        <v>2.04525386672715E-3</v>
      </c>
      <c r="K67" s="214">
        <f t="shared" si="11"/>
        <v>2.0452538667271498</v>
      </c>
      <c r="L67" s="167">
        <f t="shared" si="12"/>
        <v>0.39507693470598237</v>
      </c>
      <c r="M67" s="69">
        <f t="shared" si="22"/>
        <v>-3.1536111047900759</v>
      </c>
      <c r="N67" s="69">
        <f t="shared" si="16"/>
        <v>4.3706904061112644E-3</v>
      </c>
      <c r="O67" s="69">
        <f t="shared" si="14"/>
        <v>127.00280000000001</v>
      </c>
      <c r="P67" s="69">
        <f t="shared" si="23"/>
        <v>86.12298076923075</v>
      </c>
      <c r="Q67" s="69">
        <f t="shared" si="24"/>
        <v>81.052403846153837</v>
      </c>
    </row>
    <row r="68" spans="1:17" x14ac:dyDescent="0.2">
      <c r="A68" s="69">
        <f t="shared" si="17"/>
        <v>42.5</v>
      </c>
      <c r="B68" s="72">
        <f t="shared" si="18"/>
        <v>23.701923076923077</v>
      </c>
      <c r="C68" s="70">
        <f t="shared" si="19"/>
        <v>4</v>
      </c>
      <c r="D68" s="221">
        <f>B2</f>
        <v>127.00280000000001</v>
      </c>
      <c r="E68" s="68">
        <f t="shared" si="7"/>
        <v>6.7561591815856783</v>
      </c>
      <c r="F68" s="70">
        <f t="shared" si="20"/>
        <v>4.3520000000000003</v>
      </c>
      <c r="G68" s="68">
        <f t="shared" si="9"/>
        <v>6.7561591815856783</v>
      </c>
      <c r="H68" s="70">
        <f t="shared" si="21"/>
        <v>2.7561591815856783</v>
      </c>
      <c r="I68" s="71">
        <f t="shared" si="25"/>
        <v>3.2619250279340493E-5</v>
      </c>
      <c r="J68" s="78">
        <f t="shared" si="15"/>
        <v>2.0778731170064905E-3</v>
      </c>
      <c r="K68" s="214">
        <f t="shared" si="11"/>
        <v>2.0778731170064906</v>
      </c>
      <c r="L68" s="167">
        <f t="shared" si="12"/>
        <v>0.40794763822287627</v>
      </c>
      <c r="M68" s="69">
        <f t="shared" si="22"/>
        <v>-2.8269109509416404</v>
      </c>
      <c r="N68" s="69">
        <f t="shared" si="16"/>
        <v>4.1427361193770258E-3</v>
      </c>
      <c r="O68" s="69">
        <f t="shared" si="14"/>
        <v>127.00280000000001</v>
      </c>
      <c r="P68" s="69">
        <f t="shared" si="23"/>
        <v>84.290576923076927</v>
      </c>
      <c r="Q68" s="69">
        <f t="shared" si="24"/>
        <v>79.327884615384619</v>
      </c>
    </row>
    <row r="69" spans="1:17" x14ac:dyDescent="0.2">
      <c r="A69" s="69">
        <f t="shared" si="17"/>
        <v>42.5</v>
      </c>
      <c r="B69" s="72">
        <f t="shared" si="18"/>
        <v>24.110576923076923</v>
      </c>
      <c r="C69" s="70">
        <f t="shared" si="19"/>
        <v>4</v>
      </c>
      <c r="D69" s="221">
        <f>B2</f>
        <v>127.00280000000001</v>
      </c>
      <c r="E69" s="68">
        <f t="shared" si="7"/>
        <v>6.9062960522875825</v>
      </c>
      <c r="F69" s="70">
        <f t="shared" si="20"/>
        <v>4.3520000000000003</v>
      </c>
      <c r="G69" s="68">
        <f t="shared" si="9"/>
        <v>6.9062960522875825</v>
      </c>
      <c r="H69" s="70">
        <f t="shared" si="21"/>
        <v>2.9062960522875825</v>
      </c>
      <c r="I69" s="71">
        <f t="shared" si="25"/>
        <v>3.0934166559900812E-5</v>
      </c>
      <c r="J69" s="78">
        <f t="shared" si="15"/>
        <v>2.1088072835663912E-3</v>
      </c>
      <c r="K69" s="214">
        <f t="shared" si="11"/>
        <v>2.1088072835663914</v>
      </c>
      <c r="L69" s="167">
        <f t="shared" si="12"/>
        <v>0.42081834173977029</v>
      </c>
      <c r="M69" s="69">
        <f t="shared" si="22"/>
        <v>-2.4856907902554943</v>
      </c>
      <c r="N69" s="69">
        <f t="shared" si="16"/>
        <v>3.9287257687737713E-3</v>
      </c>
      <c r="O69" s="69">
        <f t="shared" si="14"/>
        <v>127.00280000000001</v>
      </c>
      <c r="P69" s="69">
        <f t="shared" si="23"/>
        <v>82.458173076923075</v>
      </c>
      <c r="Q69" s="69">
        <f t="shared" si="24"/>
        <v>77.603365384615373</v>
      </c>
    </row>
    <row r="70" spans="1:17" x14ac:dyDescent="0.2">
      <c r="A70" s="69">
        <f t="shared" si="17"/>
        <v>42.5</v>
      </c>
      <c r="B70" s="72">
        <f t="shared" si="18"/>
        <v>24.519230769230766</v>
      </c>
      <c r="C70" s="70">
        <f t="shared" si="19"/>
        <v>4</v>
      </c>
      <c r="D70" s="221">
        <f>B2</f>
        <v>127.00280000000001</v>
      </c>
      <c r="E70" s="68">
        <f t="shared" si="7"/>
        <v>7.0632573262032077</v>
      </c>
      <c r="F70" s="70">
        <f t="shared" si="20"/>
        <v>4.3520000000000003</v>
      </c>
      <c r="G70" s="68">
        <f t="shared" si="9"/>
        <v>7.0632573262032077</v>
      </c>
      <c r="H70" s="70">
        <f t="shared" si="21"/>
        <v>3.0632573262032077</v>
      </c>
      <c r="I70" s="71">
        <f t="shared" si="25"/>
        <v>2.9349100183260782E-5</v>
      </c>
      <c r="J70" s="78">
        <f t="shared" si="15"/>
        <v>2.1381563837496518E-3</v>
      </c>
      <c r="K70" s="214">
        <f t="shared" si="11"/>
        <v>2.138156383749652</v>
      </c>
      <c r="L70" s="167">
        <f t="shared" si="12"/>
        <v>0.43368904525666419</v>
      </c>
      <c r="M70" s="69">
        <f t="shared" si="22"/>
        <v>-2.1289606222654371</v>
      </c>
      <c r="N70" s="69">
        <f t="shared" si="16"/>
        <v>3.7274179007546326E-3</v>
      </c>
      <c r="O70" s="69">
        <f t="shared" si="14"/>
        <v>127.00280000000001</v>
      </c>
      <c r="P70" s="69">
        <f t="shared" si="23"/>
        <v>80.625769230769237</v>
      </c>
      <c r="Q70" s="69">
        <f t="shared" si="24"/>
        <v>75.878846153846155</v>
      </c>
    </row>
    <row r="71" spans="1:17" x14ac:dyDescent="0.2">
      <c r="A71" s="69">
        <f t="shared" si="17"/>
        <v>42.5</v>
      </c>
      <c r="B71" s="72">
        <f t="shared" si="18"/>
        <v>24.927884615384617</v>
      </c>
      <c r="C71" s="70">
        <f t="shared" si="19"/>
        <v>4</v>
      </c>
      <c r="D71" s="221">
        <f>B2</f>
        <v>127.00280000000001</v>
      </c>
      <c r="E71" s="68">
        <f t="shared" si="7"/>
        <v>7.2275191244870047</v>
      </c>
      <c r="F71" s="70">
        <f t="shared" si="20"/>
        <v>4.3520000000000003</v>
      </c>
      <c r="G71" s="68">
        <f t="shared" si="9"/>
        <v>7.2275191244870047</v>
      </c>
      <c r="H71" s="70">
        <f t="shared" si="21"/>
        <v>3.2275191244870047</v>
      </c>
      <c r="I71" s="71">
        <f t="shared" si="25"/>
        <v>2.7855403077785559E-5</v>
      </c>
      <c r="J71" s="78">
        <f t="shared" si="15"/>
        <v>2.1660117868274372E-3</v>
      </c>
      <c r="K71" s="214">
        <f t="shared" si="11"/>
        <v>2.1660117868274371</v>
      </c>
      <c r="L71" s="167">
        <f t="shared" si="12"/>
        <v>0.44655974877355831</v>
      </c>
      <c r="M71" s="69">
        <f t="shared" si="22"/>
        <v>-1.7556383534386255</v>
      </c>
      <c r="N71" s="69">
        <f t="shared" si="16"/>
        <v>3.5377141860073839E-3</v>
      </c>
      <c r="O71" s="69">
        <f t="shared" si="14"/>
        <v>127.00280000000001</v>
      </c>
      <c r="P71" s="69">
        <f t="shared" si="23"/>
        <v>78.793365384615385</v>
      </c>
      <c r="Q71" s="69">
        <f t="shared" si="24"/>
        <v>74.154326923076908</v>
      </c>
    </row>
    <row r="72" spans="1:17" x14ac:dyDescent="0.2">
      <c r="A72" s="69">
        <f t="shared" si="17"/>
        <v>42.5</v>
      </c>
      <c r="B72" s="72">
        <f t="shared" si="18"/>
        <v>25.33653846153846</v>
      </c>
      <c r="C72" s="70">
        <f t="shared" si="19"/>
        <v>4</v>
      </c>
      <c r="D72" s="221">
        <f>B2</f>
        <v>127.00280000000001</v>
      </c>
      <c r="E72" s="68">
        <f t="shared" si="7"/>
        <v>7.3996029131652659</v>
      </c>
      <c r="F72" s="70">
        <f t="shared" si="20"/>
        <v>4.3520000000000003</v>
      </c>
      <c r="G72" s="68">
        <f t="shared" si="9"/>
        <v>7.3996029131652659</v>
      </c>
      <c r="H72" s="70">
        <f t="shared" si="21"/>
        <v>3.3996029131652659</v>
      </c>
      <c r="I72" s="71">
        <f t="shared" si="25"/>
        <v>2.6445396256628921E-5</v>
      </c>
      <c r="J72" s="78">
        <f t="shared" si="15"/>
        <v>2.1924571830840662E-3</v>
      </c>
      <c r="K72" s="214">
        <f t="shared" si="11"/>
        <v>2.1924571830840662</v>
      </c>
      <c r="L72" s="167">
        <f t="shared" si="12"/>
        <v>0.45943045229045221</v>
      </c>
      <c r="M72" s="69">
        <f t="shared" si="22"/>
        <v>-1.3645388337153048</v>
      </c>
      <c r="N72" s="69">
        <f t="shared" si="16"/>
        <v>3.358639371701392E-3</v>
      </c>
      <c r="O72" s="69">
        <f t="shared" si="14"/>
        <v>127.00280000000001</v>
      </c>
      <c r="P72" s="69">
        <f t="shared" si="23"/>
        <v>76.960961538461547</v>
      </c>
      <c r="Q72" s="69">
        <f t="shared" si="24"/>
        <v>72.429807692307691</v>
      </c>
    </row>
    <row r="73" spans="1:17" x14ac:dyDescent="0.2">
      <c r="A73" s="69">
        <f t="shared" si="17"/>
        <v>42.5</v>
      </c>
      <c r="B73" s="72">
        <f t="shared" si="18"/>
        <v>25.745192307692307</v>
      </c>
      <c r="C73" s="70">
        <f t="shared" si="19"/>
        <v>4</v>
      </c>
      <c r="D73" s="221">
        <f>B2</f>
        <v>127.00280000000001</v>
      </c>
      <c r="E73" s="68">
        <f t="shared" si="7"/>
        <v>7.5800810329985655</v>
      </c>
      <c r="F73" s="70">
        <f t="shared" si="20"/>
        <v>4.3520000000000003</v>
      </c>
      <c r="G73" s="68">
        <f t="shared" si="9"/>
        <v>7.5800810329985655</v>
      </c>
      <c r="H73" s="70">
        <f t="shared" si="21"/>
        <v>3.5800810329985655</v>
      </c>
      <c r="I73" s="71">
        <f t="shared" si="25"/>
        <v>2.5112237774837623E-5</v>
      </c>
      <c r="J73" s="78">
        <f t="shared" si="15"/>
        <v>2.2175694208589037E-3</v>
      </c>
      <c r="K73" s="214">
        <f t="shared" si="11"/>
        <v>2.2175694208589039</v>
      </c>
      <c r="L73" s="167">
        <f t="shared" si="12"/>
        <v>0.47230115580734622</v>
      </c>
      <c r="M73" s="69">
        <f t="shared" si="22"/>
        <v>-0.95436128863962388</v>
      </c>
      <c r="N73" s="69">
        <f t="shared" si="16"/>
        <v>3.189324511670148E-3</v>
      </c>
      <c r="O73" s="69">
        <f t="shared" si="14"/>
        <v>127.00280000000001</v>
      </c>
      <c r="P73" s="69">
        <f t="shared" si="23"/>
        <v>75.128557692307695</v>
      </c>
      <c r="Q73" s="69">
        <f t="shared" si="24"/>
        <v>70.705288461538458</v>
      </c>
    </row>
    <row r="74" spans="1:17" x14ac:dyDescent="0.2">
      <c r="A74" s="69">
        <f t="shared" ref="A74:A105" si="26">VINMAX</f>
        <v>42.5</v>
      </c>
      <c r="B74" s="72">
        <f t="shared" ref="B74:B105" si="27">VINMAX*((ROW()-10)/104)</f>
        <v>26.153846153846157</v>
      </c>
      <c r="C74" s="70">
        <f t="shared" ref="C74:C105" si="28">IF(B74&gt;=$H$2,IF($D$2="CC", $G$2, B74/$G$2), 0)</f>
        <v>4</v>
      </c>
      <c r="D74" s="221">
        <f>B2</f>
        <v>127.00280000000001</v>
      </c>
      <c r="E74" s="68">
        <f t="shared" si="7"/>
        <v>7.7695830588235317</v>
      </c>
      <c r="F74" s="70">
        <f t="shared" ref="F74:F105" si="29">I_Cout_ss+C74</f>
        <v>4.3520000000000003</v>
      </c>
      <c r="G74" s="68">
        <f t="shared" si="9"/>
        <v>7.7695830588235317</v>
      </c>
      <c r="H74" s="70">
        <f t="shared" ref="H74:H105" si="30">G74-C74</f>
        <v>3.7695830588235317</v>
      </c>
      <c r="I74" s="71">
        <f t="shared" si="25"/>
        <v>2.3849811703553657E-5</v>
      </c>
      <c r="J74" s="78">
        <f t="shared" si="15"/>
        <v>2.2414192325624573E-3</v>
      </c>
      <c r="K74" s="214">
        <f t="shared" si="11"/>
        <v>2.2414192325624573</v>
      </c>
      <c r="L74" s="167">
        <f t="shared" si="12"/>
        <v>0.4851718593242404</v>
      </c>
      <c r="M74" s="69">
        <f t="shared" ref="M74:M105" si="31">1/COUTMAX*(E74/2-C74)*1000</f>
        <v>-0.52367486631015514</v>
      </c>
      <c r="N74" s="69">
        <f t="shared" si="16"/>
        <v>3.0289928658240846E-3</v>
      </c>
      <c r="O74" s="69">
        <f t="shared" si="14"/>
        <v>127.00280000000001</v>
      </c>
      <c r="P74" s="69">
        <f t="shared" ref="P74:P105" si="32">(A74-B74)*(I_Cout_ss*$Q$2+C74)</f>
        <v>73.296153846153828</v>
      </c>
      <c r="Q74" s="69">
        <f t="shared" ref="Q74:Q105" si="33">(A74-B74)*(I_Cout_ss*$R$2+C74)</f>
        <v>68.980769230769212</v>
      </c>
    </row>
    <row r="75" spans="1:17" x14ac:dyDescent="0.2">
      <c r="A75" s="69">
        <f t="shared" si="26"/>
        <v>42.5</v>
      </c>
      <c r="B75" s="72">
        <f t="shared" si="27"/>
        <v>26.5625</v>
      </c>
      <c r="C75" s="70">
        <f t="shared" si="28"/>
        <v>4</v>
      </c>
      <c r="D75" s="221">
        <f>B2</f>
        <v>127.00280000000001</v>
      </c>
      <c r="E75" s="68">
        <f t="shared" ref="E75:E110" si="34">MIN(D75/(A75-B75),$C$2)</f>
        <v>7.9688031372549029</v>
      </c>
      <c r="F75" s="70">
        <f t="shared" si="29"/>
        <v>4.3520000000000003</v>
      </c>
      <c r="G75" s="68">
        <f t="shared" ref="G75:G110" si="35">IF($F$2="YES", F75, E75)</f>
        <v>7.9688031372549029</v>
      </c>
      <c r="H75" s="70">
        <f t="shared" si="30"/>
        <v>3.9688031372549029</v>
      </c>
      <c r="I75" s="71">
        <f t="shared" ref="I75:I106" si="36">(COUTMAX/1000000)*(B75-B74)/H75</f>
        <v>2.2652634319380522E-5</v>
      </c>
      <c r="J75" s="78">
        <f t="shared" si="15"/>
        <v>2.2640718668818379E-3</v>
      </c>
      <c r="K75" s="214">
        <f t="shared" ref="K75:K114" si="37">J75*1000</f>
        <v>2.2640718668818378</v>
      </c>
      <c r="L75" s="167">
        <f t="shared" ref="L75:L110" si="38">H75/G75</f>
        <v>0.4980425628411343</v>
      </c>
      <c r="M75" s="69">
        <f t="shared" si="31"/>
        <v>-7.0901960784311685E-2</v>
      </c>
      <c r="N75" s="69">
        <f t="shared" ref="N75:N110" si="39">I75*G75*(A75-B75)</f>
        <v>2.8769479859374206E-3</v>
      </c>
      <c r="O75" s="69">
        <f t="shared" ref="O75:O114" si="40">G75*(A75-B75)</f>
        <v>127.00280000000001</v>
      </c>
      <c r="P75" s="69">
        <f t="shared" si="32"/>
        <v>71.463750000000005</v>
      </c>
      <c r="Q75" s="69">
        <f t="shared" si="33"/>
        <v>67.256249999999994</v>
      </c>
    </row>
    <row r="76" spans="1:17" x14ac:dyDescent="0.2">
      <c r="A76" s="69">
        <f t="shared" si="26"/>
        <v>42.5</v>
      </c>
      <c r="B76" s="72">
        <f t="shared" si="27"/>
        <v>26.971153846153843</v>
      </c>
      <c r="C76" s="70">
        <f t="shared" si="28"/>
        <v>4</v>
      </c>
      <c r="D76" s="221">
        <f>B2</f>
        <v>127.00280000000001</v>
      </c>
      <c r="E76" s="68">
        <f t="shared" si="34"/>
        <v>8.178508482972136</v>
      </c>
      <c r="F76" s="70">
        <f t="shared" si="29"/>
        <v>4.3520000000000003</v>
      </c>
      <c r="G76" s="68">
        <f t="shared" si="35"/>
        <v>8.178508482972136</v>
      </c>
      <c r="H76" s="70">
        <f t="shared" si="30"/>
        <v>4.178508482972136</v>
      </c>
      <c r="I76" s="71">
        <f t="shared" si="36"/>
        <v>2.1515774473167445E-5</v>
      </c>
      <c r="J76" s="78">
        <f t="shared" ref="J76:J110" si="41">J75+I76</f>
        <v>2.2855876413550055E-3</v>
      </c>
      <c r="K76" s="214">
        <f t="shared" si="37"/>
        <v>2.2855876413550056</v>
      </c>
      <c r="L76" s="167">
        <f t="shared" si="38"/>
        <v>0.51091326635802814</v>
      </c>
      <c r="M76" s="69">
        <f t="shared" si="31"/>
        <v>0.4057010976639453</v>
      </c>
      <c r="N76" s="69">
        <f t="shared" si="39"/>
        <v>2.7325636022607906E-3</v>
      </c>
      <c r="O76" s="69">
        <f t="shared" si="40"/>
        <v>127.00280000000002</v>
      </c>
      <c r="P76" s="69">
        <f t="shared" si="32"/>
        <v>69.631346153846167</v>
      </c>
      <c r="Q76" s="69">
        <f t="shared" si="33"/>
        <v>65.531730769230776</v>
      </c>
    </row>
    <row r="77" spans="1:17" x14ac:dyDescent="0.2">
      <c r="A77" s="69">
        <f t="shared" si="26"/>
        <v>42.5</v>
      </c>
      <c r="B77" s="72">
        <f t="shared" si="27"/>
        <v>27.379807692307693</v>
      </c>
      <c r="C77" s="70">
        <f t="shared" si="28"/>
        <v>4</v>
      </c>
      <c r="D77" s="221">
        <f>B2</f>
        <v>127.00280000000001</v>
      </c>
      <c r="E77" s="68">
        <f t="shared" si="34"/>
        <v>8.3995492527821956</v>
      </c>
      <c r="F77" s="70">
        <f t="shared" si="29"/>
        <v>4.3520000000000003</v>
      </c>
      <c r="G77" s="68">
        <f t="shared" si="35"/>
        <v>8.3995492527821956</v>
      </c>
      <c r="H77" s="70">
        <f t="shared" si="30"/>
        <v>4.3995492527821956</v>
      </c>
      <c r="I77" s="71">
        <f t="shared" si="36"/>
        <v>2.043478569923805E-5</v>
      </c>
      <c r="J77" s="78">
        <f t="shared" si="41"/>
        <v>2.3060224270542436E-3</v>
      </c>
      <c r="K77" s="214">
        <f t="shared" si="37"/>
        <v>2.3060224270542435</v>
      </c>
      <c r="L77" s="167">
        <f t="shared" si="38"/>
        <v>0.52378396987492226</v>
      </c>
      <c r="M77" s="69">
        <f t="shared" si="31"/>
        <v>0.90806648359589892</v>
      </c>
      <c r="N77" s="69">
        <f t="shared" si="39"/>
        <v>2.5952750012031905E-3</v>
      </c>
      <c r="O77" s="69">
        <f t="shared" si="40"/>
        <v>127.00280000000002</v>
      </c>
      <c r="P77" s="69">
        <f t="shared" si="32"/>
        <v>67.7989423076923</v>
      </c>
      <c r="Q77" s="69">
        <f t="shared" si="33"/>
        <v>63.80721153846153</v>
      </c>
    </row>
    <row r="78" spans="1:17" x14ac:dyDescent="0.2">
      <c r="A78" s="69">
        <f t="shared" si="26"/>
        <v>42.5</v>
      </c>
      <c r="B78" s="72">
        <f t="shared" si="27"/>
        <v>27.78846153846154</v>
      </c>
      <c r="C78" s="70">
        <f t="shared" si="28"/>
        <v>4</v>
      </c>
      <c r="D78" s="221">
        <f>B2</f>
        <v>127.00280000000001</v>
      </c>
      <c r="E78" s="68">
        <f t="shared" si="34"/>
        <v>8.6328700653594783</v>
      </c>
      <c r="F78" s="70">
        <f t="shared" si="29"/>
        <v>4.3520000000000003</v>
      </c>
      <c r="G78" s="68">
        <f t="shared" si="35"/>
        <v>8.6328700653594783</v>
      </c>
      <c r="H78" s="70">
        <f t="shared" si="30"/>
        <v>4.6328700653594783</v>
      </c>
      <c r="I78" s="71">
        <f t="shared" si="36"/>
        <v>1.9405648094054709E-5</v>
      </c>
      <c r="J78" s="78">
        <f t="shared" si="41"/>
        <v>2.3254280751482982E-3</v>
      </c>
      <c r="K78" s="214">
        <f t="shared" si="37"/>
        <v>2.3254280751482983</v>
      </c>
      <c r="L78" s="167">
        <f t="shared" si="38"/>
        <v>0.53665467339181627</v>
      </c>
      <c r="M78" s="69">
        <f t="shared" si="31"/>
        <v>1.4383410576351781</v>
      </c>
      <c r="N78" s="69">
        <f t="shared" si="39"/>
        <v>2.4645716437596112E-3</v>
      </c>
      <c r="O78" s="69">
        <f t="shared" si="40"/>
        <v>127.00280000000001</v>
      </c>
      <c r="P78" s="69">
        <f t="shared" si="32"/>
        <v>65.966538461538448</v>
      </c>
      <c r="Q78" s="69">
        <f t="shared" si="33"/>
        <v>62.082692307692298</v>
      </c>
    </row>
    <row r="79" spans="1:17" x14ac:dyDescent="0.2">
      <c r="A79" s="69">
        <f t="shared" si="26"/>
        <v>42.5</v>
      </c>
      <c r="B79" s="72">
        <f t="shared" si="27"/>
        <v>28.197115384615383</v>
      </c>
      <c r="C79" s="70">
        <f t="shared" si="28"/>
        <v>4</v>
      </c>
      <c r="D79" s="221">
        <f>B2</f>
        <v>127.00280000000001</v>
      </c>
      <c r="E79" s="68">
        <f t="shared" si="34"/>
        <v>8.8795234957983187</v>
      </c>
      <c r="F79" s="70">
        <f t="shared" si="29"/>
        <v>4.3520000000000003</v>
      </c>
      <c r="G79" s="68">
        <f t="shared" si="35"/>
        <v>8.8795234957983187</v>
      </c>
      <c r="H79" s="70">
        <f t="shared" si="30"/>
        <v>4.8795234957983187</v>
      </c>
      <c r="I79" s="71">
        <f t="shared" si="36"/>
        <v>1.842471836261477E-5</v>
      </c>
      <c r="J79" s="78">
        <f t="shared" si="41"/>
        <v>2.3438527935109128E-3</v>
      </c>
      <c r="K79" s="214">
        <f t="shared" si="37"/>
        <v>2.3438527935109126</v>
      </c>
      <c r="L79" s="167">
        <f t="shared" si="38"/>
        <v>0.54952537690871017</v>
      </c>
      <c r="M79" s="69">
        <f t="shared" si="31"/>
        <v>1.9989170359052695</v>
      </c>
      <c r="N79" s="69">
        <f t="shared" si="39"/>
        <v>2.3399908212634914E-3</v>
      </c>
      <c r="O79" s="69">
        <f t="shared" si="40"/>
        <v>127.00280000000001</v>
      </c>
      <c r="P79" s="69">
        <f t="shared" si="32"/>
        <v>64.134134615384625</v>
      </c>
      <c r="Q79" s="69">
        <f t="shared" si="33"/>
        <v>60.35817307692308</v>
      </c>
    </row>
    <row r="80" spans="1:17" x14ac:dyDescent="0.2">
      <c r="A80" s="69">
        <f t="shared" si="26"/>
        <v>42.5</v>
      </c>
      <c r="B80" s="72">
        <f t="shared" si="27"/>
        <v>28.605769230769234</v>
      </c>
      <c r="C80" s="70">
        <f t="shared" si="28"/>
        <v>4</v>
      </c>
      <c r="D80" s="221">
        <f>B2</f>
        <v>127.00280000000001</v>
      </c>
      <c r="E80" s="68">
        <f t="shared" si="34"/>
        <v>9.1406859515570957</v>
      </c>
      <c r="F80" s="70">
        <f t="shared" si="29"/>
        <v>4.3520000000000003</v>
      </c>
      <c r="G80" s="68">
        <f t="shared" si="35"/>
        <v>9.1406859515570957</v>
      </c>
      <c r="H80" s="70">
        <f t="shared" si="30"/>
        <v>5.1406859515570957</v>
      </c>
      <c r="I80" s="71">
        <f t="shared" si="36"/>
        <v>1.7488686724116167E-5</v>
      </c>
      <c r="J80" s="78">
        <f t="shared" si="41"/>
        <v>2.3613414802350291E-3</v>
      </c>
      <c r="K80" s="214">
        <f t="shared" si="37"/>
        <v>2.361341480235029</v>
      </c>
      <c r="L80" s="167">
        <f t="shared" si="38"/>
        <v>0.56239608042560429</v>
      </c>
      <c r="M80" s="69">
        <f t="shared" si="31"/>
        <v>2.5924680717206718</v>
      </c>
      <c r="N80" s="69">
        <f t="shared" si="39"/>
        <v>2.2211121822855811E-3</v>
      </c>
      <c r="O80" s="69">
        <f t="shared" si="40"/>
        <v>127.00280000000001</v>
      </c>
      <c r="P80" s="69">
        <f t="shared" si="32"/>
        <v>62.301730769230758</v>
      </c>
      <c r="Q80" s="69">
        <f t="shared" si="33"/>
        <v>58.633653846153834</v>
      </c>
    </row>
    <row r="81" spans="1:17" x14ac:dyDescent="0.2">
      <c r="A81" s="69">
        <f t="shared" si="26"/>
        <v>42.5</v>
      </c>
      <c r="B81" s="72">
        <f t="shared" si="27"/>
        <v>29.014423076923077</v>
      </c>
      <c r="C81" s="70">
        <f t="shared" si="28"/>
        <v>4</v>
      </c>
      <c r="D81" s="221">
        <f>B2</f>
        <v>127.00280000000001</v>
      </c>
      <c r="E81" s="68">
        <f t="shared" si="34"/>
        <v>9.4176764349376114</v>
      </c>
      <c r="F81" s="70">
        <f t="shared" si="29"/>
        <v>4.3520000000000003</v>
      </c>
      <c r="G81" s="68">
        <f t="shared" si="35"/>
        <v>9.4176764349376114</v>
      </c>
      <c r="H81" s="70">
        <f t="shared" si="30"/>
        <v>5.4176764349376114</v>
      </c>
      <c r="I81" s="71">
        <f t="shared" si="36"/>
        <v>1.6594539602637012E-5</v>
      </c>
      <c r="J81" s="78">
        <f t="shared" si="41"/>
        <v>2.377936019837666E-3</v>
      </c>
      <c r="K81" s="214">
        <f t="shared" si="37"/>
        <v>2.3779360198376658</v>
      </c>
      <c r="L81" s="167">
        <f t="shared" si="38"/>
        <v>0.57526678394249819</v>
      </c>
      <c r="M81" s="69">
        <f t="shared" si="31"/>
        <v>3.2219918975854802</v>
      </c>
      <c r="N81" s="69">
        <f t="shared" si="39"/>
        <v>2.1075529942457876E-3</v>
      </c>
      <c r="O81" s="69">
        <f t="shared" si="40"/>
        <v>127.00280000000001</v>
      </c>
      <c r="P81" s="69">
        <f t="shared" si="32"/>
        <v>60.469326923076927</v>
      </c>
      <c r="Q81" s="69">
        <f t="shared" si="33"/>
        <v>56.909134615384616</v>
      </c>
    </row>
    <row r="82" spans="1:17" x14ac:dyDescent="0.2">
      <c r="A82" s="69">
        <f t="shared" si="26"/>
        <v>42.5</v>
      </c>
      <c r="B82" s="72">
        <f t="shared" si="27"/>
        <v>29.423076923076923</v>
      </c>
      <c r="C82" s="70">
        <f t="shared" si="28"/>
        <v>4</v>
      </c>
      <c r="D82" s="221">
        <f>B2</f>
        <v>127.00280000000001</v>
      </c>
      <c r="E82" s="68">
        <f t="shared" si="34"/>
        <v>9.711978823529412</v>
      </c>
      <c r="F82" s="70">
        <f t="shared" si="29"/>
        <v>4.3520000000000003</v>
      </c>
      <c r="G82" s="68">
        <f t="shared" si="35"/>
        <v>9.711978823529412</v>
      </c>
      <c r="H82" s="70">
        <f t="shared" si="30"/>
        <v>5.711978823529412</v>
      </c>
      <c r="I82" s="71">
        <f t="shared" si="36"/>
        <v>1.5739527216645913E-5</v>
      </c>
      <c r="J82" s="78">
        <f t="shared" si="41"/>
        <v>2.3936755470543121E-3</v>
      </c>
      <c r="K82" s="214">
        <f t="shared" si="37"/>
        <v>2.3936755470543121</v>
      </c>
      <c r="L82" s="167">
        <f t="shared" si="38"/>
        <v>0.58813748745939221</v>
      </c>
      <c r="M82" s="69">
        <f t="shared" si="31"/>
        <v>3.8908609625668453</v>
      </c>
      <c r="N82" s="69">
        <f t="shared" si="39"/>
        <v>1.9989640271902377E-3</v>
      </c>
      <c r="O82" s="69">
        <f t="shared" si="40"/>
        <v>127.00279999999999</v>
      </c>
      <c r="P82" s="69">
        <f t="shared" si="32"/>
        <v>58.636923076923075</v>
      </c>
      <c r="Q82" s="69">
        <f t="shared" si="33"/>
        <v>55.184615384615377</v>
      </c>
    </row>
    <row r="83" spans="1:17" x14ac:dyDescent="0.2">
      <c r="A83" s="69">
        <f t="shared" si="26"/>
        <v>42.5</v>
      </c>
      <c r="B83" s="72">
        <f t="shared" si="27"/>
        <v>29.831730769230766</v>
      </c>
      <c r="C83" s="70">
        <f t="shared" si="28"/>
        <v>4</v>
      </c>
      <c r="D83" s="221">
        <f>B2</f>
        <v>127.00280000000001</v>
      </c>
      <c r="E83" s="68">
        <f t="shared" si="34"/>
        <v>10.025268462998101</v>
      </c>
      <c r="F83" s="70">
        <f t="shared" si="29"/>
        <v>4.3520000000000003</v>
      </c>
      <c r="G83" s="68">
        <f t="shared" si="35"/>
        <v>10.025268462998101</v>
      </c>
      <c r="H83" s="70">
        <f t="shared" si="30"/>
        <v>6.0252684629981008</v>
      </c>
      <c r="I83" s="71">
        <f t="shared" si="36"/>
        <v>1.49211353329658E-5</v>
      </c>
      <c r="J83" s="78">
        <f t="shared" si="41"/>
        <v>2.408596682387278E-3</v>
      </c>
      <c r="K83" s="214">
        <f t="shared" si="37"/>
        <v>2.408596682387278</v>
      </c>
      <c r="L83" s="167">
        <f t="shared" si="38"/>
        <v>0.60100819097628611</v>
      </c>
      <c r="M83" s="69">
        <f t="shared" si="31"/>
        <v>4.6028828704502294</v>
      </c>
      <c r="N83" s="69">
        <f t="shared" si="39"/>
        <v>1.895025966465589E-3</v>
      </c>
      <c r="O83" s="69">
        <f t="shared" si="40"/>
        <v>127.00280000000001</v>
      </c>
      <c r="P83" s="69">
        <f t="shared" si="32"/>
        <v>56.804519230769245</v>
      </c>
      <c r="Q83" s="69">
        <f t="shared" si="33"/>
        <v>53.460096153846159</v>
      </c>
    </row>
    <row r="84" spans="1:17" x14ac:dyDescent="0.2">
      <c r="A84" s="69">
        <f t="shared" si="26"/>
        <v>42.5</v>
      </c>
      <c r="B84" s="72">
        <f t="shared" si="27"/>
        <v>30.240384615384617</v>
      </c>
      <c r="C84" s="70">
        <f t="shared" si="28"/>
        <v>4</v>
      </c>
      <c r="D84" s="221">
        <f>B2</f>
        <v>127.00280000000001</v>
      </c>
      <c r="E84" s="68">
        <f t="shared" si="34"/>
        <v>10.359444078431375</v>
      </c>
      <c r="F84" s="70">
        <f t="shared" si="29"/>
        <v>4.3520000000000003</v>
      </c>
      <c r="G84" s="68">
        <f t="shared" si="35"/>
        <v>10.359444078431375</v>
      </c>
      <c r="H84" s="70">
        <f t="shared" si="30"/>
        <v>6.359444078431375</v>
      </c>
      <c r="I84" s="71">
        <f t="shared" si="36"/>
        <v>1.413706057401527E-5</v>
      </c>
      <c r="J84" s="78">
        <f t="shared" si="41"/>
        <v>2.4227337429612934E-3</v>
      </c>
      <c r="K84" s="214">
        <f t="shared" si="37"/>
        <v>2.4227337429612934</v>
      </c>
      <c r="L84" s="167">
        <f t="shared" si="38"/>
        <v>0.61387889449318023</v>
      </c>
      <c r="M84" s="69">
        <f t="shared" si="31"/>
        <v>5.3623729055258522</v>
      </c>
      <c r="N84" s="69">
        <f t="shared" si="39"/>
        <v>1.7954462766695467E-3</v>
      </c>
      <c r="O84" s="69">
        <f t="shared" si="40"/>
        <v>127.00280000000002</v>
      </c>
      <c r="P84" s="69">
        <f t="shared" si="32"/>
        <v>54.972115384615378</v>
      </c>
      <c r="Q84" s="69">
        <f t="shared" si="33"/>
        <v>51.735576923076913</v>
      </c>
    </row>
    <row r="85" spans="1:17" x14ac:dyDescent="0.2">
      <c r="A85" s="69">
        <f t="shared" si="26"/>
        <v>42.5</v>
      </c>
      <c r="B85" s="72">
        <f t="shared" si="27"/>
        <v>30.64903846153846</v>
      </c>
      <c r="C85" s="70">
        <f t="shared" si="28"/>
        <v>4</v>
      </c>
      <c r="D85" s="221">
        <f>B2</f>
        <v>127.00280000000001</v>
      </c>
      <c r="E85" s="68">
        <f t="shared" si="34"/>
        <v>10.716666288032453</v>
      </c>
      <c r="F85" s="70">
        <f t="shared" si="29"/>
        <v>4.3520000000000003</v>
      </c>
      <c r="G85" s="68">
        <f t="shared" si="35"/>
        <v>10.716666288032453</v>
      </c>
      <c r="H85" s="70">
        <f t="shared" si="30"/>
        <v>6.716666288032453</v>
      </c>
      <c r="I85" s="71">
        <f t="shared" si="36"/>
        <v>1.3385188767533885E-5</v>
      </c>
      <c r="J85" s="78">
        <f t="shared" si="41"/>
        <v>2.4361189317288275E-3</v>
      </c>
      <c r="K85" s="214">
        <f t="shared" si="37"/>
        <v>2.4361189317288274</v>
      </c>
      <c r="L85" s="167">
        <f t="shared" si="38"/>
        <v>0.62674959801007413</v>
      </c>
      <c r="M85" s="69">
        <f t="shared" si="31"/>
        <v>6.1742415637101198</v>
      </c>
      <c r="N85" s="69">
        <f t="shared" si="39"/>
        <v>1.6999564520053523E-3</v>
      </c>
      <c r="O85" s="69">
        <f t="shared" si="40"/>
        <v>127.00280000000001</v>
      </c>
      <c r="P85" s="69">
        <f t="shared" si="32"/>
        <v>53.139711538461547</v>
      </c>
      <c r="Q85" s="69">
        <f t="shared" si="33"/>
        <v>50.011057692307695</v>
      </c>
    </row>
    <row r="86" spans="1:17" x14ac:dyDescent="0.2">
      <c r="A86" s="69">
        <f t="shared" si="26"/>
        <v>42.5</v>
      </c>
      <c r="B86" s="72">
        <f t="shared" si="27"/>
        <v>31.057692307692307</v>
      </c>
      <c r="C86" s="70">
        <f t="shared" si="28"/>
        <v>4</v>
      </c>
      <c r="D86" s="221">
        <f>B2</f>
        <v>127.00280000000001</v>
      </c>
      <c r="E86" s="68">
        <f t="shared" si="34"/>
        <v>11.099404369747898</v>
      </c>
      <c r="F86" s="70">
        <f t="shared" si="29"/>
        <v>4.3520000000000003</v>
      </c>
      <c r="G86" s="68">
        <f t="shared" si="35"/>
        <v>11.099404369747898</v>
      </c>
      <c r="H86" s="70">
        <f t="shared" si="30"/>
        <v>7.0994043697478979</v>
      </c>
      <c r="I86" s="71">
        <f t="shared" si="36"/>
        <v>1.2663575910247635E-5</v>
      </c>
      <c r="J86" s="78">
        <f t="shared" si="41"/>
        <v>2.4487825076390749E-3</v>
      </c>
      <c r="K86" s="214">
        <f t="shared" si="37"/>
        <v>2.4487825076390748</v>
      </c>
      <c r="L86" s="167">
        <f t="shared" si="38"/>
        <v>0.63962030152696814</v>
      </c>
      <c r="M86" s="69">
        <f t="shared" si="31"/>
        <v>7.0441008403361316</v>
      </c>
      <c r="N86" s="69">
        <f t="shared" si="39"/>
        <v>1.6083095986139983E-3</v>
      </c>
      <c r="O86" s="69">
        <f t="shared" si="40"/>
        <v>127.00279999999999</v>
      </c>
      <c r="P86" s="69">
        <f t="shared" si="32"/>
        <v>51.307307692307695</v>
      </c>
      <c r="Q86" s="69">
        <f t="shared" si="33"/>
        <v>48.286538461538463</v>
      </c>
    </row>
    <row r="87" spans="1:17" x14ac:dyDescent="0.2">
      <c r="A87" s="69">
        <f t="shared" si="26"/>
        <v>42.5</v>
      </c>
      <c r="B87" s="72">
        <f t="shared" si="27"/>
        <v>31.466346153846157</v>
      </c>
      <c r="C87" s="70">
        <f t="shared" si="28"/>
        <v>4</v>
      </c>
      <c r="D87" s="221">
        <f>B2</f>
        <v>127.00280000000001</v>
      </c>
      <c r="E87" s="68">
        <f t="shared" si="34"/>
        <v>11.510493420479307</v>
      </c>
      <c r="F87" s="70">
        <f t="shared" si="29"/>
        <v>4.3520000000000003</v>
      </c>
      <c r="G87" s="68">
        <f t="shared" si="35"/>
        <v>11.510493420479307</v>
      </c>
      <c r="H87" s="70">
        <f t="shared" si="30"/>
        <v>7.5104934204793068</v>
      </c>
      <c r="I87" s="71">
        <f t="shared" si="36"/>
        <v>1.1970431384534726E-5</v>
      </c>
      <c r="J87" s="78">
        <f t="shared" si="41"/>
        <v>2.4607529390236098E-3</v>
      </c>
      <c r="K87" s="214">
        <f t="shared" si="37"/>
        <v>2.4607529390236098</v>
      </c>
      <c r="L87" s="167">
        <f t="shared" si="38"/>
        <v>0.65249100504386226</v>
      </c>
      <c r="M87" s="69">
        <f t="shared" si="31"/>
        <v>7.9783941374529688</v>
      </c>
      <c r="N87" s="69">
        <f t="shared" si="39"/>
        <v>1.520278303043787E-3</v>
      </c>
      <c r="O87" s="69">
        <f t="shared" si="40"/>
        <v>127.00280000000001</v>
      </c>
      <c r="P87" s="69">
        <f t="shared" si="32"/>
        <v>49.474903846153829</v>
      </c>
      <c r="Q87" s="69">
        <f t="shared" si="33"/>
        <v>46.562019230769216</v>
      </c>
    </row>
    <row r="88" spans="1:17" x14ac:dyDescent="0.2">
      <c r="A88" s="69">
        <f t="shared" si="26"/>
        <v>42.5</v>
      </c>
      <c r="B88" s="72">
        <f t="shared" si="27"/>
        <v>31.875</v>
      </c>
      <c r="C88" s="70">
        <f t="shared" si="28"/>
        <v>4</v>
      </c>
      <c r="D88" s="221">
        <f>B2</f>
        <v>127.00280000000001</v>
      </c>
      <c r="E88" s="68">
        <f t="shared" si="34"/>
        <v>11.953204705882353</v>
      </c>
      <c r="F88" s="70">
        <f t="shared" si="29"/>
        <v>4.3520000000000003</v>
      </c>
      <c r="G88" s="68">
        <f t="shared" si="35"/>
        <v>11.953204705882353</v>
      </c>
      <c r="H88" s="70">
        <f t="shared" si="30"/>
        <v>7.953204705882353</v>
      </c>
      <c r="I88" s="71">
        <f t="shared" si="36"/>
        <v>1.1304103123027975E-5</v>
      </c>
      <c r="J88" s="78">
        <f t="shared" si="41"/>
        <v>2.4720570421466379E-3</v>
      </c>
      <c r="K88" s="214">
        <f t="shared" si="37"/>
        <v>2.4720570421466377</v>
      </c>
      <c r="L88" s="167">
        <f t="shared" si="38"/>
        <v>0.66536170856075616</v>
      </c>
      <c r="M88" s="69">
        <f t="shared" si="31"/>
        <v>8.9845561497326205</v>
      </c>
      <c r="N88" s="69">
        <f t="shared" si="39"/>
        <v>1.4356527481132974E-3</v>
      </c>
      <c r="O88" s="69">
        <f t="shared" si="40"/>
        <v>127.00279999999999</v>
      </c>
      <c r="P88" s="69">
        <f t="shared" si="32"/>
        <v>47.642499999999998</v>
      </c>
      <c r="Q88" s="69">
        <f t="shared" si="33"/>
        <v>44.837499999999999</v>
      </c>
    </row>
    <row r="89" spans="1:17" x14ac:dyDescent="0.2">
      <c r="A89" s="69">
        <f t="shared" si="26"/>
        <v>42.5</v>
      </c>
      <c r="B89" s="72">
        <f t="shared" si="27"/>
        <v>32.283653846153847</v>
      </c>
      <c r="C89" s="70">
        <f t="shared" si="28"/>
        <v>4</v>
      </c>
      <c r="D89" s="221">
        <f>B2</f>
        <v>127.00280000000001</v>
      </c>
      <c r="E89" s="68">
        <f t="shared" si="34"/>
        <v>12.431332894117649</v>
      </c>
      <c r="F89" s="70">
        <f t="shared" si="29"/>
        <v>4.3520000000000003</v>
      </c>
      <c r="G89" s="68">
        <f t="shared" si="35"/>
        <v>12.431332894117649</v>
      </c>
      <c r="H89" s="70">
        <f t="shared" si="30"/>
        <v>8.4313328941176486</v>
      </c>
      <c r="I89" s="71">
        <f t="shared" si="36"/>
        <v>1.0663064462390064E-5</v>
      </c>
      <c r="J89" s="78">
        <f t="shared" si="41"/>
        <v>2.4827201066090279E-3</v>
      </c>
      <c r="K89" s="214">
        <f t="shared" si="37"/>
        <v>2.4827201066090279</v>
      </c>
      <c r="L89" s="167">
        <f t="shared" si="38"/>
        <v>0.67823241207765017</v>
      </c>
      <c r="M89" s="69">
        <f t="shared" si="31"/>
        <v>10.071211122994656</v>
      </c>
      <c r="N89" s="69">
        <f t="shared" si="39"/>
        <v>1.354239043304033E-3</v>
      </c>
      <c r="O89" s="69">
        <f t="shared" si="40"/>
        <v>127.00280000000001</v>
      </c>
      <c r="P89" s="69">
        <f t="shared" si="32"/>
        <v>45.810096153846153</v>
      </c>
      <c r="Q89" s="69">
        <f t="shared" si="33"/>
        <v>43.112980769230766</v>
      </c>
    </row>
    <row r="90" spans="1:17" x14ac:dyDescent="0.2">
      <c r="A90" s="69">
        <f t="shared" si="26"/>
        <v>42.5</v>
      </c>
      <c r="B90" s="72">
        <f t="shared" si="27"/>
        <v>32.692307692307693</v>
      </c>
      <c r="C90" s="70">
        <f t="shared" si="28"/>
        <v>4</v>
      </c>
      <c r="D90" s="221">
        <f>B2</f>
        <v>127.00280000000001</v>
      </c>
      <c r="E90" s="68">
        <f t="shared" si="34"/>
        <v>12.949305098039218</v>
      </c>
      <c r="F90" s="70">
        <f t="shared" si="29"/>
        <v>4.3520000000000003</v>
      </c>
      <c r="G90" s="68">
        <f t="shared" si="35"/>
        <v>12.949305098039218</v>
      </c>
      <c r="H90" s="70">
        <f t="shared" si="30"/>
        <v>8.9493050980392184</v>
      </c>
      <c r="I90" s="71">
        <f t="shared" si="36"/>
        <v>1.0045902466052263E-5</v>
      </c>
      <c r="J90" s="78">
        <f t="shared" si="41"/>
        <v>2.4927660090750801E-3</v>
      </c>
      <c r="K90" s="214">
        <f t="shared" si="37"/>
        <v>2.4927660090750803</v>
      </c>
      <c r="L90" s="167">
        <f t="shared" si="38"/>
        <v>0.69110311559454418</v>
      </c>
      <c r="M90" s="69">
        <f t="shared" si="31"/>
        <v>11.24842067736186</v>
      </c>
      <c r="N90" s="69">
        <f t="shared" si="39"/>
        <v>1.2758577417155425E-3</v>
      </c>
      <c r="O90" s="69">
        <f t="shared" si="40"/>
        <v>127.00280000000001</v>
      </c>
      <c r="P90" s="69">
        <f t="shared" si="32"/>
        <v>43.977692307692301</v>
      </c>
      <c r="Q90" s="69">
        <f t="shared" si="33"/>
        <v>41.388461538461534</v>
      </c>
    </row>
    <row r="91" spans="1:17" x14ac:dyDescent="0.2">
      <c r="A91" s="69">
        <f t="shared" si="26"/>
        <v>42.5</v>
      </c>
      <c r="B91" s="72">
        <f t="shared" si="27"/>
        <v>33.10096153846154</v>
      </c>
      <c r="C91" s="70">
        <f t="shared" si="28"/>
        <v>4</v>
      </c>
      <c r="D91" s="221">
        <f>B2</f>
        <v>127.00280000000001</v>
      </c>
      <c r="E91" s="68">
        <f t="shared" si="34"/>
        <v>13.512318363171358</v>
      </c>
      <c r="F91" s="70">
        <f t="shared" si="29"/>
        <v>4.3520000000000003</v>
      </c>
      <c r="G91" s="68">
        <f t="shared" si="35"/>
        <v>13.512318363171358</v>
      </c>
      <c r="H91" s="70">
        <f t="shared" si="30"/>
        <v>9.5123183631713584</v>
      </c>
      <c r="I91" s="71">
        <f t="shared" si="36"/>
        <v>9.4513075279234856E-6</v>
      </c>
      <c r="J91" s="78">
        <f t="shared" si="41"/>
        <v>2.5022173166030035E-3</v>
      </c>
      <c r="K91" s="214">
        <f t="shared" si="37"/>
        <v>2.5022173166030037</v>
      </c>
      <c r="L91" s="167">
        <f t="shared" si="38"/>
        <v>0.70397381911143819</v>
      </c>
      <c r="M91" s="69">
        <f t="shared" si="31"/>
        <v>12.527996279934905</v>
      </c>
      <c r="N91" s="69">
        <f t="shared" si="39"/>
        <v>1.200342519707361E-3</v>
      </c>
      <c r="O91" s="69">
        <f t="shared" si="40"/>
        <v>127.00280000000001</v>
      </c>
      <c r="P91" s="69">
        <f t="shared" si="32"/>
        <v>42.145288461538456</v>
      </c>
      <c r="Q91" s="69">
        <f t="shared" si="33"/>
        <v>39.663942307692295</v>
      </c>
    </row>
    <row r="92" spans="1:17" x14ac:dyDescent="0.2">
      <c r="A92" s="69">
        <f t="shared" si="26"/>
        <v>42.5</v>
      </c>
      <c r="B92" s="72">
        <f t="shared" si="27"/>
        <v>33.509615384615387</v>
      </c>
      <c r="C92" s="70">
        <f t="shared" si="28"/>
        <v>4</v>
      </c>
      <c r="D92" s="221">
        <f>B2</f>
        <v>127.00280000000001</v>
      </c>
      <c r="E92" s="68">
        <f t="shared" si="34"/>
        <v>14.126514652406421</v>
      </c>
      <c r="F92" s="70">
        <f t="shared" si="29"/>
        <v>4.3520000000000003</v>
      </c>
      <c r="G92" s="68">
        <f t="shared" si="35"/>
        <v>14.126514652406421</v>
      </c>
      <c r="H92" s="70">
        <f t="shared" si="30"/>
        <v>10.126514652406421</v>
      </c>
      <c r="I92" s="71">
        <f t="shared" si="36"/>
        <v>8.878064096069017E-6</v>
      </c>
      <c r="J92" s="78">
        <f t="shared" si="41"/>
        <v>2.5110953806990726E-3</v>
      </c>
      <c r="K92" s="214">
        <f t="shared" si="37"/>
        <v>2.5110953806990728</v>
      </c>
      <c r="L92" s="167">
        <f t="shared" si="38"/>
        <v>0.7168445226283322</v>
      </c>
      <c r="M92" s="69">
        <f t="shared" si="31"/>
        <v>13.923896937287319</v>
      </c>
      <c r="N92" s="69">
        <f t="shared" si="39"/>
        <v>1.1275389987802341E-3</v>
      </c>
      <c r="O92" s="69">
        <f t="shared" si="40"/>
        <v>127.00280000000001</v>
      </c>
      <c r="P92" s="69">
        <f t="shared" si="32"/>
        <v>40.312884615384604</v>
      </c>
      <c r="Q92" s="69">
        <f t="shared" si="33"/>
        <v>37.939423076923063</v>
      </c>
    </row>
    <row r="93" spans="1:17" x14ac:dyDescent="0.2">
      <c r="A93" s="69">
        <f t="shared" si="26"/>
        <v>42.5</v>
      </c>
      <c r="B93" s="72">
        <f t="shared" si="27"/>
        <v>33.918269230769234</v>
      </c>
      <c r="C93" s="70">
        <f t="shared" si="28"/>
        <v>4</v>
      </c>
      <c r="D93" s="221">
        <f>B2</f>
        <v>127.00280000000001</v>
      </c>
      <c r="E93" s="68">
        <f t="shared" si="34"/>
        <v>14.799205826330537</v>
      </c>
      <c r="F93" s="70">
        <f t="shared" si="29"/>
        <v>4.3520000000000003</v>
      </c>
      <c r="G93" s="68">
        <f t="shared" si="35"/>
        <v>14.799205826330537</v>
      </c>
      <c r="H93" s="70">
        <f t="shared" si="30"/>
        <v>10.799205826330537</v>
      </c>
      <c r="I93" s="71">
        <f t="shared" si="36"/>
        <v>8.3250423780833431E-6</v>
      </c>
      <c r="J93" s="78">
        <f t="shared" si="41"/>
        <v>2.5194204230771559E-3</v>
      </c>
      <c r="K93" s="214">
        <f t="shared" si="37"/>
        <v>2.5194204230771557</v>
      </c>
      <c r="L93" s="167">
        <f t="shared" si="38"/>
        <v>0.72971522614522621</v>
      </c>
      <c r="M93" s="69">
        <f t="shared" si="31"/>
        <v>15.452740514387584</v>
      </c>
      <c r="N93" s="69">
        <f t="shared" si="39"/>
        <v>1.0573036921352431E-3</v>
      </c>
      <c r="O93" s="69">
        <f t="shared" si="40"/>
        <v>127.00280000000001</v>
      </c>
      <c r="P93" s="69">
        <f t="shared" si="32"/>
        <v>38.480480769230759</v>
      </c>
      <c r="Q93" s="69">
        <f t="shared" si="33"/>
        <v>36.214903846153831</v>
      </c>
    </row>
    <row r="94" spans="1:17" x14ac:dyDescent="0.2">
      <c r="A94" s="69">
        <f t="shared" si="26"/>
        <v>42.5</v>
      </c>
      <c r="B94" s="72">
        <f t="shared" si="27"/>
        <v>34.32692307692308</v>
      </c>
      <c r="C94" s="70">
        <f t="shared" si="28"/>
        <v>4</v>
      </c>
      <c r="D94" s="221">
        <f>B2</f>
        <v>127.00280000000001</v>
      </c>
      <c r="E94" s="68">
        <f t="shared" si="34"/>
        <v>15.539166117647065</v>
      </c>
      <c r="F94" s="70">
        <f t="shared" si="29"/>
        <v>4.3520000000000003</v>
      </c>
      <c r="G94" s="68">
        <f t="shared" si="35"/>
        <v>15.539166117647065</v>
      </c>
      <c r="H94" s="70">
        <f t="shared" si="30"/>
        <v>11.539166117647065</v>
      </c>
      <c r="I94" s="71">
        <f t="shared" si="36"/>
        <v>7.7911909090514445E-6</v>
      </c>
      <c r="J94" s="78">
        <f t="shared" si="41"/>
        <v>2.5272116139862075E-3</v>
      </c>
      <c r="K94" s="214">
        <f t="shared" si="37"/>
        <v>2.5272116139862075</v>
      </c>
      <c r="L94" s="167">
        <f t="shared" si="38"/>
        <v>0.74258592966212023</v>
      </c>
      <c r="M94" s="69">
        <f t="shared" si="31"/>
        <v>17.134468449197872</v>
      </c>
      <c r="N94" s="69">
        <f t="shared" si="39"/>
        <v>9.8950306078407881E-4</v>
      </c>
      <c r="O94" s="69">
        <f t="shared" si="40"/>
        <v>127.00280000000001</v>
      </c>
      <c r="P94" s="69">
        <f t="shared" si="32"/>
        <v>36.648076923076907</v>
      </c>
      <c r="Q94" s="69">
        <f t="shared" si="33"/>
        <v>34.490384615384599</v>
      </c>
    </row>
    <row r="95" spans="1:17" x14ac:dyDescent="0.2">
      <c r="A95" s="69">
        <f t="shared" si="26"/>
        <v>42.5</v>
      </c>
      <c r="B95" s="72">
        <f t="shared" si="27"/>
        <v>34.73557692307692</v>
      </c>
      <c r="C95" s="70">
        <f t="shared" si="28"/>
        <v>4</v>
      </c>
      <c r="D95" s="221">
        <f>B2</f>
        <v>127.00280000000001</v>
      </c>
      <c r="E95" s="68">
        <f t="shared" si="34"/>
        <v>16.357016965944265</v>
      </c>
      <c r="F95" s="70">
        <f t="shared" si="29"/>
        <v>4.3520000000000003</v>
      </c>
      <c r="G95" s="68">
        <f t="shared" si="35"/>
        <v>16.357016965944265</v>
      </c>
      <c r="H95" s="70">
        <f t="shared" si="30"/>
        <v>12.357016965944265</v>
      </c>
      <c r="I95" s="71">
        <f t="shared" si="36"/>
        <v>7.2755298792271816E-6</v>
      </c>
      <c r="J95" s="78">
        <f t="shared" si="41"/>
        <v>2.5344871438654345E-3</v>
      </c>
      <c r="K95" s="214">
        <f t="shared" si="37"/>
        <v>2.5344871438654346</v>
      </c>
      <c r="L95" s="167">
        <f t="shared" si="38"/>
        <v>0.75545663317901401</v>
      </c>
      <c r="M95" s="69">
        <f t="shared" si="31"/>
        <v>18.993220377146056</v>
      </c>
      <c r="N95" s="69">
        <f t="shared" si="39"/>
        <v>9.2401266614551385E-4</v>
      </c>
      <c r="O95" s="69">
        <f t="shared" si="40"/>
        <v>127.00279999999999</v>
      </c>
      <c r="P95" s="69">
        <f t="shared" si="32"/>
        <v>34.81567307692309</v>
      </c>
      <c r="Q95" s="69">
        <f t="shared" si="33"/>
        <v>32.765865384615395</v>
      </c>
    </row>
    <row r="96" spans="1:17" x14ac:dyDescent="0.2">
      <c r="A96" s="69">
        <f t="shared" si="26"/>
        <v>42.5</v>
      </c>
      <c r="B96" s="72">
        <f t="shared" si="27"/>
        <v>35.144230769230766</v>
      </c>
      <c r="C96" s="70">
        <f t="shared" si="28"/>
        <v>4</v>
      </c>
      <c r="D96" s="221">
        <f>B2</f>
        <v>127.00280000000001</v>
      </c>
      <c r="E96" s="68">
        <f t="shared" si="34"/>
        <v>17.26574013071895</v>
      </c>
      <c r="F96" s="70">
        <f t="shared" si="29"/>
        <v>4.3520000000000003</v>
      </c>
      <c r="G96" s="68">
        <f t="shared" si="35"/>
        <v>17.26574013071895</v>
      </c>
      <c r="H96" s="70">
        <f t="shared" si="30"/>
        <v>13.26574013071895</v>
      </c>
      <c r="I96" s="71">
        <f t="shared" si="36"/>
        <v>6.7771451323442932E-6</v>
      </c>
      <c r="J96" s="78">
        <f t="shared" si="41"/>
        <v>2.5412642889977789E-3</v>
      </c>
      <c r="K96" s="214">
        <f t="shared" si="37"/>
        <v>2.541264288997779</v>
      </c>
      <c r="L96" s="167">
        <f t="shared" si="38"/>
        <v>0.76832733669590803</v>
      </c>
      <c r="M96" s="69">
        <f t="shared" si="31"/>
        <v>21.058500297088521</v>
      </c>
      <c r="N96" s="69">
        <f t="shared" si="39"/>
        <v>8.6071640781409584E-4</v>
      </c>
      <c r="O96" s="69">
        <f t="shared" si="40"/>
        <v>127.00280000000001</v>
      </c>
      <c r="P96" s="69">
        <f t="shared" si="32"/>
        <v>32.983269230769245</v>
      </c>
      <c r="Q96" s="69">
        <f t="shared" si="33"/>
        <v>31.041346153846163</v>
      </c>
    </row>
    <row r="97" spans="1:17" x14ac:dyDescent="0.2">
      <c r="A97" s="69">
        <f t="shared" si="26"/>
        <v>42.5</v>
      </c>
      <c r="B97" s="72">
        <f t="shared" si="27"/>
        <v>35.552884615384613</v>
      </c>
      <c r="C97" s="70">
        <f t="shared" si="28"/>
        <v>4</v>
      </c>
      <c r="D97" s="221">
        <f>B2</f>
        <v>127.00280000000001</v>
      </c>
      <c r="E97" s="68">
        <f t="shared" si="34"/>
        <v>18.281371903114181</v>
      </c>
      <c r="F97" s="70">
        <f t="shared" si="29"/>
        <v>4.3520000000000003</v>
      </c>
      <c r="G97" s="68">
        <f t="shared" si="35"/>
        <v>18.281371903114181</v>
      </c>
      <c r="H97" s="70">
        <f t="shared" si="30"/>
        <v>14.281371903114181</v>
      </c>
      <c r="I97" s="71">
        <f t="shared" si="36"/>
        <v>6.2951827572140972E-6</v>
      </c>
      <c r="J97" s="78">
        <f t="shared" si="41"/>
        <v>2.5475594717549932E-3</v>
      </c>
      <c r="K97" s="214">
        <f t="shared" si="37"/>
        <v>2.547559471754993</v>
      </c>
      <c r="L97" s="167">
        <f t="shared" si="38"/>
        <v>0.78119804021280204</v>
      </c>
      <c r="M97" s="69">
        <f t="shared" si="31"/>
        <v>23.3667543252595</v>
      </c>
      <c r="N97" s="69">
        <f t="shared" si="39"/>
        <v>7.995058366779106E-4</v>
      </c>
      <c r="O97" s="69">
        <f t="shared" si="40"/>
        <v>127.00279999999999</v>
      </c>
      <c r="P97" s="69">
        <f t="shared" si="32"/>
        <v>31.150865384615393</v>
      </c>
      <c r="Q97" s="69">
        <f t="shared" si="33"/>
        <v>29.316826923076931</v>
      </c>
    </row>
    <row r="98" spans="1:17" x14ac:dyDescent="0.2">
      <c r="A98" s="69">
        <f t="shared" si="26"/>
        <v>42.5</v>
      </c>
      <c r="B98" s="72">
        <f t="shared" si="27"/>
        <v>35.96153846153846</v>
      </c>
      <c r="C98" s="70">
        <f t="shared" si="28"/>
        <v>4</v>
      </c>
      <c r="D98" s="221">
        <f>B2</f>
        <v>127.00280000000001</v>
      </c>
      <c r="E98" s="68">
        <f t="shared" si="34"/>
        <v>19.42395764705882</v>
      </c>
      <c r="F98" s="70">
        <f t="shared" si="29"/>
        <v>4.3520000000000003</v>
      </c>
      <c r="G98" s="68">
        <f t="shared" si="35"/>
        <v>19.42395764705882</v>
      </c>
      <c r="H98" s="70">
        <f t="shared" si="30"/>
        <v>15.42395764705882</v>
      </c>
      <c r="I98" s="71">
        <f t="shared" si="36"/>
        <v>5.828844205299666E-6</v>
      </c>
      <c r="J98" s="78">
        <f t="shared" si="41"/>
        <v>2.5533883159602928E-3</v>
      </c>
      <c r="K98" s="214">
        <f t="shared" si="37"/>
        <v>2.553388315960293</v>
      </c>
      <c r="L98" s="167">
        <f t="shared" si="38"/>
        <v>0.79406874372969605</v>
      </c>
      <c r="M98" s="69">
        <f t="shared" si="31"/>
        <v>25.963540106951864</v>
      </c>
      <c r="N98" s="69">
        <f t="shared" si="39"/>
        <v>7.4027953483683242E-4</v>
      </c>
      <c r="O98" s="69">
        <f t="shared" si="40"/>
        <v>127.00280000000001</v>
      </c>
      <c r="P98" s="69">
        <f t="shared" si="32"/>
        <v>29.318461538461545</v>
      </c>
      <c r="Q98" s="69">
        <f t="shared" si="33"/>
        <v>27.592307692307699</v>
      </c>
    </row>
    <row r="99" spans="1:17" x14ac:dyDescent="0.2">
      <c r="A99" s="69">
        <f t="shared" si="26"/>
        <v>42.5</v>
      </c>
      <c r="B99" s="72">
        <f t="shared" si="27"/>
        <v>36.370192307692307</v>
      </c>
      <c r="C99" s="70">
        <f t="shared" si="28"/>
        <v>4</v>
      </c>
      <c r="D99" s="221">
        <f>B2</f>
        <v>127.00280000000001</v>
      </c>
      <c r="E99" s="68">
        <f t="shared" si="34"/>
        <v>20.718888156862743</v>
      </c>
      <c r="F99" s="70">
        <f t="shared" si="29"/>
        <v>4.3520000000000003</v>
      </c>
      <c r="G99" s="68">
        <f t="shared" si="35"/>
        <v>20.718888156862743</v>
      </c>
      <c r="H99" s="70">
        <f t="shared" si="30"/>
        <v>16.718888156862743</v>
      </c>
      <c r="I99" s="71">
        <f t="shared" si="36"/>
        <v>5.3773818755371408E-6</v>
      </c>
      <c r="J99" s="78">
        <f t="shared" si="41"/>
        <v>2.5587656978358301E-3</v>
      </c>
      <c r="K99" s="214">
        <f t="shared" si="37"/>
        <v>2.5587656978358302</v>
      </c>
      <c r="L99" s="167">
        <f t="shared" si="38"/>
        <v>0.80693944724659006</v>
      </c>
      <c r="M99" s="69">
        <f t="shared" si="31"/>
        <v>28.90656399286987</v>
      </c>
      <c r="N99" s="69">
        <f t="shared" si="39"/>
        <v>6.8294255486246844E-4</v>
      </c>
      <c r="O99" s="69">
        <f t="shared" si="40"/>
        <v>127.00280000000001</v>
      </c>
      <c r="P99" s="69">
        <f t="shared" si="32"/>
        <v>27.486057692307696</v>
      </c>
      <c r="Q99" s="69">
        <f t="shared" si="33"/>
        <v>25.867788461538463</v>
      </c>
    </row>
    <row r="100" spans="1:17" x14ac:dyDescent="0.2">
      <c r="A100" s="69">
        <f t="shared" si="26"/>
        <v>42.5</v>
      </c>
      <c r="B100" s="72">
        <f t="shared" si="27"/>
        <v>36.778846153846153</v>
      </c>
      <c r="C100" s="70">
        <f t="shared" si="28"/>
        <v>4</v>
      </c>
      <c r="D100" s="221">
        <f>B2</f>
        <v>127.00280000000001</v>
      </c>
      <c r="E100" s="68">
        <f t="shared" si="34"/>
        <v>22.198808739495796</v>
      </c>
      <c r="F100" s="70">
        <f t="shared" si="29"/>
        <v>4.3520000000000003</v>
      </c>
      <c r="G100" s="68">
        <f t="shared" si="35"/>
        <v>22.198808739495796</v>
      </c>
      <c r="H100" s="70">
        <f t="shared" si="30"/>
        <v>18.198808739495796</v>
      </c>
      <c r="I100" s="71">
        <f t="shared" si="36"/>
        <v>4.9400951150573548E-6</v>
      </c>
      <c r="J100" s="78">
        <f t="shared" si="41"/>
        <v>2.5637057929508876E-3</v>
      </c>
      <c r="K100" s="214">
        <f t="shared" si="37"/>
        <v>2.5637057929508877</v>
      </c>
      <c r="L100" s="167">
        <f t="shared" si="38"/>
        <v>0.81981015076348407</v>
      </c>
      <c r="M100" s="69">
        <f t="shared" si="31"/>
        <v>32.270019862490443</v>
      </c>
      <c r="N100" s="69">
        <f t="shared" si="39"/>
        <v>6.2740591187860619E-4</v>
      </c>
      <c r="O100" s="69">
        <f t="shared" si="40"/>
        <v>127.00279999999999</v>
      </c>
      <c r="P100" s="69">
        <f t="shared" si="32"/>
        <v>25.653653846153848</v>
      </c>
      <c r="Q100" s="69">
        <f t="shared" si="33"/>
        <v>24.143269230769231</v>
      </c>
    </row>
    <row r="101" spans="1:17" x14ac:dyDescent="0.2">
      <c r="A101" s="69">
        <f t="shared" si="26"/>
        <v>42.5</v>
      </c>
      <c r="B101" s="72">
        <f t="shared" si="27"/>
        <v>37.1875</v>
      </c>
      <c r="C101" s="70">
        <f t="shared" si="28"/>
        <v>4</v>
      </c>
      <c r="D101" s="221">
        <f>B2</f>
        <v>127.00280000000001</v>
      </c>
      <c r="E101" s="68">
        <f t="shared" si="34"/>
        <v>22.797499999999999</v>
      </c>
      <c r="F101" s="70">
        <f t="shared" si="29"/>
        <v>4.3520000000000003</v>
      </c>
      <c r="G101" s="68">
        <f t="shared" si="35"/>
        <v>22.797499999999999</v>
      </c>
      <c r="H101" s="70">
        <f t="shared" si="30"/>
        <v>18.797499999999999</v>
      </c>
      <c r="I101" s="71">
        <f t="shared" si="36"/>
        <v>4.7827554809866355E-6</v>
      </c>
      <c r="J101" s="78">
        <f t="shared" si="41"/>
        <v>2.5684885484318744E-3</v>
      </c>
      <c r="K101" s="214">
        <f t="shared" si="37"/>
        <v>2.5684885484318745</v>
      </c>
      <c r="L101" s="167">
        <f t="shared" si="38"/>
        <v>0.82454216471104291</v>
      </c>
      <c r="M101" s="69">
        <f t="shared" si="31"/>
        <v>33.630681818181813</v>
      </c>
      <c r="N101" s="69">
        <f t="shared" si="39"/>
        <v>5.792477366632744E-4</v>
      </c>
      <c r="O101" s="69">
        <f t="shared" si="40"/>
        <v>121.11171874999999</v>
      </c>
      <c r="P101" s="69">
        <f t="shared" si="32"/>
        <v>23.821249999999999</v>
      </c>
      <c r="Q101" s="69">
        <f t="shared" si="33"/>
        <v>22.418749999999999</v>
      </c>
    </row>
    <row r="102" spans="1:17" x14ac:dyDescent="0.2">
      <c r="A102" s="69">
        <f t="shared" si="26"/>
        <v>42.5</v>
      </c>
      <c r="B102" s="72">
        <f t="shared" si="27"/>
        <v>37.596153846153847</v>
      </c>
      <c r="C102" s="70">
        <f t="shared" si="28"/>
        <v>4</v>
      </c>
      <c r="D102" s="221">
        <f>B2</f>
        <v>127.00280000000001</v>
      </c>
      <c r="E102" s="68">
        <f t="shared" si="34"/>
        <v>22.797499999999999</v>
      </c>
      <c r="F102" s="70">
        <f t="shared" si="29"/>
        <v>4.3520000000000003</v>
      </c>
      <c r="G102" s="68">
        <f t="shared" si="35"/>
        <v>22.797499999999999</v>
      </c>
      <c r="H102" s="70">
        <f t="shared" si="30"/>
        <v>18.797499999999999</v>
      </c>
      <c r="I102" s="71">
        <f t="shared" si="36"/>
        <v>4.7827554809866355E-6</v>
      </c>
      <c r="J102" s="78">
        <f t="shared" si="41"/>
        <v>2.5732713039128613E-3</v>
      </c>
      <c r="K102" s="214">
        <f t="shared" si="37"/>
        <v>2.5732713039128612</v>
      </c>
      <c r="L102" s="167">
        <f t="shared" si="38"/>
        <v>0.82454216471104291</v>
      </c>
      <c r="M102" s="69">
        <f t="shared" si="31"/>
        <v>33.630681818181813</v>
      </c>
      <c r="N102" s="69">
        <f t="shared" si="39"/>
        <v>5.3469021845840706E-4</v>
      </c>
      <c r="O102" s="69">
        <f t="shared" si="40"/>
        <v>111.79543269230767</v>
      </c>
      <c r="P102" s="69">
        <f t="shared" si="32"/>
        <v>21.988846153846151</v>
      </c>
      <c r="Q102" s="69">
        <f t="shared" si="33"/>
        <v>20.694230769230767</v>
      </c>
    </row>
    <row r="103" spans="1:17" x14ac:dyDescent="0.2">
      <c r="A103" s="69">
        <f t="shared" si="26"/>
        <v>42.5</v>
      </c>
      <c r="B103" s="72">
        <f t="shared" si="27"/>
        <v>38.004807692307693</v>
      </c>
      <c r="C103" s="70">
        <f t="shared" si="28"/>
        <v>4</v>
      </c>
      <c r="D103" s="221">
        <f>B2</f>
        <v>127.00280000000001</v>
      </c>
      <c r="E103" s="68">
        <f t="shared" si="34"/>
        <v>22.797499999999999</v>
      </c>
      <c r="F103" s="70">
        <f t="shared" si="29"/>
        <v>4.3520000000000003</v>
      </c>
      <c r="G103" s="68">
        <f t="shared" si="35"/>
        <v>22.797499999999999</v>
      </c>
      <c r="H103" s="70">
        <f t="shared" si="30"/>
        <v>18.797499999999999</v>
      </c>
      <c r="I103" s="71">
        <f t="shared" si="36"/>
        <v>4.7827554809866355E-6</v>
      </c>
      <c r="J103" s="78">
        <f t="shared" si="41"/>
        <v>2.5780540593938481E-3</v>
      </c>
      <c r="K103" s="214">
        <f t="shared" si="37"/>
        <v>2.5780540593938479</v>
      </c>
      <c r="L103" s="167">
        <f t="shared" si="38"/>
        <v>0.82454216471104291</v>
      </c>
      <c r="M103" s="69">
        <f t="shared" si="31"/>
        <v>33.630681818181813</v>
      </c>
      <c r="N103" s="69">
        <f t="shared" si="39"/>
        <v>4.9013270025353973E-4</v>
      </c>
      <c r="O103" s="69">
        <f t="shared" si="40"/>
        <v>102.47914663461536</v>
      </c>
      <c r="P103" s="69">
        <f t="shared" si="32"/>
        <v>20.156442307692302</v>
      </c>
      <c r="Q103" s="69">
        <f t="shared" si="33"/>
        <v>18.969711538461532</v>
      </c>
    </row>
    <row r="104" spans="1:17" x14ac:dyDescent="0.2">
      <c r="A104" s="69">
        <f t="shared" si="26"/>
        <v>42.5</v>
      </c>
      <c r="B104" s="72">
        <f t="shared" si="27"/>
        <v>38.41346153846154</v>
      </c>
      <c r="C104" s="70">
        <f t="shared" si="28"/>
        <v>4</v>
      </c>
      <c r="D104" s="221">
        <f>B2</f>
        <v>127.00280000000001</v>
      </c>
      <c r="E104" s="68">
        <f t="shared" si="34"/>
        <v>22.797499999999999</v>
      </c>
      <c r="F104" s="70">
        <f t="shared" si="29"/>
        <v>4.3520000000000003</v>
      </c>
      <c r="G104" s="68">
        <f t="shared" si="35"/>
        <v>22.797499999999999</v>
      </c>
      <c r="H104" s="70">
        <f t="shared" si="30"/>
        <v>18.797499999999999</v>
      </c>
      <c r="I104" s="71">
        <f t="shared" si="36"/>
        <v>4.7827554809866355E-6</v>
      </c>
      <c r="J104" s="78">
        <f t="shared" si="41"/>
        <v>2.582836814874835E-3</v>
      </c>
      <c r="K104" s="214">
        <f t="shared" si="37"/>
        <v>2.5828368148748351</v>
      </c>
      <c r="L104" s="167">
        <f t="shared" si="38"/>
        <v>0.82454216471104291</v>
      </c>
      <c r="M104" s="69">
        <f t="shared" si="31"/>
        <v>33.630681818181813</v>
      </c>
      <c r="N104" s="69">
        <f t="shared" si="39"/>
        <v>4.4557518204867239E-4</v>
      </c>
      <c r="O104" s="69">
        <f t="shared" si="40"/>
        <v>93.162860576923038</v>
      </c>
      <c r="P104" s="69">
        <f t="shared" si="32"/>
        <v>18.324038461538454</v>
      </c>
      <c r="Q104" s="69">
        <f t="shared" si="33"/>
        <v>17.245192307692299</v>
      </c>
    </row>
    <row r="105" spans="1:17" x14ac:dyDescent="0.2">
      <c r="A105" s="69">
        <f t="shared" si="26"/>
        <v>42.5</v>
      </c>
      <c r="B105" s="72">
        <f t="shared" si="27"/>
        <v>38.822115384615387</v>
      </c>
      <c r="C105" s="70">
        <f t="shared" si="28"/>
        <v>4</v>
      </c>
      <c r="D105" s="221">
        <f>B2</f>
        <v>127.00280000000001</v>
      </c>
      <c r="E105" s="68">
        <f t="shared" si="34"/>
        <v>22.797499999999999</v>
      </c>
      <c r="F105" s="70">
        <f t="shared" si="29"/>
        <v>4.3520000000000003</v>
      </c>
      <c r="G105" s="68">
        <f t="shared" si="35"/>
        <v>22.797499999999999</v>
      </c>
      <c r="H105" s="70">
        <f t="shared" si="30"/>
        <v>18.797499999999999</v>
      </c>
      <c r="I105" s="71">
        <f t="shared" si="36"/>
        <v>4.7827554809866355E-6</v>
      </c>
      <c r="J105" s="78">
        <f t="shared" si="41"/>
        <v>2.5876195703558218E-3</v>
      </c>
      <c r="K105" s="214">
        <f t="shared" si="37"/>
        <v>2.5876195703558218</v>
      </c>
      <c r="L105" s="167">
        <f t="shared" si="38"/>
        <v>0.82454216471104291</v>
      </c>
      <c r="M105" s="69">
        <f t="shared" si="31"/>
        <v>33.630681818181813</v>
      </c>
      <c r="N105" s="69">
        <f t="shared" si="39"/>
        <v>4.0101766384380511E-4</v>
      </c>
      <c r="O105" s="69">
        <f t="shared" si="40"/>
        <v>83.846574519230714</v>
      </c>
      <c r="P105" s="69">
        <f t="shared" si="32"/>
        <v>16.491634615384605</v>
      </c>
      <c r="Q105" s="69">
        <f t="shared" si="33"/>
        <v>15.520673076923067</v>
      </c>
    </row>
    <row r="106" spans="1:17" x14ac:dyDescent="0.2">
      <c r="A106" s="69">
        <f t="shared" ref="A106:A114" si="42">VINMAX</f>
        <v>42.5</v>
      </c>
      <c r="B106" s="72">
        <f t="shared" ref="B106:B114" si="43">VINMAX*((ROW()-10)/104)</f>
        <v>39.230769230769234</v>
      </c>
      <c r="C106" s="70">
        <f t="shared" ref="C106:C110" si="44">IF(B106&gt;=$H$2,IF($D$2="CC", $G$2, B106/$G$2), 0)</f>
        <v>4</v>
      </c>
      <c r="D106" s="221">
        <f>B2</f>
        <v>127.00280000000001</v>
      </c>
      <c r="E106" s="68">
        <f t="shared" si="34"/>
        <v>22.797499999999999</v>
      </c>
      <c r="F106" s="70">
        <f t="shared" ref="F106:F110" si="45">I_Cout_ss+C106</f>
        <v>4.3520000000000003</v>
      </c>
      <c r="G106" s="68">
        <f t="shared" si="35"/>
        <v>22.797499999999999</v>
      </c>
      <c r="H106" s="70">
        <f t="shared" ref="H106:H110" si="46">G106-C106</f>
        <v>18.797499999999999</v>
      </c>
      <c r="I106" s="71">
        <f t="shared" si="36"/>
        <v>4.7827554809866355E-6</v>
      </c>
      <c r="J106" s="78">
        <f t="shared" si="41"/>
        <v>2.5924023258368087E-3</v>
      </c>
      <c r="K106" s="214">
        <f t="shared" si="37"/>
        <v>2.5924023258368085</v>
      </c>
      <c r="L106" s="167">
        <f t="shared" si="38"/>
        <v>0.82454216471104291</v>
      </c>
      <c r="M106" s="69">
        <f t="shared" ref="M106:M114" si="47">1/COUTMAX*(E106/2-C106)*1000</f>
        <v>33.630681818181813</v>
      </c>
      <c r="N106" s="69">
        <f t="shared" si="39"/>
        <v>3.5646014563893777E-4</v>
      </c>
      <c r="O106" s="69">
        <f t="shared" si="40"/>
        <v>74.530288461538404</v>
      </c>
      <c r="P106" s="69">
        <f t="shared" ref="P106:P114" si="48">(A106-B106)*(I_Cout_ss*$Q$2+C106)</f>
        <v>14.659230769230756</v>
      </c>
      <c r="Q106" s="69">
        <f t="shared" ref="Q106:Q114" si="49">(A106-B106)*(I_Cout_ss*$R$2+C106)</f>
        <v>13.796153846153834</v>
      </c>
    </row>
    <row r="107" spans="1:17" x14ac:dyDescent="0.2">
      <c r="A107" s="69">
        <f t="shared" si="42"/>
        <v>42.5</v>
      </c>
      <c r="B107" s="72">
        <f t="shared" si="43"/>
        <v>39.63942307692308</v>
      </c>
      <c r="C107" s="70">
        <f t="shared" si="44"/>
        <v>4</v>
      </c>
      <c r="D107" s="221">
        <f>B2</f>
        <v>127.00280000000001</v>
      </c>
      <c r="E107" s="68">
        <f t="shared" si="34"/>
        <v>22.797499999999999</v>
      </c>
      <c r="F107" s="70">
        <f t="shared" si="45"/>
        <v>4.3520000000000003</v>
      </c>
      <c r="G107" s="68">
        <f t="shared" si="35"/>
        <v>22.797499999999999</v>
      </c>
      <c r="H107" s="70">
        <f t="shared" si="46"/>
        <v>18.797499999999999</v>
      </c>
      <c r="I107" s="71">
        <f t="shared" ref="I107:I110" si="50">(COUTMAX/1000000)*(B107-B106)/H107</f>
        <v>4.7827554809866355E-6</v>
      </c>
      <c r="J107" s="78">
        <f t="shared" si="41"/>
        <v>2.5971850813177955E-3</v>
      </c>
      <c r="K107" s="214">
        <f t="shared" si="37"/>
        <v>2.5971850813177957</v>
      </c>
      <c r="L107" s="167">
        <f t="shared" si="38"/>
        <v>0.82454216471104291</v>
      </c>
      <c r="M107" s="69">
        <f t="shared" si="47"/>
        <v>33.630681818181813</v>
      </c>
      <c r="N107" s="69">
        <f t="shared" si="39"/>
        <v>3.1190262743407043E-4</v>
      </c>
      <c r="O107" s="69">
        <f t="shared" si="40"/>
        <v>65.214002403846081</v>
      </c>
      <c r="P107" s="69">
        <f t="shared" si="48"/>
        <v>12.826826923076908</v>
      </c>
      <c r="Q107" s="69">
        <f t="shared" si="49"/>
        <v>12.071634615384601</v>
      </c>
    </row>
    <row r="108" spans="1:17" x14ac:dyDescent="0.2">
      <c r="A108" s="69">
        <f t="shared" si="42"/>
        <v>42.5</v>
      </c>
      <c r="B108" s="72">
        <f t="shared" si="43"/>
        <v>40.04807692307692</v>
      </c>
      <c r="C108" s="70">
        <f t="shared" si="44"/>
        <v>4</v>
      </c>
      <c r="D108" s="221">
        <f>B2</f>
        <v>127.00280000000001</v>
      </c>
      <c r="E108" s="68">
        <f t="shared" si="34"/>
        <v>22.797499999999999</v>
      </c>
      <c r="F108" s="70">
        <f t="shared" si="45"/>
        <v>4.3520000000000003</v>
      </c>
      <c r="G108" s="68">
        <f t="shared" si="35"/>
        <v>22.797499999999999</v>
      </c>
      <c r="H108" s="70">
        <f t="shared" si="46"/>
        <v>18.797499999999999</v>
      </c>
      <c r="I108" s="71">
        <f t="shared" si="50"/>
        <v>4.7827554809865525E-6</v>
      </c>
      <c r="J108" s="78">
        <f t="shared" si="41"/>
        <v>2.6019678367987819E-3</v>
      </c>
      <c r="K108" s="214">
        <f t="shared" si="37"/>
        <v>2.601967836798782</v>
      </c>
      <c r="L108" s="167">
        <f t="shared" si="38"/>
        <v>0.82454216471104291</v>
      </c>
      <c r="M108" s="69">
        <f t="shared" si="47"/>
        <v>33.630681818181813</v>
      </c>
      <c r="N108" s="69">
        <f t="shared" si="39"/>
        <v>2.6734510922919925E-4</v>
      </c>
      <c r="O108" s="69">
        <f t="shared" si="40"/>
        <v>55.897716346153921</v>
      </c>
      <c r="P108" s="69">
        <f t="shared" si="48"/>
        <v>10.994423076923091</v>
      </c>
      <c r="Q108" s="69">
        <f t="shared" si="49"/>
        <v>10.347115384615398</v>
      </c>
    </row>
    <row r="109" spans="1:17" x14ac:dyDescent="0.2">
      <c r="A109" s="69">
        <f t="shared" si="42"/>
        <v>42.5</v>
      </c>
      <c r="B109" s="72">
        <f t="shared" si="43"/>
        <v>40.456730769230766</v>
      </c>
      <c r="C109" s="70">
        <f t="shared" si="44"/>
        <v>4</v>
      </c>
      <c r="D109" s="221">
        <f>B2</f>
        <v>127.00280000000001</v>
      </c>
      <c r="E109" s="68">
        <f t="shared" si="34"/>
        <v>22.797499999999999</v>
      </c>
      <c r="F109" s="70">
        <f t="shared" si="45"/>
        <v>4.3520000000000003</v>
      </c>
      <c r="G109" s="68">
        <f t="shared" si="35"/>
        <v>22.797499999999999</v>
      </c>
      <c r="H109" s="70">
        <f t="shared" si="46"/>
        <v>18.797499999999999</v>
      </c>
      <c r="I109" s="71">
        <f t="shared" si="50"/>
        <v>4.7827554809866355E-6</v>
      </c>
      <c r="J109" s="78">
        <f t="shared" si="41"/>
        <v>2.6067505922797688E-3</v>
      </c>
      <c r="K109" s="214">
        <f t="shared" si="37"/>
        <v>2.6067505922797687</v>
      </c>
      <c r="L109" s="167">
        <f t="shared" si="38"/>
        <v>0.82454216471104291</v>
      </c>
      <c r="M109" s="69">
        <f t="shared" si="47"/>
        <v>33.630681818181813</v>
      </c>
      <c r="N109" s="69">
        <f t="shared" si="39"/>
        <v>2.227875910243366E-4</v>
      </c>
      <c r="O109" s="69">
        <f t="shared" si="40"/>
        <v>46.581430288461597</v>
      </c>
      <c r="P109" s="69">
        <f t="shared" si="48"/>
        <v>9.1620192307692427</v>
      </c>
      <c r="Q109" s="69">
        <f t="shared" si="49"/>
        <v>8.6225961538461657</v>
      </c>
    </row>
    <row r="110" spans="1:17" x14ac:dyDescent="0.2">
      <c r="A110" s="69">
        <f t="shared" si="42"/>
        <v>42.5</v>
      </c>
      <c r="B110" s="72">
        <f t="shared" si="43"/>
        <v>40.865384615384613</v>
      </c>
      <c r="C110" s="70">
        <f t="shared" si="44"/>
        <v>4</v>
      </c>
      <c r="D110" s="221">
        <f>B2</f>
        <v>127.00280000000001</v>
      </c>
      <c r="E110" s="68">
        <f t="shared" si="34"/>
        <v>22.797499999999999</v>
      </c>
      <c r="F110" s="70">
        <f t="shared" si="45"/>
        <v>4.3520000000000003</v>
      </c>
      <c r="G110" s="68">
        <f t="shared" si="35"/>
        <v>22.797499999999999</v>
      </c>
      <c r="H110" s="70">
        <f t="shared" si="46"/>
        <v>18.797499999999999</v>
      </c>
      <c r="I110" s="71">
        <f t="shared" si="50"/>
        <v>4.7827554809866355E-6</v>
      </c>
      <c r="J110" s="78">
        <f t="shared" si="41"/>
        <v>2.6115333477607556E-3</v>
      </c>
      <c r="K110" s="214">
        <f t="shared" si="37"/>
        <v>2.6115333477607554</v>
      </c>
      <c r="L110" s="167">
        <f t="shared" si="38"/>
        <v>0.82454216471104291</v>
      </c>
      <c r="M110" s="69">
        <f t="shared" si="47"/>
        <v>33.630681818181813</v>
      </c>
      <c r="N110" s="69">
        <f t="shared" si="39"/>
        <v>1.7823007281946927E-4</v>
      </c>
      <c r="O110" s="69">
        <f t="shared" si="40"/>
        <v>37.26514423076928</v>
      </c>
      <c r="P110" s="69">
        <f t="shared" si="48"/>
        <v>7.3296153846153942</v>
      </c>
      <c r="Q110" s="69">
        <f t="shared" si="49"/>
        <v>6.8980769230769319</v>
      </c>
    </row>
    <row r="111" spans="1:17" x14ac:dyDescent="0.2">
      <c r="A111" s="69">
        <f t="shared" si="42"/>
        <v>42.5</v>
      </c>
      <c r="B111" s="72">
        <f t="shared" si="43"/>
        <v>41.27403846153846</v>
      </c>
      <c r="C111" s="70">
        <f>IF(B111&gt;=$H$2,IF($D$2="CC", $G$2, B111/$G$2), 0)</f>
        <v>4</v>
      </c>
      <c r="D111" s="221">
        <f>B2</f>
        <v>127.00280000000001</v>
      </c>
      <c r="E111" s="68">
        <f>$C$2</f>
        <v>22.797499999999999</v>
      </c>
      <c r="F111" s="70">
        <f>I_Cout_ss+C111</f>
        <v>4.3520000000000003</v>
      </c>
      <c r="G111" s="68">
        <f>IF($F$2="YES", F111, E111)</f>
        <v>22.797499999999999</v>
      </c>
      <c r="H111" s="70">
        <f>G111-C111</f>
        <v>18.797499999999999</v>
      </c>
      <c r="I111" s="71">
        <f>(COUTMAX/1000000)*(B111-B110)/H111</f>
        <v>4.7827554809866355E-6</v>
      </c>
      <c r="J111" s="78">
        <f>J110+I111</f>
        <v>2.6163161032417425E-3</v>
      </c>
      <c r="K111" s="214">
        <f t="shared" si="37"/>
        <v>2.6163161032417426</v>
      </c>
      <c r="L111" s="167">
        <f>H111/G111</f>
        <v>0.82454216471104291</v>
      </c>
      <c r="M111" s="69">
        <f t="shared" si="47"/>
        <v>33.630681818181813</v>
      </c>
      <c r="N111" s="69">
        <f>I111*G111*(A111-B111)</f>
        <v>1.3367255461460196E-4</v>
      </c>
      <c r="O111" s="69">
        <f t="shared" si="40"/>
        <v>27.94885817307696</v>
      </c>
      <c r="P111" s="69">
        <f t="shared" si="48"/>
        <v>5.4972115384615456</v>
      </c>
      <c r="Q111" s="69">
        <f t="shared" si="49"/>
        <v>5.1735576923076989</v>
      </c>
    </row>
    <row r="112" spans="1:17" x14ac:dyDescent="0.2">
      <c r="A112" s="69">
        <f t="shared" si="42"/>
        <v>42.5</v>
      </c>
      <c r="B112" s="72">
        <f t="shared" si="43"/>
        <v>41.682692307692307</v>
      </c>
      <c r="C112" s="70">
        <f>IF(B112&gt;=$H$2,IF($D$2="CC", $G$2, B112/$G$2), 0)</f>
        <v>4</v>
      </c>
      <c r="D112" s="221">
        <f>B2</f>
        <v>127.00280000000001</v>
      </c>
      <c r="E112" s="68">
        <f>$C$2</f>
        <v>22.797499999999999</v>
      </c>
      <c r="F112" s="70">
        <f t="shared" ref="F112:F113" si="51">I_Cout_ss+C112</f>
        <v>4.3520000000000003</v>
      </c>
      <c r="G112" s="68">
        <f t="shared" ref="G112:G113" si="52">IF($F$2="YES", F112, E112)</f>
        <v>22.797499999999999</v>
      </c>
      <c r="H112" s="70">
        <f t="shared" ref="H112:H113" si="53">G112-C112</f>
        <v>18.797499999999999</v>
      </c>
      <c r="I112" s="71">
        <f t="shared" ref="I112:I113" si="54">(COUTMAX/1000000)*(B112-B111)/H112</f>
        <v>4.7827554809866355E-6</v>
      </c>
      <c r="J112" s="78">
        <f t="shared" ref="J112:J113" si="55">J111+I112</f>
        <v>2.6210988587227293E-3</v>
      </c>
      <c r="K112" s="214">
        <f t="shared" si="37"/>
        <v>2.6210988587227293</v>
      </c>
      <c r="L112" s="167">
        <f t="shared" ref="L112:L113" si="56">H112/G112</f>
        <v>0.82454216471104291</v>
      </c>
      <c r="M112" s="69">
        <f t="shared" si="47"/>
        <v>33.630681818181813</v>
      </c>
      <c r="N112" s="69">
        <f t="shared" ref="N112:N113" si="57">I112*G112*(A112-B112)</f>
        <v>8.9115036409734633E-5</v>
      </c>
      <c r="O112" s="69">
        <f t="shared" si="40"/>
        <v>18.63257211538464</v>
      </c>
      <c r="P112" s="69">
        <f t="shared" si="48"/>
        <v>3.6648076923076971</v>
      </c>
      <c r="Q112" s="69">
        <f t="shared" si="49"/>
        <v>3.4490384615384659</v>
      </c>
    </row>
    <row r="113" spans="1:17" x14ac:dyDescent="0.2">
      <c r="A113" s="69">
        <f t="shared" si="42"/>
        <v>42.5</v>
      </c>
      <c r="B113" s="72">
        <f t="shared" si="43"/>
        <v>42.091346153846153</v>
      </c>
      <c r="C113" s="70">
        <f>IF(B113&gt;=$H$2,IF($D$2="CC", $G$2, B113/$G$2), 0)</f>
        <v>4</v>
      </c>
      <c r="D113" s="221">
        <f>B2</f>
        <v>127.00280000000001</v>
      </c>
      <c r="E113" s="68">
        <f>$C$2</f>
        <v>22.797499999999999</v>
      </c>
      <c r="F113" s="70">
        <f t="shared" si="51"/>
        <v>4.3520000000000003</v>
      </c>
      <c r="G113" s="68">
        <f t="shared" si="52"/>
        <v>22.797499999999999</v>
      </c>
      <c r="H113" s="70">
        <f t="shared" si="53"/>
        <v>18.797499999999999</v>
      </c>
      <c r="I113" s="71">
        <f t="shared" si="54"/>
        <v>4.7827554809866355E-6</v>
      </c>
      <c r="J113" s="78">
        <f t="shared" si="55"/>
        <v>2.6258816142037161E-3</v>
      </c>
      <c r="K113" s="214">
        <f t="shared" si="37"/>
        <v>2.625881614203716</v>
      </c>
      <c r="L113" s="167">
        <f t="shared" si="56"/>
        <v>0.82454216471104291</v>
      </c>
      <c r="M113" s="69">
        <f t="shared" si="47"/>
        <v>33.630681818181813</v>
      </c>
      <c r="N113" s="69">
        <f t="shared" si="57"/>
        <v>4.4557518204867316E-5</v>
      </c>
      <c r="O113" s="69">
        <f t="shared" si="40"/>
        <v>9.3162860576923201</v>
      </c>
      <c r="P113" s="69">
        <f t="shared" si="48"/>
        <v>1.8324038461538485</v>
      </c>
      <c r="Q113" s="69">
        <f t="shared" si="49"/>
        <v>1.724519230769233</v>
      </c>
    </row>
    <row r="114" spans="1:17" x14ac:dyDescent="0.2">
      <c r="A114" s="69">
        <f t="shared" si="42"/>
        <v>42.5</v>
      </c>
      <c r="B114" s="72">
        <f t="shared" si="43"/>
        <v>42.5</v>
      </c>
      <c r="C114" s="70">
        <f>IF(B114&gt;=$H$2,IF($D$2="CC", $G$2, B114/$G$2), 0)</f>
        <v>4</v>
      </c>
      <c r="D114" s="221">
        <f>B2</f>
        <v>127.00280000000001</v>
      </c>
      <c r="E114" s="68">
        <f>$C$2</f>
        <v>22.797499999999999</v>
      </c>
      <c r="F114" s="70">
        <f t="shared" ref="F114" si="58">I_Cout_ss+C114</f>
        <v>4.3520000000000003</v>
      </c>
      <c r="G114" s="68">
        <f t="shared" ref="G114" si="59">IF($F$2="YES", F114, E114)</f>
        <v>22.797499999999999</v>
      </c>
      <c r="H114" s="70">
        <f t="shared" ref="H114" si="60">G114-C114</f>
        <v>18.797499999999999</v>
      </c>
      <c r="I114" s="71">
        <f t="shared" ref="I114" si="61">(COUTMAX/1000000)*(B114-B113)/H114</f>
        <v>4.7827554809866355E-6</v>
      </c>
      <c r="J114" s="78">
        <f t="shared" ref="J114" si="62">J113+I114</f>
        <v>2.630664369684703E-3</v>
      </c>
      <c r="K114" s="214">
        <f t="shared" si="37"/>
        <v>2.6306643696847032</v>
      </c>
      <c r="L114" s="167">
        <f t="shared" ref="L114" si="63">H114/G114</f>
        <v>0.82454216471104291</v>
      </c>
      <c r="M114" s="69">
        <f t="shared" si="47"/>
        <v>33.630681818181813</v>
      </c>
      <c r="N114" s="69">
        <f t="shared" ref="N114" si="64">I114*G114*(A114-B114)</f>
        <v>0</v>
      </c>
      <c r="O114" s="69">
        <f t="shared" si="40"/>
        <v>0</v>
      </c>
      <c r="P114" s="69">
        <f t="shared" si="48"/>
        <v>0</v>
      </c>
      <c r="Q114" s="69">
        <f t="shared" si="49"/>
        <v>0</v>
      </c>
    </row>
    <row r="115" spans="1:17" x14ac:dyDescent="0.2">
      <c r="K115" s="215">
        <f>K114+0.5</f>
        <v>3.1306643696847032</v>
      </c>
      <c r="N115" s="69">
        <v>0</v>
      </c>
      <c r="O115" s="69">
        <v>0</v>
      </c>
    </row>
  </sheetData>
  <mergeCells count="1">
    <mergeCell ref="X12:Y12"/>
  </mergeCells>
  <pageMargins left="0.7" right="0.7" top="0.75" bottom="0.75" header="0.3" footer="0.3"/>
  <pageSetup orientation="portrait" horizontalDpi="1200" verticalDpi="120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8"/>
  <dimension ref="A1:V70"/>
  <sheetViews>
    <sheetView topLeftCell="A10" zoomScale="85" zoomScaleNormal="85" workbookViewId="0">
      <selection activeCell="R19" sqref="R19"/>
    </sheetView>
  </sheetViews>
  <sheetFormatPr defaultRowHeight="12.75" x14ac:dyDescent="0.2"/>
  <cols>
    <col min="1" max="1" width="19.7109375" customWidth="1"/>
    <col min="2" max="2" width="17.28515625" customWidth="1"/>
    <col min="3" max="3" width="13.140625" customWidth="1"/>
    <col min="4" max="4" width="16" customWidth="1"/>
    <col min="5" max="6" width="17.7109375" customWidth="1"/>
    <col min="7" max="7" width="31.5703125" customWidth="1"/>
    <col min="8" max="8" width="20" customWidth="1"/>
    <col min="13" max="13" width="12.85546875" customWidth="1"/>
    <col min="15" max="15" width="17.28515625" customWidth="1"/>
    <col min="17" max="17" width="13.28515625" customWidth="1"/>
    <col min="18" max="18" width="16.85546875" customWidth="1"/>
    <col min="20" max="20" width="13" customWidth="1"/>
    <col min="21" max="21" width="10.140625" customWidth="1"/>
  </cols>
  <sheetData>
    <row r="1" spans="1:22" x14ac:dyDescent="0.2">
      <c r="C1" s="9"/>
      <c r="D1" s="9"/>
      <c r="E1" s="9"/>
      <c r="F1" s="9"/>
      <c r="G1" s="9"/>
    </row>
    <row r="2" spans="1:22" x14ac:dyDescent="0.2">
      <c r="A2" s="81"/>
      <c r="B2" s="206"/>
      <c r="C2" s="353" t="s">
        <v>171</v>
      </c>
      <c r="D2" s="354"/>
      <c r="E2" s="354"/>
      <c r="F2" s="91"/>
      <c r="G2" s="91"/>
      <c r="H2" s="33" t="s">
        <v>192</v>
      </c>
      <c r="I2" s="9"/>
      <c r="J2" s="9"/>
      <c r="K2" s="9"/>
      <c r="L2" s="9"/>
      <c r="M2" s="9"/>
      <c r="N2" s="9"/>
      <c r="O2" s="82"/>
      <c r="P2" s="82"/>
      <c r="Q2" s="82"/>
      <c r="R2" s="82"/>
      <c r="S2" s="82"/>
      <c r="T2" s="82"/>
      <c r="U2" s="9"/>
      <c r="V2" s="9"/>
    </row>
    <row r="3" spans="1:22" x14ac:dyDescent="0.2">
      <c r="A3" s="81"/>
      <c r="B3" s="83" t="s">
        <v>225</v>
      </c>
      <c r="C3" s="83" t="s">
        <v>172</v>
      </c>
      <c r="D3" s="83" t="s">
        <v>173</v>
      </c>
      <c r="E3" s="83" t="s">
        <v>174</v>
      </c>
      <c r="F3" s="207" t="s">
        <v>365</v>
      </c>
      <c r="G3" s="88"/>
      <c r="H3" s="33" t="s">
        <v>190</v>
      </c>
      <c r="I3" s="84"/>
      <c r="J3" s="84"/>
      <c r="K3" s="84"/>
      <c r="L3" s="84"/>
      <c r="M3" s="84"/>
      <c r="N3" s="9"/>
      <c r="O3" s="84"/>
      <c r="P3" s="84"/>
      <c r="Q3" s="85"/>
      <c r="R3" s="85"/>
      <c r="S3" s="85"/>
      <c r="T3" s="85"/>
      <c r="U3" s="9"/>
      <c r="V3" s="9"/>
    </row>
    <row r="4" spans="1:22" ht="21.6" customHeight="1" x14ac:dyDescent="0.2">
      <c r="A4" s="83" t="s">
        <v>175</v>
      </c>
      <c r="B4" s="81">
        <f>'Design Calculator'!AN56</f>
        <v>100</v>
      </c>
      <c r="C4" s="86">
        <f>'Design Calculator'!$AN$57</f>
        <v>27</v>
      </c>
      <c r="D4" s="86">
        <f>'Design Calculator'!$AN$58</f>
        <v>6</v>
      </c>
      <c r="E4" s="86">
        <f>IF('Design Calculator'!$AN$59 = "NA", F4, 'Design Calculator'!$AN$59)</f>
        <v>2.1</v>
      </c>
      <c r="F4" s="86">
        <f>'Design Calculator'!AN60</f>
        <v>1.5</v>
      </c>
      <c r="G4" s="92"/>
      <c r="H4" s="33" t="s">
        <v>191</v>
      </c>
      <c r="I4" s="84"/>
      <c r="J4" s="84"/>
      <c r="K4" s="84"/>
      <c r="L4" s="85"/>
      <c r="M4" s="85"/>
      <c r="N4" s="9"/>
      <c r="O4" s="84"/>
      <c r="P4" s="84"/>
      <c r="Q4" s="85"/>
      <c r="R4" s="85"/>
      <c r="S4" s="85"/>
      <c r="T4" s="85"/>
      <c r="U4" s="9"/>
      <c r="V4" s="9"/>
    </row>
    <row r="5" spans="1:22" x14ac:dyDescent="0.2">
      <c r="A5" s="9"/>
      <c r="C5" s="84"/>
      <c r="D5" s="85"/>
      <c r="E5" s="85"/>
      <c r="F5" s="87"/>
      <c r="G5" s="87"/>
      <c r="H5" s="9"/>
      <c r="I5" s="84"/>
      <c r="J5" s="84"/>
      <c r="K5" s="84"/>
      <c r="L5" s="85"/>
      <c r="M5" s="85"/>
      <c r="N5" s="355"/>
      <c r="O5" s="355"/>
      <c r="P5" s="355"/>
      <c r="Q5" s="85"/>
      <c r="R5" s="356"/>
      <c r="S5" s="357"/>
      <c r="T5" s="357"/>
      <c r="U5" s="9"/>
      <c r="V5" s="9"/>
    </row>
    <row r="6" spans="1:22" x14ac:dyDescent="0.2">
      <c r="A6" s="9"/>
      <c r="C6" s="84"/>
      <c r="D6" s="85"/>
      <c r="E6" s="85"/>
      <c r="F6" s="87"/>
      <c r="G6" s="87"/>
      <c r="H6" s="9"/>
      <c r="I6" s="84"/>
      <c r="J6" s="84"/>
      <c r="K6" s="84"/>
      <c r="L6" s="85"/>
      <c r="M6" s="85"/>
      <c r="N6" s="9"/>
      <c r="O6" s="88"/>
      <c r="P6" s="9"/>
      <c r="Q6" s="9"/>
      <c r="R6" s="9"/>
      <c r="S6" s="9"/>
      <c r="T6" s="9"/>
      <c r="U6" s="9"/>
      <c r="V6" s="9"/>
    </row>
    <row r="7" spans="1:22" ht="15" x14ac:dyDescent="0.25">
      <c r="A7" s="9"/>
      <c r="B7" s="89" t="s">
        <v>360</v>
      </c>
      <c r="G7" s="195" t="s">
        <v>347</v>
      </c>
      <c r="H7" s="9"/>
      <c r="J7" s="174"/>
      <c r="K7" s="85"/>
      <c r="L7" s="9"/>
      <c r="M7" s="9"/>
      <c r="N7" s="88"/>
      <c r="O7" s="88"/>
      <c r="P7" s="88"/>
      <c r="Q7" s="9"/>
      <c r="R7" s="9"/>
      <c r="S7" s="9"/>
      <c r="T7" s="90"/>
      <c r="U7" s="84"/>
      <c r="V7" s="9"/>
    </row>
    <row r="8" spans="1:22" ht="15" x14ac:dyDescent="0.25">
      <c r="A8" s="9"/>
      <c r="B8" s="33" t="s">
        <v>176</v>
      </c>
      <c r="C8">
        <f>IF('Design Calculator'!F71="No", 'Design Calculator'!$F$77,'Design Calculator'!F90)</f>
        <v>20.705882352941178</v>
      </c>
      <c r="D8" s="33" t="s">
        <v>8</v>
      </c>
      <c r="G8" s="33" t="s">
        <v>176</v>
      </c>
      <c r="H8">
        <f>Equations!F69</f>
        <v>2.5956321296666385</v>
      </c>
      <c r="J8" s="95"/>
      <c r="K8" s="85"/>
      <c r="L8" s="9"/>
      <c r="M8" s="9"/>
      <c r="N8" s="88"/>
      <c r="O8" s="9"/>
      <c r="P8" s="90"/>
      <c r="Q8" s="9"/>
      <c r="R8" s="9"/>
      <c r="S8" s="9"/>
      <c r="T8" s="90"/>
      <c r="U8" s="84"/>
      <c r="V8" s="9"/>
    </row>
    <row r="9" spans="1:22" ht="15" x14ac:dyDescent="0.25">
      <c r="A9" s="9"/>
      <c r="B9" s="33" t="s">
        <v>177</v>
      </c>
      <c r="C9">
        <f>VINMAX</f>
        <v>42.5</v>
      </c>
      <c r="D9" t="s">
        <v>86</v>
      </c>
      <c r="G9" s="33" t="s">
        <v>177</v>
      </c>
      <c r="H9">
        <f>VINMAX</f>
        <v>42.5</v>
      </c>
      <c r="K9" s="85"/>
      <c r="L9" s="9"/>
      <c r="M9" s="9"/>
      <c r="N9" s="88"/>
      <c r="O9" s="9"/>
      <c r="P9" s="90"/>
      <c r="Q9" s="9"/>
      <c r="R9" s="9"/>
      <c r="S9" s="9"/>
      <c r="T9" s="90"/>
      <c r="U9" s="9"/>
      <c r="V9" s="9"/>
    </row>
    <row r="10" spans="1:22" ht="15" x14ac:dyDescent="0.25">
      <c r="A10" s="9"/>
      <c r="B10" s="33" t="s">
        <v>178</v>
      </c>
      <c r="C10">
        <f>IF(C8&lt;10, IF(C8&lt;1, 0.1, 1), IF(C8&lt;100, 10, 100))</f>
        <v>10</v>
      </c>
      <c r="D10" s="33" t="s">
        <v>8</v>
      </c>
      <c r="G10" s="33" t="s">
        <v>178</v>
      </c>
      <c r="H10">
        <f>IF(H8&lt;10, IF(H8&lt;1, 0.1, 1), IF(H8&lt;100, 10, 100))</f>
        <v>1</v>
      </c>
      <c r="K10" s="85"/>
      <c r="L10" s="9"/>
      <c r="M10" s="9"/>
      <c r="N10" s="88"/>
      <c r="O10" s="9"/>
      <c r="P10" s="90"/>
      <c r="Q10" s="9"/>
      <c r="R10" s="9"/>
      <c r="S10" s="9"/>
      <c r="T10" s="90"/>
      <c r="U10" s="9"/>
      <c r="V10" s="9"/>
    </row>
    <row r="11" spans="1:22" ht="15" x14ac:dyDescent="0.25">
      <c r="A11" s="9"/>
      <c r="B11" s="33" t="s">
        <v>439</v>
      </c>
      <c r="C11">
        <f>IF('Design Calculator'!F59="NA", MIN(SOA!C10,1),SOA!C10)</f>
        <v>10</v>
      </c>
      <c r="D11" s="33"/>
      <c r="G11" s="33" t="s">
        <v>439</v>
      </c>
      <c r="H11">
        <f>IF('Design Calculator'!F59="NA", MIN(SOA!H10,1),SOA!H10)</f>
        <v>1</v>
      </c>
      <c r="K11" s="85"/>
      <c r="L11" s="9"/>
      <c r="M11" s="9"/>
      <c r="N11" s="9"/>
      <c r="O11" s="9"/>
      <c r="P11" s="90"/>
      <c r="Q11" s="9"/>
      <c r="R11" s="9"/>
      <c r="S11" s="9"/>
      <c r="T11" s="9"/>
      <c r="U11" s="9"/>
      <c r="V11" s="9"/>
    </row>
    <row r="12" spans="1:22" x14ac:dyDescent="0.2">
      <c r="A12" s="9"/>
      <c r="B12" s="33" t="s">
        <v>179</v>
      </c>
      <c r="C12">
        <f>C10*10</f>
        <v>100</v>
      </c>
      <c r="D12" s="33" t="s">
        <v>8</v>
      </c>
      <c r="G12" s="33" t="s">
        <v>429</v>
      </c>
      <c r="H12">
        <f>H10*10</f>
        <v>10</v>
      </c>
      <c r="K12" s="85"/>
      <c r="L12" s="9"/>
      <c r="M12" s="9"/>
      <c r="N12" s="9"/>
      <c r="O12" s="9"/>
      <c r="P12" s="9"/>
      <c r="Q12" s="9"/>
      <c r="R12" s="9"/>
      <c r="S12" s="9"/>
      <c r="T12" s="9"/>
      <c r="U12" s="9"/>
      <c r="V12" s="9"/>
    </row>
    <row r="13" spans="1:22" x14ac:dyDescent="0.2">
      <c r="A13" s="9"/>
      <c r="B13" s="33" t="s">
        <v>440</v>
      </c>
      <c r="C13">
        <f>IF('Design Calculator'!F60="NA", MIN(SOA!C12,10),SOA!C12)</f>
        <v>100</v>
      </c>
      <c r="D13" s="33"/>
      <c r="G13" s="33" t="s">
        <v>440</v>
      </c>
      <c r="H13">
        <f>IF('Design Calculator'!F60="NA", MIN(SOA!H12,10),SOA!H12)</f>
        <v>10</v>
      </c>
      <c r="K13" s="85"/>
      <c r="L13" s="9"/>
      <c r="M13" s="9"/>
      <c r="N13" s="9"/>
      <c r="O13" s="9"/>
      <c r="P13" s="9"/>
      <c r="Q13" s="9"/>
      <c r="R13" s="9"/>
      <c r="S13" s="9"/>
      <c r="T13" s="9"/>
      <c r="U13" s="9"/>
      <c r="V13" s="9"/>
    </row>
    <row r="14" spans="1:22" x14ac:dyDescent="0.2">
      <c r="A14" s="9"/>
      <c r="B14" s="33" t="s">
        <v>180</v>
      </c>
      <c r="C14">
        <f>IF(C11=0.1, B4, IF(C11=1, C4, IF(C11=10, D4, E4)))</f>
        <v>6</v>
      </c>
      <c r="D14" s="33" t="s">
        <v>25</v>
      </c>
      <c r="G14" s="33" t="s">
        <v>180</v>
      </c>
      <c r="H14">
        <f>IF(H11=0.1, B4, IF(H11=1, C4, IF(H11=10, D4, E4)))</f>
        <v>27</v>
      </c>
      <c r="K14" s="85"/>
      <c r="L14" s="9"/>
      <c r="M14" s="9"/>
      <c r="N14" s="9"/>
      <c r="O14" s="9"/>
      <c r="P14" s="9"/>
      <c r="Q14" s="9"/>
      <c r="R14" s="9"/>
      <c r="S14" s="9"/>
      <c r="T14" s="9"/>
      <c r="U14" s="9"/>
      <c r="V14" s="9"/>
    </row>
    <row r="15" spans="1:22" x14ac:dyDescent="0.2">
      <c r="A15" s="9"/>
      <c r="B15" s="33" t="s">
        <v>181</v>
      </c>
      <c r="C15">
        <f>IF(C13=1000, F4, IF(C13=1, C4, IF(C13=10, D4, E4)))</f>
        <v>2.1</v>
      </c>
      <c r="D15" s="33" t="s">
        <v>25</v>
      </c>
      <c r="G15" s="33" t="s">
        <v>181</v>
      </c>
      <c r="H15">
        <f>IF(H13=1000, F4, IF(H13=1, C4, IF(H13=10, D4, E4)))</f>
        <v>6</v>
      </c>
      <c r="K15" s="85"/>
      <c r="L15" s="9"/>
      <c r="M15" s="9"/>
      <c r="N15" s="9"/>
      <c r="O15" s="9"/>
      <c r="P15" s="9"/>
      <c r="Q15" s="9"/>
      <c r="R15" s="9"/>
      <c r="S15" s="9"/>
      <c r="T15" s="9"/>
      <c r="U15" s="9"/>
      <c r="V15" s="9"/>
    </row>
    <row r="16" spans="1:22" x14ac:dyDescent="0.2">
      <c r="A16" s="9"/>
      <c r="K16" s="85"/>
      <c r="L16" s="9"/>
      <c r="M16" s="9"/>
      <c r="N16" s="9"/>
      <c r="O16" s="9"/>
      <c r="P16" s="9"/>
      <c r="Q16" s="9"/>
      <c r="R16" s="9"/>
      <c r="S16" s="9"/>
      <c r="T16" s="9"/>
      <c r="U16" s="9"/>
      <c r="V16" s="9"/>
    </row>
    <row r="17" spans="1:22" x14ac:dyDescent="0.2">
      <c r="A17" s="9"/>
      <c r="B17" s="33" t="s">
        <v>185</v>
      </c>
      <c r="G17" s="33" t="s">
        <v>185</v>
      </c>
      <c r="K17" s="85"/>
      <c r="L17" s="9"/>
      <c r="M17" s="9"/>
      <c r="N17" s="9"/>
      <c r="O17" s="9"/>
      <c r="P17" s="9"/>
      <c r="Q17" s="9"/>
      <c r="R17" s="9"/>
      <c r="S17" s="9"/>
      <c r="T17" s="9"/>
      <c r="U17" s="9"/>
      <c r="V17" s="9"/>
    </row>
    <row r="18" spans="1:22" x14ac:dyDescent="0.2">
      <c r="A18" s="9"/>
      <c r="B18" s="33" t="s">
        <v>182</v>
      </c>
      <c r="C18">
        <f>C14/C11^C19</f>
        <v>17.142857142857146</v>
      </c>
      <c r="F18" s="33"/>
      <c r="G18" s="33" t="s">
        <v>182</v>
      </c>
      <c r="H18">
        <f>H14/H11^H19</f>
        <v>27</v>
      </c>
      <c r="O18" s="236"/>
      <c r="P18" s="236"/>
      <c r="Q18" s="9"/>
      <c r="R18" s="9"/>
      <c r="S18" s="9"/>
      <c r="T18" s="9"/>
      <c r="U18" s="9"/>
      <c r="V18" s="9"/>
    </row>
    <row r="19" spans="1:22" x14ac:dyDescent="0.2">
      <c r="A19" s="9"/>
      <c r="B19" s="33" t="s">
        <v>183</v>
      </c>
      <c r="C19">
        <f>LOG(C14/C15)/LOG(C11/C13)</f>
        <v>-0.45593195564972439</v>
      </c>
      <c r="F19" s="33"/>
      <c r="G19" s="33" t="s">
        <v>183</v>
      </c>
      <c r="H19">
        <f>IF(H14=H15,0.000000000001,LOG(H14/H15)/LOG(H11/H13))</f>
        <v>-0.65321251377534373</v>
      </c>
      <c r="I19" s="33" t="s">
        <v>434</v>
      </c>
      <c r="K19" s="85"/>
      <c r="L19" s="9"/>
      <c r="M19" s="236"/>
      <c r="N19" s="236"/>
      <c r="O19" s="9"/>
      <c r="P19" s="9"/>
      <c r="Q19" s="9"/>
      <c r="R19" s="9"/>
      <c r="S19" s="9"/>
      <c r="T19" s="9"/>
      <c r="U19" s="9"/>
      <c r="V19" s="9"/>
    </row>
    <row r="20" spans="1:22" x14ac:dyDescent="0.2">
      <c r="A20" s="9"/>
      <c r="B20" s="33" t="s">
        <v>184</v>
      </c>
      <c r="C20">
        <f>C18*C8^C19</f>
        <v>4.3056032910535338</v>
      </c>
      <c r="D20" s="33" t="s">
        <v>25</v>
      </c>
      <c r="G20" s="33" t="s">
        <v>184</v>
      </c>
      <c r="H20">
        <f>H18*H8^H19</f>
        <v>14.480213340305232</v>
      </c>
      <c r="K20" s="85"/>
      <c r="L20" s="9"/>
      <c r="M20" s="88"/>
      <c r="N20" s="9"/>
      <c r="O20" s="9"/>
      <c r="P20" s="9"/>
      <c r="Q20" s="9"/>
      <c r="R20" s="9"/>
      <c r="S20" s="9"/>
      <c r="T20" s="9"/>
      <c r="U20" s="9"/>
      <c r="V20" s="9"/>
    </row>
    <row r="21" spans="1:22" x14ac:dyDescent="0.2">
      <c r="A21" s="9"/>
      <c r="K21" s="85"/>
      <c r="L21" s="9"/>
      <c r="M21" s="9"/>
      <c r="N21" s="84"/>
      <c r="O21" s="9"/>
      <c r="P21" s="9"/>
      <c r="Q21" s="9"/>
      <c r="R21" s="9"/>
      <c r="S21" s="9"/>
      <c r="T21" s="9"/>
      <c r="U21" s="9"/>
      <c r="V21" s="9"/>
    </row>
    <row r="22" spans="1:22" x14ac:dyDescent="0.2">
      <c r="A22" s="9"/>
      <c r="B22" s="34" t="s">
        <v>187</v>
      </c>
      <c r="C22">
        <f xml:space="preserve"> C20*C9</f>
        <v>182.98813986977518</v>
      </c>
      <c r="D22" s="33"/>
      <c r="G22" s="34" t="s">
        <v>187</v>
      </c>
      <c r="H22">
        <f>IF(H8&lt;1, H14, H20)*H9</f>
        <v>615.40906696297236</v>
      </c>
      <c r="K22" s="85"/>
      <c r="L22" s="9"/>
      <c r="M22" s="9"/>
      <c r="N22" s="9"/>
      <c r="O22" s="9"/>
      <c r="P22" s="9"/>
      <c r="Q22" s="9"/>
      <c r="R22" s="9"/>
      <c r="S22" s="9"/>
      <c r="T22" s="9"/>
      <c r="U22" s="9"/>
      <c r="V22" s="9"/>
    </row>
    <row r="23" spans="1:22" x14ac:dyDescent="0.2">
      <c r="A23" s="9"/>
      <c r="K23" s="85"/>
      <c r="L23" s="9"/>
      <c r="M23" s="9"/>
      <c r="N23" s="9"/>
      <c r="O23" s="9"/>
      <c r="P23" s="9"/>
      <c r="Q23" s="9"/>
      <c r="R23" s="9"/>
      <c r="S23" s="9"/>
      <c r="T23" s="9"/>
      <c r="U23" s="9"/>
      <c r="V23" s="9"/>
    </row>
    <row r="24" spans="1:22" x14ac:dyDescent="0.2">
      <c r="A24" s="9"/>
      <c r="G24" s="33" t="s">
        <v>368</v>
      </c>
      <c r="H24" t="str">
        <f>'Design Calculator'!F79</f>
        <v>No</v>
      </c>
      <c r="K24" s="85"/>
      <c r="L24" s="9"/>
      <c r="M24" s="9"/>
      <c r="N24" s="9"/>
      <c r="O24" s="84"/>
      <c r="P24" s="9"/>
      <c r="Q24" s="9"/>
      <c r="R24" s="9"/>
      <c r="S24" s="9"/>
      <c r="T24" s="9"/>
      <c r="U24" s="9"/>
      <c r="V24" s="9"/>
    </row>
    <row r="25" spans="1:22" x14ac:dyDescent="0.2">
      <c r="A25" s="9"/>
      <c r="B25" s="95" t="s">
        <v>193</v>
      </c>
      <c r="C25">
        <f>(TJMAX-TJ)/(TJMAX-25)</f>
        <v>0.68047786666666665</v>
      </c>
      <c r="D25" s="85"/>
      <c r="E25" s="85"/>
      <c r="F25" s="87"/>
      <c r="G25" s="33" t="s">
        <v>367</v>
      </c>
      <c r="H25">
        <f>IF(H24="Yes", TJ,TAMB)</f>
        <v>60</v>
      </c>
      <c r="K25" s="85"/>
      <c r="L25" s="9"/>
      <c r="M25" s="9"/>
      <c r="N25" s="9"/>
      <c r="O25" s="84"/>
      <c r="P25" s="9"/>
      <c r="Q25" s="9"/>
      <c r="R25" s="9"/>
      <c r="S25" s="9"/>
      <c r="T25" s="9"/>
      <c r="U25" s="9"/>
      <c r="V25" s="9"/>
    </row>
    <row r="26" spans="1:22" x14ac:dyDescent="0.2">
      <c r="A26" s="9"/>
      <c r="B26" s="93" t="s">
        <v>188</v>
      </c>
      <c r="C26">
        <f>IF((C22*C25)&lt;0,0.000000001,C22*C25)</f>
        <v>124.51937904388622</v>
      </c>
      <c r="D26" s="94" t="s">
        <v>87</v>
      </c>
      <c r="E26" s="85"/>
      <c r="F26" s="87"/>
      <c r="K26" s="85"/>
      <c r="L26" s="9"/>
      <c r="M26" s="9"/>
      <c r="N26" s="9"/>
      <c r="O26" s="9"/>
      <c r="P26" s="9"/>
      <c r="Q26" s="9"/>
      <c r="R26" s="9"/>
      <c r="S26" s="9"/>
      <c r="T26" s="9"/>
      <c r="U26" s="9"/>
      <c r="V26" s="9"/>
    </row>
    <row r="27" spans="1:22" x14ac:dyDescent="0.2">
      <c r="A27" s="9"/>
      <c r="B27" s="84"/>
      <c r="C27" s="84"/>
      <c r="D27" s="85"/>
      <c r="E27" s="85"/>
      <c r="F27" s="87"/>
      <c r="G27" s="95" t="s">
        <v>193</v>
      </c>
      <c r="H27">
        <f>(TJMAX-H25)/(TJMAX-25)</f>
        <v>0.76666666666666672</v>
      </c>
      <c r="K27" s="85"/>
      <c r="L27" s="9"/>
      <c r="M27" s="9"/>
      <c r="N27" s="9"/>
      <c r="O27" s="9"/>
      <c r="P27" s="9"/>
      <c r="Q27" s="9"/>
      <c r="R27" s="9"/>
      <c r="S27" s="9"/>
      <c r="T27" s="9"/>
      <c r="U27" s="9"/>
      <c r="V27" s="9"/>
    </row>
    <row r="28" spans="1:22" x14ac:dyDescent="0.2">
      <c r="A28" s="9"/>
      <c r="B28" s="84"/>
      <c r="D28" s="85"/>
      <c r="E28" s="85"/>
      <c r="F28" s="87"/>
      <c r="G28" s="93" t="s">
        <v>188</v>
      </c>
      <c r="H28">
        <f>IF((H22*H27)&lt;0,0.000000001,H22*H27)</f>
        <v>471.81361800494551</v>
      </c>
      <c r="K28" s="85"/>
      <c r="L28" s="9"/>
      <c r="M28" s="9"/>
      <c r="N28" s="9"/>
      <c r="O28" s="9"/>
      <c r="P28" s="9"/>
      <c r="Q28" s="9"/>
      <c r="R28" s="9"/>
      <c r="S28" s="9"/>
      <c r="T28" s="9"/>
      <c r="U28" s="9"/>
      <c r="V28" s="9"/>
    </row>
    <row r="29" spans="1:22" x14ac:dyDescent="0.2">
      <c r="A29" s="9"/>
      <c r="B29" s="95" t="s">
        <v>397</v>
      </c>
      <c r="D29" s="85"/>
      <c r="E29" s="85"/>
      <c r="F29" s="87"/>
      <c r="H29" s="9"/>
      <c r="I29" s="92"/>
      <c r="J29" s="92"/>
      <c r="K29" s="92"/>
      <c r="L29" s="9"/>
      <c r="M29" s="9"/>
      <c r="N29" s="9"/>
      <c r="O29" s="9"/>
      <c r="P29" s="9"/>
      <c r="Q29" s="9"/>
      <c r="R29" s="9"/>
      <c r="S29" s="9"/>
      <c r="T29" s="9"/>
      <c r="U29" s="9"/>
      <c r="V29" s="9"/>
    </row>
    <row r="30" spans="1:22" x14ac:dyDescent="0.2">
      <c r="A30" s="9"/>
      <c r="C30" s="89" t="s">
        <v>398</v>
      </c>
      <c r="D30" s="217" t="s">
        <v>399</v>
      </c>
      <c r="E30" s="217" t="s">
        <v>400</v>
      </c>
      <c r="F30" s="217" t="s">
        <v>401</v>
      </c>
      <c r="G30" s="87"/>
      <c r="H30" s="9"/>
      <c r="I30" s="92"/>
      <c r="J30" s="92"/>
      <c r="K30" s="92"/>
      <c r="L30" s="9"/>
      <c r="M30" s="9"/>
      <c r="N30" s="9"/>
      <c r="O30" s="9"/>
      <c r="P30" s="9"/>
      <c r="Q30" s="9"/>
      <c r="R30" s="9"/>
      <c r="S30" s="9"/>
      <c r="T30" s="9"/>
      <c r="U30" s="9"/>
      <c r="V30" s="9"/>
    </row>
    <row r="31" spans="1:22" x14ac:dyDescent="0.2">
      <c r="B31" s="95" t="s">
        <v>402</v>
      </c>
      <c r="C31" s="209">
        <v>0.1</v>
      </c>
      <c r="D31" s="210">
        <v>1</v>
      </c>
      <c r="E31" s="211">
        <v>10</v>
      </c>
      <c r="F31" s="212">
        <v>100</v>
      </c>
      <c r="G31" s="195"/>
      <c r="H31" s="9"/>
      <c r="I31" s="9"/>
      <c r="J31" s="9"/>
      <c r="K31" s="9"/>
      <c r="L31" s="9"/>
      <c r="M31" s="9"/>
      <c r="N31" s="9"/>
      <c r="O31" s="9"/>
      <c r="P31" s="9"/>
      <c r="Q31" s="9"/>
      <c r="R31" s="9"/>
      <c r="S31" s="9"/>
      <c r="T31" s="9"/>
      <c r="U31" s="9"/>
      <c r="V31" s="9"/>
    </row>
    <row r="32" spans="1:22" x14ac:dyDescent="0.2">
      <c r="B32" s="209" t="s">
        <v>403</v>
      </c>
      <c r="C32" s="210">
        <v>1</v>
      </c>
      <c r="D32" s="210">
        <v>10</v>
      </c>
      <c r="E32" s="211">
        <v>100</v>
      </c>
      <c r="F32" s="212">
        <v>1000</v>
      </c>
      <c r="G32" s="93"/>
      <c r="H32" s="9"/>
      <c r="I32" s="9"/>
      <c r="J32" s="9"/>
      <c r="K32" s="9"/>
      <c r="L32" s="9"/>
      <c r="M32" s="9"/>
      <c r="N32" s="9"/>
      <c r="O32" s="9"/>
      <c r="P32" s="9"/>
      <c r="Q32" s="9"/>
      <c r="R32" s="9"/>
      <c r="S32" s="9"/>
      <c r="T32" s="9"/>
      <c r="U32" s="9"/>
      <c r="V32" s="9"/>
    </row>
    <row r="33" spans="2:22" x14ac:dyDescent="0.2">
      <c r="B33" s="209" t="s">
        <v>182</v>
      </c>
      <c r="C33" s="210">
        <f>B4/(C31^C34)</f>
        <v>27.000000000000007</v>
      </c>
      <c r="D33" s="210">
        <f>C4/(D31^D34)</f>
        <v>27</v>
      </c>
      <c r="E33" s="210">
        <f>IF('Design Calculator'!F60="NA",D33,D4/(E31^E34))</f>
        <v>17.142857142857146</v>
      </c>
      <c r="F33" s="210">
        <f>IF('Design Calculator'!F60="NA", E33, E4/(F31^F34))</f>
        <v>4.1160000000000005</v>
      </c>
      <c r="G33" s="33"/>
      <c r="H33" s="9"/>
      <c r="I33" s="9"/>
      <c r="J33" s="9"/>
      <c r="K33" s="9"/>
      <c r="L33" s="9"/>
      <c r="M33" s="9"/>
      <c r="N33" s="9"/>
      <c r="O33" s="9"/>
      <c r="P33" s="9"/>
      <c r="Q33" s="9"/>
      <c r="R33" s="9"/>
      <c r="S33" s="9"/>
      <c r="T33" s="9"/>
      <c r="U33" s="9"/>
      <c r="V33" s="9"/>
    </row>
    <row r="34" spans="2:22" x14ac:dyDescent="0.2">
      <c r="B34" s="209" t="s">
        <v>183</v>
      </c>
      <c r="C34" s="18">
        <f>LOG(B4/C4)/LOG(C31/C32)</f>
        <v>-0.56863623584101264</v>
      </c>
      <c r="D34" s="18">
        <f>LOG(C4/D4)/LOG(D31/D32)</f>
        <v>-0.65321251377534373</v>
      </c>
      <c r="E34" s="18">
        <f>IF('Design Calculator'!F60="NA", D34, LOG(D4/E4)/LOG(E31/E32))</f>
        <v>-0.45593195564972439</v>
      </c>
      <c r="F34" s="18">
        <f>IF('Design Calculator'!F60="NA",E34,LOG(E4/F4)/LOG(F31/F32))</f>
        <v>-0.14612803567823807</v>
      </c>
      <c r="G34" s="33"/>
      <c r="H34" s="9"/>
      <c r="I34" s="9"/>
      <c r="J34" s="9"/>
      <c r="K34" s="9"/>
      <c r="L34" s="9"/>
      <c r="M34" s="9"/>
      <c r="N34" s="9"/>
      <c r="O34" s="9"/>
      <c r="P34" s="9"/>
      <c r="Q34" s="9"/>
      <c r="R34" s="9"/>
      <c r="S34" s="9"/>
      <c r="T34" s="9"/>
      <c r="U34" s="9"/>
      <c r="V34" s="9"/>
    </row>
    <row r="35" spans="2:22" x14ac:dyDescent="0.2">
      <c r="E35" s="85"/>
      <c r="F35" s="9"/>
      <c r="G35" s="33"/>
      <c r="H35" s="9"/>
      <c r="I35" s="9"/>
      <c r="J35" s="9"/>
      <c r="K35" s="9"/>
      <c r="L35" s="9"/>
      <c r="M35" s="9"/>
      <c r="N35" s="9"/>
      <c r="O35" s="9"/>
      <c r="P35" s="9"/>
      <c r="Q35" s="9"/>
      <c r="R35" s="9"/>
      <c r="S35" s="9"/>
      <c r="T35" s="9"/>
      <c r="U35" s="9"/>
      <c r="V35" s="9"/>
    </row>
    <row r="36" spans="2:22" x14ac:dyDescent="0.2">
      <c r="E36" s="85"/>
      <c r="F36" s="9"/>
      <c r="G36" s="33"/>
      <c r="H36" s="9"/>
      <c r="I36" s="9"/>
      <c r="J36" s="9"/>
      <c r="K36" s="9"/>
      <c r="L36" s="9"/>
      <c r="M36" s="9"/>
      <c r="N36" s="9"/>
      <c r="O36" s="9"/>
      <c r="P36" s="9"/>
      <c r="Q36" s="9"/>
      <c r="R36" s="9"/>
      <c r="S36" s="9"/>
      <c r="T36" s="9"/>
      <c r="U36" s="9"/>
      <c r="V36" s="9"/>
    </row>
    <row r="37" spans="2:22" x14ac:dyDescent="0.2">
      <c r="E37" s="85"/>
      <c r="F37" s="9"/>
      <c r="G37" s="33"/>
      <c r="H37" s="9"/>
      <c r="I37" s="9"/>
      <c r="J37" s="9"/>
      <c r="K37" s="9"/>
      <c r="L37" s="9"/>
      <c r="M37" s="9"/>
      <c r="N37" s="9"/>
      <c r="O37" s="9"/>
      <c r="P37" s="9"/>
      <c r="Q37" s="9"/>
      <c r="R37" s="9"/>
      <c r="S37" s="9"/>
      <c r="T37" s="9"/>
      <c r="U37" s="9"/>
      <c r="V37" s="9"/>
    </row>
    <row r="38" spans="2:22" x14ac:dyDescent="0.2">
      <c r="E38" s="85"/>
      <c r="F38" s="9"/>
      <c r="G38" s="33"/>
      <c r="H38" s="9"/>
      <c r="I38" s="9"/>
      <c r="J38" s="9"/>
      <c r="K38" s="9"/>
      <c r="L38" s="9"/>
      <c r="M38" s="9"/>
      <c r="N38" s="9"/>
      <c r="O38" s="9"/>
      <c r="P38" s="9"/>
      <c r="Q38" s="9"/>
      <c r="R38" s="9"/>
      <c r="S38" s="9"/>
      <c r="T38" s="9"/>
      <c r="U38" s="9"/>
      <c r="V38" s="9"/>
    </row>
    <row r="39" spans="2:22" x14ac:dyDescent="0.2">
      <c r="E39" s="85"/>
      <c r="F39" s="9"/>
      <c r="H39" s="9"/>
      <c r="I39" s="9"/>
      <c r="J39" s="9"/>
      <c r="K39" s="9"/>
      <c r="L39" s="9"/>
      <c r="M39" s="9"/>
      <c r="N39" s="9"/>
      <c r="O39" s="9"/>
      <c r="P39" s="9"/>
      <c r="Q39" s="9"/>
      <c r="R39" s="9"/>
      <c r="S39" s="9"/>
      <c r="T39" s="9"/>
      <c r="U39" s="9"/>
      <c r="V39" s="9"/>
    </row>
    <row r="40" spans="2:22" x14ac:dyDescent="0.2">
      <c r="E40" s="85"/>
      <c r="F40" s="9"/>
      <c r="G40" s="33"/>
      <c r="H40" s="9"/>
      <c r="I40" s="9"/>
      <c r="J40" s="9"/>
      <c r="K40" s="9"/>
      <c r="L40" s="9"/>
      <c r="M40" s="9"/>
      <c r="N40" s="9"/>
      <c r="O40" s="9"/>
      <c r="P40" s="9"/>
      <c r="Q40" s="9"/>
      <c r="R40" s="9"/>
      <c r="S40" s="9"/>
      <c r="T40" s="9"/>
      <c r="U40" s="9"/>
      <c r="V40" s="9"/>
    </row>
    <row r="41" spans="2:22" x14ac:dyDescent="0.2">
      <c r="E41" s="85"/>
      <c r="F41" s="9"/>
      <c r="H41" s="9"/>
      <c r="I41" s="9"/>
      <c r="J41" s="9"/>
      <c r="K41" s="9"/>
      <c r="L41" s="9"/>
      <c r="M41" s="9"/>
      <c r="N41" s="9"/>
      <c r="O41" s="9"/>
      <c r="P41" s="9"/>
      <c r="Q41" s="9"/>
      <c r="R41" s="9"/>
      <c r="S41" s="9"/>
      <c r="T41" s="9"/>
      <c r="U41" s="9"/>
      <c r="V41" s="9"/>
    </row>
    <row r="42" spans="2:22" x14ac:dyDescent="0.2">
      <c r="E42" s="85"/>
      <c r="F42" s="9"/>
      <c r="G42" s="33"/>
      <c r="H42" s="9"/>
      <c r="I42" s="9"/>
      <c r="J42" s="9"/>
      <c r="K42" s="9"/>
      <c r="L42" s="9"/>
      <c r="M42" s="9"/>
      <c r="N42" s="9"/>
      <c r="O42" s="9"/>
      <c r="P42" s="9"/>
      <c r="Q42" s="9"/>
      <c r="R42" s="9"/>
      <c r="S42" s="9"/>
      <c r="T42" s="9"/>
      <c r="U42" s="9"/>
      <c r="V42" s="9"/>
    </row>
    <row r="43" spans="2:22" x14ac:dyDescent="0.2">
      <c r="E43" s="85"/>
      <c r="F43" s="9"/>
      <c r="G43" s="33"/>
      <c r="H43" s="9"/>
      <c r="I43" s="9"/>
      <c r="J43" s="9"/>
      <c r="K43" s="9"/>
      <c r="L43" s="9"/>
      <c r="M43" s="9"/>
      <c r="N43" s="9"/>
      <c r="O43" s="9"/>
      <c r="P43" s="9"/>
      <c r="Q43" s="9"/>
      <c r="R43" s="9"/>
      <c r="S43" s="9"/>
      <c r="T43" s="9"/>
      <c r="U43" s="9"/>
      <c r="V43" s="9"/>
    </row>
    <row r="44" spans="2:22" x14ac:dyDescent="0.2">
      <c r="E44" s="85"/>
      <c r="F44" s="9"/>
      <c r="G44" s="33"/>
      <c r="H44" s="9"/>
      <c r="I44" s="9"/>
      <c r="J44" s="9"/>
      <c r="K44" s="9"/>
      <c r="L44" s="9"/>
      <c r="M44" s="9"/>
      <c r="N44" s="9"/>
      <c r="O44" s="9"/>
      <c r="P44" s="9"/>
      <c r="Q44" s="9"/>
      <c r="R44" s="9"/>
      <c r="S44" s="9"/>
      <c r="T44" s="9"/>
      <c r="U44" s="9"/>
      <c r="V44" s="9"/>
    </row>
    <row r="45" spans="2:22" x14ac:dyDescent="0.2">
      <c r="E45" s="85"/>
      <c r="F45" s="9"/>
      <c r="H45" s="9"/>
      <c r="I45" s="9"/>
      <c r="J45" s="9"/>
      <c r="K45" s="9"/>
      <c r="L45" s="9"/>
      <c r="M45" s="9"/>
      <c r="N45" s="9"/>
      <c r="O45" s="9"/>
      <c r="P45" s="9"/>
      <c r="Q45" s="9"/>
      <c r="R45" s="9"/>
      <c r="S45" s="9"/>
      <c r="T45" s="9"/>
      <c r="U45" s="9"/>
      <c r="V45" s="9"/>
    </row>
    <row r="46" spans="2:22" x14ac:dyDescent="0.2">
      <c r="E46" s="85"/>
      <c r="F46" s="9"/>
      <c r="G46" s="34"/>
      <c r="H46" s="9"/>
      <c r="I46" s="9"/>
      <c r="J46" s="9"/>
      <c r="K46" s="9"/>
      <c r="L46" s="9"/>
      <c r="M46" s="9"/>
      <c r="N46" s="9"/>
      <c r="O46" s="9"/>
      <c r="P46" s="9"/>
      <c r="Q46" s="9"/>
      <c r="R46" s="9"/>
      <c r="S46" s="9"/>
      <c r="T46" s="9"/>
      <c r="U46" s="9"/>
      <c r="V46" s="9"/>
    </row>
    <row r="47" spans="2:22" x14ac:dyDescent="0.2">
      <c r="E47" s="85"/>
      <c r="F47" s="9"/>
      <c r="H47" s="9"/>
      <c r="I47" s="9"/>
      <c r="J47" s="9"/>
      <c r="K47" s="9"/>
      <c r="L47" s="9"/>
      <c r="M47" s="9"/>
      <c r="N47" s="9"/>
      <c r="O47" s="9"/>
      <c r="P47" s="9"/>
      <c r="Q47" s="9"/>
      <c r="R47" s="9"/>
      <c r="S47" s="9"/>
      <c r="T47" s="9"/>
      <c r="U47" s="9"/>
      <c r="V47" s="9"/>
    </row>
    <row r="48" spans="2:22" x14ac:dyDescent="0.2">
      <c r="E48" s="85"/>
      <c r="F48" s="9"/>
      <c r="H48" s="9"/>
      <c r="I48" s="9"/>
      <c r="J48" s="9"/>
      <c r="K48" s="9"/>
      <c r="L48" s="9"/>
      <c r="M48" s="9"/>
      <c r="N48" s="9"/>
      <c r="O48" s="9"/>
      <c r="P48" s="9"/>
      <c r="Q48" s="9"/>
      <c r="R48" s="9"/>
      <c r="S48" s="9"/>
      <c r="T48" s="9"/>
      <c r="U48" s="9"/>
      <c r="V48" s="9"/>
    </row>
    <row r="49" spans="1:22" x14ac:dyDescent="0.2">
      <c r="E49" s="85"/>
      <c r="F49" s="9"/>
      <c r="G49" s="95"/>
      <c r="H49" s="9"/>
      <c r="I49" s="9"/>
      <c r="J49" s="9"/>
      <c r="K49" s="9"/>
      <c r="L49" s="9"/>
      <c r="M49" s="9"/>
      <c r="N49" s="9"/>
      <c r="O49" s="9"/>
      <c r="P49" s="9"/>
      <c r="Q49" s="9"/>
      <c r="R49" s="9"/>
      <c r="S49" s="9"/>
      <c r="T49" s="9"/>
      <c r="U49" s="9"/>
      <c r="V49" s="9"/>
    </row>
    <row r="50" spans="1:22" x14ac:dyDescent="0.2">
      <c r="E50" s="85"/>
      <c r="F50" s="9"/>
      <c r="G50" s="93"/>
      <c r="H50" s="9"/>
      <c r="I50" s="9"/>
      <c r="J50" s="9"/>
      <c r="K50" s="9"/>
      <c r="L50" s="9"/>
      <c r="M50" s="9"/>
      <c r="N50" s="9"/>
      <c r="O50" s="9"/>
      <c r="P50" s="9"/>
      <c r="Q50" s="9"/>
      <c r="R50" s="9"/>
      <c r="S50" s="9"/>
      <c r="T50" s="9"/>
      <c r="U50" s="9"/>
      <c r="V50" s="9"/>
    </row>
    <row r="51" spans="1:22" x14ac:dyDescent="0.2">
      <c r="E51" s="85"/>
      <c r="F51" s="87"/>
      <c r="G51" s="87"/>
      <c r="H51" s="9"/>
      <c r="I51" s="9"/>
      <c r="J51" s="9"/>
      <c r="K51" s="9"/>
      <c r="L51" s="9"/>
      <c r="M51" s="9"/>
      <c r="N51" s="9"/>
      <c r="O51" s="9"/>
      <c r="P51" s="9"/>
      <c r="Q51" s="9"/>
      <c r="R51" s="9"/>
      <c r="S51" s="9"/>
      <c r="T51" s="9"/>
      <c r="U51" s="9"/>
      <c r="V51" s="9"/>
    </row>
    <row r="52" spans="1:22" x14ac:dyDescent="0.2">
      <c r="E52" s="85"/>
      <c r="F52" s="87"/>
      <c r="G52" s="87"/>
      <c r="H52" s="9"/>
      <c r="I52" s="9"/>
      <c r="J52" s="9"/>
      <c r="K52" s="9"/>
      <c r="L52" s="9"/>
      <c r="M52" s="9"/>
      <c r="N52" s="9"/>
      <c r="O52" s="9"/>
      <c r="P52" s="9"/>
      <c r="Q52" s="9"/>
      <c r="R52" s="9"/>
      <c r="S52" s="9"/>
      <c r="T52" s="9"/>
      <c r="U52" s="9"/>
      <c r="V52" s="9"/>
    </row>
    <row r="53" spans="1:22" x14ac:dyDescent="0.2">
      <c r="A53" s="9"/>
      <c r="B53" s="9"/>
      <c r="C53" s="84"/>
      <c r="D53" s="85"/>
      <c r="E53" s="85"/>
      <c r="F53" s="87"/>
      <c r="G53" s="87"/>
      <c r="H53" s="9"/>
      <c r="I53" s="9"/>
      <c r="J53" s="9"/>
      <c r="K53" s="9"/>
      <c r="L53" s="9"/>
      <c r="M53" s="9"/>
      <c r="N53" s="9"/>
      <c r="O53" s="9"/>
      <c r="P53" s="9"/>
      <c r="Q53" s="9"/>
      <c r="R53" s="9"/>
      <c r="S53" s="9"/>
      <c r="T53" s="9"/>
      <c r="U53" s="9"/>
      <c r="V53" s="9"/>
    </row>
    <row r="54" spans="1:22" x14ac:dyDescent="0.2">
      <c r="A54" s="9"/>
      <c r="B54" s="9"/>
      <c r="C54" s="84"/>
      <c r="D54" s="85"/>
      <c r="E54" s="85"/>
      <c r="F54" s="87"/>
      <c r="G54" s="87"/>
      <c r="H54" s="9"/>
      <c r="I54" s="9"/>
      <c r="J54" s="9"/>
      <c r="K54" s="9"/>
      <c r="L54" s="9"/>
      <c r="M54" s="9"/>
      <c r="N54" s="9"/>
      <c r="O54" s="9"/>
      <c r="P54" s="9"/>
      <c r="Q54" s="9"/>
      <c r="R54" s="9"/>
      <c r="S54" s="9"/>
      <c r="T54" s="9"/>
      <c r="U54" s="9"/>
      <c r="V54" s="9"/>
    </row>
    <row r="55" spans="1:22" x14ac:dyDescent="0.2">
      <c r="A55" s="9"/>
      <c r="B55" s="9"/>
      <c r="C55" s="84"/>
      <c r="D55" s="85"/>
      <c r="E55" s="85"/>
      <c r="F55" s="87"/>
      <c r="G55" s="87"/>
      <c r="H55" s="9"/>
      <c r="I55" s="9"/>
      <c r="J55" s="9"/>
      <c r="K55" s="9"/>
      <c r="L55" s="9"/>
      <c r="M55" s="9"/>
      <c r="N55" s="9"/>
      <c r="O55" s="9"/>
      <c r="P55" s="9"/>
      <c r="Q55" s="9"/>
      <c r="R55" s="9"/>
      <c r="S55" s="9"/>
      <c r="T55" s="9"/>
      <c r="U55" s="9"/>
      <c r="V55" s="9"/>
    </row>
    <row r="56" spans="1:22" x14ac:dyDescent="0.2">
      <c r="A56" s="9"/>
      <c r="B56" s="9"/>
      <c r="C56" s="84"/>
      <c r="D56" s="85"/>
      <c r="E56" s="85"/>
      <c r="F56" s="87"/>
      <c r="G56" s="87"/>
      <c r="H56" s="9"/>
    </row>
    <row r="57" spans="1:22" x14ac:dyDescent="0.2">
      <c r="A57" s="9"/>
      <c r="B57" s="9"/>
      <c r="C57" s="84"/>
      <c r="D57" s="85"/>
      <c r="E57" s="85"/>
      <c r="F57" s="87"/>
      <c r="G57" s="87"/>
    </row>
    <row r="58" spans="1:22" x14ac:dyDescent="0.2">
      <c r="A58" s="9"/>
      <c r="B58" s="9"/>
      <c r="C58" s="84"/>
      <c r="D58" s="85"/>
      <c r="E58" s="85"/>
      <c r="F58" s="87"/>
      <c r="G58" s="87"/>
    </row>
    <row r="59" spans="1:22" x14ac:dyDescent="0.2">
      <c r="A59" s="9"/>
      <c r="B59" s="9"/>
      <c r="C59" s="84"/>
      <c r="D59" s="85"/>
      <c r="E59" s="85"/>
      <c r="F59" s="87"/>
      <c r="G59" s="87"/>
    </row>
    <row r="60" spans="1:22" x14ac:dyDescent="0.2">
      <c r="A60" s="9"/>
      <c r="B60" s="9"/>
      <c r="C60" s="84"/>
      <c r="D60" s="85"/>
      <c r="E60" s="85"/>
      <c r="F60" s="87"/>
      <c r="G60" s="87"/>
    </row>
    <row r="61" spans="1:22" x14ac:dyDescent="0.2">
      <c r="A61" s="9"/>
      <c r="B61" s="9"/>
      <c r="C61" s="84"/>
      <c r="D61" s="85"/>
      <c r="E61" s="85"/>
      <c r="F61" s="87"/>
      <c r="G61" s="87"/>
    </row>
    <row r="62" spans="1:22" x14ac:dyDescent="0.2">
      <c r="A62" s="9"/>
      <c r="B62" s="9"/>
      <c r="C62" s="84"/>
      <c r="D62" s="85"/>
      <c r="E62" s="85"/>
      <c r="F62" s="87"/>
      <c r="G62" s="87"/>
    </row>
    <row r="63" spans="1:22" x14ac:dyDescent="0.2">
      <c r="A63" s="9"/>
      <c r="B63" s="9"/>
      <c r="C63" s="84"/>
      <c r="D63" s="85"/>
      <c r="E63" s="85"/>
      <c r="F63" s="87"/>
      <c r="G63" s="87"/>
    </row>
    <row r="64" spans="1:22" x14ac:dyDescent="0.2">
      <c r="A64" s="9"/>
      <c r="B64" s="9"/>
      <c r="C64" s="84"/>
      <c r="D64" s="85"/>
      <c r="E64" s="85"/>
      <c r="F64" s="87"/>
      <c r="G64" s="87"/>
    </row>
    <row r="65" spans="1:7" x14ac:dyDescent="0.2">
      <c r="A65" s="9"/>
      <c r="B65" s="9"/>
      <c r="C65" s="84"/>
      <c r="D65" s="85"/>
      <c r="E65" s="85"/>
      <c r="F65" s="87"/>
      <c r="G65" s="87"/>
    </row>
    <row r="66" spans="1:7" x14ac:dyDescent="0.2">
      <c r="A66" s="9"/>
      <c r="B66" s="9"/>
      <c r="C66" s="84"/>
      <c r="D66" s="85"/>
      <c r="E66" s="85"/>
      <c r="F66" s="87"/>
      <c r="G66" s="87"/>
    </row>
    <row r="67" spans="1:7" x14ac:dyDescent="0.2">
      <c r="A67" s="9"/>
      <c r="B67" s="9"/>
      <c r="C67" s="84"/>
      <c r="D67" s="85"/>
      <c r="E67" s="85"/>
      <c r="F67" s="87"/>
      <c r="G67" s="87"/>
    </row>
    <row r="68" spans="1:7" x14ac:dyDescent="0.2">
      <c r="A68" s="9"/>
      <c r="B68" s="9"/>
      <c r="C68" s="84"/>
      <c r="D68" s="85"/>
      <c r="E68" s="85"/>
      <c r="F68" s="87"/>
      <c r="G68" s="87"/>
    </row>
    <row r="69" spans="1:7" x14ac:dyDescent="0.2">
      <c r="A69" s="9"/>
      <c r="B69" s="9"/>
      <c r="C69" s="84"/>
      <c r="D69" s="85"/>
      <c r="E69" s="85"/>
      <c r="F69" s="87"/>
      <c r="G69" s="87"/>
    </row>
    <row r="70" spans="1:7" x14ac:dyDescent="0.2">
      <c r="A70" s="9"/>
      <c r="B70" s="9"/>
    </row>
  </sheetData>
  <mergeCells count="3">
    <mergeCell ref="C2:E2"/>
    <mergeCell ref="N5:P5"/>
    <mergeCell ref="R5:T5"/>
  </mergeCells>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5"/>
  <dimension ref="C5:Y59"/>
  <sheetViews>
    <sheetView topLeftCell="C34" zoomScale="85" zoomScaleNormal="85" workbookViewId="0">
      <selection activeCell="R19" sqref="R19"/>
    </sheetView>
  </sheetViews>
  <sheetFormatPr defaultRowHeight="12.75" x14ac:dyDescent="0.2"/>
  <cols>
    <col min="4" max="4" width="37.42578125" customWidth="1"/>
    <col min="5" max="5" width="15.7109375" customWidth="1"/>
    <col min="9" max="9" width="13.28515625" customWidth="1"/>
    <col min="10" max="10" width="11.7109375" customWidth="1"/>
    <col min="11" max="11" width="11.42578125" customWidth="1"/>
    <col min="12" max="12" width="15" customWidth="1"/>
    <col min="13" max="13" width="13.7109375" customWidth="1"/>
  </cols>
  <sheetData>
    <row r="5" spans="3:4" x14ac:dyDescent="0.2">
      <c r="C5" s="33" t="s">
        <v>376</v>
      </c>
    </row>
    <row r="7" spans="3:4" x14ac:dyDescent="0.2">
      <c r="C7" s="33" t="s">
        <v>377</v>
      </c>
    </row>
    <row r="8" spans="3:4" x14ac:dyDescent="0.2">
      <c r="C8" s="33" t="s">
        <v>378</v>
      </c>
    </row>
    <row r="10" spans="3:4" x14ac:dyDescent="0.2">
      <c r="C10" s="33" t="s">
        <v>379</v>
      </c>
    </row>
    <row r="11" spans="3:4" x14ac:dyDescent="0.2">
      <c r="C11" s="33" t="s">
        <v>422</v>
      </c>
    </row>
    <row r="12" spans="3:4" x14ac:dyDescent="0.2">
      <c r="C12" s="33" t="s">
        <v>423</v>
      </c>
    </row>
    <row r="13" spans="3:4" x14ac:dyDescent="0.2">
      <c r="C13" s="33" t="s">
        <v>424</v>
      </c>
    </row>
    <row r="14" spans="3:4" x14ac:dyDescent="0.2">
      <c r="C14" s="33" t="s">
        <v>390</v>
      </c>
      <c r="D14" s="33" t="s">
        <v>391</v>
      </c>
    </row>
    <row r="15" spans="3:4" ht="12" customHeight="1" x14ac:dyDescent="0.2">
      <c r="C15" s="33"/>
      <c r="D15" s="33" t="s">
        <v>393</v>
      </c>
    </row>
    <row r="16" spans="3:4" ht="12" customHeight="1" x14ac:dyDescent="0.2">
      <c r="C16" s="33"/>
      <c r="D16" s="33"/>
    </row>
    <row r="17" spans="3:13" ht="12" customHeight="1" x14ac:dyDescent="0.2">
      <c r="C17" s="33"/>
      <c r="D17" s="33"/>
    </row>
    <row r="18" spans="3:13" ht="12" customHeight="1" x14ac:dyDescent="0.2">
      <c r="C18" s="33"/>
      <c r="D18" s="89" t="s">
        <v>408</v>
      </c>
    </row>
    <row r="19" spans="3:13" x14ac:dyDescent="0.2">
      <c r="C19" s="33"/>
      <c r="D19" s="33" t="s">
        <v>406</v>
      </c>
      <c r="E19">
        <f>SOA!H25</f>
        <v>60</v>
      </c>
    </row>
    <row r="20" spans="3:13" x14ac:dyDescent="0.2">
      <c r="D20" s="33" t="s">
        <v>388</v>
      </c>
      <c r="E20">
        <v>1.5</v>
      </c>
      <c r="I20" s="95" t="s">
        <v>397</v>
      </c>
      <c r="K20" s="211"/>
      <c r="L20" s="211"/>
      <c r="M20" s="211"/>
    </row>
    <row r="21" spans="3:13" x14ac:dyDescent="0.2">
      <c r="D21" s="33" t="s">
        <v>380</v>
      </c>
      <c r="E21">
        <f>1/2*COUTMAX*VINMAX^2*0.000001</f>
        <v>0.19868749999999999</v>
      </c>
      <c r="J21" s="89" t="s">
        <v>398</v>
      </c>
      <c r="K21" s="217" t="s">
        <v>399</v>
      </c>
      <c r="L21" s="217" t="s">
        <v>400</v>
      </c>
      <c r="M21" s="217" t="s">
        <v>401</v>
      </c>
    </row>
    <row r="22" spans="3:13" x14ac:dyDescent="0.2">
      <c r="D22" s="33" t="s">
        <v>382</v>
      </c>
      <c r="E22">
        <f>MAX(Equations!F67-E21,0)</f>
        <v>0.13096504823762625</v>
      </c>
      <c r="I22" s="95" t="s">
        <v>402</v>
      </c>
      <c r="J22" s="209">
        <v>0.1</v>
      </c>
      <c r="K22" s="210">
        <v>1</v>
      </c>
      <c r="L22" s="211">
        <v>10</v>
      </c>
      <c r="M22" s="212">
        <v>100</v>
      </c>
    </row>
    <row r="23" spans="3:13" x14ac:dyDescent="0.2">
      <c r="D23" s="33" t="s">
        <v>383</v>
      </c>
      <c r="E23">
        <f>Equations!F66</f>
        <v>26.5625</v>
      </c>
      <c r="I23" s="209" t="s">
        <v>403</v>
      </c>
      <c r="J23" s="210">
        <v>1</v>
      </c>
      <c r="K23" s="210">
        <v>10</v>
      </c>
      <c r="L23" s="211">
        <v>100</v>
      </c>
      <c r="M23" s="212">
        <v>1000</v>
      </c>
    </row>
    <row r="24" spans="3:13" x14ac:dyDescent="0.2">
      <c r="I24" s="209" t="s">
        <v>182</v>
      </c>
      <c r="J24" s="210">
        <f>SOA!C33</f>
        <v>27.000000000000007</v>
      </c>
      <c r="K24" s="210">
        <f>SOA!D33</f>
        <v>27</v>
      </c>
      <c r="L24" s="210">
        <f>SOA!E33</f>
        <v>17.142857142857146</v>
      </c>
      <c r="M24" s="210">
        <f>SOA!F33</f>
        <v>4.1160000000000005</v>
      </c>
    </row>
    <row r="25" spans="3:13" x14ac:dyDescent="0.2">
      <c r="D25" t="s">
        <v>189</v>
      </c>
      <c r="E25">
        <f>'Design Calculator'!F68</f>
        <v>16</v>
      </c>
      <c r="I25" s="209" t="s">
        <v>183</v>
      </c>
      <c r="J25" s="210">
        <f>SOA!C34</f>
        <v>-0.56863623584101264</v>
      </c>
      <c r="K25" s="210">
        <f>SOA!D34</f>
        <v>-0.65321251377534373</v>
      </c>
      <c r="L25" s="210">
        <f>SOA!E34</f>
        <v>-0.45593195564972439</v>
      </c>
      <c r="M25" s="210">
        <f>SOA!F34</f>
        <v>-0.14612803567823807</v>
      </c>
    </row>
    <row r="26" spans="3:13" x14ac:dyDescent="0.2">
      <c r="D26" t="s">
        <v>134</v>
      </c>
      <c r="E26" t="str">
        <f>'Design Calculator'!F69</f>
        <v>Constant Current</v>
      </c>
    </row>
    <row r="27" spans="3:13" x14ac:dyDescent="0.2">
      <c r="D27" t="s">
        <v>135</v>
      </c>
      <c r="E27">
        <f>'Design Calculator'!F70</f>
        <v>4</v>
      </c>
      <c r="I27" s="208" t="s">
        <v>419</v>
      </c>
      <c r="J27" s="89" t="s">
        <v>148</v>
      </c>
    </row>
    <row r="28" spans="3:13" x14ac:dyDescent="0.2">
      <c r="G28" t="s">
        <v>417</v>
      </c>
      <c r="I28" s="4">
        <f>SUM(E58:X58)</f>
        <v>12</v>
      </c>
      <c r="J28" s="4">
        <f>IF(I28=0, "NA", I28/AVERAGE(1, E32))</f>
        <v>13.447186399678067</v>
      </c>
    </row>
    <row r="29" spans="3:13" x14ac:dyDescent="0.2">
      <c r="D29" s="33" t="s">
        <v>436</v>
      </c>
      <c r="E29">
        <f>12/1</f>
        <v>12</v>
      </c>
      <c r="G29" t="s">
        <v>418</v>
      </c>
      <c r="I29" s="4">
        <f>SUM(E59:X59)</f>
        <v>0.15291299828437604</v>
      </c>
      <c r="J29" s="4">
        <f>IF(I29=0, "NA", I29*AVERAGE(1,E32))</f>
        <v>0.13645649914218802</v>
      </c>
    </row>
    <row r="30" spans="3:13" x14ac:dyDescent="0.2">
      <c r="D30" s="33" t="s">
        <v>437</v>
      </c>
      <c r="E30">
        <v>0.12</v>
      </c>
    </row>
    <row r="31" spans="3:13" x14ac:dyDescent="0.2">
      <c r="D31" s="33" t="s">
        <v>409</v>
      </c>
      <c r="E31">
        <v>20</v>
      </c>
    </row>
    <row r="32" spans="3:13" x14ac:dyDescent="0.2">
      <c r="D32" s="33" t="s">
        <v>410</v>
      </c>
      <c r="E32">
        <f>(E30/E29)^(1/(E31-1))</f>
        <v>0.78475997035146128</v>
      </c>
    </row>
    <row r="33" spans="4:24" x14ac:dyDescent="0.2">
      <c r="D33" s="33"/>
    </row>
    <row r="34" spans="4:24" x14ac:dyDescent="0.2">
      <c r="E34">
        <v>1</v>
      </c>
      <c r="F34">
        <v>2</v>
      </c>
      <c r="G34">
        <v>3</v>
      </c>
      <c r="H34">
        <v>4</v>
      </c>
      <c r="I34">
        <v>5</v>
      </c>
      <c r="J34">
        <v>6</v>
      </c>
      <c r="K34">
        <v>7</v>
      </c>
      <c r="L34">
        <v>8</v>
      </c>
      <c r="M34">
        <v>9</v>
      </c>
      <c r="N34">
        <v>10</v>
      </c>
      <c r="O34">
        <v>11</v>
      </c>
      <c r="P34">
        <v>12</v>
      </c>
      <c r="Q34">
        <v>13</v>
      </c>
      <c r="R34">
        <v>14</v>
      </c>
      <c r="S34">
        <v>15</v>
      </c>
      <c r="T34">
        <v>16</v>
      </c>
      <c r="U34">
        <v>17</v>
      </c>
      <c r="V34">
        <v>18</v>
      </c>
      <c r="W34">
        <v>19</v>
      </c>
      <c r="X34">
        <v>20</v>
      </c>
    </row>
    <row r="35" spans="4:24" x14ac:dyDescent="0.2">
      <c r="D35" s="216" t="s">
        <v>381</v>
      </c>
      <c r="E35" s="216">
        <f>E29</f>
        <v>12</v>
      </c>
      <c r="F35" s="216">
        <f>E35*$E$32</f>
        <v>9.4171196442175358</v>
      </c>
      <c r="G35" s="216">
        <f t="shared" ref="G35:X35" si="0">F35*$E$32</f>
        <v>7.3901785327923166</v>
      </c>
      <c r="H35" s="216">
        <f t="shared" si="0"/>
        <v>5.7995162862861038</v>
      </c>
      <c r="I35" s="216">
        <f t="shared" si="0"/>
        <v>4.5512282288787</v>
      </c>
      <c r="J35" s="216">
        <f t="shared" si="0"/>
        <v>3.5716217299575823</v>
      </c>
      <c r="K35" s="216">
        <f t="shared" si="0"/>
        <v>2.802865762908147</v>
      </c>
      <c r="L35" s="216">
        <f t="shared" si="0"/>
        <v>2.1995768529989235</v>
      </c>
      <c r="M35" s="216">
        <f t="shared" si="0"/>
        <v>1.7261398659451956</v>
      </c>
      <c r="N35" s="216">
        <f t="shared" si="0"/>
        <v>1.354605470021627</v>
      </c>
      <c r="O35" s="216">
        <f t="shared" si="0"/>
        <v>1.0630401484920993</v>
      </c>
      <c r="P35" s="216">
        <f t="shared" si="0"/>
        <v>0.83423135541307281</v>
      </c>
      <c r="Q35" s="216">
        <f t="shared" si="0"/>
        <v>0.65467137374022233</v>
      </c>
      <c r="R35" s="216">
        <f t="shared" si="0"/>
        <v>0.51375988784632731</v>
      </c>
      <c r="S35" s="216">
        <f t="shared" si="0"/>
        <v>0.40317819435405389</v>
      </c>
      <c r="T35" s="216">
        <f t="shared" si="0"/>
        <v>0.316398107847643</v>
      </c>
      <c r="U35" s="216">
        <f t="shared" si="0"/>
        <v>0.24829656973377476</v>
      </c>
      <c r="V35" s="216">
        <f t="shared" si="0"/>
        <v>0.19485320870264661</v>
      </c>
      <c r="W35" s="216">
        <f t="shared" si="0"/>
        <v>0.15291299828437604</v>
      </c>
      <c r="X35" s="216">
        <f t="shared" si="0"/>
        <v>0.12</v>
      </c>
    </row>
    <row r="36" spans="4:24" x14ac:dyDescent="0.2">
      <c r="D36" s="33" t="s">
        <v>384</v>
      </c>
      <c r="E36">
        <f t="shared" ref="E36:X36" si="1">VINMAX/E35</f>
        <v>3.5416666666666665</v>
      </c>
      <c r="F36">
        <f t="shared" si="1"/>
        <v>4.5130572410319321</v>
      </c>
      <c r="G36">
        <f t="shared" si="1"/>
        <v>5.7508759512933896</v>
      </c>
      <c r="H36">
        <f t="shared" si="1"/>
        <v>7.3281973706148804</v>
      </c>
      <c r="I36">
        <f t="shared" si="1"/>
        <v>9.3381385996700175</v>
      </c>
      <c r="J36">
        <f t="shared" si="1"/>
        <v>11.899356430588394</v>
      </c>
      <c r="K36">
        <f t="shared" si="1"/>
        <v>15.163052245464518</v>
      </c>
      <c r="L36">
        <f t="shared" si="1"/>
        <v>19.321898183305169</v>
      </c>
      <c r="M36">
        <f t="shared" si="1"/>
        <v>24.621411531288601</v>
      </c>
      <c r="N36">
        <f t="shared" si="1"/>
        <v>31.374448827023755</v>
      </c>
      <c r="O36">
        <f t="shared" si="1"/>
        <v>39.979675330499397</v>
      </c>
      <c r="P36">
        <f t="shared" si="1"/>
        <v>50.945100210188052</v>
      </c>
      <c r="Q36">
        <f t="shared" si="1"/>
        <v>64.918066841982096</v>
      </c>
      <c r="R36">
        <f t="shared" si="1"/>
        <v>82.723468696941822</v>
      </c>
      <c r="S36">
        <f t="shared" si="1"/>
        <v>105.41244689110918</v>
      </c>
      <c r="T36">
        <f t="shared" si="1"/>
        <v>134.3244442551005</v>
      </c>
      <c r="U36">
        <f t="shared" si="1"/>
        <v>171.1662792827496</v>
      </c>
      <c r="V36">
        <f t="shared" si="1"/>
        <v>218.11290808588436</v>
      </c>
      <c r="W36">
        <f t="shared" si="1"/>
        <v>277.93582283280921</v>
      </c>
      <c r="X36">
        <f t="shared" si="1"/>
        <v>354.16666666666669</v>
      </c>
    </row>
    <row r="37" spans="4:24" x14ac:dyDescent="0.2">
      <c r="D37" s="33" t="s">
        <v>385</v>
      </c>
      <c r="E37">
        <f t="shared" ref="E37:X37" si="2">E35*COUTMAX/1000</f>
        <v>2.64</v>
      </c>
      <c r="F37">
        <f t="shared" si="2"/>
        <v>2.0717663217278579</v>
      </c>
      <c r="G37">
        <f t="shared" si="2"/>
        <v>1.6258392772143098</v>
      </c>
      <c r="H37">
        <f t="shared" si="2"/>
        <v>1.275893582982943</v>
      </c>
      <c r="I37">
        <f t="shared" si="2"/>
        <v>1.001270210353314</v>
      </c>
      <c r="J37">
        <f t="shared" si="2"/>
        <v>0.78575678059066811</v>
      </c>
      <c r="K37">
        <f t="shared" si="2"/>
        <v>0.61663046783979236</v>
      </c>
      <c r="L37">
        <f t="shared" si="2"/>
        <v>0.48390690765976319</v>
      </c>
      <c r="M37">
        <f t="shared" si="2"/>
        <v>0.37975077050794304</v>
      </c>
      <c r="N37">
        <f t="shared" si="2"/>
        <v>0.2980132034047579</v>
      </c>
      <c r="O37">
        <f t="shared" si="2"/>
        <v>0.23386883266826183</v>
      </c>
      <c r="P37">
        <f t="shared" si="2"/>
        <v>0.18353089819087604</v>
      </c>
      <c r="Q37">
        <f t="shared" si="2"/>
        <v>0.14402770222284891</v>
      </c>
      <c r="R37">
        <f t="shared" si="2"/>
        <v>0.11302717532619201</v>
      </c>
      <c r="S37">
        <f t="shared" si="2"/>
        <v>8.8699202757891851E-2</v>
      </c>
      <c r="T37">
        <f t="shared" si="2"/>
        <v>6.9607583726481459E-2</v>
      </c>
      <c r="U37">
        <f t="shared" si="2"/>
        <v>5.4625245341430449E-2</v>
      </c>
      <c r="V37">
        <f t="shared" si="2"/>
        <v>4.2867705914582249E-2</v>
      </c>
      <c r="W37">
        <f t="shared" si="2"/>
        <v>3.3640859622562733E-2</v>
      </c>
      <c r="X37">
        <f t="shared" si="2"/>
        <v>2.64E-2</v>
      </c>
    </row>
    <row r="38" spans="4:24" x14ac:dyDescent="0.2">
      <c r="D38" s="33" t="s">
        <v>386</v>
      </c>
      <c r="E38">
        <f>$E$21+$E$22*E36/$E$23</f>
        <v>0.21614950643168349</v>
      </c>
      <c r="F38">
        <f>$E$21+$E$22*F36/$E$23</f>
        <v>0.22093889799608152</v>
      </c>
      <c r="G38">
        <f>$E$21+$E$22*G36/$E$23</f>
        <v>0.22704189986333151</v>
      </c>
      <c r="H38">
        <f t="shared" ref="H38:J38" si="3">$E$21+$E$22*H36/$E$23</f>
        <v>0.23481880248046771</v>
      </c>
      <c r="I38">
        <f t="shared" si="3"/>
        <v>0.24472871495173359</v>
      </c>
      <c r="J38">
        <f t="shared" si="3"/>
        <v>0.25735666852437522</v>
      </c>
      <c r="K38">
        <f>$E$21+$E$22*K36/$E$23</f>
        <v>0.27344815388261301</v>
      </c>
      <c r="L38">
        <f t="shared" ref="L38:R38" si="4">$E$21+$E$22*L36/$E$23</f>
        <v>0.29395313115742361</v>
      </c>
      <c r="M38">
        <f t="shared" si="4"/>
        <v>0.32008211078112597</v>
      </c>
      <c r="N38">
        <f t="shared" si="4"/>
        <v>0.35337761591755679</v>
      </c>
      <c r="O38">
        <f t="shared" si="4"/>
        <v>0.39580524524926075</v>
      </c>
      <c r="P38">
        <f t="shared" si="4"/>
        <v>0.44986971200933579</v>
      </c>
      <c r="Q38">
        <f t="shared" si="4"/>
        <v>0.51876270961707793</v>
      </c>
      <c r="R38">
        <f t="shared" si="4"/>
        <v>0.60655133315872944</v>
      </c>
      <c r="S38">
        <f t="shared" ref="S38:X38" si="5">$E$21+$E$22*S36/$E$23</f>
        <v>0.71841818016716541</v>
      </c>
      <c r="T38">
        <f t="shared" si="5"/>
        <v>0.86096730503949459</v>
      </c>
      <c r="U38">
        <f t="shared" si="5"/>
        <v>1.0426140890981763</v>
      </c>
      <c r="V38">
        <f t="shared" si="5"/>
        <v>1.2740820422575729</v>
      </c>
      <c r="W38">
        <f>$E$21+$E$22*W36/$E$23</f>
        <v>1.569035864960497</v>
      </c>
      <c r="X38">
        <f t="shared" si="5"/>
        <v>1.94488814316835</v>
      </c>
    </row>
    <row r="39" spans="4:24" x14ac:dyDescent="0.2">
      <c r="D39" s="33" t="s">
        <v>389</v>
      </c>
      <c r="E39">
        <f t="shared" ref="E39:X39" si="6">(E37+IF($E$26="Resistive",0,IF($E$25=0,$E$27,0)))*VINMAX</f>
        <v>112.2</v>
      </c>
      <c r="F39">
        <f t="shared" si="6"/>
        <v>88.050068673433955</v>
      </c>
      <c r="G39">
        <f t="shared" si="6"/>
        <v>69.098169281608165</v>
      </c>
      <c r="H39">
        <f t="shared" si="6"/>
        <v>54.225477276775074</v>
      </c>
      <c r="I39">
        <f t="shared" si="6"/>
        <v>42.553983940015847</v>
      </c>
      <c r="J39">
        <f t="shared" si="6"/>
        <v>33.394663175103396</v>
      </c>
      <c r="K39">
        <f t="shared" si="6"/>
        <v>26.206794883191176</v>
      </c>
      <c r="L39">
        <f t="shared" si="6"/>
        <v>20.566043575539936</v>
      </c>
      <c r="M39">
        <f t="shared" si="6"/>
        <v>16.13940774658758</v>
      </c>
      <c r="N39">
        <f t="shared" si="6"/>
        <v>12.665561144702211</v>
      </c>
      <c r="O39">
        <f t="shared" si="6"/>
        <v>9.9394253884011281</v>
      </c>
      <c r="P39">
        <f t="shared" si="6"/>
        <v>7.8000631731122319</v>
      </c>
      <c r="Q39">
        <f t="shared" si="6"/>
        <v>6.1211773444710786</v>
      </c>
      <c r="R39">
        <f t="shared" si="6"/>
        <v>4.8036549513631606</v>
      </c>
      <c r="S39">
        <f t="shared" si="6"/>
        <v>3.7697161172104039</v>
      </c>
      <c r="T39">
        <f t="shared" si="6"/>
        <v>2.958322308375462</v>
      </c>
      <c r="U39">
        <f t="shared" si="6"/>
        <v>2.3215729270107941</v>
      </c>
      <c r="V39">
        <f t="shared" si="6"/>
        <v>1.8218775013697457</v>
      </c>
      <c r="W39">
        <f t="shared" si="6"/>
        <v>1.4297365339589161</v>
      </c>
      <c r="X39">
        <f t="shared" si="6"/>
        <v>1.1219999999999999</v>
      </c>
    </row>
    <row r="40" spans="4:24" x14ac:dyDescent="0.2">
      <c r="D40" s="33" t="s">
        <v>387</v>
      </c>
      <c r="E40">
        <f t="shared" ref="E40:X40" si="7">(E37+IF($E$26="Resistive", $E$25/$E$27,$E$27)) *(VINMAX-$E$25)</f>
        <v>175.96</v>
      </c>
      <c r="F40">
        <f t="shared" si="7"/>
        <v>160.90180752578823</v>
      </c>
      <c r="G40">
        <f t="shared" si="7"/>
        <v>149.08474084617919</v>
      </c>
      <c r="H40">
        <f t="shared" si="7"/>
        <v>139.81117994904798</v>
      </c>
      <c r="I40">
        <f t="shared" si="7"/>
        <v>132.53366057436281</v>
      </c>
      <c r="J40">
        <f t="shared" si="7"/>
        <v>126.82255468565269</v>
      </c>
      <c r="K40">
        <f t="shared" si="7"/>
        <v>122.3407073977545</v>
      </c>
      <c r="L40">
        <f t="shared" si="7"/>
        <v>118.82353305298373</v>
      </c>
      <c r="M40">
        <f t="shared" si="7"/>
        <v>116.0633954184605</v>
      </c>
      <c r="N40">
        <f t="shared" si="7"/>
        <v>113.89734989022608</v>
      </c>
      <c r="O40">
        <f t="shared" si="7"/>
        <v>112.19752406570893</v>
      </c>
      <c r="P40">
        <f t="shared" si="7"/>
        <v>110.86356880205821</v>
      </c>
      <c r="Q40">
        <f t="shared" si="7"/>
        <v>109.81673410890551</v>
      </c>
      <c r="R40">
        <f t="shared" si="7"/>
        <v>108.99522014614411</v>
      </c>
      <c r="S40">
        <f t="shared" si="7"/>
        <v>108.35052887308413</v>
      </c>
      <c r="T40">
        <f t="shared" si="7"/>
        <v>107.84460096875176</v>
      </c>
      <c r="U40">
        <f t="shared" si="7"/>
        <v>107.4475690015479</v>
      </c>
      <c r="V40">
        <f t="shared" si="7"/>
        <v>107.13599420673643</v>
      </c>
      <c r="W40">
        <f t="shared" si="7"/>
        <v>106.89148277999792</v>
      </c>
      <c r="X40">
        <f t="shared" si="7"/>
        <v>106.69959999999999</v>
      </c>
    </row>
    <row r="41" spans="4:24" x14ac:dyDescent="0.2">
      <c r="D41" s="33" t="s">
        <v>392</v>
      </c>
      <c r="E41">
        <f t="shared" ref="E41:X41" si="8">IF($E$26="Resistive", -$E$27*E37/2 + VINMAX/2, -1)</f>
        <v>-1</v>
      </c>
      <c r="F41">
        <f t="shared" si="8"/>
        <v>-1</v>
      </c>
      <c r="G41">
        <f t="shared" si="8"/>
        <v>-1</v>
      </c>
      <c r="H41">
        <f t="shared" si="8"/>
        <v>-1</v>
      </c>
      <c r="I41">
        <f t="shared" si="8"/>
        <v>-1</v>
      </c>
      <c r="J41">
        <f t="shared" si="8"/>
        <v>-1</v>
      </c>
      <c r="K41">
        <f t="shared" si="8"/>
        <v>-1</v>
      </c>
      <c r="L41">
        <f t="shared" si="8"/>
        <v>-1</v>
      </c>
      <c r="M41">
        <f t="shared" si="8"/>
        <v>-1</v>
      </c>
      <c r="N41">
        <f t="shared" si="8"/>
        <v>-1</v>
      </c>
      <c r="O41">
        <f t="shared" si="8"/>
        <v>-1</v>
      </c>
      <c r="P41">
        <f t="shared" si="8"/>
        <v>-1</v>
      </c>
      <c r="Q41">
        <f t="shared" si="8"/>
        <v>-1</v>
      </c>
      <c r="R41">
        <f t="shared" si="8"/>
        <v>-1</v>
      </c>
      <c r="S41">
        <f t="shared" si="8"/>
        <v>-1</v>
      </c>
      <c r="T41">
        <f t="shared" si="8"/>
        <v>-1</v>
      </c>
      <c r="U41">
        <f t="shared" si="8"/>
        <v>-1</v>
      </c>
      <c r="V41">
        <f t="shared" si="8"/>
        <v>-1</v>
      </c>
      <c r="W41">
        <f t="shared" si="8"/>
        <v>-1</v>
      </c>
      <c r="X41">
        <f t="shared" si="8"/>
        <v>-1</v>
      </c>
    </row>
    <row r="42" spans="4:24" x14ac:dyDescent="0.2">
      <c r="D42" s="33" t="s">
        <v>394</v>
      </c>
      <c r="E42">
        <f t="shared" ref="E42:X42" si="9">IF(AND(E41&lt;VINMAX, E41&gt;$E$25), (VINMAX-E41)*(E37+E41/$E$27), 0)</f>
        <v>0</v>
      </c>
      <c r="F42">
        <f t="shared" si="9"/>
        <v>0</v>
      </c>
      <c r="G42">
        <f t="shared" si="9"/>
        <v>0</v>
      </c>
      <c r="H42">
        <f t="shared" si="9"/>
        <v>0</v>
      </c>
      <c r="I42">
        <f t="shared" si="9"/>
        <v>0</v>
      </c>
      <c r="J42">
        <f t="shared" si="9"/>
        <v>0</v>
      </c>
      <c r="K42">
        <f t="shared" si="9"/>
        <v>0</v>
      </c>
      <c r="L42">
        <f t="shared" si="9"/>
        <v>0</v>
      </c>
      <c r="M42">
        <f t="shared" si="9"/>
        <v>0</v>
      </c>
      <c r="N42">
        <f t="shared" si="9"/>
        <v>0</v>
      </c>
      <c r="O42">
        <f t="shared" si="9"/>
        <v>0</v>
      </c>
      <c r="P42">
        <f t="shared" si="9"/>
        <v>0</v>
      </c>
      <c r="Q42">
        <f t="shared" si="9"/>
        <v>0</v>
      </c>
      <c r="R42">
        <f t="shared" si="9"/>
        <v>0</v>
      </c>
      <c r="S42">
        <f t="shared" si="9"/>
        <v>0</v>
      </c>
      <c r="T42">
        <f t="shared" si="9"/>
        <v>0</v>
      </c>
      <c r="U42">
        <f t="shared" si="9"/>
        <v>0</v>
      </c>
      <c r="V42">
        <f t="shared" si="9"/>
        <v>0</v>
      </c>
      <c r="W42">
        <f t="shared" si="9"/>
        <v>0</v>
      </c>
      <c r="X42">
        <f t="shared" si="9"/>
        <v>0</v>
      </c>
    </row>
    <row r="44" spans="4:24" x14ac:dyDescent="0.2">
      <c r="D44" s="33" t="s">
        <v>395</v>
      </c>
      <c r="E44">
        <f>MAX(E39,E40,E42)</f>
        <v>175.96</v>
      </c>
      <c r="F44">
        <f>MAX(F39,F40,F42)</f>
        <v>160.90180752578823</v>
      </c>
      <c r="G44">
        <f>MAX(G39,G40,G42)</f>
        <v>149.08474084617919</v>
      </c>
      <c r="H44">
        <f t="shared" ref="H44:J44" si="10">MAX(H39,H40,H42)</f>
        <v>139.81117994904798</v>
      </c>
      <c r="I44">
        <f t="shared" si="10"/>
        <v>132.53366057436281</v>
      </c>
      <c r="J44">
        <f t="shared" si="10"/>
        <v>126.82255468565269</v>
      </c>
      <c r="K44">
        <f>MAX(K39,K40,K42)</f>
        <v>122.3407073977545</v>
      </c>
      <c r="L44">
        <f t="shared" ref="L44:R44" si="11">MAX(L39,L40,L42)</f>
        <v>118.82353305298373</v>
      </c>
      <c r="M44">
        <f t="shared" si="11"/>
        <v>116.0633954184605</v>
      </c>
      <c r="N44">
        <f t="shared" si="11"/>
        <v>113.89734989022608</v>
      </c>
      <c r="O44">
        <f t="shared" si="11"/>
        <v>112.19752406570893</v>
      </c>
      <c r="P44">
        <f t="shared" si="11"/>
        <v>110.86356880205821</v>
      </c>
      <c r="Q44">
        <f t="shared" si="11"/>
        <v>109.81673410890551</v>
      </c>
      <c r="R44">
        <f t="shared" si="11"/>
        <v>108.99522014614411</v>
      </c>
      <c r="S44">
        <f t="shared" ref="S44:X44" si="12">MAX(S39,S40,S42)</f>
        <v>108.35052887308413</v>
      </c>
      <c r="T44">
        <f t="shared" si="12"/>
        <v>107.84460096875176</v>
      </c>
      <c r="U44">
        <f t="shared" si="12"/>
        <v>107.4475690015479</v>
      </c>
      <c r="V44">
        <f t="shared" si="12"/>
        <v>107.13599420673643</v>
      </c>
      <c r="W44">
        <f t="shared" si="12"/>
        <v>106.89148277999792</v>
      </c>
      <c r="X44">
        <f t="shared" si="12"/>
        <v>106.69959999999999</v>
      </c>
    </row>
    <row r="45" spans="4:24" x14ac:dyDescent="0.2">
      <c r="D45" s="33" t="s">
        <v>396</v>
      </c>
      <c r="E45">
        <f>E38/E44*1000</f>
        <v>1.2284013777658758</v>
      </c>
      <c r="F45">
        <f>F38/F44*1000</f>
        <v>1.3731287509661503</v>
      </c>
      <c r="G45">
        <f>G38/G44*1000</f>
        <v>1.5229050174731564</v>
      </c>
      <c r="H45">
        <f t="shared" ref="H45:J45" si="13">H38/H44*1000</f>
        <v>1.6795423839927808</v>
      </c>
      <c r="I45">
        <f t="shared" si="13"/>
        <v>1.8465400705839532</v>
      </c>
      <c r="J45">
        <f t="shared" si="13"/>
        <v>2.0292657655593636</v>
      </c>
      <c r="K45">
        <f>K38/K44*1000</f>
        <v>2.2351362821009157</v>
      </c>
      <c r="L45">
        <f t="shared" ref="L45" si="14">L38/L44*1000</f>
        <v>2.4738629091793554</v>
      </c>
      <c r="M45">
        <f t="shared" ref="M45:N45" si="15">M38/M44*1000</f>
        <v>2.7578213581214532</v>
      </c>
      <c r="N45">
        <f t="shared" si="15"/>
        <v>3.1025973497903245</v>
      </c>
      <c r="O45">
        <f t="shared" ref="O45" si="16">O38/O44*1000</f>
        <v>3.5277538300885842</v>
      </c>
      <c r="P45">
        <f t="shared" ref="P45" si="17">P38/P44*1000</f>
        <v>4.0578678538894719</v>
      </c>
      <c r="Q45">
        <f t="shared" ref="Q45:R45" si="18">Q38/Q44*1000</f>
        <v>4.7238948947673105</v>
      </c>
      <c r="R45">
        <f t="shared" si="18"/>
        <v>5.5649351627112358</v>
      </c>
      <c r="S45">
        <f t="shared" ref="S45" si="19">S38/S44*1000</f>
        <v>6.6304999859177522</v>
      </c>
      <c r="T45">
        <f t="shared" ref="T45:U45" si="20">T38/T44*1000</f>
        <v>7.9834066546267071</v>
      </c>
      <c r="U45">
        <f t="shared" si="20"/>
        <v>9.7034683872946097</v>
      </c>
      <c r="V45">
        <f t="shared" ref="V45" si="21">V38/V44*1000</f>
        <v>11.892194137845244</v>
      </c>
      <c r="W45">
        <f t="shared" ref="W45" si="22">W38/W44*1000</f>
        <v>14.678773501438442</v>
      </c>
      <c r="X45">
        <f t="shared" ref="X45" si="23">X38/X44*1000</f>
        <v>18.227698540278972</v>
      </c>
    </row>
    <row r="47" spans="4:24" x14ac:dyDescent="0.2">
      <c r="D47" s="33" t="s">
        <v>182</v>
      </c>
      <c r="E47">
        <f>IF(E45&lt;$J$23,$J$24,IF(E45&lt;$K$23,$K$24,IF(E45&lt;$L$23,$L$24,$M$24)))</f>
        <v>27</v>
      </c>
      <c r="F47">
        <f>IF(F45&lt;$J$23,$J$24,IF(F45&lt;$K$23,$K$24,IF(F45&lt;$L$23,$L$24,$M$24)))</f>
        <v>27</v>
      </c>
      <c r="G47">
        <f>IF(G45&lt;$J$23,$J$24,IF(G45&lt;$K$23,$K$24,IF(G45&lt;$L$23,$L$24,$M$24)))</f>
        <v>27</v>
      </c>
      <c r="H47">
        <f t="shared" ref="H47:I47" si="24">IF(H45&lt;$J$23,$J$24,IF(H45&lt;$K$23,$K$24,IF(H45&lt;$L$23,$L$24,$M$24)))</f>
        <v>27</v>
      </c>
      <c r="I47">
        <f t="shared" si="24"/>
        <v>27</v>
      </c>
      <c r="J47">
        <f>IF(J45&lt;$J$23,$J$24,IF(J45&lt;$K$23,$K$24,IF(J45&lt;$L$23,$L$24,$M$24)))</f>
        <v>27</v>
      </c>
      <c r="K47">
        <f>IF(K45&lt;$J$23,$J$24,IF(K45&lt;$K$23,$K$24,IF(K45&lt;$L$23,$L$24,$M$24)))</f>
        <v>27</v>
      </c>
      <c r="L47">
        <f t="shared" ref="L47:R47" si="25">IF(L45&lt;$J$23,$J$24,IF(L45&lt;$K$23,$K$24,IF(L45&lt;$L$23,$L$24,$M$24)))</f>
        <v>27</v>
      </c>
      <c r="M47">
        <f t="shared" si="25"/>
        <v>27</v>
      </c>
      <c r="N47">
        <f t="shared" si="25"/>
        <v>27</v>
      </c>
      <c r="O47">
        <f t="shared" si="25"/>
        <v>27</v>
      </c>
      <c r="P47">
        <f t="shared" si="25"/>
        <v>27</v>
      </c>
      <c r="Q47">
        <f t="shared" si="25"/>
        <v>27</v>
      </c>
      <c r="R47">
        <f t="shared" si="25"/>
        <v>27</v>
      </c>
      <c r="S47">
        <f t="shared" ref="S47:X47" si="26">IF(S45&lt;$J$23,$J$24,IF(S45&lt;$K$23,$K$24,IF(S45&lt;$L$23,$L$24,$M$24)))</f>
        <v>27</v>
      </c>
      <c r="T47">
        <f t="shared" si="26"/>
        <v>27</v>
      </c>
      <c r="U47">
        <f t="shared" si="26"/>
        <v>27</v>
      </c>
      <c r="V47">
        <f t="shared" si="26"/>
        <v>17.142857142857146</v>
      </c>
      <c r="W47">
        <f t="shared" si="26"/>
        <v>17.142857142857146</v>
      </c>
      <c r="X47">
        <f t="shared" si="26"/>
        <v>17.142857142857146</v>
      </c>
    </row>
    <row r="48" spans="4:24" x14ac:dyDescent="0.2">
      <c r="D48" s="33" t="s">
        <v>183</v>
      </c>
      <c r="E48">
        <f>IF(E45&lt;$J$23,$J$25,IF(E45&lt;$K$23,$K$25,IF(E45&lt;$L$23,$L$25,$M$25)))</f>
        <v>-0.65321251377534373</v>
      </c>
      <c r="F48">
        <f>IF(F45&lt;$J$23,$J$25,IF(F45&lt;$K$23,$K$25,IF(F45&lt;$L$23,$L$25,$M$25)))</f>
        <v>-0.65321251377534373</v>
      </c>
      <c r="G48">
        <f>IF(G45&lt;$J$23,$J$25,IF(G45&lt;$K$23,$K$25,IF(G45&lt;$L$23,$L$25,$M$25)))</f>
        <v>-0.65321251377534373</v>
      </c>
      <c r="H48">
        <f t="shared" ref="H48:J48" si="27">IF(H45&lt;$J$23,$J$25,IF(H45&lt;$K$23,$K$25,IF(H45&lt;$L$23,$L$25,$M$25)))</f>
        <v>-0.65321251377534373</v>
      </c>
      <c r="I48">
        <f t="shared" si="27"/>
        <v>-0.65321251377534373</v>
      </c>
      <c r="J48">
        <f t="shared" si="27"/>
        <v>-0.65321251377534373</v>
      </c>
      <c r="K48">
        <f>IF(K45&lt;$J$23,$J$25,IF(K45&lt;$K$23,$K$25,IF(K45&lt;$L$23,$L$25,$M$25)))</f>
        <v>-0.65321251377534373</v>
      </c>
      <c r="L48">
        <f t="shared" ref="L48:R48" si="28">IF(L45&lt;$J$23,$J$25,IF(L45&lt;$K$23,$K$25,IF(L45&lt;$L$23,$L$25,$M$25)))</f>
        <v>-0.65321251377534373</v>
      </c>
      <c r="M48">
        <f t="shared" si="28"/>
        <v>-0.65321251377534373</v>
      </c>
      <c r="N48">
        <f t="shared" si="28"/>
        <v>-0.65321251377534373</v>
      </c>
      <c r="O48">
        <f t="shared" si="28"/>
        <v>-0.65321251377534373</v>
      </c>
      <c r="P48">
        <f t="shared" si="28"/>
        <v>-0.65321251377534373</v>
      </c>
      <c r="Q48">
        <f t="shared" si="28"/>
        <v>-0.65321251377534373</v>
      </c>
      <c r="R48">
        <f t="shared" si="28"/>
        <v>-0.65321251377534373</v>
      </c>
      <c r="S48">
        <f t="shared" ref="S48:X48" si="29">IF(S45&lt;$J$23,$J$25,IF(S45&lt;$K$23,$K$25,IF(S45&lt;$L$23,$L$25,$M$25)))</f>
        <v>-0.65321251377534373</v>
      </c>
      <c r="T48">
        <f t="shared" si="29"/>
        <v>-0.65321251377534373</v>
      </c>
      <c r="U48">
        <f t="shared" si="29"/>
        <v>-0.65321251377534373</v>
      </c>
      <c r="V48">
        <f t="shared" si="29"/>
        <v>-0.45593195564972439</v>
      </c>
      <c r="W48">
        <f t="shared" si="29"/>
        <v>-0.45593195564972439</v>
      </c>
      <c r="X48">
        <f t="shared" si="29"/>
        <v>-0.45593195564972439</v>
      </c>
    </row>
    <row r="50" spans="4:25" x14ac:dyDescent="0.2">
      <c r="D50" s="33" t="s">
        <v>404</v>
      </c>
      <c r="E50">
        <f t="shared" ref="E50:X50" si="30">E47*E45^E48*VINMAX</f>
        <v>1003.2161054183865</v>
      </c>
      <c r="F50">
        <f t="shared" si="30"/>
        <v>932.82027178347516</v>
      </c>
      <c r="G50">
        <f t="shared" si="30"/>
        <v>871.82340489169292</v>
      </c>
      <c r="H50">
        <f t="shared" si="30"/>
        <v>817.81512059474051</v>
      </c>
      <c r="I50">
        <f t="shared" si="30"/>
        <v>768.71230750260554</v>
      </c>
      <c r="J50">
        <f>J47*J45^J48*VINMAX</f>
        <v>722.76158229869429</v>
      </c>
      <c r="K50">
        <f t="shared" si="30"/>
        <v>678.5517030624768</v>
      </c>
      <c r="L50">
        <f t="shared" si="30"/>
        <v>635.0308304253615</v>
      </c>
      <c r="M50">
        <f t="shared" si="30"/>
        <v>591.51993362046608</v>
      </c>
      <c r="N50">
        <f t="shared" si="30"/>
        <v>547.71104433715402</v>
      </c>
      <c r="O50">
        <f t="shared" si="30"/>
        <v>503.63971747792999</v>
      </c>
      <c r="P50">
        <f t="shared" si="30"/>
        <v>459.62632394674688</v>
      </c>
      <c r="Q50">
        <f t="shared" si="30"/>
        <v>416.18971966014885</v>
      </c>
      <c r="R50">
        <f t="shared" si="30"/>
        <v>373.94594026263178</v>
      </c>
      <c r="S50">
        <f t="shared" si="30"/>
        <v>333.50963452908047</v>
      </c>
      <c r="T50">
        <f t="shared" si="30"/>
        <v>295.41465658025686</v>
      </c>
      <c r="U50">
        <f t="shared" si="30"/>
        <v>260.06363628358326</v>
      </c>
      <c r="V50">
        <f t="shared" si="30"/>
        <v>235.62742325891952</v>
      </c>
      <c r="W50">
        <f>W47*W45^W48*VINMAX</f>
        <v>214.06269459367741</v>
      </c>
      <c r="X50">
        <f t="shared" si="30"/>
        <v>193.93857665076308</v>
      </c>
    </row>
    <row r="51" spans="4:25" x14ac:dyDescent="0.2">
      <c r="D51" s="33" t="s">
        <v>405</v>
      </c>
      <c r="E51">
        <f t="shared" ref="E51:X51" si="31">E50*(TJMAX-$E$19)/(TJMAX - 25)</f>
        <v>769.13234748742968</v>
      </c>
      <c r="F51">
        <f t="shared" si="31"/>
        <v>715.162208367331</v>
      </c>
      <c r="G51">
        <f t="shared" si="31"/>
        <v>668.39794375029794</v>
      </c>
      <c r="H51">
        <f t="shared" si="31"/>
        <v>626.99159245596775</v>
      </c>
      <c r="I51">
        <f t="shared" si="31"/>
        <v>589.34610241866426</v>
      </c>
      <c r="J51">
        <f t="shared" si="31"/>
        <v>554.11721309566565</v>
      </c>
      <c r="K51">
        <f t="shared" si="31"/>
        <v>520.2229723478988</v>
      </c>
      <c r="L51">
        <f t="shared" si="31"/>
        <v>486.85696999277718</v>
      </c>
      <c r="M51">
        <f t="shared" si="31"/>
        <v>453.49861577569072</v>
      </c>
      <c r="N51">
        <f t="shared" si="31"/>
        <v>419.91180065848476</v>
      </c>
      <c r="O51">
        <f t="shared" si="31"/>
        <v>386.12378339974634</v>
      </c>
      <c r="P51">
        <f t="shared" si="31"/>
        <v>352.38018169250597</v>
      </c>
      <c r="Q51">
        <f t="shared" si="31"/>
        <v>319.07878507278076</v>
      </c>
      <c r="R51">
        <f t="shared" si="31"/>
        <v>286.69188753468438</v>
      </c>
      <c r="S51">
        <f t="shared" si="31"/>
        <v>255.69071980562836</v>
      </c>
      <c r="T51">
        <f t="shared" si="31"/>
        <v>226.4845700448636</v>
      </c>
      <c r="U51">
        <f t="shared" si="31"/>
        <v>199.38212115074717</v>
      </c>
      <c r="V51">
        <f t="shared" si="31"/>
        <v>180.64769116517164</v>
      </c>
      <c r="W51">
        <f t="shared" si="31"/>
        <v>164.11473252181935</v>
      </c>
      <c r="X51">
        <f t="shared" si="31"/>
        <v>148.68624209891837</v>
      </c>
    </row>
    <row r="52" spans="4:25" x14ac:dyDescent="0.2">
      <c r="D52" s="33" t="s">
        <v>407</v>
      </c>
      <c r="E52">
        <f>E51/E44</f>
        <v>4.3710635797194231</v>
      </c>
      <c r="F52">
        <f>F51/F44</f>
        <v>4.4447120847459081</v>
      </c>
      <c r="G52">
        <f>G51/G44</f>
        <v>4.483342426304576</v>
      </c>
      <c r="H52">
        <f t="shared" ref="H52:J52" si="32">H51/H44</f>
        <v>4.4845597661393395</v>
      </c>
      <c r="I52">
        <f t="shared" si="32"/>
        <v>4.4467654470917619</v>
      </c>
      <c r="J52">
        <f t="shared" si="32"/>
        <v>4.3692323851157395</v>
      </c>
      <c r="K52">
        <f>K51/K44</f>
        <v>4.2522475422391359</v>
      </c>
      <c r="L52">
        <f t="shared" ref="L52" si="33">L51/L44</f>
        <v>4.0973110080448993</v>
      </c>
      <c r="M52">
        <f t="shared" ref="M52:N52" si="34">M51/M44</f>
        <v>3.9073354190666678</v>
      </c>
      <c r="N52">
        <f t="shared" si="34"/>
        <v>3.686756549324409</v>
      </c>
      <c r="O52">
        <f t="shared" ref="O52" si="35">O51/O44</f>
        <v>3.4414643871607309</v>
      </c>
      <c r="P52">
        <f t="shared" ref="P52" si="36">P51/P44</f>
        <v>3.1785029608929922</v>
      </c>
      <c r="Q52">
        <f t="shared" ref="Q52:R52" si="37">Q51/Q44</f>
        <v>2.9055570415739154</v>
      </c>
      <c r="R52">
        <f t="shared" si="37"/>
        <v>2.6303161473528762</v>
      </c>
      <c r="S52">
        <f t="shared" ref="S52" si="38">S51/S44</f>
        <v>2.3598474549684059</v>
      </c>
      <c r="T52">
        <f t="shared" ref="T52:U52" si="39">T51/T44</f>
        <v>2.1001011456335035</v>
      </c>
      <c r="U52">
        <f t="shared" si="39"/>
        <v>1.855622449195429</v>
      </c>
      <c r="V52">
        <f t="shared" ref="V52" si="40">V51/V44</f>
        <v>1.6861531225125177</v>
      </c>
      <c r="W52">
        <f t="shared" ref="W52" si="41">W51/W44</f>
        <v>1.5353396571324329</v>
      </c>
      <c r="X52">
        <f t="shared" ref="X52" si="42">X51/X44</f>
        <v>1.3935032755410366</v>
      </c>
    </row>
    <row r="54" spans="4:25" x14ac:dyDescent="0.2">
      <c r="D54" s="33" t="s">
        <v>411</v>
      </c>
      <c r="E54" t="str">
        <f>IF(E52&gt;$E$20, "Y", "N")</f>
        <v>Y</v>
      </c>
      <c r="F54" t="str">
        <f t="shared" ref="F54:X54" si="43">IF(F52&gt;$E$20, "Y", "N")</f>
        <v>Y</v>
      </c>
      <c r="G54" t="str">
        <f t="shared" si="43"/>
        <v>Y</v>
      </c>
      <c r="H54" t="str">
        <f t="shared" si="43"/>
        <v>Y</v>
      </c>
      <c r="I54" t="str">
        <f t="shared" si="43"/>
        <v>Y</v>
      </c>
      <c r="J54" t="str">
        <f t="shared" si="43"/>
        <v>Y</v>
      </c>
      <c r="K54" t="str">
        <f t="shared" si="43"/>
        <v>Y</v>
      </c>
      <c r="L54" t="str">
        <f t="shared" si="43"/>
        <v>Y</v>
      </c>
      <c r="M54" t="str">
        <f t="shared" si="43"/>
        <v>Y</v>
      </c>
      <c r="N54" t="str">
        <f t="shared" si="43"/>
        <v>Y</v>
      </c>
      <c r="O54" t="str">
        <f t="shared" si="43"/>
        <v>Y</v>
      </c>
      <c r="P54" t="str">
        <f t="shared" si="43"/>
        <v>Y</v>
      </c>
      <c r="Q54" t="str">
        <f t="shared" si="43"/>
        <v>Y</v>
      </c>
      <c r="R54" t="str">
        <f t="shared" si="43"/>
        <v>Y</v>
      </c>
      <c r="S54" t="str">
        <f t="shared" si="43"/>
        <v>Y</v>
      </c>
      <c r="T54" t="str">
        <f t="shared" si="43"/>
        <v>Y</v>
      </c>
      <c r="U54" t="str">
        <f t="shared" si="43"/>
        <v>Y</v>
      </c>
      <c r="V54" t="str">
        <f t="shared" si="43"/>
        <v>Y</v>
      </c>
      <c r="W54" t="str">
        <f t="shared" si="43"/>
        <v>Y</v>
      </c>
      <c r="X54" t="str">
        <f t="shared" si="43"/>
        <v>N</v>
      </c>
      <c r="Y54" t="s">
        <v>414</v>
      </c>
    </row>
    <row r="55" spans="4:25" x14ac:dyDescent="0.2">
      <c r="D55" s="33" t="s">
        <v>412</v>
      </c>
      <c r="E55">
        <f>IF(E54="Y", 1, 0)</f>
        <v>1</v>
      </c>
      <c r="F55">
        <f>IF(AND(F54="Y", E54="N"),  1, 0)</f>
        <v>0</v>
      </c>
      <c r="G55">
        <f t="shared" ref="G55:X55" si="44">IF(AND(G54="Y", F54="N"),  1, 0)</f>
        <v>0</v>
      </c>
      <c r="H55">
        <f t="shared" si="44"/>
        <v>0</v>
      </c>
      <c r="I55">
        <f t="shared" si="44"/>
        <v>0</v>
      </c>
      <c r="J55">
        <f t="shared" si="44"/>
        <v>0</v>
      </c>
      <c r="K55">
        <f t="shared" si="44"/>
        <v>0</v>
      </c>
      <c r="L55">
        <f t="shared" si="44"/>
        <v>0</v>
      </c>
      <c r="M55">
        <f t="shared" si="44"/>
        <v>0</v>
      </c>
      <c r="N55">
        <f t="shared" si="44"/>
        <v>0</v>
      </c>
      <c r="O55">
        <f t="shared" si="44"/>
        <v>0</v>
      </c>
      <c r="P55">
        <f t="shared" si="44"/>
        <v>0</v>
      </c>
      <c r="Q55">
        <f t="shared" si="44"/>
        <v>0</v>
      </c>
      <c r="R55">
        <f t="shared" si="44"/>
        <v>0</v>
      </c>
      <c r="S55">
        <f t="shared" si="44"/>
        <v>0</v>
      </c>
      <c r="T55">
        <f t="shared" si="44"/>
        <v>0</v>
      </c>
      <c r="U55">
        <f t="shared" si="44"/>
        <v>0</v>
      </c>
      <c r="V55">
        <f t="shared" si="44"/>
        <v>0</v>
      </c>
      <c r="W55">
        <f t="shared" si="44"/>
        <v>0</v>
      </c>
      <c r="X55">
        <f t="shared" si="44"/>
        <v>0</v>
      </c>
    </row>
    <row r="56" spans="4:25" x14ac:dyDescent="0.2">
      <c r="D56" s="33" t="s">
        <v>413</v>
      </c>
      <c r="E56">
        <v>0</v>
      </c>
      <c r="F56">
        <f>IF(AND(F54="Y", G54="N"),  1, 0)</f>
        <v>0</v>
      </c>
      <c r="G56">
        <f t="shared" ref="G56:X56" si="45">IF(AND(G54="Y", H54="N"),  1, 0)</f>
        <v>0</v>
      </c>
      <c r="H56">
        <f t="shared" si="45"/>
        <v>0</v>
      </c>
      <c r="I56">
        <f t="shared" si="45"/>
        <v>0</v>
      </c>
      <c r="J56">
        <f t="shared" si="45"/>
        <v>0</v>
      </c>
      <c r="K56">
        <f t="shared" si="45"/>
        <v>0</v>
      </c>
      <c r="L56">
        <f t="shared" si="45"/>
        <v>0</v>
      </c>
      <c r="M56">
        <f t="shared" si="45"/>
        <v>0</v>
      </c>
      <c r="N56">
        <f t="shared" si="45"/>
        <v>0</v>
      </c>
      <c r="O56">
        <f t="shared" si="45"/>
        <v>0</v>
      </c>
      <c r="P56">
        <f t="shared" si="45"/>
        <v>0</v>
      </c>
      <c r="Q56">
        <f t="shared" si="45"/>
        <v>0</v>
      </c>
      <c r="R56">
        <f t="shared" si="45"/>
        <v>0</v>
      </c>
      <c r="S56">
        <f t="shared" si="45"/>
        <v>0</v>
      </c>
      <c r="T56">
        <f t="shared" si="45"/>
        <v>0</v>
      </c>
      <c r="U56">
        <f t="shared" si="45"/>
        <v>0</v>
      </c>
      <c r="V56">
        <f t="shared" si="45"/>
        <v>0</v>
      </c>
      <c r="W56">
        <f t="shared" si="45"/>
        <v>1</v>
      </c>
      <c r="X56">
        <f t="shared" si="45"/>
        <v>0</v>
      </c>
    </row>
    <row r="58" spans="4:25" x14ac:dyDescent="0.2">
      <c r="D58" t="s">
        <v>415</v>
      </c>
      <c r="E58">
        <f>E55*E35</f>
        <v>12</v>
      </c>
      <c r="F58">
        <f t="shared" ref="F58:X58" si="46">F55*F35</f>
        <v>0</v>
      </c>
      <c r="G58">
        <f t="shared" si="46"/>
        <v>0</v>
      </c>
      <c r="H58">
        <f t="shared" si="46"/>
        <v>0</v>
      </c>
      <c r="I58">
        <f t="shared" si="46"/>
        <v>0</v>
      </c>
      <c r="J58">
        <f t="shared" si="46"/>
        <v>0</v>
      </c>
      <c r="K58">
        <f t="shared" si="46"/>
        <v>0</v>
      </c>
      <c r="L58">
        <f t="shared" si="46"/>
        <v>0</v>
      </c>
      <c r="M58">
        <f t="shared" si="46"/>
        <v>0</v>
      </c>
      <c r="N58">
        <f t="shared" si="46"/>
        <v>0</v>
      </c>
      <c r="O58">
        <f t="shared" si="46"/>
        <v>0</v>
      </c>
      <c r="P58">
        <f t="shared" si="46"/>
        <v>0</v>
      </c>
      <c r="Q58">
        <f t="shared" si="46"/>
        <v>0</v>
      </c>
      <c r="R58">
        <f t="shared" si="46"/>
        <v>0</v>
      </c>
      <c r="S58">
        <f t="shared" si="46"/>
        <v>0</v>
      </c>
      <c r="T58">
        <f t="shared" si="46"/>
        <v>0</v>
      </c>
      <c r="U58">
        <f t="shared" si="46"/>
        <v>0</v>
      </c>
      <c r="V58">
        <f t="shared" si="46"/>
        <v>0</v>
      </c>
      <c r="W58">
        <f t="shared" si="46"/>
        <v>0</v>
      </c>
      <c r="X58">
        <f t="shared" si="46"/>
        <v>0</v>
      </c>
    </row>
    <row r="59" spans="4:25" x14ac:dyDescent="0.2">
      <c r="D59" t="s">
        <v>416</v>
      </c>
      <c r="E59">
        <f>E35*E56</f>
        <v>0</v>
      </c>
      <c r="F59">
        <f t="shared" ref="F59:X59" si="47">F35*F56</f>
        <v>0</v>
      </c>
      <c r="G59">
        <f t="shared" si="47"/>
        <v>0</v>
      </c>
      <c r="H59">
        <f t="shared" si="47"/>
        <v>0</v>
      </c>
      <c r="I59">
        <f t="shared" si="47"/>
        <v>0</v>
      </c>
      <c r="J59">
        <f t="shared" si="47"/>
        <v>0</v>
      </c>
      <c r="K59">
        <f t="shared" si="47"/>
        <v>0</v>
      </c>
      <c r="L59">
        <f t="shared" si="47"/>
        <v>0</v>
      </c>
      <c r="M59">
        <f t="shared" si="47"/>
        <v>0</v>
      </c>
      <c r="N59">
        <f t="shared" si="47"/>
        <v>0</v>
      </c>
      <c r="O59">
        <f t="shared" si="47"/>
        <v>0</v>
      </c>
      <c r="P59">
        <f t="shared" si="47"/>
        <v>0</v>
      </c>
      <c r="Q59">
        <f t="shared" si="47"/>
        <v>0</v>
      </c>
      <c r="R59">
        <f t="shared" si="47"/>
        <v>0</v>
      </c>
      <c r="S59">
        <f t="shared" si="47"/>
        <v>0</v>
      </c>
      <c r="T59">
        <f t="shared" si="47"/>
        <v>0</v>
      </c>
      <c r="U59">
        <f t="shared" si="47"/>
        <v>0</v>
      </c>
      <c r="V59">
        <f t="shared" si="47"/>
        <v>0</v>
      </c>
      <c r="W59">
        <f t="shared" si="47"/>
        <v>0.15291299828437604</v>
      </c>
      <c r="X59">
        <f t="shared" si="47"/>
        <v>0</v>
      </c>
    </row>
  </sheetData>
  <pageMargins left="0.7" right="0.7" top="0.75" bottom="0.75" header="0.3" footer="0.3"/>
  <pageSetup orientation="portrait" horizontalDpi="1200" verticalDpi="12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CF72F43736E84F41BD4B3E7ABAD1B9F8" ma:contentTypeVersion="0" ma:contentTypeDescription="Create a new document." ma:contentTypeScope="" ma:versionID="6d41e9362d2f52e62f002b8bc1f10a2a">
  <xsd:schema xmlns:xsd="http://www.w3.org/2001/XMLSchema" xmlns:xs="http://www.w3.org/2001/XMLSchema" xmlns:p="http://schemas.microsoft.com/office/2006/metadata/properties" targetNamespace="http://schemas.microsoft.com/office/2006/metadata/properties" ma:root="true" ma:fieldsID="c64490b4aec6201516c3a874156f37b2">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075DB13-C899-42C1-B546-04A99F6A6EC5}">
  <ds:schemaRefs>
    <ds:schemaRef ds:uri="http://purl.org/dc/elements/1.1/"/>
    <ds:schemaRef ds:uri="http://schemas.microsoft.com/office/2006/metadata/propertie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www.w3.org/XML/1998/namespace"/>
    <ds:schemaRef ds:uri="http://purl.org/dc/dcmitype/"/>
  </ds:schemaRefs>
</ds:datastoreItem>
</file>

<file path=customXml/itemProps2.xml><?xml version="1.0" encoding="utf-8"?>
<ds:datastoreItem xmlns:ds="http://schemas.openxmlformats.org/officeDocument/2006/customXml" ds:itemID="{8C792D54-93DE-44B5-8029-9C9ACFC0E2BA}">
  <ds:schemaRefs>
    <ds:schemaRef ds:uri="http://schemas.microsoft.com/sharepoint/v3/contenttype/forms"/>
  </ds:schemaRefs>
</ds:datastoreItem>
</file>

<file path=customXml/itemProps3.xml><?xml version="1.0" encoding="utf-8"?>
<ds:datastoreItem xmlns:ds="http://schemas.openxmlformats.org/officeDocument/2006/customXml" ds:itemID="{450E0136-3BAD-49BB-8AF7-407A6C7ED0D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35</vt:i4>
      </vt:variant>
    </vt:vector>
  </HeadingPairs>
  <TitlesOfParts>
    <vt:vector size="42" baseType="lpstr">
      <vt:lpstr>Instructions</vt:lpstr>
      <vt:lpstr>Design Calculator</vt:lpstr>
      <vt:lpstr>Device Parameters</vt:lpstr>
      <vt:lpstr>Equations</vt:lpstr>
      <vt:lpstr>Start_up</vt:lpstr>
      <vt:lpstr>SOA</vt:lpstr>
      <vt:lpstr>dv_dt_recommendations</vt:lpstr>
      <vt:lpstr>CLMAX</vt:lpstr>
      <vt:lpstr>CLMAX_Threshold</vt:lpstr>
      <vt:lpstr>CLMIN</vt:lpstr>
      <vt:lpstr>CLMIN_Threshold</vt:lpstr>
      <vt:lpstr>CLNOM</vt:lpstr>
      <vt:lpstr>CLNOM_Threshold</vt:lpstr>
      <vt:lpstr>COUTMAX</vt:lpstr>
      <vt:lpstr>FETPDISS</vt:lpstr>
      <vt:lpstr>I_Cout_ss</vt:lpstr>
      <vt:lpstr>IOUTMAX</vt:lpstr>
      <vt:lpstr>NUMFETS</vt:lpstr>
      <vt:lpstr>'Design Calculator'!Print_Area</vt:lpstr>
      <vt:lpstr>RDIV1</vt:lpstr>
      <vt:lpstr>RDIV2</vt:lpstr>
      <vt:lpstr>RDSON</vt:lpstr>
      <vt:lpstr>RPWR</vt:lpstr>
      <vt:lpstr>Rs</vt:lpstr>
      <vt:lpstr>RsEFF</vt:lpstr>
      <vt:lpstr>RsMAX</vt:lpstr>
      <vt:lpstr>ss_rate</vt:lpstr>
      <vt:lpstr>TAMB</vt:lpstr>
      <vt:lpstr>Tfault</vt:lpstr>
      <vt:lpstr>ThetaJA</vt:lpstr>
      <vt:lpstr>TINSERT</vt:lpstr>
      <vt:lpstr>TINSERTMAX</vt:lpstr>
      <vt:lpstr>TINSERTMIN</vt:lpstr>
      <vt:lpstr>TJ</vt:lpstr>
      <vt:lpstr>TJMAX</vt:lpstr>
      <vt:lpstr>TSTARTMAX</vt:lpstr>
      <vt:lpstr>TSTARTMIN</vt:lpstr>
      <vt:lpstr>TSTARTNOM</vt:lpstr>
      <vt:lpstr>VINMAX</vt:lpstr>
      <vt:lpstr>VINMIN</vt:lpstr>
      <vt:lpstr>VINNOM</vt:lpstr>
      <vt:lpstr>yesno</vt:lpstr>
    </vt:vector>
  </TitlesOfParts>
  <Company>NSC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LM5069</dc:title>
  <dc:creator>a-rogachev@ti.com</dc:creator>
  <cp:lastModifiedBy>Eddie Tian</cp:lastModifiedBy>
  <cp:lastPrinted>2013-08-26T22:42:43Z</cp:lastPrinted>
  <dcterms:created xsi:type="dcterms:W3CDTF">2009-04-21T16:00:33Z</dcterms:created>
  <dcterms:modified xsi:type="dcterms:W3CDTF">2021-11-13T18:20:13Z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0x010100CF72F43736E84F41BD4B3E7ABAD1B9F8</vt:lpwstr>
  </property>
</Properties>
</file>