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B:\usr\eddie\Home\University of Toronto\Clubs\RSX\rsx_pcb\RSX_High_Power_Board\"/>
    </mc:Choice>
  </mc:AlternateContent>
  <xr:revisionPtr revIDLastSave="0" documentId="13_ncr:1_{9C225A33-ECD9-495F-9C99-B1B6E7866370}" xr6:coauthVersionLast="47" xr6:coauthVersionMax="47" xr10:uidLastSave="{00000000-0000-0000-0000-000000000000}"/>
  <workbookProtection workbookPassword="C5C9" lockStructure="1"/>
  <bookViews>
    <workbookView xWindow="-25845" yWindow="2640" windowWidth="21600" windowHeight="11385"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3" i="1" l="1"/>
  <c r="F135" i="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E39" i="14"/>
  <c r="E40" i="14"/>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F122" i="1" l="1"/>
  <c r="F123" i="1"/>
  <c r="H35" i="3"/>
  <c r="H33" i="3"/>
  <c r="C25" i="7"/>
  <c r="H34" i="3"/>
  <c r="E23" i="14"/>
  <c r="K25" i="14"/>
  <c r="E34" i="7"/>
  <c r="C33" i="7"/>
  <c r="J24" i="14" s="1"/>
  <c r="F85" i="1"/>
  <c r="F65" i="3"/>
  <c r="D33" i="7"/>
  <c r="K24" i="14" s="1"/>
  <c r="F101" i="1"/>
  <c r="F40" i="14"/>
  <c r="F39" i="14"/>
  <c r="E44" i="14"/>
  <c r="C12" i="7"/>
  <c r="C13" i="7" s="1"/>
  <c r="C15" i="7" s="1"/>
  <c r="C19" i="7" s="1"/>
  <c r="C18" i="7" s="1"/>
  <c r="G36" i="14"/>
  <c r="H35" i="14"/>
  <c r="G37" i="14"/>
  <c r="F23" i="3"/>
  <c r="F21" i="3"/>
  <c r="F40" i="1" s="1"/>
  <c r="F40" i="3" l="1"/>
  <c r="F65" i="1" s="1"/>
  <c r="F42" i="3"/>
  <c r="P97" i="13"/>
  <c r="F20" i="13"/>
  <c r="E33" i="7"/>
  <c r="L24" i="14" s="1"/>
  <c r="F34" i="7"/>
  <c r="L25" i="14"/>
  <c r="F38" i="3"/>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E10" i="13"/>
  <c r="M10" i="13" s="1"/>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L26" i="13"/>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<sst xmlns="http://schemas.openxmlformats.org/spreadsheetml/2006/main" count="721" uniqueCount="495">
  <si>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</si>
  <si>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</si>
  <si>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</si>
  <si>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</si>
  <si>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</si>
  <si>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</si>
  <si>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</si>
  <si>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</si>
  <si>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</si>
  <si>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</si>
  <si>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</si>
  <si>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</si>
  <si>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</si>
  <si>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</si>
  <si>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</si>
  <si>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</si>
  <si>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</si>
  <si>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</si>
  <si>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</si>
  <si>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</si>
  <si>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</si>
  <si>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</si>
  <si>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</si>
  <si>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</si>
  <si>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</si>
  <si>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</si>
  <si>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</si>
  <si>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</si>
  <si>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</si>
  <si>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</si>
  <si>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</si>
  <si>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</si>
  <si>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</si>
  <si>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</si>
  <si>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</si>
  <si>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</si>
  <si>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</si>
  <si>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</si>
  <si>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</si>
  <si>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</si>
  <si>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</si>
  <si>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</si>
  <si>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</si>
  <si>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</si>
  <si>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</si>
  <si>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</si>
  <si>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</si>
  <si>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</si>
  <si>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</si>
  <si>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</si>
  <si>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</si>
  <si>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</si>
  <si>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</si>
  <si>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</si>
  <si>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</si>
  <si>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</si>
  <si>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</si>
  <si>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</si>
  <si>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</si>
  <si>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</si>
  <si>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</si>
  <si>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</si>
  <si>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</si>
  <si>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</si>
  <si>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</si>
  <si>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</si>
  <si>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</si>
  <si>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</si>
  <si>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</si>
  <si>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</si>
  <si>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</si>
  <si>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</si>
  <si>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</si>
  <si>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</si>
  <si>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</si>
  <si>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</si>
  <si>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</si>
  <si>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</si>
  <si>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</si>
  <si>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</si>
  <si>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</si>
  <si>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</si>
  <si>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</si>
  <si>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</si>
  <si>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</si>
  <si>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</si>
  <si>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</si>
  <si>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</si>
  <si>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</si>
  <si>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</si>
  <si>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</si>
  <si>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</si>
  <si>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</si>
  <si>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</si>
  <si>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</si>
  <si>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</si>
  <si>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</si>
  <si>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</si>
  <si>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</si>
  <si>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</si>
  <si>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</si>
  <si>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</si>
  <si>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</si>
  <si>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</si>
  <si>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</si>
  <si>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</si>
  <si>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</si>
  <si>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</si>
  <si>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</si>
  <si>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</si>
  <si>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</si>
  <si>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</si>
  <si>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</si>
  <si>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</si>
  <si>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</si>
  <si>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</si>
  <si>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</si>
  <si>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</si>
  <si>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</si>
  <si>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</si>
  <si>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</si>
  <si>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</si>
  <si>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</si>
  <si>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</si>
  <si>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</si>
  <si>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</si>
  <si>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</si>
  <si>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</si>
  <si>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</si>
  <si>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</si>
  <si>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</si>
  <si>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</si>
  <si>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</si>
  <si>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</si>
  <si>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</si>
  <si>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</si>
  <si>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</si>
  <si>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</si>
  <si>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</si>
  <si>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</si>
  <si>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</si>
  <si>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</si>
  <si>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</si>
  <si>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</si>
  <si>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</si>
  <si>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</si>
  <si>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</si>
  <si>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</si>
  <si>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</si>
  <si>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</si>
  <si>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</si>
  <si>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</si>
  <si>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</si>
  <si>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</si>
  <si>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</si>
  <si>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</si>
  <si>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</si>
  <si>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</si>
  <si>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</si>
  <si>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</si>
  <si>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</si>
  <si>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</si>
  <si>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</si>
  <si>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</si>
  <si>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</si>
  <si>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</si>
  <si>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</si>
  <si>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</si>
  <si>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</si>
  <si>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</si>
  <si>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</si>
  <si>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</si>
  <si>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</si>
  <si>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</si>
  <si>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</si>
  <si>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</si>
  <si>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</si>
  <si>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</si>
  <si>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</si>
  <si>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</si>
  <si>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</si>
  <si>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</si>
  <si>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</si>
  <si>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</si>
  <si>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</si>
  <si>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</si>
  <si>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</si>
  <si>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</si>
  <si>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</si>
  <si>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</si>
  <si>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</si>
  <si>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</si>
  <si>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</si>
  <si>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</si>
  <si>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</si>
  <si>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</si>
  <si>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</si>
  <si>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</si>
  <si>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</si>
  <si>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</si>
  <si>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</si>
  <si>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</si>
  <si>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</si>
  <si>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</si>
  <si>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</si>
  <si>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</si>
  <si>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</si>
  <si>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</si>
  <si>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</si>
  <si>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</si>
  <si>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</si>
  <si>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</si>
  <si>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</si>
  <si>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</si>
  <si>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</si>
  <si>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</si>
  <si>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</si>
  <si>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</si>
  <si>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</si>
  <si>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</si>
  <si>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</si>
  <si>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</si>
  <si>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</si>
  <si>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</si>
  <si>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</si>
  <si>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</si>
  <si>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</si>
  <si>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</si>
  <si>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</si>
  <si>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</si>
  <si>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</si>
  <si>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</si>
  <si>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</si>
  <si>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</si>
  <si>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</si>
  <si>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</si>
  <si>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</si>
  <si>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</si>
  <si>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</si>
  <si>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</si>
  <si>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</si>
  <si>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</si>
  <si>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</si>
  <si>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</si>
  <si>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</si>
  <si>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</si>
  <si>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</si>
  <si>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</si>
  <si>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</si>
  <si>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</si>
  <si>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</si>
  <si>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</si>
  <si>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</si>
  <si>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</si>
  <si>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</si>
  <si>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</si>
  <si>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</si>
  <si>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</si>
  <si>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</si>
  <si>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</si>
  <si>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</si>
  <si>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</si>
  <si>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</si>
  <si>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</si>
  <si>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</si>
  <si>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</si>
  <si>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</si>
  <si>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</si>
  <si>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</si>
  <si>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</si>
  <si>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</si>
  <si>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</si>
  <si>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</si>
  <si>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</si>
  <si>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</si>
  <si>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</si>
  <si>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</si>
  <si>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</si>
  <si>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</si>
  <si>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</si>
  <si>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</si>
  <si>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</si>
  <si>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</si>
  <si>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</si>
  <si>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</si>
  <si>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</si>
  <si>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</si>
  <si>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</si>
  <si>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</si>
  <si>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</si>
  <si>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</si>
  <si>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</si>
  <si>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</si>
  <si>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</si>
  <si>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</si>
  <si>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</si>
  <si>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</si>
  <si>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</si>
  <si>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</si>
  <si>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</si>
  <si>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</si>
  <si>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</si>
  <si>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</si>
  <si>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</si>
  <si>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</si>
  <si>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</si>
  <si>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</si>
  <si>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</si>
  <si>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</si>
  <si>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</si>
  <si>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</si>
  <si>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</si>
  <si>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</si>
  <si>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</si>
  <si>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</si>
  <si>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</si>
  <si>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</si>
  <si>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</si>
  <si>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</si>
  <si>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</si>
  <si>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</si>
  <si>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</si>
  <si>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</si>
  <si>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</si>
  <si>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</si>
  <si>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</si>
  <si>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</si>
  <si>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</si>
  <si>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</si>
  <si>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</si>
  <si>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</si>
  <si>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</si>
  <si>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</si>
  <si>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</si>
  <si>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</si>
  <si>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</si>
  <si>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</si>
  <si>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</si>
  <si>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</si>
  <si>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</si>
  <si>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</si>
  <si>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</si>
  <si>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</si>
  <si>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</si>
  <si>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</si>
  <si>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</si>
  <si>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</si>
  <si>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</si>
  <si>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</si>
  <si>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</si>
  <si>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</si>
  <si>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</si>
  <si>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</si>
  <si>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</si>
  <si>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</si>
  <si>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</si>
  <si>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</si>
  <si>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</si>
  <si>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</si>
  <si>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</si>
  <si>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</si>
  <si>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</si>
  <si>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</si>
  <si>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</si>
  <si>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</si>
  <si>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</si>
  <si>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</si>
  <si>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</si>
  <si>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</si>
  <si>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</si>
  <si>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</si>
  <si>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</si>
  <si>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</si>
  <si>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</si>
  <si>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</si>
  <si>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</si>
  <si>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</si>
  <si>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</si>
  <si>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</si>
  <si>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</si>
  <si>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</si>
  <si>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</si>
  <si>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</si>
  <si>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</si>
  <si>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</si>
  <si>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</si>
  <si>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</si>
  <si>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</si>
  <si>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</si>
  <si>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</si>
  <si>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</si>
  <si>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</si>
  <si>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</si>
  <si>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</si>
  <si>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</si>
  <si>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</si>
  <si>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</si>
  <si>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</si>
  <si>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</si>
  <si>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</si>
  <si>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</si>
  <si>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</si>
  <si>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</si>
  <si>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</si>
  <si>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</si>
  <si>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</si>
  <si>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</si>
  <si>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</si>
  <si>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</si>
  <si>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</si>
  <si>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</si>
  <si>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</si>
  <si>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</si>
  <si>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</si>
  <si>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</si>
  <si>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</si>
  <si>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</si>
  <si>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</si>
  <si>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</si>
  <si>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</si>
  <si>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</si>
  <si>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</si>
  <si>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</si>
  <si>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</si>
  <si>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</si>
  <si>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</si>
  <si>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</si>
  <si>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</si>
  <si>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</si>
  <si>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</si>
  <si>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</si>
  <si>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</si>
  <si>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</si>
  <si>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</si>
  <si>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</si>
  <si>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</si>
  <si>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</si>
  <si>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</si>
  <si>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</si>
  <si>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</si>
  <si>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</si>
  <si>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</si>
  <si>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</si>
  <si>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</si>
  <si>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</si>
  <si>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</si>
  <si>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</si>
  <si>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</si>
  <si>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</si>
  <si>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</si>
  <si>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</si>
  <si>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</si>
  <si>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</si>
  <si>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</si>
  <si>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</si>
  <si>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</si>
  <si>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</si>
  <si>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</si>
  <si>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</si>
  <si>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</si>
  <si>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</si>
  <si>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</si>
  <si>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</si>
  <si>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</si>
  <si>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</si>
  <si>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</si>
  <si>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</si>
  <si>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</si>
  <si>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</si>
  <si>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</si>
  <si>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</si>
  <si>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</si>
  <si>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r>
      <t xml:space="preserve">                         </t>
    </r>
    <r>
      <rPr>
        <sz val="22"/>
        <color theme="0"/>
        <rFont val="Arial"/>
        <family val="2"/>
      </rPr>
      <t>LM5069 Hot Swap Design Tool</t>
    </r>
  </si>
  <si>
    <t>Q1 FET Name</t>
  </si>
  <si>
    <t>PSMN4R8-100BSE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</si>
  <si>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</si>
  <si>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</si>
  <si>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</si>
  <si>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</si>
  <si>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</si>
  <si>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</si>
  <si>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</si>
  <si>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</si>
  <si>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</si>
  <si>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</si>
  <si>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</si>
  <si>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</si>
  <si>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</si>
  <si>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</si>
  <si>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</si>
  <si>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</si>
  <si>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</si>
  <si>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</si>
  <si>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</si>
  <si>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HELLO DESIGNER, PWRGOOD PIN GOES TO ALL VOLTAGE REGULATORS TO IGNORE STARTUP BEHAVIOUR. Use 440 for timer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</si>
</sst>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358">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5" fillId="2" borderId="0" xfId="1" applyFont="1" applyFill="1" applyAlignment="1" applyProtection="1"/>
    <xf numFmtId="0" fontId="16" fillId="3" borderId="0" xfId="0" applyFont="1" applyFill="1" applyProtection="1"/>
    <xf numFmtId="0" fontId="19" fillId="3" borderId="0" xfId="0" applyFont="1" applyFill="1" applyBorder="1" applyProtection="1"/>
    <xf numFmtId="0" fontId="19" fillId="3" borderId="0" xfId="0" applyFont="1" applyFill="1" applyProtection="1"/>
    <xf numFmtId="0" fontId="18" fillId="3" borderId="24" xfId="0" applyFont="1" applyFill="1" applyBorder="1" applyAlignment="1" applyProtection="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2" borderId="0" xfId="0" applyFont="1" applyFill="1" applyAlignment="1">
      <alignment horizontal="right"/>
    </xf>
    <xf numFmtId="0" fontId="0" fillId="0" borderId="1" xfId="0" applyFill="1" applyBorder="1" applyAlignment="1" applyProtection="1">
      <alignment horizontal="center" vertical="center"/>
      <protection locked="0"/>
    </xf>
    <xf numFmtId="0" fontId="2" fillId="0" borderId="0" xfId="2" applyAlignment="1" applyProtection="1">
      <alignment horizontal="center"/>
    </xf>
    <xf numFmtId="0" fontId="2" fillId="0" borderId="0" xfId="2"/>
    <xf numFmtId="164" fontId="2" fillId="0" borderId="0" xfId="2" applyNumberFormat="1" applyAlignment="1" applyProtection="1">
      <alignment horizontal="center"/>
    </xf>
    <xf numFmtId="166" fontId="2" fillId="0" borderId="0" xfId="2" applyNumberFormat="1" applyAlignment="1" applyProtection="1">
      <alignment horizontal="center"/>
    </xf>
    <xf numFmtId="2" fontId="2" fillId="0" borderId="25" xfId="2" applyNumberFormat="1" applyBorder="1" applyAlignment="1" applyProtection="1">
      <alignment horizontal="center"/>
    </xf>
    <xf numFmtId="0" fontId="2" fillId="0" borderId="1" xfId="2" applyFont="1" applyBorder="1"/>
    <xf numFmtId="0" fontId="2" fillId="0" borderId="1" xfId="2" applyBorder="1"/>
    <xf numFmtId="0" fontId="2" fillId="0" borderId="0" xfId="0" applyFont="1" applyFill="1" applyBorder="1"/>
    <xf numFmtId="0" fontId="0" fillId="0" borderId="0" xfId="0" applyFill="1" applyBorder="1" applyAlignment="1" applyProtection="1">
      <alignment horizontal="center" vertical="center"/>
      <protection locked="0"/>
    </xf>
    <xf numFmtId="0" fontId="2" fillId="0" borderId="0" xfId="0" applyFont="1" applyFill="1" applyAlignment="1">
      <alignment horizontal="right"/>
    </xf>
    <xf numFmtId="166" fontId="2" fillId="0" borderId="0" xfId="2" applyNumberFormat="1" applyAlignment="1">
      <alignment horizontal="center"/>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0" fillId="0" borderId="0" xfId="0" applyFill="1" applyBorder="1" applyAlignment="1">
      <alignment horizontal="center"/>
    </xf>
    <xf numFmtId="0" fontId="2" fillId="0" borderId="1" xfId="0" applyFont="1" applyBorder="1"/>
    <xf numFmtId="0" fontId="0" fillId="0" borderId="0" xfId="0" applyBorder="1" applyAlignment="1">
      <alignment horizontal="center"/>
    </xf>
    <xf numFmtId="2" fontId="0" fillId="0" borderId="0" xfId="0" applyNumberFormat="1" applyBorder="1" applyAlignment="1">
      <alignment horizontal="center"/>
    </xf>
    <xf numFmtId="2" fontId="0" fillId="0" borderId="1" xfId="0" applyNumberFormat="1" applyBorder="1"/>
    <xf numFmtId="2" fontId="0" fillId="0" borderId="0" xfId="0" applyNumberFormat="1" applyBorder="1" applyAlignment="1">
      <alignment horizontal="center"/>
    </xf>
    <xf numFmtId="0" fontId="2" fillId="0" borderId="0" xfId="0" applyFont="1" applyBorder="1"/>
    <xf numFmtId="0" fontId="27" fillId="0" borderId="0" xfId="0" applyFont="1"/>
    <xf numFmtId="0" fontId="28" fillId="0" borderId="0" xfId="0" applyFont="1" applyBorder="1" applyAlignment="1">
      <alignment horizontal="center"/>
    </xf>
    <xf numFmtId="0" fontId="0" fillId="0" borderId="0" xfId="0" applyBorder="1" applyAlignment="1">
      <alignment horizontal="center"/>
    </xf>
    <xf numFmtId="2" fontId="0" fillId="0" borderId="0" xfId="0" applyNumberFormat="1" applyBorder="1"/>
    <xf numFmtId="0" fontId="2" fillId="0" borderId="0" xfId="0" applyFont="1" applyBorder="1" applyAlignment="1">
      <alignment horizontal="right"/>
    </xf>
    <xf numFmtId="2" fontId="2" fillId="0" borderId="0" xfId="0" applyNumberFormat="1" applyFont="1" applyBorder="1" applyAlignment="1">
      <alignment horizontal="left"/>
    </xf>
    <xf numFmtId="0" fontId="2" fillId="0" borderId="0" xfId="0" applyFont="1" applyBorder="1" applyAlignment="1">
      <alignment horizontal="center"/>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Fill="1" applyBorder="1" applyAlignment="1" applyProtection="1">
      <alignment horizontal="center" vertical="center"/>
    </xf>
    <xf numFmtId="0" fontId="2" fillId="0" borderId="1" xfId="0" applyFont="1" applyFill="1" applyBorder="1" applyAlignment="1" applyProtection="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30" xfId="0" applyFill="1" applyBorder="1"/>
    <xf numFmtId="0" fontId="2" fillId="2" borderId="29" xfId="0" applyFont="1" applyFill="1" applyBorder="1"/>
    <xf numFmtId="0" fontId="21" fillId="2" borderId="0" xfId="0" applyFont="1" applyFill="1" applyBorder="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0" fontId="0" fillId="5" borderId="0" xfId="0" applyFill="1" applyBorder="1"/>
    <xf numFmtId="0" fontId="2" fillId="5" borderId="0" xfId="0" applyFont="1" applyFill="1" applyBorder="1" applyAlignment="1">
      <alignment horizontal="right" vertical="center"/>
    </xf>
    <xf numFmtId="0" fontId="0" fillId="6" borderId="0" xfId="0" applyFill="1" applyBorder="1"/>
    <xf numFmtId="0" fontId="2" fillId="6" borderId="0" xfId="0" applyFont="1" applyFill="1" applyBorder="1" applyAlignment="1">
      <alignment horizontal="right" vertical="center"/>
    </xf>
    <xf numFmtId="0" fontId="16" fillId="0" borderId="0" xfId="0" applyFont="1" applyFill="1" applyBorder="1" applyProtection="1"/>
    <xf numFmtId="0" fontId="0" fillId="2" borderId="28" xfId="0" applyFill="1" applyBorder="1"/>
    <xf numFmtId="0" fontId="2" fillId="2" borderId="0" xfId="0" applyFont="1" applyFill="1" applyBorder="1"/>
    <xf numFmtId="0" fontId="21" fillId="2" borderId="24" xfId="0" applyFont="1" applyFill="1" applyBorder="1" applyAlignment="1">
      <alignment horizontal="right" vertical="center"/>
    </xf>
    <xf numFmtId="14" fontId="2" fillId="2" borderId="0" xfId="0" applyNumberFormat="1" applyFont="1" applyFill="1" applyBorder="1" applyAlignment="1">
      <alignment horizontal="center"/>
    </xf>
    <xf numFmtId="0" fontId="2" fillId="2" borderId="26" xfId="0" applyFont="1" applyFill="1" applyBorder="1" applyAlignment="1">
      <alignment horizontal="left"/>
    </xf>
    <xf numFmtId="0" fontId="2" fillId="2" borderId="0" xfId="0" applyFont="1" applyFill="1" applyBorder="1" applyAlignment="1">
      <alignment horizontal="center"/>
    </xf>
    <xf numFmtId="0" fontId="3" fillId="2" borderId="0" xfId="0" applyFont="1" applyFill="1" applyBorder="1"/>
    <xf numFmtId="0" fontId="3" fillId="2" borderId="29" xfId="0" applyFont="1" applyFill="1" applyBorder="1" applyAlignment="1">
      <alignment horizontal="left"/>
    </xf>
    <xf numFmtId="164" fontId="2" fillId="2" borderId="0" xfId="0" applyNumberFormat="1" applyFont="1" applyFill="1" applyBorder="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Border="1" applyAlignment="1">
      <alignment horizontal="center" vertical="center"/>
    </xf>
    <xf numFmtId="0" fontId="0" fillId="0" borderId="0" xfId="0" applyFill="1"/>
    <xf numFmtId="2" fontId="0" fillId="3" borderId="1" xfId="0" applyNumberFormat="1" applyFill="1" applyBorder="1" applyAlignment="1" applyProtection="1">
      <alignment horizontal="center" vertical="center"/>
    </xf>
    <xf numFmtId="0" fontId="0" fillId="8" borderId="0" xfId="0" applyFill="1" applyBorder="1"/>
    <xf numFmtId="0" fontId="2" fillId="8" borderId="0" xfId="0" applyFont="1" applyFill="1" applyBorder="1" applyAlignment="1">
      <alignment horizontal="right" vertical="center"/>
    </xf>
    <xf numFmtId="0" fontId="23" fillId="7" borderId="23" xfId="0" applyFont="1" applyFill="1" applyBorder="1"/>
    <xf numFmtId="0" fontId="0" fillId="3" borderId="29" xfId="0" applyFill="1" applyBorder="1"/>
    <xf numFmtId="0" fontId="0" fillId="0" borderId="0" xfId="0" applyAlignment="1">
      <alignment horizontal="center"/>
    </xf>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pplyProtection="1">
      <alignment horizontal="center"/>
    </xf>
    <xf numFmtId="0" fontId="26" fillId="0" borderId="0" xfId="2" applyFont="1" applyAlignment="1">
      <alignment horizontal="center"/>
    </xf>
    <xf numFmtId="10" fontId="2" fillId="0" borderId="0" xfId="2" applyNumberFormat="1"/>
    <xf numFmtId="0" fontId="0" fillId="0" borderId="0" xfId="0" applyAlignment="1">
      <alignment horizontal="center"/>
    </xf>
    <xf numFmtId="9" fontId="0" fillId="2" borderId="1" xfId="0" applyNumberFormat="1" applyFill="1" applyBorder="1" applyAlignment="1">
      <alignment horizontal="center" vertic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7" fillId="0" borderId="0" xfId="2" applyFont="1"/>
    <xf numFmtId="165" fontId="0" fillId="0" borderId="1" xfId="0" applyNumberFormat="1" applyFill="1" applyBorder="1" applyAlignment="1" applyProtection="1">
      <alignment horizontal="center" vertical="center"/>
    </xf>
    <xf numFmtId="0" fontId="27" fillId="0" borderId="0" xfId="0" applyFont="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Border="1" applyAlignment="1">
      <alignment horizontal="center" vertical="center"/>
    </xf>
    <xf numFmtId="0" fontId="0" fillId="2" borderId="0" xfId="0" applyFill="1" applyBorder="1" applyAlignment="1">
      <alignment horizontal="center"/>
    </xf>
    <xf numFmtId="0" fontId="0" fillId="2" borderId="26"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27" fillId="0" borderId="0" xfId="0" applyFont="1" applyBorder="1" applyAlignment="1">
      <alignment horizontal="left"/>
    </xf>
    <xf numFmtId="0" fontId="0" fillId="0" borderId="0" xfId="0" applyAlignment="1">
      <alignment horizontal="center"/>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2" borderId="0" xfId="0" applyFont="1" applyFill="1"/>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pplyProtection="1">
      <alignment horizontal="center"/>
    </xf>
    <xf numFmtId="0" fontId="0" fillId="0" borderId="11" xfId="0" applyBorder="1"/>
    <xf numFmtId="0" fontId="2" fillId="0" borderId="1" xfId="0" applyFont="1" applyFill="1" applyBorder="1"/>
    <xf numFmtId="0" fontId="27"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Border="1" applyAlignment="1">
      <alignment horizontal="center"/>
    </xf>
    <xf numFmtId="0" fontId="0" fillId="0" borderId="0" xfId="0"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2" fontId="2" fillId="0" borderId="0" xfId="2" applyNumberFormat="1" applyAlignment="1" applyProtection="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6"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0" fontId="0" fillId="0" borderId="0" xfId="0" applyBorder="1" applyAlignment="1"/>
    <xf numFmtId="0" fontId="3" fillId="2" borderId="0" xfId="0" applyFont="1" applyFill="1" applyBorder="1" applyAlignment="1">
      <alignment horizontal="left"/>
    </xf>
    <xf numFmtId="2" fontId="0" fillId="0" borderId="0" xfId="0" applyNumberFormat="1" applyBorder="1" applyAlignment="1">
      <alignment horizontal="center"/>
    </xf>
    <xf numFmtId="0" fontId="0" fillId="2" borderId="25" xfId="0" applyFill="1" applyBorder="1" applyAlignment="1">
      <alignment wrapText="1"/>
    </xf>
    <xf numFmtId="0" fontId="0" fillId="2" borderId="25" xfId="0" applyFill="1" applyBorder="1" applyAlignment="1"/>
    <xf numFmtId="0" fontId="0" fillId="11" borderId="35" xfId="0" applyFill="1" applyBorder="1" applyProtection="1"/>
    <xf numFmtId="0" fontId="0" fillId="11" borderId="36" xfId="0" applyFill="1" applyBorder="1" applyProtection="1"/>
    <xf numFmtId="0" fontId="0" fillId="11" borderId="37" xfId="0" applyFill="1" applyBorder="1" applyProtection="1"/>
    <xf numFmtId="0" fontId="0" fillId="11" borderId="38" xfId="0" applyFill="1" applyBorder="1" applyProtection="1"/>
    <xf numFmtId="0" fontId="0" fillId="11" borderId="0" xfId="0" applyFill="1" applyBorder="1" applyProtection="1"/>
    <xf numFmtId="0" fontId="0" fillId="11" borderId="39" xfId="0" applyFill="1" applyBorder="1" applyProtection="1"/>
    <xf numFmtId="0" fontId="33" fillId="11" borderId="0" xfId="0" applyFont="1" applyFill="1" applyBorder="1" applyProtection="1"/>
    <xf numFmtId="0" fontId="34" fillId="11" borderId="0" xfId="0" applyFont="1" applyFill="1" applyBorder="1" applyProtection="1"/>
    <xf numFmtId="0" fontId="35" fillId="11" borderId="0" xfId="0" applyFont="1" applyFill="1" applyBorder="1" applyProtection="1"/>
    <xf numFmtId="0" fontId="36" fillId="11" borderId="0" xfId="0" applyFont="1" applyFill="1" applyProtection="1"/>
    <xf numFmtId="0" fontId="0" fillId="11" borderId="0" xfId="0" applyFill="1" applyProtection="1"/>
    <xf numFmtId="0" fontId="37" fillId="11" borderId="0" xfId="0" applyFont="1" applyFill="1" applyAlignment="1" applyProtection="1"/>
    <xf numFmtId="0" fontId="37" fillId="11" borderId="0" xfId="0" applyFont="1" applyFill="1" applyAlignment="1" applyProtection="1">
      <alignment wrapText="1"/>
    </xf>
    <xf numFmtId="0" fontId="38" fillId="11" borderId="0" xfId="0" applyFont="1" applyFill="1" applyAlignment="1" applyProtection="1">
      <alignment vertical="center"/>
    </xf>
    <xf numFmtId="0" fontId="38" fillId="11" borderId="0" xfId="0" applyFont="1" applyFill="1" applyProtection="1"/>
    <xf numFmtId="0" fontId="0" fillId="11" borderId="40" xfId="0" applyFill="1" applyBorder="1" applyProtection="1"/>
    <xf numFmtId="0" fontId="0" fillId="11" borderId="41" xfId="0" applyFill="1" applyBorder="1" applyProtection="1"/>
    <xf numFmtId="0" fontId="0" fillId="11" borderId="42" xfId="0" applyFill="1" applyBorder="1" applyProtection="1"/>
    <xf numFmtId="0" fontId="2" fillId="11" borderId="0" xfId="0" applyFont="1" applyFill="1" applyBorder="1" applyProtection="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pplyProtection="1">
      <alignment horizontal="right" vertical="center"/>
    </xf>
    <xf numFmtId="0" fontId="2" fillId="3" borderId="16" xfId="0" applyFont="1" applyFill="1" applyBorder="1" applyAlignment="1" applyProtection="1">
      <alignment horizontal="center" vertical="center"/>
    </xf>
    <xf numFmtId="0" fontId="2" fillId="0" borderId="7" xfId="0" applyFont="1" applyFill="1" applyBorder="1" applyAlignment="1">
      <alignment horizontal="center"/>
    </xf>
    <xf numFmtId="164" fontId="0" fillId="2" borderId="0" xfId="0" applyNumberFormat="1" applyFill="1" applyBorder="1" applyAlignment="1">
      <alignment horizontal="center"/>
    </xf>
    <xf numFmtId="11" fontId="0" fillId="0" borderId="0" xfId="0" applyNumberFormat="1" applyFill="1"/>
    <xf numFmtId="0" fontId="2" fillId="2" borderId="24" xfId="2" applyFont="1" applyFill="1" applyBorder="1" applyAlignment="1">
      <alignment horizontal="right"/>
    </xf>
    <xf numFmtId="0" fontId="2" fillId="2" borderId="0" xfId="2" applyFont="1" applyFill="1" applyBorder="1" applyAlignment="1">
      <alignment horizontal="right" vertical="center"/>
    </xf>
    <xf numFmtId="1" fontId="2" fillId="2" borderId="1" xfId="2" applyNumberFormat="1" applyFon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ont="1"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xf>
    <xf numFmtId="0" fontId="2" fillId="3" borderId="21" xfId="0" applyFont="1" applyFill="1" applyBorder="1" applyAlignment="1" applyProtection="1">
      <alignment horizontal="center" vertical="center"/>
    </xf>
    <xf numFmtId="0" fontId="2" fillId="2" borderId="0" xfId="2" applyFill="1" applyBorder="1"/>
    <xf numFmtId="0" fontId="2" fillId="2" borderId="0" xfId="2" applyFont="1" applyFill="1" applyBorder="1" applyAlignment="1">
      <alignment horizontal="right" vertical="center"/>
    </xf>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 fillId="2" borderId="0" xfId="2" applyFont="1" applyFill="1" applyBorder="1"/>
    <xf numFmtId="0" fontId="23" fillId="7" borderId="23" xfId="2" applyFont="1" applyFill="1" applyBorder="1"/>
    <xf numFmtId="0" fontId="23" fillId="3" borderId="25" xfId="2" applyFont="1" applyFill="1" applyBorder="1"/>
    <xf numFmtId="0" fontId="44" fillId="2" borderId="0" xfId="2" applyFont="1" applyFill="1" applyBorder="1"/>
    <xf numFmtId="0" fontId="44" fillId="2" borderId="0" xfId="2" applyFont="1" applyFill="1" applyBorder="1" applyAlignment="1">
      <alignment horizontal="right" vertical="center"/>
    </xf>
    <xf numFmtId="0" fontId="2" fillId="2" borderId="26" xfId="2" applyFont="1" applyFill="1" applyBorder="1" applyAlignment="1">
      <alignment horizontal="center" vertical="center"/>
    </xf>
    <xf numFmtId="0" fontId="2" fillId="2" borderId="26" xfId="2" applyFont="1" applyFill="1" applyBorder="1"/>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ont="1" applyFill="1" applyBorder="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applyBorder="1"/>
    <xf numFmtId="0" fontId="44" fillId="3" borderId="24" xfId="2" applyFont="1" applyFill="1" applyBorder="1"/>
    <xf numFmtId="0" fontId="2" fillId="2" borderId="26" xfId="2" applyFont="1"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ont="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3" fillId="3" borderId="0" xfId="0" applyFont="1" applyFill="1" applyBorder="1" applyAlignment="1" applyProtection="1">
      <alignment horizontal="center" vertical="center"/>
    </xf>
    <xf numFmtId="0" fontId="17" fillId="4" borderId="23" xfId="0" applyFont="1" applyFill="1" applyBorder="1" applyAlignment="1" applyProtection="1">
      <alignment horizontal="left" vertical="center"/>
    </xf>
    <xf numFmtId="0" fontId="17" fillId="4" borderId="24"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Border="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0" fillId="0" borderId="0" xfId="0" applyAlignment="1">
      <alignment horizontal="center"/>
    </xf>
    <xf numFmtId="0" fontId="26" fillId="0" borderId="0" xfId="0" applyFont="1" applyFill="1" applyAlignment="1">
      <alignment horizontal="center"/>
    </xf>
    <xf numFmtId="0" fontId="27" fillId="0" borderId="0" xfId="0" applyFont="1" applyFill="1" applyAlignment="1">
      <alignment horizontal="center"/>
    </xf>
    <xf numFmtId="0" fontId="3" fillId="0" borderId="0" xfId="0" applyFont="1" applyFill="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27" fillId="0" borderId="0" xfId="0" applyFont="1" applyBorder="1" applyAlignment="1">
      <alignment horizontal="center"/>
    </xf>
    <xf numFmtId="2" fontId="2" fillId="0" borderId="0" xfId="0" applyNumberFormat="1" applyFont="1" applyBorder="1" applyAlignment="1">
      <alignment horizontal="center"/>
    </xf>
    <xf numFmtId="2" fontId="0" fillId="0" borderId="0" xfId="0" applyNumberFormat="1" applyBorder="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patternType="solid">
          <bgColor theme="0"/>
        </patternFill>
      </fill>
      <border>
        <left/>
        <right/>
      </border>
    </dxf>
    <dxf>
      <fill>
        <patternFill>
          <bgColor rgb="FFFF0000"/>
        </patternFill>
      </fill>
    </dxf>
    <dxf>
      <fill>
        <patternFill>
          <bgColor rgb="FFFF0000"/>
        </patternFill>
      </fill>
    </dxf>
    <dxf>
      <fill>
        <patternFill>
          <bgColor rgb="FFFF0000"/>
        </patternFill>
      </fill>
    </dxf>
    <dxf>
      <font>
        <color theme="0"/>
      </font>
      <fill>
        <patternFill>
          <fgColor theme="0"/>
          <bgColor theme="0"/>
        </patternFill>
      </fill>
    </dxf>
    <dxf>
      <font>
        <strike val="0"/>
        <color theme="0"/>
      </font>
      <fill>
        <patternFill patternType="none">
          <bgColor auto="1"/>
        </patternFill>
      </fill>
    </dxf>
    <dxf>
      <font>
        <strike/>
        <color theme="0" tint="-0.24994659260841701"/>
      </font>
      <fill>
        <patternFill patternType="none">
          <bgColor auto="1"/>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rgb="FFFF0000"/>
        </patternFill>
      </fill>
    </dxf>
    <dxf>
      <font>
        <color theme="0"/>
      </font>
    </dxf>
    <dxf>
      <font>
        <color theme="0"/>
      </font>
    </dxf>
    <dxf>
      <font>
        <color theme="0"/>
      </font>
    </dxf>
    <dxf>
      <fill>
        <patternFill>
          <bgColor rgb="FFFFFF00"/>
        </patternFill>
      </fill>
    </dxf>
    <dxf>
      <fill>
        <patternFill>
          <bgColor indexed="10"/>
        </patternFill>
      </fill>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style="thin">
          <color auto="1"/>
        </top>
        <bottom style="thin">
          <color auto="1"/>
        </bottom>
      </border>
    </dxf>
    <dxf>
      <font>
        <condense val="0"/>
        <extend val="0"/>
        <color indexed="9"/>
      </font>
      <fill>
        <patternFill>
          <bgColor indexed="9"/>
        </patternFill>
      </fill>
      <border>
        <left/>
        <right/>
        <top/>
        <bottom style="thin">
          <color auto="1"/>
        </bottom>
      </border>
    </dxf>
    <dxf>
      <font>
        <condense val="0"/>
        <extend val="0"/>
        <color indexed="9"/>
      </font>
      <fill>
        <patternFill>
          <bgColor indexed="9"/>
        </patternFill>
      </fill>
      <border>
        <left/>
        <right/>
        <top/>
        <bottom/>
      </border>
    </dxf>
    <dxf>
      <fill>
        <patternFill>
          <bgColor indexed="1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1198.7119925552959</c:v>
                </c:pt>
                <c:pt idx="1">
                  <c:v>599.35599627764793</c:v>
                </c:pt>
                <c:pt idx="2">
                  <c:v>399.57066418509862</c:v>
                </c:pt>
                <c:pt idx="3">
                  <c:v>299.67799813882397</c:v>
                </c:pt>
                <c:pt idx="4">
                  <c:v>239.74239851105918</c:v>
                </c:pt>
                <c:pt idx="5">
                  <c:v>199.78533209254931</c:v>
                </c:pt>
                <c:pt idx="6">
                  <c:v>171.24457036504228</c:v>
                </c:pt>
                <c:pt idx="7">
                  <c:v>149.83899906941198</c:v>
                </c:pt>
                <c:pt idx="8">
                  <c:v>133.19022139503286</c:v>
                </c:pt>
                <c:pt idx="9">
                  <c:v>119.87119925552959</c:v>
                </c:pt>
                <c:pt idx="10">
                  <c:v>108.9738175050269</c:v>
                </c:pt>
                <c:pt idx="11">
                  <c:v>99.892666046274655</c:v>
                </c:pt>
                <c:pt idx="12">
                  <c:v>92.208614811945836</c:v>
                </c:pt>
                <c:pt idx="13">
                  <c:v>85.622285182521139</c:v>
                </c:pt>
                <c:pt idx="14">
                  <c:v>79.914132837019721</c:v>
                </c:pt>
                <c:pt idx="15">
                  <c:v>74.919499534705992</c:v>
                </c:pt>
                <c:pt idx="16">
                  <c:v>70.512470150311515</c:v>
                </c:pt>
                <c:pt idx="17">
                  <c:v>66.595110697516432</c:v>
                </c:pt>
                <c:pt idx="18">
                  <c:v>63.090104871331363</c:v>
                </c:pt>
                <c:pt idx="19">
                  <c:v>59.935599627764795</c:v>
                </c:pt>
                <c:pt idx="20">
                  <c:v>57.081523455014086</c:v>
                </c:pt>
                <c:pt idx="21">
                  <c:v>54.48690875251345</c:v>
                </c:pt>
                <c:pt idx="22">
                  <c:v>52.11791271979547</c:v>
                </c:pt>
                <c:pt idx="23">
                  <c:v>49.946333023137328</c:v>
                </c:pt>
                <c:pt idx="24">
                  <c:v>47.948479702211834</c:v>
                </c:pt>
                <c:pt idx="25">
                  <c:v>46.104307405972918</c:v>
                </c:pt>
                <c:pt idx="26">
                  <c:v>44.396740465010957</c:v>
                </c:pt>
                <c:pt idx="27">
                  <c:v>42.81114259126057</c:v>
                </c:pt>
                <c:pt idx="28">
                  <c:v>41.334896295010203</c:v>
                </c:pt>
                <c:pt idx="29">
                  <c:v>39.957066418509861</c:v>
                </c:pt>
                <c:pt idx="30">
                  <c:v>38.668128792106316</c:v>
                </c:pt>
                <c:pt idx="31">
                  <c:v>37.459749767352996</c:v>
                </c:pt>
                <c:pt idx="32">
                  <c:v>36.324605835008967</c:v>
                </c:pt>
                <c:pt idx="33">
                  <c:v>35.256235075155757</c:v>
                </c:pt>
                <c:pt idx="34">
                  <c:v>34.24891407300845</c:v>
                </c:pt>
                <c:pt idx="35">
                  <c:v>33.297555348758216</c:v>
                </c:pt>
                <c:pt idx="36">
                  <c:v>32.397621420413401</c:v>
                </c:pt>
                <c:pt idx="37">
                  <c:v>31.545052435665681</c:v>
                </c:pt>
                <c:pt idx="38">
                  <c:v>30.736204937315279</c:v>
                </c:pt>
                <c:pt idx="39">
                  <c:v>29.967799813882397</c:v>
                </c:pt>
                <c:pt idx="40">
                  <c:v>29.236877867202338</c:v>
                </c:pt>
                <c:pt idx="41">
                  <c:v>28.540761727507043</c:v>
                </c:pt>
                <c:pt idx="42">
                  <c:v>27.877023082681298</c:v>
                </c:pt>
                <c:pt idx="43">
                  <c:v>27.243454376256725</c:v>
                </c:pt>
                <c:pt idx="44">
                  <c:v>26.638044279006575</c:v>
                </c:pt>
                <c:pt idx="45">
                  <c:v>26.058956359897735</c:v>
                </c:pt>
                <c:pt idx="46">
                  <c:v>25.504510479899913</c:v>
                </c:pt>
                <c:pt idx="47">
                  <c:v>24.973166511568664</c:v>
                </c:pt>
                <c:pt idx="48">
                  <c:v>24.463510052148894</c:v>
                </c:pt>
                <c:pt idx="49">
                  <c:v>23.974239851105917</c:v>
                </c:pt>
                <c:pt idx="50">
                  <c:v>23.504156716770506</c:v>
                </c:pt>
                <c:pt idx="51">
                  <c:v>23.052153702986459</c:v>
                </c:pt>
                <c:pt idx="52">
                  <c:v>22.617207406703695</c:v>
                </c:pt>
                <c:pt idx="53">
                  <c:v>22.198370232505479</c:v>
                </c:pt>
                <c:pt idx="54">
                  <c:v>21.794763501005381</c:v>
                </c:pt>
                <c:pt idx="55">
                  <c:v>21.405571295630285</c:v>
                </c:pt>
                <c:pt idx="56">
                  <c:v>21.030034957110455</c:v>
                </c:pt>
                <c:pt idx="57">
                  <c:v>20.667448147505102</c:v>
                </c:pt>
                <c:pt idx="58">
                  <c:v>20.317152416191455</c:v>
                </c:pt>
                <c:pt idx="59">
                  <c:v>19.97853320925493</c:v>
                </c:pt>
                <c:pt idx="60">
                  <c:v>19.651016271398294</c:v>
                </c:pt>
                <c:pt idx="61">
                  <c:v>19.334064396053158</c:v>
                </c:pt>
                <c:pt idx="62">
                  <c:v>19.027174485004696</c:v>
                </c:pt>
                <c:pt idx="63">
                  <c:v>18.729874883676498</c:v>
                </c:pt>
                <c:pt idx="64">
                  <c:v>18.441722962389168</c:v>
                </c:pt>
                <c:pt idx="65">
                  <c:v>18.162302917504483</c:v>
                </c:pt>
                <c:pt idx="66">
                  <c:v>17.891223769482028</c:v>
                </c:pt>
                <c:pt idx="67">
                  <c:v>17.628117537577879</c:v>
                </c:pt>
                <c:pt idx="68">
                  <c:v>17.372637573265159</c:v>
                </c:pt>
                <c:pt idx="69">
                  <c:v>17.124457036504225</c:v>
                </c:pt>
                <c:pt idx="70">
                  <c:v>16.883267500778814</c:v>
                </c:pt>
                <c:pt idx="71">
                  <c:v>16.648777674379108</c:v>
                </c:pt>
                <c:pt idx="72">
                  <c:v>16.420712226784875</c:v>
                </c:pt>
                <c:pt idx="73">
                  <c:v>16.1988107102067</c:v>
                </c:pt>
                <c:pt idx="74">
                  <c:v>15.982826567403945</c:v>
                </c:pt>
                <c:pt idx="75">
                  <c:v>15.772526217832841</c:v>
                </c:pt>
                <c:pt idx="76">
                  <c:v>15.567688215003843</c:v>
                </c:pt>
                <c:pt idx="77">
                  <c:v>15.368102468657639</c:v>
                </c:pt>
                <c:pt idx="78">
                  <c:v>15.173569526016403</c:v>
                </c:pt>
                <c:pt idx="79">
                  <c:v>14.983899906941199</c:v>
                </c:pt>
              </c:numCache>
            </c:numRef>
          </c:yVal>
          <c:smooth val="0"/>
          <c:extLst>
            <c:ext xmlns:c16="http://schemas.microsoft.com/office/drawing/2014/chart" uri="{C3380CC4-5D6E-409C-BE32-E72D297353CC}">
              <c16:uniqueId val="{00000000-8522-4E37-8675-0010F43902BB}"/>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22.797499999999999</c:v>
                </c:pt>
                <c:pt idx="1">
                  <c:v>22.797499999999999</c:v>
                </c:pt>
                <c:pt idx="2">
                  <c:v>22.797499999999999</c:v>
                </c:pt>
                <c:pt idx="3">
                  <c:v>22.797499999999999</c:v>
                </c:pt>
                <c:pt idx="4">
                  <c:v>22.291810000000002</c:v>
                </c:pt>
                <c:pt idx="5">
                  <c:v>18.645591666666668</c:v>
                </c:pt>
                <c:pt idx="6">
                  <c:v>16.041150000000002</c:v>
                </c:pt>
                <c:pt idx="7">
                  <c:v>14.08781875</c:v>
                </c:pt>
                <c:pt idx="8">
                  <c:v>12.568561111111112</c:v>
                </c:pt>
                <c:pt idx="9">
                  <c:v>11.353155000000001</c:v>
                </c:pt>
                <c:pt idx="10">
                  <c:v>10.35873181818182</c:v>
                </c:pt>
                <c:pt idx="11">
                  <c:v>9.5300458333333342</c:v>
                </c:pt>
                <c:pt idx="12">
                  <c:v>8.828850000000001</c:v>
                </c:pt>
                <c:pt idx="13">
                  <c:v>8.2278250000000011</c:v>
                </c:pt>
                <c:pt idx="14">
                  <c:v>7.7069366666666674</c:v>
                </c:pt>
                <c:pt idx="15">
                  <c:v>7.2511593750000003</c:v>
                </c:pt>
                <c:pt idx="16">
                  <c:v>6.8490029411764715</c:v>
                </c:pt>
                <c:pt idx="17">
                  <c:v>6.4915305555555562</c:v>
                </c:pt>
                <c:pt idx="18">
                  <c:v>6.171686842105264</c:v>
                </c:pt>
                <c:pt idx="19">
                  <c:v>5.8838275000000007</c:v>
                </c:pt>
                <c:pt idx="20">
                  <c:v>5.6233833333333338</c:v>
                </c:pt>
                <c:pt idx="21">
                  <c:v>5.38661590909091</c:v>
                </c:pt>
                <c:pt idx="22">
                  <c:v>5.1704369565217396</c:v>
                </c:pt>
                <c:pt idx="23">
                  <c:v>4.9722729166666673</c:v>
                </c:pt>
                <c:pt idx="24">
                  <c:v>4.7899620000000001</c:v>
                </c:pt>
                <c:pt idx="25">
                  <c:v>4.6216750000000006</c:v>
                </c:pt>
                <c:pt idx="26">
                  <c:v>4.4658537037037043</c:v>
                </c:pt>
                <c:pt idx="27">
                  <c:v>4.3211625000000007</c:v>
                </c:pt>
                <c:pt idx="28">
                  <c:v>4.1864500000000007</c:v>
                </c:pt>
                <c:pt idx="29">
                  <c:v>4.060718333333333</c:v>
                </c:pt>
                <c:pt idx="30">
                  <c:v>3.9430983870967742</c:v>
                </c:pt>
                <c:pt idx="31">
                  <c:v>3.8328296875000003</c:v>
                </c:pt>
                <c:pt idx="32">
                  <c:v>3.7292439393939398</c:v>
                </c:pt>
                <c:pt idx="33">
                  <c:v>3.6317514705882354</c:v>
                </c:pt>
                <c:pt idx="34">
                  <c:v>3.5398300000000003</c:v>
                </c:pt>
                <c:pt idx="35">
                  <c:v>3.4530152777777783</c:v>
                </c:pt>
                <c:pt idx="36">
                  <c:v>3.3708932432432435</c:v>
                </c:pt>
                <c:pt idx="37">
                  <c:v>3.2930934210526317</c:v>
                </c:pt>
                <c:pt idx="38">
                  <c:v>3.2192833333333337</c:v>
                </c:pt>
                <c:pt idx="39">
                  <c:v>3.1491637500000005</c:v>
                </c:pt>
                <c:pt idx="40">
                  <c:v>3.0824646341463415</c:v>
                </c:pt>
                <c:pt idx="41">
                  <c:v>3.0189416666666666</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8522-4E37-8675-0010F43902BB}"/>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E98A-4CE1-B5A3-CB258CF52C94}"/>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Start_up!$G$10:$G$112</c:f>
              <c:numCache>
                <c:formatCode>General</c:formatCode>
                <c:ptCount val="103"/>
                <c:pt idx="0">
                  <c:v>0.35199999999999998</c:v>
                </c:pt>
                <c:pt idx="1">
                  <c:v>0.35199999999999998</c:v>
                </c:pt>
                <c:pt idx="2">
                  <c:v>0.35199999999999998</c:v>
                </c:pt>
                <c:pt idx="3">
                  <c:v>0.35199999999999998</c:v>
                </c:pt>
                <c:pt idx="4">
                  <c:v>0.35199999999999998</c:v>
                </c:pt>
                <c:pt idx="5">
                  <c:v>0.35199999999999998</c:v>
                </c:pt>
                <c:pt idx="6">
                  <c:v>0.35199999999999998</c:v>
                </c:pt>
                <c:pt idx="7">
                  <c:v>0.35199999999999998</c:v>
                </c:pt>
                <c:pt idx="8">
                  <c:v>0.35199999999999998</c:v>
                </c:pt>
                <c:pt idx="9">
                  <c:v>0.35199999999999998</c:v>
                </c:pt>
                <c:pt idx="10">
                  <c:v>0.35199999999999998</c:v>
                </c:pt>
                <c:pt idx="11">
                  <c:v>0.35199999999999998</c:v>
                </c:pt>
                <c:pt idx="12">
                  <c:v>0.35199999999999998</c:v>
                </c:pt>
                <c:pt idx="13">
                  <c:v>0.35199999999999998</c:v>
                </c:pt>
                <c:pt idx="14">
                  <c:v>0.35199999999999998</c:v>
                </c:pt>
                <c:pt idx="15">
                  <c:v>0.35199999999999998</c:v>
                </c:pt>
                <c:pt idx="16">
                  <c:v>0.35199999999999998</c:v>
                </c:pt>
                <c:pt idx="17">
                  <c:v>0.35199999999999998</c:v>
                </c:pt>
                <c:pt idx="18">
                  <c:v>0.35199999999999998</c:v>
                </c:pt>
                <c:pt idx="19">
                  <c:v>0.35199999999999998</c:v>
                </c:pt>
                <c:pt idx="20">
                  <c:v>0.35199999999999998</c:v>
                </c:pt>
                <c:pt idx="21">
                  <c:v>0.35199999999999998</c:v>
                </c:pt>
                <c:pt idx="22">
                  <c:v>0.35199999999999998</c:v>
                </c:pt>
                <c:pt idx="23">
                  <c:v>0.35199999999999998</c:v>
                </c:pt>
                <c:pt idx="24">
                  <c:v>0.35199999999999998</c:v>
                </c:pt>
                <c:pt idx="25">
                  <c:v>0.35199999999999998</c:v>
                </c:pt>
                <c:pt idx="26">
                  <c:v>0.35199999999999998</c:v>
                </c:pt>
                <c:pt idx="27">
                  <c:v>0.35199999999999998</c:v>
                </c:pt>
                <c:pt idx="28">
                  <c:v>0.35199999999999998</c:v>
                </c:pt>
                <c:pt idx="29">
                  <c:v>0.35199999999999998</c:v>
                </c:pt>
                <c:pt idx="30">
                  <c:v>0.35199999999999998</c:v>
                </c:pt>
                <c:pt idx="31">
                  <c:v>0.35199999999999998</c:v>
                </c:pt>
                <c:pt idx="32">
                  <c:v>0.35199999999999998</c:v>
                </c:pt>
                <c:pt idx="33">
                  <c:v>0.35199999999999998</c:v>
                </c:pt>
                <c:pt idx="34">
                  <c:v>0.35199999999999998</c:v>
                </c:pt>
                <c:pt idx="35">
                  <c:v>0.35199999999999998</c:v>
                </c:pt>
                <c:pt idx="36">
                  <c:v>0.35199999999999998</c:v>
                </c:pt>
                <c:pt idx="37">
                  <c:v>0.35199999999999998</c:v>
                </c:pt>
                <c:pt idx="38">
                  <c:v>0.35199999999999998</c:v>
                </c:pt>
                <c:pt idx="39">
                  <c:v>0.35199999999999998</c:v>
                </c:pt>
                <c:pt idx="40">
                  <c:v>4.3520000000000003</c:v>
                </c:pt>
                <c:pt idx="41">
                  <c:v>4.3520000000000003</c:v>
                </c:pt>
                <c:pt idx="42">
                  <c:v>4.3520000000000003</c:v>
                </c:pt>
                <c:pt idx="43">
                  <c:v>4.3520000000000003</c:v>
                </c:pt>
                <c:pt idx="44">
                  <c:v>4.3520000000000003</c:v>
                </c:pt>
                <c:pt idx="45">
                  <c:v>4.3520000000000003</c:v>
                </c:pt>
                <c:pt idx="46">
                  <c:v>4.3520000000000003</c:v>
                </c:pt>
                <c:pt idx="47">
                  <c:v>4.3520000000000003</c:v>
                </c:pt>
                <c:pt idx="48">
                  <c:v>4.3520000000000003</c:v>
                </c:pt>
                <c:pt idx="49">
                  <c:v>4.3520000000000003</c:v>
                </c:pt>
                <c:pt idx="50">
                  <c:v>4.3520000000000003</c:v>
                </c:pt>
                <c:pt idx="51">
                  <c:v>4.3520000000000003</c:v>
                </c:pt>
                <c:pt idx="52">
                  <c:v>4.3520000000000003</c:v>
                </c:pt>
                <c:pt idx="53">
                  <c:v>4.3520000000000003</c:v>
                </c:pt>
                <c:pt idx="54">
                  <c:v>4.3520000000000003</c:v>
                </c:pt>
                <c:pt idx="55">
                  <c:v>4.3520000000000003</c:v>
                </c:pt>
                <c:pt idx="56">
                  <c:v>4.3520000000000003</c:v>
                </c:pt>
                <c:pt idx="57">
                  <c:v>4.3520000000000003</c:v>
                </c:pt>
                <c:pt idx="58">
                  <c:v>4.3520000000000003</c:v>
                </c:pt>
                <c:pt idx="59">
                  <c:v>4.3520000000000003</c:v>
                </c:pt>
                <c:pt idx="60">
                  <c:v>4.3520000000000003</c:v>
                </c:pt>
                <c:pt idx="61">
                  <c:v>4.3520000000000003</c:v>
                </c:pt>
                <c:pt idx="62">
                  <c:v>4.3520000000000003</c:v>
                </c:pt>
                <c:pt idx="63">
                  <c:v>4.3520000000000003</c:v>
                </c:pt>
                <c:pt idx="64">
                  <c:v>4.3520000000000003</c:v>
                </c:pt>
                <c:pt idx="65">
                  <c:v>4.3520000000000003</c:v>
                </c:pt>
                <c:pt idx="66">
                  <c:v>4.3520000000000003</c:v>
                </c:pt>
                <c:pt idx="67">
                  <c:v>4.3520000000000003</c:v>
                </c:pt>
                <c:pt idx="68">
                  <c:v>4.3520000000000003</c:v>
                </c:pt>
                <c:pt idx="69">
                  <c:v>4.3520000000000003</c:v>
                </c:pt>
                <c:pt idx="70">
                  <c:v>4.3520000000000003</c:v>
                </c:pt>
                <c:pt idx="71">
                  <c:v>4.3520000000000003</c:v>
                </c:pt>
                <c:pt idx="72">
                  <c:v>4.3520000000000003</c:v>
                </c:pt>
                <c:pt idx="73">
                  <c:v>4.3520000000000003</c:v>
                </c:pt>
                <c:pt idx="74">
                  <c:v>4.3520000000000003</c:v>
                </c:pt>
                <c:pt idx="75">
                  <c:v>4.3520000000000003</c:v>
                </c:pt>
                <c:pt idx="76">
                  <c:v>4.3520000000000003</c:v>
                </c:pt>
                <c:pt idx="77">
                  <c:v>4.3520000000000003</c:v>
                </c:pt>
                <c:pt idx="78">
                  <c:v>4.3520000000000003</c:v>
                </c:pt>
                <c:pt idx="79">
                  <c:v>4.3520000000000003</c:v>
                </c:pt>
                <c:pt idx="80">
                  <c:v>4.3520000000000003</c:v>
                </c:pt>
                <c:pt idx="81">
                  <c:v>4.3520000000000003</c:v>
                </c:pt>
                <c:pt idx="82">
                  <c:v>4.3520000000000003</c:v>
                </c:pt>
                <c:pt idx="83">
                  <c:v>4.3520000000000003</c:v>
                </c:pt>
                <c:pt idx="84">
                  <c:v>4.3520000000000003</c:v>
                </c:pt>
                <c:pt idx="85">
                  <c:v>4.3520000000000003</c:v>
                </c:pt>
                <c:pt idx="86">
                  <c:v>4.3520000000000003</c:v>
                </c:pt>
                <c:pt idx="87">
                  <c:v>4.3520000000000003</c:v>
                </c:pt>
                <c:pt idx="88">
                  <c:v>4.3520000000000003</c:v>
                </c:pt>
                <c:pt idx="89">
                  <c:v>4.3520000000000003</c:v>
                </c:pt>
                <c:pt idx="90">
                  <c:v>4.3520000000000003</c:v>
                </c:pt>
                <c:pt idx="91">
                  <c:v>4.3520000000000003</c:v>
                </c:pt>
                <c:pt idx="92">
                  <c:v>4.3520000000000003</c:v>
                </c:pt>
                <c:pt idx="93">
                  <c:v>4.3520000000000003</c:v>
                </c:pt>
                <c:pt idx="94">
                  <c:v>4.3520000000000003</c:v>
                </c:pt>
                <c:pt idx="95">
                  <c:v>4.3520000000000003</c:v>
                </c:pt>
                <c:pt idx="96">
                  <c:v>4.3520000000000003</c:v>
                </c:pt>
                <c:pt idx="97">
                  <c:v>4.3520000000000003</c:v>
                </c:pt>
                <c:pt idx="98">
                  <c:v>4.3520000000000003</c:v>
                </c:pt>
                <c:pt idx="99">
                  <c:v>4.3520000000000003</c:v>
                </c:pt>
                <c:pt idx="100">
                  <c:v>4.3520000000000003</c:v>
                </c:pt>
                <c:pt idx="101">
                  <c:v>4.3520000000000003</c:v>
                </c:pt>
                <c:pt idx="102">
                  <c:v>4.3520000000000003</c:v>
                </c:pt>
              </c:numCache>
            </c:numRef>
          </c:yVal>
          <c:smooth val="1"/>
          <c:extLst>
            <c:ext xmlns:c16="http://schemas.microsoft.com/office/drawing/2014/chart" uri="{C3380CC4-5D6E-409C-BE32-E72D297353CC}">
              <c16:uniqueId val="{00000001-E98A-4CE1-B5A3-CB258CF52C94}"/>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0.25540865384615391</c:v>
                </c:pt>
                <c:pt idx="4" formatCode="0.0">
                  <c:v>0.51081730769230782</c:v>
                </c:pt>
                <c:pt idx="5" formatCode="0.0">
                  <c:v>0.76622596153846168</c:v>
                </c:pt>
                <c:pt idx="6" formatCode="0.0">
                  <c:v>1.0216346153846156</c:v>
                </c:pt>
                <c:pt idx="7" formatCode="0.0">
                  <c:v>1.2770432692307694</c:v>
                </c:pt>
                <c:pt idx="8" formatCode="0.0">
                  <c:v>1.5324519230769234</c:v>
                </c:pt>
                <c:pt idx="9" formatCode="0.0">
                  <c:v>1.7878605769230769</c:v>
                </c:pt>
                <c:pt idx="10" formatCode="0.0">
                  <c:v>2.0432692307692308</c:v>
                </c:pt>
                <c:pt idx="11" formatCode="0.0">
                  <c:v>2.2986778846153846</c:v>
                </c:pt>
                <c:pt idx="12" formatCode="0.0">
                  <c:v>2.5540865384615383</c:v>
                </c:pt>
                <c:pt idx="13" formatCode="0.0">
                  <c:v>2.8094951923076925</c:v>
                </c:pt>
                <c:pt idx="14" formatCode="0.0">
                  <c:v>3.0649038461538467</c:v>
                </c:pt>
                <c:pt idx="15" formatCode="0.0">
                  <c:v>3.3203125000000004</c:v>
                </c:pt>
                <c:pt idx="16" formatCode="0.0">
                  <c:v>3.5757211538461542</c:v>
                </c:pt>
                <c:pt idx="17" formatCode="0.0">
                  <c:v>3.8311298076923079</c:v>
                </c:pt>
                <c:pt idx="18" formatCode="0.0">
                  <c:v>4.0865384615384626</c:v>
                </c:pt>
                <c:pt idx="19" formatCode="0.0">
                  <c:v>4.3419471153846168</c:v>
                </c:pt>
                <c:pt idx="20" formatCode="0.0">
                  <c:v>4.5973557692307701</c:v>
                </c:pt>
                <c:pt idx="21" formatCode="0.0">
                  <c:v>4.8527644230769242</c:v>
                </c:pt>
                <c:pt idx="22" formatCode="0.0">
                  <c:v>5.1081730769230775</c:v>
                </c:pt>
                <c:pt idx="23" formatCode="0.0">
                  <c:v>5.3635817307692317</c:v>
                </c:pt>
                <c:pt idx="24" formatCode="0.0">
                  <c:v>5.618990384615385</c:v>
                </c:pt>
                <c:pt idx="25" formatCode="0.0">
                  <c:v>5.8743990384615383</c:v>
                </c:pt>
                <c:pt idx="26" formatCode="0.0">
                  <c:v>6.1298076923076925</c:v>
                </c:pt>
                <c:pt idx="27" formatCode="0.0">
                  <c:v>6.3852163461538449</c:v>
                </c:pt>
                <c:pt idx="28" formatCode="0.0">
                  <c:v>6.6406249999999991</c:v>
                </c:pt>
                <c:pt idx="29" formatCode="0.0">
                  <c:v>6.8960336538461524</c:v>
                </c:pt>
                <c:pt idx="30" formatCode="0.0">
                  <c:v>7.1514423076923057</c:v>
                </c:pt>
                <c:pt idx="31" formatCode="0.0">
                  <c:v>7.4068509615384599</c:v>
                </c:pt>
                <c:pt idx="32" formatCode="0.0">
                  <c:v>7.6622596153846123</c:v>
                </c:pt>
                <c:pt idx="33" formatCode="0.0">
                  <c:v>7.9176682692307674</c:v>
                </c:pt>
                <c:pt idx="34" formatCode="0.0">
                  <c:v>8.1730769230769216</c:v>
                </c:pt>
                <c:pt idx="35" formatCode="0.0">
                  <c:v>8.4284855769230731</c:v>
                </c:pt>
                <c:pt idx="36" formatCode="0.0">
                  <c:v>8.6838942307692282</c:v>
                </c:pt>
                <c:pt idx="37" formatCode="0.0">
                  <c:v>8.9393028846153815</c:v>
                </c:pt>
                <c:pt idx="38" formatCode="0.0">
                  <c:v>9.1947115384615348</c:v>
                </c:pt>
                <c:pt idx="39" formatCode="0.0">
                  <c:v>9.4501201923076898</c:v>
                </c:pt>
                <c:pt idx="40" formatCode="0.0">
                  <c:v>9.7055288461538431</c:v>
                </c:pt>
                <c:pt idx="41" formatCode="0.0">
                  <c:v>9.9609374999999982</c:v>
                </c:pt>
                <c:pt idx="42" formatCode="0.0">
                  <c:v>10.216346153846152</c:v>
                </c:pt>
                <c:pt idx="43" formatCode="0.0">
                  <c:v>10.471754807692307</c:v>
                </c:pt>
                <c:pt idx="44" formatCode="0.0">
                  <c:v>10.727163461538462</c:v>
                </c:pt>
                <c:pt idx="45" formatCode="0.0">
                  <c:v>10.982572115384613</c:v>
                </c:pt>
                <c:pt idx="46" formatCode="0.0">
                  <c:v>11.237980769230768</c:v>
                </c:pt>
                <c:pt idx="47" formatCode="0.0">
                  <c:v>11.493389423076922</c:v>
                </c:pt>
                <c:pt idx="48" formatCode="0.0">
                  <c:v>11.748798076923077</c:v>
                </c:pt>
                <c:pt idx="49" formatCode="0.0">
                  <c:v>12.004206730769232</c:v>
                </c:pt>
                <c:pt idx="50" formatCode="0.0">
                  <c:v>12.259615384615387</c:v>
                </c:pt>
                <c:pt idx="51" formatCode="0.0">
                  <c:v>12.515024038461537</c:v>
                </c:pt>
                <c:pt idx="52" formatCode="0.0">
                  <c:v>12.770432692307692</c:v>
                </c:pt>
                <c:pt idx="53" formatCode="0.0">
                  <c:v>13.025841346153847</c:v>
                </c:pt>
                <c:pt idx="54" formatCode="0.0">
                  <c:v>13.281250000000002</c:v>
                </c:pt>
                <c:pt idx="55" formatCode="0.0">
                  <c:v>13.536658653846153</c:v>
                </c:pt>
                <c:pt idx="56" formatCode="0.0">
                  <c:v>13.792067307692308</c:v>
                </c:pt>
                <c:pt idx="57" formatCode="0.0">
                  <c:v>14.047475961538463</c:v>
                </c:pt>
                <c:pt idx="58" formatCode="0.0">
                  <c:v>14.302884615384615</c:v>
                </c:pt>
                <c:pt idx="59" formatCode="0.0">
                  <c:v>14.558293269230772</c:v>
                </c:pt>
                <c:pt idx="60" formatCode="0.0">
                  <c:v>14.813701923076923</c:v>
                </c:pt>
                <c:pt idx="61" formatCode="0.0">
                  <c:v>15.069110576923077</c:v>
                </c:pt>
                <c:pt idx="62" formatCode="0.0">
                  <c:v>15.324519230769228</c:v>
                </c:pt>
                <c:pt idx="63" formatCode="0.0">
                  <c:v>15.579927884615385</c:v>
                </c:pt>
                <c:pt idx="64" formatCode="0.0">
                  <c:v>15.835336538461538</c:v>
                </c:pt>
                <c:pt idx="65" formatCode="0.0">
                  <c:v>16.09074519230769</c:v>
                </c:pt>
                <c:pt idx="66" formatCode="0.0">
                  <c:v>16.346153846153847</c:v>
                </c:pt>
                <c:pt idx="67" formatCode="0.0">
                  <c:v>16.6015625</c:v>
                </c:pt>
                <c:pt idx="68" formatCode="0.0">
                  <c:v>16.856971153846153</c:v>
                </c:pt>
                <c:pt idx="69" formatCode="0.0">
                  <c:v>17.11237980769231</c:v>
                </c:pt>
                <c:pt idx="70" formatCode="0.0">
                  <c:v>17.367788461538463</c:v>
                </c:pt>
                <c:pt idx="71" formatCode="0.0">
                  <c:v>17.623197115384617</c:v>
                </c:pt>
                <c:pt idx="72" formatCode="0.0">
                  <c:v>17.87860576923077</c:v>
                </c:pt>
                <c:pt idx="73" formatCode="0.0">
                  <c:v>18.134014423076923</c:v>
                </c:pt>
                <c:pt idx="74" formatCode="0.0">
                  <c:v>18.389423076923077</c:v>
                </c:pt>
                <c:pt idx="75" formatCode="0.0">
                  <c:v>18.64483173076923</c:v>
                </c:pt>
                <c:pt idx="76" formatCode="0.0">
                  <c:v>18.900240384615387</c:v>
                </c:pt>
                <c:pt idx="77" formatCode="0.0">
                  <c:v>19.15564903846154</c:v>
                </c:pt>
                <c:pt idx="78" formatCode="0.0">
                  <c:v>19.411057692307693</c:v>
                </c:pt>
                <c:pt idx="79" formatCode="0.0">
                  <c:v>19.66646634615385</c:v>
                </c:pt>
                <c:pt idx="80" formatCode="0.0">
                  <c:v>19.921875000000004</c:v>
                </c:pt>
                <c:pt idx="81" formatCode="0.0">
                  <c:v>20.177283653846153</c:v>
                </c:pt>
                <c:pt idx="82" formatCode="0.0">
                  <c:v>20.432692307692307</c:v>
                </c:pt>
                <c:pt idx="83" formatCode="0.0">
                  <c:v>20.68810096153846</c:v>
                </c:pt>
                <c:pt idx="84" formatCode="0.0">
                  <c:v>20.943509615384613</c:v>
                </c:pt>
                <c:pt idx="85" formatCode="0.0">
                  <c:v>21.198918269230766</c:v>
                </c:pt>
                <c:pt idx="86" formatCode="0.0">
                  <c:v>21.45432692307692</c:v>
                </c:pt>
                <c:pt idx="87" formatCode="0.0">
                  <c:v>21.70973557692307</c:v>
                </c:pt>
                <c:pt idx="88" formatCode="0.0">
                  <c:v>21.965144230769223</c:v>
                </c:pt>
                <c:pt idx="89" formatCode="0.0">
                  <c:v>22.220552884615376</c:v>
                </c:pt>
                <c:pt idx="90" formatCode="0.0">
                  <c:v>22.475961538461529</c:v>
                </c:pt>
                <c:pt idx="91" formatCode="0.0">
                  <c:v>22.731370192307679</c:v>
                </c:pt>
                <c:pt idx="92" formatCode="0.0">
                  <c:v>22.986778846153832</c:v>
                </c:pt>
                <c:pt idx="93" formatCode="0.0">
                  <c:v>23.242187499999986</c:v>
                </c:pt>
                <c:pt idx="94" formatCode="0.0">
                  <c:v>23.497596153846139</c:v>
                </c:pt>
                <c:pt idx="95" formatCode="0.0">
                  <c:v>23.753004807692292</c:v>
                </c:pt>
                <c:pt idx="96" formatCode="0.0">
                  <c:v>24.008413461538446</c:v>
                </c:pt>
                <c:pt idx="97" formatCode="0.0">
                  <c:v>24.263822115384599</c:v>
                </c:pt>
                <c:pt idx="98" formatCode="0.0">
                  <c:v>24.519230769230752</c:v>
                </c:pt>
                <c:pt idx="99" formatCode="0.0">
                  <c:v>24.774639423076906</c:v>
                </c:pt>
                <c:pt idx="100" formatCode="0.0">
                  <c:v>25.030048076923055</c:v>
                </c:pt>
                <c:pt idx="101" formatCode="0.0">
                  <c:v>25.285456730769205</c:v>
                </c:pt>
                <c:pt idx="102" formatCode="0.0">
                  <c:v>25.540865384615358</c:v>
                </c:pt>
                <c:pt idx="103" formatCode="0.0">
                  <c:v>25.796274038461512</c:v>
                </c:pt>
                <c:pt idx="104" formatCode="0.0">
                  <c:v>26.051682692307665</c:v>
                </c:pt>
                <c:pt idx="105" formatCode="0.0">
                  <c:v>26.307091346153818</c:v>
                </c:pt>
                <c:pt idx="106" formatCode="0.0">
                  <c:v>26.562499999999972</c:v>
                </c:pt>
                <c:pt idx="107" formatCode="0.0">
                  <c:v>27.062499999999972</c:v>
                </c:pt>
              </c:numCache>
            </c:numRef>
          </c:xVal>
          <c:yVal>
            <c:numRef>
              <c:f>Start_up!$O$8:$O$115</c:f>
              <c:numCache>
                <c:formatCode>General</c:formatCode>
                <c:ptCount val="108"/>
                <c:pt idx="0">
                  <c:v>0</c:v>
                </c:pt>
                <c:pt idx="1">
                  <c:v>0</c:v>
                </c:pt>
                <c:pt idx="2">
                  <c:v>14.959999999999999</c:v>
                </c:pt>
                <c:pt idx="3">
                  <c:v>14.816153846153846</c:v>
                </c:pt>
                <c:pt idx="4">
                  <c:v>14.67230769230769</c:v>
                </c:pt>
                <c:pt idx="5">
                  <c:v>14.528461538461537</c:v>
                </c:pt>
                <c:pt idx="6">
                  <c:v>14.384615384615383</c:v>
                </c:pt>
                <c:pt idx="7">
                  <c:v>14.24076923076923</c:v>
                </c:pt>
                <c:pt idx="8">
                  <c:v>14.096923076923074</c:v>
                </c:pt>
                <c:pt idx="9">
                  <c:v>13.953076923076923</c:v>
                </c:pt>
                <c:pt idx="10">
                  <c:v>13.809230769230769</c:v>
                </c:pt>
                <c:pt idx="11">
                  <c:v>13.665384615384616</c:v>
                </c:pt>
                <c:pt idx="12">
                  <c:v>13.521538461538462</c:v>
                </c:pt>
                <c:pt idx="13">
                  <c:v>13.377692307692307</c:v>
                </c:pt>
                <c:pt idx="14">
                  <c:v>13.233846153846153</c:v>
                </c:pt>
                <c:pt idx="15">
                  <c:v>13.09</c:v>
                </c:pt>
                <c:pt idx="16">
                  <c:v>12.946153846153845</c:v>
                </c:pt>
                <c:pt idx="17">
                  <c:v>12.802307692307691</c:v>
                </c:pt>
                <c:pt idx="18">
                  <c:v>12.658461538461538</c:v>
                </c:pt>
                <c:pt idx="19">
                  <c:v>12.514615384615382</c:v>
                </c:pt>
                <c:pt idx="20">
                  <c:v>12.370769230769229</c:v>
                </c:pt>
                <c:pt idx="21">
                  <c:v>12.226923076923075</c:v>
                </c:pt>
                <c:pt idx="22">
                  <c:v>12.083076923076923</c:v>
                </c:pt>
                <c:pt idx="23">
                  <c:v>11.939230769230766</c:v>
                </c:pt>
                <c:pt idx="24">
                  <c:v>11.795384615384615</c:v>
                </c:pt>
                <c:pt idx="25">
                  <c:v>11.651538461538461</c:v>
                </c:pt>
                <c:pt idx="26">
                  <c:v>11.507692307692308</c:v>
                </c:pt>
                <c:pt idx="27">
                  <c:v>11.363846153846154</c:v>
                </c:pt>
                <c:pt idx="28">
                  <c:v>11.219999999999999</c:v>
                </c:pt>
                <c:pt idx="29">
                  <c:v>11.076153846153845</c:v>
                </c:pt>
                <c:pt idx="30">
                  <c:v>10.932307692307692</c:v>
                </c:pt>
                <c:pt idx="31">
                  <c:v>10.788461538461537</c:v>
                </c:pt>
                <c:pt idx="32">
                  <c:v>10.644615384615385</c:v>
                </c:pt>
                <c:pt idx="33">
                  <c:v>10.500769230769231</c:v>
                </c:pt>
                <c:pt idx="34">
                  <c:v>10.356923076923076</c:v>
                </c:pt>
                <c:pt idx="35">
                  <c:v>10.213076923076924</c:v>
                </c:pt>
                <c:pt idx="36">
                  <c:v>10.069230769230769</c:v>
                </c:pt>
                <c:pt idx="37">
                  <c:v>9.9253846153846137</c:v>
                </c:pt>
                <c:pt idx="38">
                  <c:v>9.781538461538462</c:v>
                </c:pt>
                <c:pt idx="39">
                  <c:v>9.6376923076923067</c:v>
                </c:pt>
                <c:pt idx="40">
                  <c:v>9.4938461538461532</c:v>
                </c:pt>
                <c:pt idx="41">
                  <c:v>9.35</c:v>
                </c:pt>
                <c:pt idx="42">
                  <c:v>113.82153846153847</c:v>
                </c:pt>
                <c:pt idx="43">
                  <c:v>112.04307692307692</c:v>
                </c:pt>
                <c:pt idx="44">
                  <c:v>110.26461538461538</c:v>
                </c:pt>
                <c:pt idx="45">
                  <c:v>108.48615384615385</c:v>
                </c:pt>
                <c:pt idx="46">
                  <c:v>106.70769230769231</c:v>
                </c:pt>
                <c:pt idx="47">
                  <c:v>104.92923076923078</c:v>
                </c:pt>
                <c:pt idx="48">
                  <c:v>103.15076923076924</c:v>
                </c:pt>
                <c:pt idx="49">
                  <c:v>101.3723076923077</c:v>
                </c:pt>
                <c:pt idx="50">
                  <c:v>99.593846153846158</c:v>
                </c:pt>
                <c:pt idx="51">
                  <c:v>97.81538461538463</c:v>
                </c:pt>
                <c:pt idx="52">
                  <c:v>96.036923076923088</c:v>
                </c:pt>
                <c:pt idx="53">
                  <c:v>94.258461538461546</c:v>
                </c:pt>
                <c:pt idx="54">
                  <c:v>92.48</c:v>
                </c:pt>
                <c:pt idx="55">
                  <c:v>90.701538461538476</c:v>
                </c:pt>
                <c:pt idx="56">
                  <c:v>88.92307692307692</c:v>
                </c:pt>
                <c:pt idx="57">
                  <c:v>87.144615384615378</c:v>
                </c:pt>
                <c:pt idx="58">
                  <c:v>85.366153846153864</c:v>
                </c:pt>
                <c:pt idx="59">
                  <c:v>83.587692307692308</c:v>
                </c:pt>
                <c:pt idx="60">
                  <c:v>81.80923076923078</c:v>
                </c:pt>
                <c:pt idx="61">
                  <c:v>80.030769230769238</c:v>
                </c:pt>
                <c:pt idx="62">
                  <c:v>78.25230769230771</c:v>
                </c:pt>
                <c:pt idx="63">
                  <c:v>76.473846153846154</c:v>
                </c:pt>
                <c:pt idx="64">
                  <c:v>74.695384615384626</c:v>
                </c:pt>
                <c:pt idx="65">
                  <c:v>72.916923076923084</c:v>
                </c:pt>
                <c:pt idx="66">
                  <c:v>71.138461538461527</c:v>
                </c:pt>
                <c:pt idx="67">
                  <c:v>69.36</c:v>
                </c:pt>
                <c:pt idx="68">
                  <c:v>67.581538461538486</c:v>
                </c:pt>
                <c:pt idx="69">
                  <c:v>65.803076923076929</c:v>
                </c:pt>
                <c:pt idx="70">
                  <c:v>64.024615384615387</c:v>
                </c:pt>
                <c:pt idx="71">
                  <c:v>62.246153846153859</c:v>
                </c:pt>
                <c:pt idx="72">
                  <c:v>60.467692307692303</c:v>
                </c:pt>
                <c:pt idx="73">
                  <c:v>58.689230769230775</c:v>
                </c:pt>
                <c:pt idx="74">
                  <c:v>56.910769230769233</c:v>
                </c:pt>
                <c:pt idx="75">
                  <c:v>55.132307692307705</c:v>
                </c:pt>
                <c:pt idx="76">
                  <c:v>53.353846153846149</c:v>
                </c:pt>
                <c:pt idx="77">
                  <c:v>51.575384615384628</c:v>
                </c:pt>
                <c:pt idx="78">
                  <c:v>49.796923076923086</c:v>
                </c:pt>
                <c:pt idx="79">
                  <c:v>48.01846153846153</c:v>
                </c:pt>
                <c:pt idx="80">
                  <c:v>46.24</c:v>
                </c:pt>
                <c:pt idx="81">
                  <c:v>44.46153846153846</c:v>
                </c:pt>
                <c:pt idx="82">
                  <c:v>42.683076923076925</c:v>
                </c:pt>
                <c:pt idx="83">
                  <c:v>40.904615384615383</c:v>
                </c:pt>
                <c:pt idx="84">
                  <c:v>39.126153846153841</c:v>
                </c:pt>
                <c:pt idx="85">
                  <c:v>37.347692307692299</c:v>
                </c:pt>
                <c:pt idx="86">
                  <c:v>35.569230769230757</c:v>
                </c:pt>
                <c:pt idx="87">
                  <c:v>33.79076923076925</c:v>
                </c:pt>
                <c:pt idx="88">
                  <c:v>32.012307692307708</c:v>
                </c:pt>
                <c:pt idx="89">
                  <c:v>30.233846153846166</c:v>
                </c:pt>
                <c:pt idx="90">
                  <c:v>28.455384615384624</c:v>
                </c:pt>
                <c:pt idx="91">
                  <c:v>26.676923076923085</c:v>
                </c:pt>
                <c:pt idx="92">
                  <c:v>24.898461538461543</c:v>
                </c:pt>
                <c:pt idx="93">
                  <c:v>23.12</c:v>
                </c:pt>
                <c:pt idx="94">
                  <c:v>21.341538461538462</c:v>
                </c:pt>
                <c:pt idx="95">
                  <c:v>19.56307692307692</c:v>
                </c:pt>
                <c:pt idx="96">
                  <c:v>17.784615384615378</c:v>
                </c:pt>
                <c:pt idx="97">
                  <c:v>16.006153846153836</c:v>
                </c:pt>
                <c:pt idx="98">
                  <c:v>14.227692307692298</c:v>
                </c:pt>
                <c:pt idx="99">
                  <c:v>12.449230769230756</c:v>
                </c:pt>
                <c:pt idx="100">
                  <c:v>10.670769230769245</c:v>
                </c:pt>
                <c:pt idx="101">
                  <c:v>8.8923076923077051</c:v>
                </c:pt>
                <c:pt idx="102">
                  <c:v>7.1138461538461639</c:v>
                </c:pt>
                <c:pt idx="103">
                  <c:v>5.3353846153846227</c:v>
                </c:pt>
                <c:pt idx="104">
                  <c:v>3.556923076923082</c:v>
                </c:pt>
                <c:pt idx="105">
                  <c:v>1.778461538461541</c:v>
                </c:pt>
                <c:pt idx="106">
                  <c:v>0</c:v>
                </c:pt>
                <c:pt idx="107">
                  <c:v>0</c:v>
                </c:pt>
              </c:numCache>
            </c:numRef>
          </c:yVal>
          <c:smooth val="0"/>
          <c:extLst>
            <c:ext xmlns:c16="http://schemas.microsoft.com/office/drawing/2014/chart" uri="{C3380CC4-5D6E-409C-BE32-E72D297353CC}">
              <c16:uniqueId val="{00000000-DF7D-4259-8571-15EF0B02AB54}"/>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C1BD-4368-9542-6A2970FFC435}"/>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Start_up!$G$10:$G$112</c:f>
              <c:numCache>
                <c:formatCode>General</c:formatCode>
                <c:ptCount val="103"/>
                <c:pt idx="0">
                  <c:v>0.35199999999999998</c:v>
                </c:pt>
                <c:pt idx="1">
                  <c:v>0.35199999999999998</c:v>
                </c:pt>
                <c:pt idx="2">
                  <c:v>0.35199999999999998</c:v>
                </c:pt>
                <c:pt idx="3">
                  <c:v>0.35199999999999998</c:v>
                </c:pt>
                <c:pt idx="4">
                  <c:v>0.35199999999999998</c:v>
                </c:pt>
                <c:pt idx="5">
                  <c:v>0.35199999999999998</c:v>
                </c:pt>
                <c:pt idx="6">
                  <c:v>0.35199999999999998</c:v>
                </c:pt>
                <c:pt idx="7">
                  <c:v>0.35199999999999998</c:v>
                </c:pt>
                <c:pt idx="8">
                  <c:v>0.35199999999999998</c:v>
                </c:pt>
                <c:pt idx="9">
                  <c:v>0.35199999999999998</c:v>
                </c:pt>
                <c:pt idx="10">
                  <c:v>0.35199999999999998</c:v>
                </c:pt>
                <c:pt idx="11">
                  <c:v>0.35199999999999998</c:v>
                </c:pt>
                <c:pt idx="12">
                  <c:v>0.35199999999999998</c:v>
                </c:pt>
                <c:pt idx="13">
                  <c:v>0.35199999999999998</c:v>
                </c:pt>
                <c:pt idx="14">
                  <c:v>0.35199999999999998</c:v>
                </c:pt>
                <c:pt idx="15">
                  <c:v>0.35199999999999998</c:v>
                </c:pt>
                <c:pt idx="16">
                  <c:v>0.35199999999999998</c:v>
                </c:pt>
                <c:pt idx="17">
                  <c:v>0.35199999999999998</c:v>
                </c:pt>
                <c:pt idx="18">
                  <c:v>0.35199999999999998</c:v>
                </c:pt>
                <c:pt idx="19">
                  <c:v>0.35199999999999998</c:v>
                </c:pt>
                <c:pt idx="20">
                  <c:v>0.35199999999999998</c:v>
                </c:pt>
                <c:pt idx="21">
                  <c:v>0.35199999999999998</c:v>
                </c:pt>
                <c:pt idx="22">
                  <c:v>0.35199999999999998</c:v>
                </c:pt>
                <c:pt idx="23">
                  <c:v>0.35199999999999998</c:v>
                </c:pt>
                <c:pt idx="24">
                  <c:v>0.35199999999999998</c:v>
                </c:pt>
                <c:pt idx="25">
                  <c:v>0.35199999999999998</c:v>
                </c:pt>
                <c:pt idx="26">
                  <c:v>0.35199999999999998</c:v>
                </c:pt>
                <c:pt idx="27">
                  <c:v>0.35199999999999998</c:v>
                </c:pt>
                <c:pt idx="28">
                  <c:v>0.35199999999999998</c:v>
                </c:pt>
                <c:pt idx="29">
                  <c:v>0.35199999999999998</c:v>
                </c:pt>
                <c:pt idx="30">
                  <c:v>0.35199999999999998</c:v>
                </c:pt>
                <c:pt idx="31">
                  <c:v>0.35199999999999998</c:v>
                </c:pt>
                <c:pt idx="32">
                  <c:v>0.35199999999999998</c:v>
                </c:pt>
                <c:pt idx="33">
                  <c:v>0.35199999999999998</c:v>
                </c:pt>
                <c:pt idx="34">
                  <c:v>0.35199999999999998</c:v>
                </c:pt>
                <c:pt idx="35">
                  <c:v>0.35199999999999998</c:v>
                </c:pt>
                <c:pt idx="36">
                  <c:v>0.35199999999999998</c:v>
                </c:pt>
                <c:pt idx="37">
                  <c:v>0.35199999999999998</c:v>
                </c:pt>
                <c:pt idx="38">
                  <c:v>0.35199999999999998</c:v>
                </c:pt>
                <c:pt idx="39">
                  <c:v>0.35199999999999998</c:v>
                </c:pt>
                <c:pt idx="40">
                  <c:v>4.3520000000000003</c:v>
                </c:pt>
                <c:pt idx="41">
                  <c:v>4.3520000000000003</c:v>
                </c:pt>
                <c:pt idx="42">
                  <c:v>4.3520000000000003</c:v>
                </c:pt>
                <c:pt idx="43">
                  <c:v>4.3520000000000003</c:v>
                </c:pt>
                <c:pt idx="44">
                  <c:v>4.3520000000000003</c:v>
                </c:pt>
                <c:pt idx="45">
                  <c:v>4.3520000000000003</c:v>
                </c:pt>
                <c:pt idx="46">
                  <c:v>4.3520000000000003</c:v>
                </c:pt>
                <c:pt idx="47">
                  <c:v>4.3520000000000003</c:v>
                </c:pt>
                <c:pt idx="48">
                  <c:v>4.3520000000000003</c:v>
                </c:pt>
                <c:pt idx="49">
                  <c:v>4.3520000000000003</c:v>
                </c:pt>
                <c:pt idx="50">
                  <c:v>4.3520000000000003</c:v>
                </c:pt>
                <c:pt idx="51">
                  <c:v>4.3520000000000003</c:v>
                </c:pt>
                <c:pt idx="52">
                  <c:v>4.3520000000000003</c:v>
                </c:pt>
                <c:pt idx="53">
                  <c:v>4.3520000000000003</c:v>
                </c:pt>
                <c:pt idx="54">
                  <c:v>4.3520000000000003</c:v>
                </c:pt>
                <c:pt idx="55">
                  <c:v>4.3520000000000003</c:v>
                </c:pt>
                <c:pt idx="56">
                  <c:v>4.3520000000000003</c:v>
                </c:pt>
                <c:pt idx="57">
                  <c:v>4.3520000000000003</c:v>
                </c:pt>
                <c:pt idx="58">
                  <c:v>4.3520000000000003</c:v>
                </c:pt>
                <c:pt idx="59">
                  <c:v>4.3520000000000003</c:v>
                </c:pt>
                <c:pt idx="60">
                  <c:v>4.3520000000000003</c:v>
                </c:pt>
                <c:pt idx="61">
                  <c:v>4.3520000000000003</c:v>
                </c:pt>
                <c:pt idx="62">
                  <c:v>4.3520000000000003</c:v>
                </c:pt>
                <c:pt idx="63">
                  <c:v>4.3520000000000003</c:v>
                </c:pt>
                <c:pt idx="64">
                  <c:v>4.3520000000000003</c:v>
                </c:pt>
                <c:pt idx="65">
                  <c:v>4.3520000000000003</c:v>
                </c:pt>
                <c:pt idx="66">
                  <c:v>4.3520000000000003</c:v>
                </c:pt>
                <c:pt idx="67">
                  <c:v>4.3520000000000003</c:v>
                </c:pt>
                <c:pt idx="68">
                  <c:v>4.3520000000000003</c:v>
                </c:pt>
                <c:pt idx="69">
                  <c:v>4.3520000000000003</c:v>
                </c:pt>
                <c:pt idx="70">
                  <c:v>4.3520000000000003</c:v>
                </c:pt>
                <c:pt idx="71">
                  <c:v>4.3520000000000003</c:v>
                </c:pt>
                <c:pt idx="72">
                  <c:v>4.3520000000000003</c:v>
                </c:pt>
                <c:pt idx="73">
                  <c:v>4.3520000000000003</c:v>
                </c:pt>
                <c:pt idx="74">
                  <c:v>4.3520000000000003</c:v>
                </c:pt>
                <c:pt idx="75">
                  <c:v>4.3520000000000003</c:v>
                </c:pt>
                <c:pt idx="76">
                  <c:v>4.3520000000000003</c:v>
                </c:pt>
                <c:pt idx="77">
                  <c:v>4.3520000000000003</c:v>
                </c:pt>
                <c:pt idx="78">
                  <c:v>4.3520000000000003</c:v>
                </c:pt>
                <c:pt idx="79">
                  <c:v>4.3520000000000003</c:v>
                </c:pt>
                <c:pt idx="80">
                  <c:v>4.3520000000000003</c:v>
                </c:pt>
                <c:pt idx="81">
                  <c:v>4.3520000000000003</c:v>
                </c:pt>
                <c:pt idx="82">
                  <c:v>4.3520000000000003</c:v>
                </c:pt>
                <c:pt idx="83">
                  <c:v>4.3520000000000003</c:v>
                </c:pt>
                <c:pt idx="84">
                  <c:v>4.3520000000000003</c:v>
                </c:pt>
                <c:pt idx="85">
                  <c:v>4.3520000000000003</c:v>
                </c:pt>
                <c:pt idx="86">
                  <c:v>4.3520000000000003</c:v>
                </c:pt>
                <c:pt idx="87">
                  <c:v>4.3520000000000003</c:v>
                </c:pt>
                <c:pt idx="88">
                  <c:v>4.3520000000000003</c:v>
                </c:pt>
                <c:pt idx="89">
                  <c:v>4.3520000000000003</c:v>
                </c:pt>
                <c:pt idx="90">
                  <c:v>4.3520000000000003</c:v>
                </c:pt>
                <c:pt idx="91">
                  <c:v>4.3520000000000003</c:v>
                </c:pt>
                <c:pt idx="92">
                  <c:v>4.3520000000000003</c:v>
                </c:pt>
                <c:pt idx="93">
                  <c:v>4.3520000000000003</c:v>
                </c:pt>
                <c:pt idx="94">
                  <c:v>4.3520000000000003</c:v>
                </c:pt>
                <c:pt idx="95">
                  <c:v>4.3520000000000003</c:v>
                </c:pt>
                <c:pt idx="96">
                  <c:v>4.3520000000000003</c:v>
                </c:pt>
                <c:pt idx="97">
                  <c:v>4.3520000000000003</c:v>
                </c:pt>
                <c:pt idx="98">
                  <c:v>4.3520000000000003</c:v>
                </c:pt>
                <c:pt idx="99">
                  <c:v>4.3520000000000003</c:v>
                </c:pt>
                <c:pt idx="100">
                  <c:v>4.3520000000000003</c:v>
                </c:pt>
                <c:pt idx="101">
                  <c:v>4.3520000000000003</c:v>
                </c:pt>
                <c:pt idx="102">
                  <c:v>4.3520000000000003</c:v>
                </c:pt>
              </c:numCache>
            </c:numRef>
          </c:yVal>
          <c:smooth val="1"/>
          <c:extLst>
            <c:ext xmlns:c16="http://schemas.microsoft.com/office/drawing/2014/chart" uri="{C3380CC4-5D6E-409C-BE32-E72D297353CC}">
              <c16:uniqueId val="{00000001-C1BD-4368-9542-6A2970FFC435}"/>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125236" y="7827069"/>
          <a:ext cx="2861885" cy="2731159"/>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7818003" y="19304434"/>
          <a:ext cx="2976745" cy="2116438"/>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7800074" y="21577254"/>
          <a:ext cx="3048463" cy="2183405"/>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2</xdr:col>
      <xdr:colOff>13</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2003930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75" x14ac:dyDescent="0.2"/>
  <sheetData>
    <row r="1" spans="1:16" ht="13.5" thickTop="1" x14ac:dyDescent="0.2">
      <c r="A1" s="241"/>
      <c r="B1" s="242"/>
      <c r="C1" s="242"/>
      <c r="D1" s="242"/>
      <c r="E1" s="242"/>
      <c r="F1" s="242"/>
      <c r="G1" s="242"/>
      <c r="H1" s="242"/>
      <c r="I1" s="242"/>
      <c r="J1" s="242"/>
      <c r="K1" s="242"/>
      <c r="L1" s="242"/>
      <c r="M1" s="242"/>
      <c r="N1" s="242"/>
      <c r="O1" s="242"/>
      <c r="P1" s="243"/>
    </row>
    <row r="2" spans="1:16" x14ac:dyDescent="0.2">
      <c r="A2" s="244"/>
      <c r="B2" s="245"/>
      <c r="C2" s="245"/>
      <c r="D2" s="245"/>
      <c r="E2" s="245"/>
      <c r="F2" s="245"/>
      <c r="G2" s="245"/>
      <c r="H2" s="245"/>
      <c r="I2" s="245"/>
      <c r="J2" s="245"/>
      <c r="K2" s="245"/>
      <c r="L2" s="245"/>
      <c r="M2" s="245"/>
      <c r="N2" s="245"/>
      <c r="O2" s="245"/>
      <c r="P2" s="246"/>
    </row>
    <row r="3" spans="1:16" ht="30" x14ac:dyDescent="0.4">
      <c r="A3" s="244"/>
      <c r="B3" s="245"/>
      <c r="C3" s="245"/>
      <c r="D3" s="247"/>
      <c r="E3" s="245"/>
      <c r="F3" s="245"/>
      <c r="G3" s="245"/>
      <c r="H3" s="245"/>
      <c r="I3" s="245"/>
      <c r="J3" s="245"/>
      <c r="K3" s="245"/>
      <c r="L3" s="248"/>
      <c r="M3" s="245"/>
      <c r="N3" s="245"/>
      <c r="O3" s="245"/>
      <c r="P3" s="246"/>
    </row>
    <row r="4" spans="1:16" ht="23.25" x14ac:dyDescent="0.35">
      <c r="A4" s="244"/>
      <c r="B4" s="245"/>
      <c r="C4" s="245"/>
      <c r="D4" s="249"/>
      <c r="E4" s="245"/>
      <c r="F4" s="245"/>
      <c r="G4" s="245"/>
      <c r="H4" s="245"/>
      <c r="I4" s="245"/>
      <c r="J4" s="245"/>
      <c r="K4" s="245"/>
      <c r="L4" s="245"/>
      <c r="M4" s="245"/>
      <c r="N4" s="245"/>
      <c r="O4" s="245"/>
      <c r="P4" s="246"/>
    </row>
    <row r="5" spans="1:16" x14ac:dyDescent="0.2">
      <c r="A5" s="244"/>
      <c r="B5" s="245"/>
      <c r="C5" s="245"/>
      <c r="D5" s="245"/>
      <c r="E5" s="245"/>
      <c r="F5" s="245"/>
      <c r="G5" s="245"/>
      <c r="H5" s="245"/>
      <c r="I5" s="245"/>
      <c r="J5" s="245"/>
      <c r="K5" s="245"/>
      <c r="L5" s="245"/>
      <c r="M5" s="245"/>
      <c r="N5" s="245"/>
      <c r="O5" s="245"/>
      <c r="P5" s="246"/>
    </row>
    <row r="6" spans="1:16" x14ac:dyDescent="0.2">
      <c r="A6" s="244"/>
      <c r="B6" s="245"/>
      <c r="C6" s="245"/>
      <c r="D6" s="245"/>
      <c r="E6" s="245"/>
      <c r="F6" s="245"/>
      <c r="G6" s="245"/>
      <c r="H6" s="245"/>
      <c r="I6" s="245"/>
      <c r="J6" s="245"/>
      <c r="K6" s="245"/>
      <c r="L6" s="245"/>
      <c r="M6" s="245"/>
      <c r="N6" s="245"/>
      <c r="O6" s="245"/>
      <c r="P6" s="246"/>
    </row>
    <row r="7" spans="1:16" ht="15.75" x14ac:dyDescent="0.25">
      <c r="A7" s="244"/>
      <c r="B7" s="245"/>
      <c r="C7" s="245"/>
      <c r="D7" s="245"/>
      <c r="E7" s="245"/>
      <c r="F7" s="245"/>
      <c r="G7" s="245"/>
      <c r="H7" s="245"/>
      <c r="I7" s="245"/>
      <c r="J7" s="245"/>
      <c r="K7" s="245"/>
      <c r="L7" s="245"/>
      <c r="M7" s="248" t="s">
        <v>450</v>
      </c>
      <c r="N7" s="245"/>
      <c r="O7" s="245"/>
      <c r="P7" s="246"/>
    </row>
    <row r="8" spans="1:16" ht="30" x14ac:dyDescent="0.4">
      <c r="A8" s="244"/>
      <c r="B8" s="247" t="s">
        <v>493</v>
      </c>
      <c r="C8" s="245"/>
      <c r="D8" s="245"/>
      <c r="E8" s="245"/>
      <c r="F8" s="245"/>
      <c r="G8" s="245"/>
      <c r="H8" s="245"/>
      <c r="I8" s="245"/>
      <c r="J8" s="245"/>
      <c r="K8" s="245"/>
      <c r="L8" s="245"/>
      <c r="M8" s="245"/>
      <c r="N8" s="245"/>
      <c r="O8" s="245"/>
      <c r="P8" s="246"/>
    </row>
    <row r="9" spans="1:16" x14ac:dyDescent="0.2">
      <c r="A9" s="244"/>
      <c r="B9" s="245"/>
      <c r="C9" s="245"/>
      <c r="D9" s="245"/>
      <c r="E9" s="245"/>
      <c r="F9" s="245"/>
      <c r="G9" s="245"/>
      <c r="H9" s="245"/>
      <c r="I9" s="245"/>
      <c r="J9" s="245"/>
      <c r="K9" s="245"/>
      <c r="L9" s="245"/>
      <c r="M9" s="245"/>
      <c r="N9" s="245"/>
      <c r="O9" s="245"/>
      <c r="P9" s="246"/>
    </row>
    <row r="10" spans="1:16" ht="20.25" x14ac:dyDescent="0.3">
      <c r="A10" s="244"/>
      <c r="B10" s="250" t="s">
        <v>443</v>
      </c>
      <c r="C10" s="251"/>
      <c r="D10" s="251"/>
      <c r="E10" s="251"/>
      <c r="F10" s="245"/>
      <c r="G10" s="245"/>
      <c r="H10" s="245"/>
      <c r="I10" s="245"/>
      <c r="J10" s="245"/>
      <c r="K10" s="245"/>
      <c r="L10" s="245"/>
      <c r="M10" s="245"/>
      <c r="N10" s="245"/>
      <c r="O10" s="245"/>
      <c r="P10" s="246"/>
    </row>
    <row r="11" spans="1:16" ht="14.25" x14ac:dyDescent="0.2">
      <c r="A11" s="244"/>
      <c r="B11" s="252" t="s">
        <v>444</v>
      </c>
      <c r="C11" s="253"/>
      <c r="D11" s="253"/>
      <c r="E11" s="253"/>
      <c r="F11" s="245"/>
      <c r="G11" s="245"/>
      <c r="H11" s="245"/>
      <c r="I11" s="245"/>
      <c r="J11" s="245"/>
      <c r="K11" s="245"/>
      <c r="L11" s="245"/>
      <c r="M11" s="245"/>
      <c r="N11" s="245"/>
      <c r="O11" s="245"/>
      <c r="P11" s="246"/>
    </row>
    <row r="12" spans="1:16" ht="14.25" x14ac:dyDescent="0.2">
      <c r="A12" s="244"/>
      <c r="B12" s="252" t="s">
        <v>445</v>
      </c>
      <c r="C12" s="253"/>
      <c r="D12" s="253"/>
      <c r="E12" s="253"/>
      <c r="F12" s="245"/>
      <c r="G12" s="245"/>
      <c r="H12" s="245"/>
      <c r="I12" s="245"/>
      <c r="J12" s="245"/>
      <c r="K12" s="245"/>
      <c r="L12" s="245"/>
      <c r="M12" s="245"/>
      <c r="N12" s="245"/>
      <c r="O12" s="245"/>
      <c r="P12" s="246"/>
    </row>
    <row r="13" spans="1:16" x14ac:dyDescent="0.2">
      <c r="A13" s="244"/>
      <c r="B13" s="251"/>
      <c r="C13" s="251"/>
      <c r="D13" s="251"/>
      <c r="E13" s="251"/>
      <c r="F13" s="245"/>
      <c r="G13" s="245"/>
      <c r="H13" s="245"/>
      <c r="I13" s="245"/>
      <c r="J13" s="245"/>
      <c r="K13" s="245"/>
      <c r="L13" s="245"/>
      <c r="M13" s="245"/>
      <c r="N13" s="245"/>
      <c r="O13" s="245"/>
      <c r="P13" s="246"/>
    </row>
    <row r="14" spans="1:16" x14ac:dyDescent="0.2">
      <c r="A14" s="244"/>
      <c r="B14" s="323" t="s">
        <v>480</v>
      </c>
      <c r="C14" s="323"/>
      <c r="D14" s="323"/>
      <c r="E14" s="251"/>
      <c r="F14" s="245"/>
      <c r="G14" s="245"/>
      <c r="H14" s="245"/>
      <c r="I14" s="245"/>
      <c r="J14" s="245"/>
      <c r="K14" s="245"/>
      <c r="L14" s="245"/>
      <c r="M14" s="245"/>
      <c r="N14" s="245"/>
      <c r="O14" s="245"/>
      <c r="P14" s="246"/>
    </row>
    <row r="15" spans="1:16" x14ac:dyDescent="0.2">
      <c r="A15" s="244"/>
      <c r="B15" s="313" t="s">
        <v>466</v>
      </c>
      <c r="C15" s="313"/>
      <c r="D15" s="313"/>
      <c r="E15" s="313"/>
      <c r="F15" s="313"/>
      <c r="G15" s="313"/>
      <c r="H15" s="313"/>
      <c r="I15" s="313"/>
      <c r="J15" s="245"/>
      <c r="K15" s="245"/>
      <c r="L15" s="245"/>
      <c r="M15" s="245"/>
      <c r="N15" s="245"/>
      <c r="O15" s="245"/>
      <c r="P15" s="246"/>
    </row>
    <row r="16" spans="1:16" x14ac:dyDescent="0.2">
      <c r="A16" s="244"/>
      <c r="B16" s="251"/>
      <c r="C16" s="251"/>
      <c r="D16" s="251"/>
      <c r="E16" s="251"/>
      <c r="F16" s="245"/>
      <c r="G16" s="245"/>
      <c r="H16" s="245"/>
      <c r="I16" s="245"/>
      <c r="J16" s="245"/>
      <c r="K16" s="245"/>
      <c r="L16" s="245"/>
      <c r="M16" s="245"/>
      <c r="N16" s="245"/>
      <c r="O16" s="245"/>
      <c r="P16" s="246"/>
    </row>
    <row r="17" spans="1:16" x14ac:dyDescent="0.2">
      <c r="A17" s="244"/>
      <c r="B17" s="254" t="s">
        <v>446</v>
      </c>
      <c r="C17" s="251"/>
      <c r="D17" s="251"/>
      <c r="E17" s="251"/>
      <c r="F17" s="245"/>
      <c r="G17" s="245"/>
      <c r="H17" s="245"/>
      <c r="I17" s="245"/>
      <c r="J17" s="245"/>
      <c r="K17" s="245"/>
      <c r="L17" s="245"/>
      <c r="M17" s="245"/>
      <c r="N17" s="245"/>
      <c r="O17" s="245"/>
      <c r="P17" s="246"/>
    </row>
    <row r="18" spans="1:16" x14ac:dyDescent="0.2">
      <c r="A18" s="244"/>
      <c r="B18" s="255" t="s">
        <v>460</v>
      </c>
      <c r="C18" s="251"/>
      <c r="D18" s="251"/>
      <c r="E18" s="251"/>
      <c r="F18" s="245"/>
      <c r="G18" s="245"/>
      <c r="H18" s="245"/>
      <c r="I18" s="245"/>
      <c r="J18" s="245"/>
      <c r="K18" s="245"/>
      <c r="L18" s="245"/>
      <c r="M18" s="245"/>
      <c r="N18" s="245"/>
      <c r="O18" s="245"/>
      <c r="P18" s="246"/>
    </row>
    <row r="19" spans="1:16" x14ac:dyDescent="0.2">
      <c r="A19" s="244"/>
      <c r="B19" s="255" t="s">
        <v>459</v>
      </c>
      <c r="C19" s="251"/>
      <c r="D19" s="251"/>
      <c r="E19" s="251"/>
      <c r="F19" s="245"/>
      <c r="G19" s="245"/>
      <c r="H19" s="245"/>
      <c r="I19" s="245"/>
      <c r="J19" s="245"/>
      <c r="K19" s="245"/>
      <c r="L19" s="245"/>
      <c r="M19" s="245"/>
      <c r="N19" s="245"/>
      <c r="O19" s="245"/>
      <c r="P19" s="246"/>
    </row>
    <row r="20" spans="1:16" x14ac:dyDescent="0.2">
      <c r="A20" s="244"/>
      <c r="B20" s="255" t="s">
        <v>458</v>
      </c>
      <c r="C20" s="251"/>
      <c r="D20" s="251"/>
      <c r="E20" s="251"/>
      <c r="F20" s="245"/>
      <c r="G20" s="245"/>
      <c r="H20" s="245"/>
      <c r="I20" s="245"/>
      <c r="J20" s="245"/>
      <c r="K20" s="245"/>
      <c r="L20" s="245"/>
      <c r="M20" s="245"/>
      <c r="N20" s="245"/>
      <c r="O20" s="245"/>
      <c r="P20" s="246"/>
    </row>
    <row r="21" spans="1:16" x14ac:dyDescent="0.2">
      <c r="A21" s="244"/>
      <c r="B21" s="255" t="s">
        <v>454</v>
      </c>
      <c r="C21" s="251"/>
      <c r="D21" s="251"/>
      <c r="E21" s="251"/>
      <c r="F21" s="245"/>
      <c r="G21" s="245"/>
      <c r="H21" s="245"/>
      <c r="I21" s="245"/>
      <c r="J21" s="245"/>
      <c r="K21" s="245"/>
      <c r="L21" s="245"/>
      <c r="M21" s="245"/>
      <c r="N21" s="245"/>
      <c r="O21" s="245"/>
      <c r="P21" s="246"/>
    </row>
    <row r="22" spans="1:16" x14ac:dyDescent="0.2">
      <c r="A22" s="244"/>
      <c r="B22" s="255" t="s">
        <v>457</v>
      </c>
      <c r="C22" s="251"/>
      <c r="D22" s="251"/>
      <c r="E22" s="251"/>
      <c r="F22" s="245"/>
      <c r="G22" s="245"/>
      <c r="H22" s="245"/>
      <c r="I22" s="245"/>
      <c r="J22" s="245"/>
      <c r="K22" s="245"/>
      <c r="L22" s="245"/>
      <c r="M22" s="245"/>
      <c r="N22" s="245"/>
      <c r="O22" s="245"/>
      <c r="P22" s="246"/>
    </row>
    <row r="23" spans="1:16" x14ac:dyDescent="0.2">
      <c r="A23" s="244"/>
      <c r="B23" s="255" t="s">
        <v>455</v>
      </c>
      <c r="C23" s="251"/>
      <c r="D23" s="251"/>
      <c r="E23" s="251"/>
      <c r="F23" s="245"/>
      <c r="G23" s="245"/>
      <c r="H23" s="245"/>
      <c r="I23" s="245"/>
      <c r="J23" s="245"/>
      <c r="K23" s="245"/>
      <c r="L23" s="245"/>
      <c r="M23" s="245"/>
      <c r="N23" s="245"/>
      <c r="O23" s="245"/>
      <c r="P23" s="246"/>
    </row>
    <row r="24" spans="1:16" x14ac:dyDescent="0.2">
      <c r="A24" s="244"/>
      <c r="B24" s="255" t="s">
        <v>456</v>
      </c>
      <c r="C24" s="251"/>
      <c r="D24" s="251"/>
      <c r="E24" s="251"/>
      <c r="F24" s="245"/>
      <c r="G24" s="245"/>
      <c r="H24" s="245"/>
      <c r="I24" s="245"/>
      <c r="J24" s="245"/>
      <c r="K24" s="245"/>
      <c r="L24" s="245"/>
      <c r="M24" s="245"/>
      <c r="N24" s="245"/>
      <c r="O24" s="245"/>
      <c r="P24" s="246"/>
    </row>
    <row r="25" spans="1:16" x14ac:dyDescent="0.2">
      <c r="A25" s="244"/>
      <c r="B25" s="255"/>
      <c r="C25" s="251"/>
      <c r="D25" s="251"/>
      <c r="E25" s="251"/>
      <c r="F25" s="245"/>
      <c r="G25" s="245"/>
      <c r="H25" s="245"/>
      <c r="I25" s="245"/>
      <c r="J25" s="245"/>
      <c r="K25" s="245"/>
      <c r="L25" s="245"/>
      <c r="M25" s="245"/>
      <c r="N25" s="245"/>
      <c r="O25" s="245"/>
      <c r="P25" s="246"/>
    </row>
    <row r="26" spans="1:16" ht="20.25" x14ac:dyDescent="0.3">
      <c r="A26" s="244"/>
      <c r="B26" s="250" t="s">
        <v>447</v>
      </c>
      <c r="C26" s="245"/>
      <c r="D26" s="245"/>
      <c r="E26" s="245"/>
      <c r="F26" s="245"/>
      <c r="G26" s="245"/>
      <c r="H26" s="245"/>
      <c r="I26" s="245"/>
      <c r="J26" s="245"/>
      <c r="K26" s="245"/>
      <c r="L26" s="245"/>
      <c r="M26" s="245"/>
      <c r="N26" s="245"/>
      <c r="O26" s="245"/>
      <c r="P26" s="246"/>
    </row>
    <row r="27" spans="1:16" x14ac:dyDescent="0.2">
      <c r="A27" s="244"/>
      <c r="B27" s="259" t="s">
        <v>453</v>
      </c>
      <c r="C27" s="245"/>
      <c r="D27" s="245"/>
      <c r="E27" s="245"/>
      <c r="F27" s="245"/>
      <c r="G27" s="245"/>
      <c r="H27" s="245"/>
      <c r="I27" s="245"/>
      <c r="J27" s="245"/>
      <c r="K27" s="245"/>
      <c r="L27" s="245"/>
      <c r="M27" s="245"/>
      <c r="N27" s="245"/>
      <c r="O27" s="245"/>
      <c r="P27" s="246"/>
    </row>
    <row r="28" spans="1:16" x14ac:dyDescent="0.2">
      <c r="A28" s="244"/>
      <c r="B28" s="245" t="s">
        <v>448</v>
      </c>
      <c r="C28" s="245"/>
      <c r="D28" s="245"/>
      <c r="E28" s="245"/>
      <c r="F28" s="245"/>
      <c r="G28" s="245"/>
      <c r="H28" s="245"/>
      <c r="I28" s="245"/>
      <c r="J28" s="245"/>
      <c r="K28" s="245"/>
      <c r="L28" s="245"/>
      <c r="M28" s="245"/>
      <c r="N28" s="245"/>
      <c r="O28" s="245"/>
      <c r="P28" s="246"/>
    </row>
    <row r="29" spans="1:16" x14ac:dyDescent="0.2">
      <c r="A29" s="244"/>
      <c r="B29" s="245"/>
      <c r="C29" s="245"/>
      <c r="D29" s="245"/>
      <c r="E29" s="245"/>
      <c r="F29" s="245"/>
      <c r="G29" s="245"/>
      <c r="H29" s="245"/>
      <c r="I29" s="245"/>
      <c r="J29" s="245"/>
      <c r="K29" s="245"/>
      <c r="L29" s="245"/>
      <c r="M29" s="245"/>
      <c r="N29" s="245"/>
      <c r="O29" s="245"/>
      <c r="P29" s="246"/>
    </row>
    <row r="30" spans="1:16" x14ac:dyDescent="0.2">
      <c r="A30" s="244"/>
      <c r="B30" s="259" t="s">
        <v>452</v>
      </c>
      <c r="C30" s="245"/>
      <c r="D30" s="245"/>
      <c r="E30" s="245"/>
      <c r="F30" s="245"/>
      <c r="G30" s="245"/>
      <c r="H30" s="245"/>
      <c r="I30" s="245"/>
      <c r="J30" s="245"/>
      <c r="K30" s="245"/>
      <c r="L30" s="245"/>
      <c r="M30" s="245"/>
      <c r="N30" s="245"/>
      <c r="O30" s="245"/>
      <c r="P30" s="246"/>
    </row>
    <row r="31" spans="1:16" x14ac:dyDescent="0.2">
      <c r="A31" s="244"/>
      <c r="B31" s="245"/>
      <c r="C31" s="245"/>
      <c r="D31" s="245"/>
      <c r="E31" s="245"/>
      <c r="F31" s="245"/>
      <c r="G31" s="245"/>
      <c r="H31" s="245"/>
      <c r="I31" s="245"/>
      <c r="J31" s="245"/>
      <c r="K31" s="245"/>
      <c r="L31" s="245"/>
      <c r="M31" s="245"/>
      <c r="N31" s="245"/>
      <c r="O31" s="245"/>
      <c r="P31" s="246"/>
    </row>
    <row r="32" spans="1:16" x14ac:dyDescent="0.2">
      <c r="A32" s="244"/>
      <c r="B32" s="245" t="s">
        <v>449</v>
      </c>
      <c r="C32" s="245"/>
      <c r="D32" s="245"/>
      <c r="E32" s="245"/>
      <c r="F32" s="245"/>
      <c r="G32" s="245"/>
      <c r="H32" s="245"/>
      <c r="I32" s="245"/>
      <c r="J32" s="245"/>
      <c r="K32" s="245"/>
      <c r="L32" s="245"/>
      <c r="M32" s="245"/>
      <c r="N32" s="245"/>
      <c r="O32" s="245"/>
      <c r="P32" s="246"/>
    </row>
    <row r="33" spans="1:16" x14ac:dyDescent="0.2">
      <c r="A33" s="244"/>
      <c r="B33" s="259"/>
      <c r="C33" s="245"/>
      <c r="D33" s="245"/>
      <c r="E33" s="245"/>
      <c r="F33" s="245"/>
      <c r="G33" s="245"/>
      <c r="H33" s="245"/>
      <c r="I33" s="245"/>
      <c r="J33" s="245"/>
      <c r="K33" s="245"/>
      <c r="L33" s="245"/>
      <c r="M33" s="245"/>
      <c r="N33" s="245"/>
      <c r="O33" s="245"/>
      <c r="P33" s="246"/>
    </row>
    <row r="34" spans="1:16" ht="13.5" thickBot="1" x14ac:dyDescent="0.25">
      <c r="A34" s="244"/>
      <c r="B34" s="259"/>
      <c r="C34" s="245"/>
      <c r="D34" s="245"/>
      <c r="E34" s="245"/>
      <c r="F34" s="245"/>
      <c r="G34" s="245"/>
      <c r="H34" s="245"/>
      <c r="I34" s="245"/>
      <c r="J34" s="245"/>
      <c r="K34" s="245"/>
      <c r="L34" s="245"/>
      <c r="M34" s="245"/>
      <c r="N34" s="245"/>
      <c r="O34" s="245"/>
      <c r="P34" s="246"/>
    </row>
    <row r="35" spans="1:16" x14ac:dyDescent="0.2">
      <c r="A35" s="244"/>
      <c r="B35" s="314" t="s">
        <v>479</v>
      </c>
      <c r="C35" s="315"/>
      <c r="D35" s="315"/>
      <c r="E35" s="315"/>
      <c r="F35" s="315"/>
      <c r="G35" s="315"/>
      <c r="H35" s="315"/>
      <c r="I35" s="315"/>
      <c r="J35" s="315"/>
      <c r="K35" s="315"/>
      <c r="L35" s="315"/>
      <c r="M35" s="316"/>
      <c r="N35" s="245"/>
      <c r="O35" s="245"/>
      <c r="P35" s="246"/>
    </row>
    <row r="36" spans="1:16" x14ac:dyDescent="0.2">
      <c r="A36" s="244"/>
      <c r="B36" s="317"/>
      <c r="C36" s="318"/>
      <c r="D36" s="318"/>
      <c r="E36" s="318"/>
      <c r="F36" s="318"/>
      <c r="G36" s="318"/>
      <c r="H36" s="318"/>
      <c r="I36" s="318"/>
      <c r="J36" s="318"/>
      <c r="K36" s="318"/>
      <c r="L36" s="318"/>
      <c r="M36" s="319"/>
      <c r="N36" s="245"/>
      <c r="O36" s="245"/>
      <c r="P36" s="246"/>
    </row>
    <row r="37" spans="1:16" x14ac:dyDescent="0.2">
      <c r="A37" s="244"/>
      <c r="B37" s="317"/>
      <c r="C37" s="318"/>
      <c r="D37" s="318"/>
      <c r="E37" s="318"/>
      <c r="F37" s="318"/>
      <c r="G37" s="318"/>
      <c r="H37" s="318"/>
      <c r="I37" s="318"/>
      <c r="J37" s="318"/>
      <c r="K37" s="318"/>
      <c r="L37" s="318"/>
      <c r="M37" s="319"/>
      <c r="N37" s="245"/>
      <c r="O37" s="245"/>
      <c r="P37" s="246"/>
    </row>
    <row r="38" spans="1:16" x14ac:dyDescent="0.2">
      <c r="A38" s="244"/>
      <c r="B38" s="317"/>
      <c r="C38" s="318"/>
      <c r="D38" s="318"/>
      <c r="E38" s="318"/>
      <c r="F38" s="318"/>
      <c r="G38" s="318"/>
      <c r="H38" s="318"/>
      <c r="I38" s="318"/>
      <c r="J38" s="318"/>
      <c r="K38" s="318"/>
      <c r="L38" s="318"/>
      <c r="M38" s="319"/>
      <c r="N38" s="245"/>
      <c r="O38" s="245"/>
      <c r="P38" s="246"/>
    </row>
    <row r="39" spans="1:16" x14ac:dyDescent="0.2">
      <c r="A39" s="244"/>
      <c r="B39" s="317"/>
      <c r="C39" s="318"/>
      <c r="D39" s="318"/>
      <c r="E39" s="318"/>
      <c r="F39" s="318"/>
      <c r="G39" s="318"/>
      <c r="H39" s="318"/>
      <c r="I39" s="318"/>
      <c r="J39" s="318"/>
      <c r="K39" s="318"/>
      <c r="L39" s="318"/>
      <c r="M39" s="319"/>
      <c r="N39" s="245"/>
      <c r="O39" s="245"/>
      <c r="P39" s="246"/>
    </row>
    <row r="40" spans="1:16" x14ac:dyDescent="0.2">
      <c r="A40" s="244"/>
      <c r="B40" s="317"/>
      <c r="C40" s="318"/>
      <c r="D40" s="318"/>
      <c r="E40" s="318"/>
      <c r="F40" s="318"/>
      <c r="G40" s="318"/>
      <c r="H40" s="318"/>
      <c r="I40" s="318"/>
      <c r="J40" s="318"/>
      <c r="K40" s="318"/>
      <c r="L40" s="318"/>
      <c r="M40" s="319"/>
      <c r="N40" s="245"/>
      <c r="O40" s="245"/>
      <c r="P40" s="246"/>
    </row>
    <row r="41" spans="1:16" x14ac:dyDescent="0.2">
      <c r="A41" s="244"/>
      <c r="B41" s="317"/>
      <c r="C41" s="318"/>
      <c r="D41" s="318"/>
      <c r="E41" s="318"/>
      <c r="F41" s="318"/>
      <c r="G41" s="318"/>
      <c r="H41" s="318"/>
      <c r="I41" s="318"/>
      <c r="J41" s="318"/>
      <c r="K41" s="318"/>
      <c r="L41" s="318"/>
      <c r="M41" s="319"/>
      <c r="N41" s="245"/>
      <c r="O41" s="245"/>
      <c r="P41" s="246"/>
    </row>
    <row r="42" spans="1:16" x14ac:dyDescent="0.2">
      <c r="A42" s="244"/>
      <c r="B42" s="317"/>
      <c r="C42" s="318"/>
      <c r="D42" s="318"/>
      <c r="E42" s="318"/>
      <c r="F42" s="318"/>
      <c r="G42" s="318"/>
      <c r="H42" s="318"/>
      <c r="I42" s="318"/>
      <c r="J42" s="318"/>
      <c r="K42" s="318"/>
      <c r="L42" s="318"/>
      <c r="M42" s="319"/>
      <c r="N42" s="245"/>
      <c r="O42" s="245"/>
      <c r="P42" s="246"/>
    </row>
    <row r="43" spans="1:16" x14ac:dyDescent="0.2">
      <c r="A43" s="244"/>
      <c r="B43" s="317"/>
      <c r="C43" s="318"/>
      <c r="D43" s="318"/>
      <c r="E43" s="318"/>
      <c r="F43" s="318"/>
      <c r="G43" s="318"/>
      <c r="H43" s="318"/>
      <c r="I43" s="318"/>
      <c r="J43" s="318"/>
      <c r="K43" s="318"/>
      <c r="L43" s="318"/>
      <c r="M43" s="319"/>
      <c r="N43" s="245"/>
      <c r="O43" s="245"/>
      <c r="P43" s="246"/>
    </row>
    <row r="44" spans="1:16" x14ac:dyDescent="0.2">
      <c r="A44" s="244"/>
      <c r="B44" s="317"/>
      <c r="C44" s="318"/>
      <c r="D44" s="318"/>
      <c r="E44" s="318"/>
      <c r="F44" s="318"/>
      <c r="G44" s="318"/>
      <c r="H44" s="318"/>
      <c r="I44" s="318"/>
      <c r="J44" s="318"/>
      <c r="K44" s="318"/>
      <c r="L44" s="318"/>
      <c r="M44" s="319"/>
      <c r="N44" s="245"/>
      <c r="O44" s="245"/>
      <c r="P44" s="246"/>
    </row>
    <row r="45" spans="1:16" x14ac:dyDescent="0.2">
      <c r="A45" s="244"/>
      <c r="B45" s="317"/>
      <c r="C45" s="318"/>
      <c r="D45" s="318"/>
      <c r="E45" s="318"/>
      <c r="F45" s="318"/>
      <c r="G45" s="318"/>
      <c r="H45" s="318"/>
      <c r="I45" s="318"/>
      <c r="J45" s="318"/>
      <c r="K45" s="318"/>
      <c r="L45" s="318"/>
      <c r="M45" s="319"/>
      <c r="N45" s="245"/>
      <c r="O45" s="245"/>
      <c r="P45" s="246"/>
    </row>
    <row r="46" spans="1:16" x14ac:dyDescent="0.2">
      <c r="A46" s="244"/>
      <c r="B46" s="317"/>
      <c r="C46" s="318"/>
      <c r="D46" s="318"/>
      <c r="E46" s="318"/>
      <c r="F46" s="318"/>
      <c r="G46" s="318"/>
      <c r="H46" s="318"/>
      <c r="I46" s="318"/>
      <c r="J46" s="318"/>
      <c r="K46" s="318"/>
      <c r="L46" s="318"/>
      <c r="M46" s="319"/>
      <c r="N46" s="245"/>
      <c r="O46" s="245"/>
      <c r="P46" s="246"/>
    </row>
    <row r="47" spans="1:16" x14ac:dyDescent="0.2">
      <c r="A47" s="244"/>
      <c r="B47" s="317"/>
      <c r="C47" s="318"/>
      <c r="D47" s="318"/>
      <c r="E47" s="318"/>
      <c r="F47" s="318"/>
      <c r="G47" s="318"/>
      <c r="H47" s="318"/>
      <c r="I47" s="318"/>
      <c r="J47" s="318"/>
      <c r="K47" s="318"/>
      <c r="L47" s="318"/>
      <c r="M47" s="319"/>
      <c r="N47" s="245"/>
      <c r="O47" s="245"/>
      <c r="P47" s="246"/>
    </row>
    <row r="48" spans="1:16" x14ac:dyDescent="0.2">
      <c r="A48" s="244"/>
      <c r="B48" s="317"/>
      <c r="C48" s="318"/>
      <c r="D48" s="318"/>
      <c r="E48" s="318"/>
      <c r="F48" s="318"/>
      <c r="G48" s="318"/>
      <c r="H48" s="318"/>
      <c r="I48" s="318"/>
      <c r="J48" s="318"/>
      <c r="K48" s="318"/>
      <c r="L48" s="318"/>
      <c r="M48" s="319"/>
      <c r="N48" s="245"/>
      <c r="O48" s="245"/>
      <c r="P48" s="246"/>
    </row>
    <row r="49" spans="1:16" x14ac:dyDescent="0.2">
      <c r="A49" s="244"/>
      <c r="B49" s="317"/>
      <c r="C49" s="318"/>
      <c r="D49" s="318"/>
      <c r="E49" s="318"/>
      <c r="F49" s="318"/>
      <c r="G49" s="318"/>
      <c r="H49" s="318"/>
      <c r="I49" s="318"/>
      <c r="J49" s="318"/>
      <c r="K49" s="318"/>
      <c r="L49" s="318"/>
      <c r="M49" s="319"/>
      <c r="N49" s="245"/>
      <c r="O49" s="245"/>
      <c r="P49" s="246"/>
    </row>
    <row r="50" spans="1:16" x14ac:dyDescent="0.2">
      <c r="A50" s="244"/>
      <c r="B50" s="317"/>
      <c r="C50" s="318"/>
      <c r="D50" s="318"/>
      <c r="E50" s="318"/>
      <c r="F50" s="318"/>
      <c r="G50" s="318"/>
      <c r="H50" s="318"/>
      <c r="I50" s="318"/>
      <c r="J50" s="318"/>
      <c r="K50" s="318"/>
      <c r="L50" s="318"/>
      <c r="M50" s="319"/>
      <c r="N50" s="245"/>
      <c r="O50" s="245"/>
      <c r="P50" s="246"/>
    </row>
    <row r="51" spans="1:16" x14ac:dyDescent="0.2">
      <c r="A51" s="244"/>
      <c r="B51" s="317"/>
      <c r="C51" s="318"/>
      <c r="D51" s="318"/>
      <c r="E51" s="318"/>
      <c r="F51" s="318"/>
      <c r="G51" s="318"/>
      <c r="H51" s="318"/>
      <c r="I51" s="318"/>
      <c r="J51" s="318"/>
      <c r="K51" s="318"/>
      <c r="L51" s="318"/>
      <c r="M51" s="319"/>
      <c r="N51" s="245"/>
      <c r="O51" s="245"/>
      <c r="P51" s="246"/>
    </row>
    <row r="52" spans="1:16" x14ac:dyDescent="0.2">
      <c r="A52" s="244"/>
      <c r="B52" s="317"/>
      <c r="C52" s="318"/>
      <c r="D52" s="318"/>
      <c r="E52" s="318"/>
      <c r="F52" s="318"/>
      <c r="G52" s="318"/>
      <c r="H52" s="318"/>
      <c r="I52" s="318"/>
      <c r="J52" s="318"/>
      <c r="K52" s="318"/>
      <c r="L52" s="318"/>
      <c r="M52" s="319"/>
      <c r="N52" s="245"/>
      <c r="O52" s="245"/>
      <c r="P52" s="246"/>
    </row>
    <row r="53" spans="1:16" x14ac:dyDescent="0.2">
      <c r="A53" s="244"/>
      <c r="B53" s="317"/>
      <c r="C53" s="318"/>
      <c r="D53" s="318"/>
      <c r="E53" s="318"/>
      <c r="F53" s="318"/>
      <c r="G53" s="318"/>
      <c r="H53" s="318"/>
      <c r="I53" s="318"/>
      <c r="J53" s="318"/>
      <c r="K53" s="318"/>
      <c r="L53" s="318"/>
      <c r="M53" s="319"/>
      <c r="N53" s="245"/>
      <c r="O53" s="245"/>
      <c r="P53" s="246"/>
    </row>
    <row r="54" spans="1:16" x14ac:dyDescent="0.2">
      <c r="A54" s="244"/>
      <c r="B54" s="317"/>
      <c r="C54" s="318"/>
      <c r="D54" s="318"/>
      <c r="E54" s="318"/>
      <c r="F54" s="318"/>
      <c r="G54" s="318"/>
      <c r="H54" s="318"/>
      <c r="I54" s="318"/>
      <c r="J54" s="318"/>
      <c r="K54" s="318"/>
      <c r="L54" s="318"/>
      <c r="M54" s="319"/>
      <c r="N54" s="245"/>
      <c r="O54" s="245"/>
      <c r="P54" s="246"/>
    </row>
    <row r="55" spans="1:16" x14ac:dyDescent="0.2">
      <c r="A55" s="244"/>
      <c r="B55" s="317"/>
      <c r="C55" s="318"/>
      <c r="D55" s="318"/>
      <c r="E55" s="318"/>
      <c r="F55" s="318"/>
      <c r="G55" s="318"/>
      <c r="H55" s="318"/>
      <c r="I55" s="318"/>
      <c r="J55" s="318"/>
      <c r="K55" s="318"/>
      <c r="L55" s="318"/>
      <c r="M55" s="319"/>
      <c r="N55" s="245"/>
      <c r="O55" s="245"/>
      <c r="P55" s="246"/>
    </row>
    <row r="56" spans="1:16" x14ac:dyDescent="0.2">
      <c r="A56" s="244"/>
      <c r="B56" s="317"/>
      <c r="C56" s="318"/>
      <c r="D56" s="318"/>
      <c r="E56" s="318"/>
      <c r="F56" s="318"/>
      <c r="G56" s="318"/>
      <c r="H56" s="318"/>
      <c r="I56" s="318"/>
      <c r="J56" s="318"/>
      <c r="K56" s="318"/>
      <c r="L56" s="318"/>
      <c r="M56" s="319"/>
      <c r="N56" s="245"/>
      <c r="O56" s="245"/>
      <c r="P56" s="246"/>
    </row>
    <row r="57" spans="1:16" x14ac:dyDescent="0.2">
      <c r="A57" s="244"/>
      <c r="B57" s="317"/>
      <c r="C57" s="318"/>
      <c r="D57" s="318"/>
      <c r="E57" s="318"/>
      <c r="F57" s="318"/>
      <c r="G57" s="318"/>
      <c r="H57" s="318"/>
      <c r="I57" s="318"/>
      <c r="J57" s="318"/>
      <c r="K57" s="318"/>
      <c r="L57" s="318"/>
      <c r="M57" s="319"/>
      <c r="N57" s="245"/>
      <c r="O57" s="245"/>
      <c r="P57" s="246"/>
    </row>
    <row r="58" spans="1:16" x14ac:dyDescent="0.2">
      <c r="A58" s="244"/>
      <c r="B58" s="317"/>
      <c r="C58" s="318"/>
      <c r="D58" s="318"/>
      <c r="E58" s="318"/>
      <c r="F58" s="318"/>
      <c r="G58" s="318"/>
      <c r="H58" s="318"/>
      <c r="I58" s="318"/>
      <c r="J58" s="318"/>
      <c r="K58" s="318"/>
      <c r="L58" s="318"/>
      <c r="M58" s="319"/>
      <c r="N58" s="245"/>
      <c r="O58" s="245"/>
      <c r="P58" s="246"/>
    </row>
    <row r="59" spans="1:16" x14ac:dyDescent="0.2">
      <c r="A59" s="244"/>
      <c r="B59" s="317"/>
      <c r="C59" s="318"/>
      <c r="D59" s="318"/>
      <c r="E59" s="318"/>
      <c r="F59" s="318"/>
      <c r="G59" s="318"/>
      <c r="H59" s="318"/>
      <c r="I59" s="318"/>
      <c r="J59" s="318"/>
      <c r="K59" s="318"/>
      <c r="L59" s="318"/>
      <c r="M59" s="319"/>
      <c r="N59" s="245"/>
      <c r="O59" s="245"/>
      <c r="P59" s="246"/>
    </row>
    <row r="60" spans="1:16" x14ac:dyDescent="0.2">
      <c r="A60" s="244"/>
      <c r="B60" s="317"/>
      <c r="C60" s="318"/>
      <c r="D60" s="318"/>
      <c r="E60" s="318"/>
      <c r="F60" s="318"/>
      <c r="G60" s="318"/>
      <c r="H60" s="318"/>
      <c r="I60" s="318"/>
      <c r="J60" s="318"/>
      <c r="K60" s="318"/>
      <c r="L60" s="318"/>
      <c r="M60" s="319"/>
      <c r="N60" s="245"/>
      <c r="O60" s="245"/>
      <c r="P60" s="246"/>
    </row>
    <row r="61" spans="1:16" x14ac:dyDescent="0.2">
      <c r="A61" s="244"/>
      <c r="B61" s="317"/>
      <c r="C61" s="318"/>
      <c r="D61" s="318"/>
      <c r="E61" s="318"/>
      <c r="F61" s="318"/>
      <c r="G61" s="318"/>
      <c r="H61" s="318"/>
      <c r="I61" s="318"/>
      <c r="J61" s="318"/>
      <c r="K61" s="318"/>
      <c r="L61" s="318"/>
      <c r="M61" s="319"/>
      <c r="N61" s="245"/>
      <c r="O61" s="245"/>
      <c r="P61" s="246"/>
    </row>
    <row r="62" spans="1:16" x14ac:dyDescent="0.2">
      <c r="A62" s="244"/>
      <c r="B62" s="317"/>
      <c r="C62" s="318"/>
      <c r="D62" s="318"/>
      <c r="E62" s="318"/>
      <c r="F62" s="318"/>
      <c r="G62" s="318"/>
      <c r="H62" s="318"/>
      <c r="I62" s="318"/>
      <c r="J62" s="318"/>
      <c r="K62" s="318"/>
      <c r="L62" s="318"/>
      <c r="M62" s="319"/>
      <c r="N62" s="245"/>
      <c r="O62" s="245"/>
      <c r="P62" s="246"/>
    </row>
    <row r="63" spans="1:16" x14ac:dyDescent="0.2">
      <c r="A63" s="244"/>
      <c r="B63" s="317"/>
      <c r="C63" s="318"/>
      <c r="D63" s="318"/>
      <c r="E63" s="318"/>
      <c r="F63" s="318"/>
      <c r="G63" s="318"/>
      <c r="H63" s="318"/>
      <c r="I63" s="318"/>
      <c r="J63" s="318"/>
      <c r="K63" s="318"/>
      <c r="L63" s="318"/>
      <c r="M63" s="319"/>
      <c r="N63" s="245"/>
      <c r="O63" s="245"/>
      <c r="P63" s="246"/>
    </row>
    <row r="64" spans="1:16" x14ac:dyDescent="0.2">
      <c r="A64" s="244"/>
      <c r="B64" s="317"/>
      <c r="C64" s="318"/>
      <c r="D64" s="318"/>
      <c r="E64" s="318"/>
      <c r="F64" s="318"/>
      <c r="G64" s="318"/>
      <c r="H64" s="318"/>
      <c r="I64" s="318"/>
      <c r="J64" s="318"/>
      <c r="K64" s="318"/>
      <c r="L64" s="318"/>
      <c r="M64" s="319"/>
      <c r="N64" s="245"/>
      <c r="O64" s="245"/>
      <c r="P64" s="246"/>
    </row>
    <row r="65" spans="1:16" x14ac:dyDescent="0.2">
      <c r="A65" s="244"/>
      <c r="B65" s="317"/>
      <c r="C65" s="318"/>
      <c r="D65" s="318"/>
      <c r="E65" s="318"/>
      <c r="F65" s="318"/>
      <c r="G65" s="318"/>
      <c r="H65" s="318"/>
      <c r="I65" s="318"/>
      <c r="J65" s="318"/>
      <c r="K65" s="318"/>
      <c r="L65" s="318"/>
      <c r="M65" s="319"/>
      <c r="N65" s="245"/>
      <c r="O65" s="245"/>
      <c r="P65" s="246"/>
    </row>
    <row r="66" spans="1:16" x14ac:dyDescent="0.2">
      <c r="A66" s="244"/>
      <c r="B66" s="317"/>
      <c r="C66" s="318"/>
      <c r="D66" s="318"/>
      <c r="E66" s="318"/>
      <c r="F66" s="318"/>
      <c r="G66" s="318"/>
      <c r="H66" s="318"/>
      <c r="I66" s="318"/>
      <c r="J66" s="318"/>
      <c r="K66" s="318"/>
      <c r="L66" s="318"/>
      <c r="M66" s="319"/>
      <c r="N66" s="245"/>
      <c r="O66" s="245"/>
      <c r="P66" s="246"/>
    </row>
    <row r="67" spans="1:16" x14ac:dyDescent="0.2">
      <c r="A67" s="244"/>
      <c r="B67" s="317"/>
      <c r="C67" s="318"/>
      <c r="D67" s="318"/>
      <c r="E67" s="318"/>
      <c r="F67" s="318"/>
      <c r="G67" s="318"/>
      <c r="H67" s="318"/>
      <c r="I67" s="318"/>
      <c r="J67" s="318"/>
      <c r="K67" s="318"/>
      <c r="L67" s="318"/>
      <c r="M67" s="319"/>
      <c r="N67" s="245"/>
      <c r="O67" s="245"/>
      <c r="P67" s="246"/>
    </row>
    <row r="68" spans="1:16" x14ac:dyDescent="0.2">
      <c r="A68" s="244"/>
      <c r="B68" s="317"/>
      <c r="C68" s="318"/>
      <c r="D68" s="318"/>
      <c r="E68" s="318"/>
      <c r="F68" s="318"/>
      <c r="G68" s="318"/>
      <c r="H68" s="318"/>
      <c r="I68" s="318"/>
      <c r="J68" s="318"/>
      <c r="K68" s="318"/>
      <c r="L68" s="318"/>
      <c r="M68" s="319"/>
      <c r="N68" s="245"/>
      <c r="O68" s="245"/>
      <c r="P68" s="246"/>
    </row>
    <row r="69" spans="1:16" x14ac:dyDescent="0.2">
      <c r="A69" s="244"/>
      <c r="B69" s="317"/>
      <c r="C69" s="318"/>
      <c r="D69" s="318"/>
      <c r="E69" s="318"/>
      <c r="F69" s="318"/>
      <c r="G69" s="318"/>
      <c r="H69" s="318"/>
      <c r="I69" s="318"/>
      <c r="J69" s="318"/>
      <c r="K69" s="318"/>
      <c r="L69" s="318"/>
      <c r="M69" s="319"/>
      <c r="N69" s="245"/>
      <c r="O69" s="245"/>
      <c r="P69" s="246"/>
    </row>
    <row r="70" spans="1:16" x14ac:dyDescent="0.2">
      <c r="A70" s="244"/>
      <c r="B70" s="317"/>
      <c r="C70" s="318"/>
      <c r="D70" s="318"/>
      <c r="E70" s="318"/>
      <c r="F70" s="318"/>
      <c r="G70" s="318"/>
      <c r="H70" s="318"/>
      <c r="I70" s="318"/>
      <c r="J70" s="318"/>
      <c r="K70" s="318"/>
      <c r="L70" s="318"/>
      <c r="M70" s="319"/>
      <c r="N70" s="245"/>
      <c r="O70" s="245"/>
      <c r="P70" s="246"/>
    </row>
    <row r="71" spans="1:16" x14ac:dyDescent="0.2">
      <c r="A71" s="244"/>
      <c r="B71" s="317"/>
      <c r="C71" s="318"/>
      <c r="D71" s="318"/>
      <c r="E71" s="318"/>
      <c r="F71" s="318"/>
      <c r="G71" s="318"/>
      <c r="H71" s="318"/>
      <c r="I71" s="318"/>
      <c r="J71" s="318"/>
      <c r="K71" s="318"/>
      <c r="L71" s="318"/>
      <c r="M71" s="319"/>
      <c r="N71" s="245"/>
      <c r="O71" s="245"/>
      <c r="P71" s="246"/>
    </row>
    <row r="72" spans="1:16" x14ac:dyDescent="0.2">
      <c r="A72" s="244"/>
      <c r="B72" s="317"/>
      <c r="C72" s="318"/>
      <c r="D72" s="318"/>
      <c r="E72" s="318"/>
      <c r="F72" s="318"/>
      <c r="G72" s="318"/>
      <c r="H72" s="318"/>
      <c r="I72" s="318"/>
      <c r="J72" s="318"/>
      <c r="K72" s="318"/>
      <c r="L72" s="318"/>
      <c r="M72" s="319"/>
      <c r="N72" s="245"/>
      <c r="O72" s="245"/>
      <c r="P72" s="246"/>
    </row>
    <row r="73" spans="1:16" x14ac:dyDescent="0.2">
      <c r="A73" s="244"/>
      <c r="B73" s="317"/>
      <c r="C73" s="318"/>
      <c r="D73" s="318"/>
      <c r="E73" s="318"/>
      <c r="F73" s="318"/>
      <c r="G73" s="318"/>
      <c r="H73" s="318"/>
      <c r="I73" s="318"/>
      <c r="J73" s="318"/>
      <c r="K73" s="318"/>
      <c r="L73" s="318"/>
      <c r="M73" s="319"/>
      <c r="N73" s="245"/>
      <c r="O73" s="245"/>
      <c r="P73" s="246"/>
    </row>
    <row r="74" spans="1:16" x14ac:dyDescent="0.2">
      <c r="A74" s="244"/>
      <c r="B74" s="317"/>
      <c r="C74" s="318"/>
      <c r="D74" s="318"/>
      <c r="E74" s="318"/>
      <c r="F74" s="318"/>
      <c r="G74" s="318"/>
      <c r="H74" s="318"/>
      <c r="I74" s="318"/>
      <c r="J74" s="318"/>
      <c r="K74" s="318"/>
      <c r="L74" s="318"/>
      <c r="M74" s="319"/>
      <c r="N74" s="245"/>
      <c r="O74" s="245"/>
      <c r="P74" s="246"/>
    </row>
    <row r="75" spans="1:16" x14ac:dyDescent="0.2">
      <c r="A75" s="244"/>
      <c r="B75" s="317"/>
      <c r="C75" s="318"/>
      <c r="D75" s="318"/>
      <c r="E75" s="318"/>
      <c r="F75" s="318"/>
      <c r="G75" s="318"/>
      <c r="H75" s="318"/>
      <c r="I75" s="318"/>
      <c r="J75" s="318"/>
      <c r="K75" s="318"/>
      <c r="L75" s="318"/>
      <c r="M75" s="319"/>
      <c r="N75" s="245"/>
      <c r="O75" s="245"/>
      <c r="P75" s="246"/>
    </row>
    <row r="76" spans="1:16" x14ac:dyDescent="0.2">
      <c r="A76" s="244"/>
      <c r="B76" s="317"/>
      <c r="C76" s="318"/>
      <c r="D76" s="318"/>
      <c r="E76" s="318"/>
      <c r="F76" s="318"/>
      <c r="G76" s="318"/>
      <c r="H76" s="318"/>
      <c r="I76" s="318"/>
      <c r="J76" s="318"/>
      <c r="K76" s="318"/>
      <c r="L76" s="318"/>
      <c r="M76" s="319"/>
      <c r="N76" s="245"/>
      <c r="O76" s="245"/>
      <c r="P76" s="246"/>
    </row>
    <row r="77" spans="1:16" x14ac:dyDescent="0.2">
      <c r="A77" s="244"/>
      <c r="B77" s="317"/>
      <c r="C77" s="318"/>
      <c r="D77" s="318"/>
      <c r="E77" s="318"/>
      <c r="F77" s="318"/>
      <c r="G77" s="318"/>
      <c r="H77" s="318"/>
      <c r="I77" s="318"/>
      <c r="J77" s="318"/>
      <c r="K77" s="318"/>
      <c r="L77" s="318"/>
      <c r="M77" s="319"/>
      <c r="N77" s="245"/>
      <c r="O77" s="245"/>
      <c r="P77" s="246"/>
    </row>
    <row r="78" spans="1:16" x14ac:dyDescent="0.2">
      <c r="A78" s="244"/>
      <c r="B78" s="317"/>
      <c r="C78" s="318"/>
      <c r="D78" s="318"/>
      <c r="E78" s="318"/>
      <c r="F78" s="318"/>
      <c r="G78" s="318"/>
      <c r="H78" s="318"/>
      <c r="I78" s="318"/>
      <c r="J78" s="318"/>
      <c r="K78" s="318"/>
      <c r="L78" s="318"/>
      <c r="M78" s="319"/>
      <c r="N78" s="245"/>
      <c r="O78" s="245"/>
      <c r="P78" s="246"/>
    </row>
    <row r="79" spans="1:16" x14ac:dyDescent="0.2">
      <c r="A79" s="244"/>
      <c r="B79" s="317"/>
      <c r="C79" s="318"/>
      <c r="D79" s="318"/>
      <c r="E79" s="318"/>
      <c r="F79" s="318"/>
      <c r="G79" s="318"/>
      <c r="H79" s="318"/>
      <c r="I79" s="318"/>
      <c r="J79" s="318"/>
      <c r="K79" s="318"/>
      <c r="L79" s="318"/>
      <c r="M79" s="319"/>
      <c r="N79" s="245"/>
      <c r="O79" s="245"/>
      <c r="P79" s="246"/>
    </row>
    <row r="80" spans="1:16" x14ac:dyDescent="0.2">
      <c r="A80" s="244"/>
      <c r="B80" s="317"/>
      <c r="C80" s="318"/>
      <c r="D80" s="318"/>
      <c r="E80" s="318"/>
      <c r="F80" s="318"/>
      <c r="G80" s="318"/>
      <c r="H80" s="318"/>
      <c r="I80" s="318"/>
      <c r="J80" s="318"/>
      <c r="K80" s="318"/>
      <c r="L80" s="318"/>
      <c r="M80" s="319"/>
      <c r="N80" s="245"/>
      <c r="O80" s="245"/>
      <c r="P80" s="246"/>
    </row>
    <row r="81" spans="1:16" x14ac:dyDescent="0.2">
      <c r="A81" s="244"/>
      <c r="B81" s="317"/>
      <c r="C81" s="318"/>
      <c r="D81" s="318"/>
      <c r="E81" s="318"/>
      <c r="F81" s="318"/>
      <c r="G81" s="318"/>
      <c r="H81" s="318"/>
      <c r="I81" s="318"/>
      <c r="J81" s="318"/>
      <c r="K81" s="318"/>
      <c r="L81" s="318"/>
      <c r="M81" s="319"/>
      <c r="N81" s="245"/>
      <c r="O81" s="245"/>
      <c r="P81" s="246"/>
    </row>
    <row r="82" spans="1:16" x14ac:dyDescent="0.2">
      <c r="A82" s="244"/>
      <c r="B82" s="317"/>
      <c r="C82" s="318"/>
      <c r="D82" s="318"/>
      <c r="E82" s="318"/>
      <c r="F82" s="318"/>
      <c r="G82" s="318"/>
      <c r="H82" s="318"/>
      <c r="I82" s="318"/>
      <c r="J82" s="318"/>
      <c r="K82" s="318"/>
      <c r="L82" s="318"/>
      <c r="M82" s="319"/>
      <c r="N82" s="245"/>
      <c r="O82" s="245"/>
      <c r="P82" s="246"/>
    </row>
    <row r="83" spans="1:16" x14ac:dyDescent="0.2">
      <c r="A83" s="244"/>
      <c r="B83" s="317"/>
      <c r="C83" s="318"/>
      <c r="D83" s="318"/>
      <c r="E83" s="318"/>
      <c r="F83" s="318"/>
      <c r="G83" s="318"/>
      <c r="H83" s="318"/>
      <c r="I83" s="318"/>
      <c r="J83" s="318"/>
      <c r="K83" s="318"/>
      <c r="L83" s="318"/>
      <c r="M83" s="319"/>
      <c r="N83" s="245"/>
      <c r="O83" s="245"/>
      <c r="P83" s="246"/>
    </row>
    <row r="84" spans="1:16" x14ac:dyDescent="0.2">
      <c r="A84" s="244"/>
      <c r="B84" s="317"/>
      <c r="C84" s="318"/>
      <c r="D84" s="318"/>
      <c r="E84" s="318"/>
      <c r="F84" s="318"/>
      <c r="G84" s="318"/>
      <c r="H84" s="318"/>
      <c r="I84" s="318"/>
      <c r="J84" s="318"/>
      <c r="K84" s="318"/>
      <c r="L84" s="318"/>
      <c r="M84" s="319"/>
      <c r="N84" s="245"/>
      <c r="O84" s="245"/>
      <c r="P84" s="246"/>
    </row>
    <row r="85" spans="1:16" x14ac:dyDescent="0.2">
      <c r="A85" s="244"/>
      <c r="B85" s="317"/>
      <c r="C85" s="318"/>
      <c r="D85" s="318"/>
      <c r="E85" s="318"/>
      <c r="F85" s="318"/>
      <c r="G85" s="318"/>
      <c r="H85" s="318"/>
      <c r="I85" s="318"/>
      <c r="J85" s="318"/>
      <c r="K85" s="318"/>
      <c r="L85" s="318"/>
      <c r="M85" s="319"/>
      <c r="N85" s="245"/>
      <c r="O85" s="245"/>
      <c r="P85" s="246"/>
    </row>
    <row r="86" spans="1:16" x14ac:dyDescent="0.2">
      <c r="A86" s="244"/>
      <c r="B86" s="317"/>
      <c r="C86" s="318"/>
      <c r="D86" s="318"/>
      <c r="E86" s="318"/>
      <c r="F86" s="318"/>
      <c r="G86" s="318"/>
      <c r="H86" s="318"/>
      <c r="I86" s="318"/>
      <c r="J86" s="318"/>
      <c r="K86" s="318"/>
      <c r="L86" s="318"/>
      <c r="M86" s="319"/>
      <c r="N86" s="245"/>
      <c r="O86" s="245"/>
      <c r="P86" s="246"/>
    </row>
    <row r="87" spans="1:16" x14ac:dyDescent="0.2">
      <c r="A87" s="244"/>
      <c r="B87" s="317"/>
      <c r="C87" s="318"/>
      <c r="D87" s="318"/>
      <c r="E87" s="318"/>
      <c r="F87" s="318"/>
      <c r="G87" s="318"/>
      <c r="H87" s="318"/>
      <c r="I87" s="318"/>
      <c r="J87" s="318"/>
      <c r="K87" s="318"/>
      <c r="L87" s="318"/>
      <c r="M87" s="319"/>
      <c r="N87" s="245"/>
      <c r="O87" s="245"/>
      <c r="P87" s="246"/>
    </row>
    <row r="88" spans="1:16" x14ac:dyDescent="0.2">
      <c r="A88" s="244"/>
      <c r="B88" s="317"/>
      <c r="C88" s="318"/>
      <c r="D88" s="318"/>
      <c r="E88" s="318"/>
      <c r="F88" s="318"/>
      <c r="G88" s="318"/>
      <c r="H88" s="318"/>
      <c r="I88" s="318"/>
      <c r="J88" s="318"/>
      <c r="K88" s="318"/>
      <c r="L88" s="318"/>
      <c r="M88" s="319"/>
      <c r="N88" s="245"/>
      <c r="O88" s="245"/>
      <c r="P88" s="246"/>
    </row>
    <row r="89" spans="1:16" x14ac:dyDescent="0.2">
      <c r="A89" s="244"/>
      <c r="B89" s="317"/>
      <c r="C89" s="318"/>
      <c r="D89" s="318"/>
      <c r="E89" s="318"/>
      <c r="F89" s="318"/>
      <c r="G89" s="318"/>
      <c r="H89" s="318"/>
      <c r="I89" s="318"/>
      <c r="J89" s="318"/>
      <c r="K89" s="318"/>
      <c r="L89" s="318"/>
      <c r="M89" s="319"/>
      <c r="N89" s="245"/>
      <c r="O89" s="245"/>
      <c r="P89" s="246"/>
    </row>
    <row r="90" spans="1:16" x14ac:dyDescent="0.2">
      <c r="A90" s="244"/>
      <c r="B90" s="317"/>
      <c r="C90" s="318"/>
      <c r="D90" s="318"/>
      <c r="E90" s="318"/>
      <c r="F90" s="318"/>
      <c r="G90" s="318"/>
      <c r="H90" s="318"/>
      <c r="I90" s="318"/>
      <c r="J90" s="318"/>
      <c r="K90" s="318"/>
      <c r="L90" s="318"/>
      <c r="M90" s="319"/>
      <c r="N90" s="245"/>
      <c r="O90" s="245"/>
      <c r="P90" s="246"/>
    </row>
    <row r="91" spans="1:16" x14ac:dyDescent="0.2">
      <c r="A91" s="244"/>
      <c r="B91" s="317"/>
      <c r="C91" s="318"/>
      <c r="D91" s="318"/>
      <c r="E91" s="318"/>
      <c r="F91" s="318"/>
      <c r="G91" s="318"/>
      <c r="H91" s="318"/>
      <c r="I91" s="318"/>
      <c r="J91" s="318"/>
      <c r="K91" s="318"/>
      <c r="L91" s="318"/>
      <c r="M91" s="319"/>
      <c r="N91" s="245"/>
      <c r="O91" s="245"/>
      <c r="P91" s="246"/>
    </row>
    <row r="92" spans="1:16" x14ac:dyDescent="0.2">
      <c r="A92" s="244"/>
      <c r="B92" s="317"/>
      <c r="C92" s="318"/>
      <c r="D92" s="318"/>
      <c r="E92" s="318"/>
      <c r="F92" s="318"/>
      <c r="G92" s="318"/>
      <c r="H92" s="318"/>
      <c r="I92" s="318"/>
      <c r="J92" s="318"/>
      <c r="K92" s="318"/>
      <c r="L92" s="318"/>
      <c r="M92" s="319"/>
      <c r="N92" s="245"/>
      <c r="O92" s="245"/>
      <c r="P92" s="246"/>
    </row>
    <row r="93" spans="1:16" x14ac:dyDescent="0.2">
      <c r="A93" s="244"/>
      <c r="B93" s="317"/>
      <c r="C93" s="318"/>
      <c r="D93" s="318"/>
      <c r="E93" s="318"/>
      <c r="F93" s="318"/>
      <c r="G93" s="318"/>
      <c r="H93" s="318"/>
      <c r="I93" s="318"/>
      <c r="J93" s="318"/>
      <c r="K93" s="318"/>
      <c r="L93" s="318"/>
      <c r="M93" s="319"/>
      <c r="N93" s="245"/>
      <c r="O93" s="245"/>
      <c r="P93" s="246"/>
    </row>
    <row r="94" spans="1:16" x14ac:dyDescent="0.2">
      <c r="A94" s="244"/>
      <c r="B94" s="317"/>
      <c r="C94" s="318"/>
      <c r="D94" s="318"/>
      <c r="E94" s="318"/>
      <c r="F94" s="318"/>
      <c r="G94" s="318"/>
      <c r="H94" s="318"/>
      <c r="I94" s="318"/>
      <c r="J94" s="318"/>
      <c r="K94" s="318"/>
      <c r="L94" s="318"/>
      <c r="M94" s="319"/>
      <c r="N94" s="245"/>
      <c r="O94" s="245"/>
      <c r="P94" s="246"/>
    </row>
    <row r="95" spans="1:16" x14ac:dyDescent="0.2">
      <c r="A95" s="244"/>
      <c r="B95" s="317"/>
      <c r="C95" s="318"/>
      <c r="D95" s="318"/>
      <c r="E95" s="318"/>
      <c r="F95" s="318"/>
      <c r="G95" s="318"/>
      <c r="H95" s="318"/>
      <c r="I95" s="318"/>
      <c r="J95" s="318"/>
      <c r="K95" s="318"/>
      <c r="L95" s="318"/>
      <c r="M95" s="319"/>
      <c r="N95" s="245"/>
      <c r="O95" s="245"/>
      <c r="P95" s="246"/>
    </row>
    <row r="96" spans="1:16" x14ac:dyDescent="0.2">
      <c r="A96" s="244"/>
      <c r="B96" s="317"/>
      <c r="C96" s="318"/>
      <c r="D96" s="318"/>
      <c r="E96" s="318"/>
      <c r="F96" s="318"/>
      <c r="G96" s="318"/>
      <c r="H96" s="318"/>
      <c r="I96" s="318"/>
      <c r="J96" s="318"/>
      <c r="K96" s="318"/>
      <c r="L96" s="318"/>
      <c r="M96" s="319"/>
      <c r="N96" s="245"/>
      <c r="O96" s="245"/>
      <c r="P96" s="246"/>
    </row>
    <row r="97" spans="1:16" ht="13.5" thickBot="1" x14ac:dyDescent="0.25">
      <c r="A97" s="244"/>
      <c r="B97" s="320"/>
      <c r="C97" s="321"/>
      <c r="D97" s="321"/>
      <c r="E97" s="321"/>
      <c r="F97" s="321"/>
      <c r="G97" s="321"/>
      <c r="H97" s="321"/>
      <c r="I97" s="321"/>
      <c r="J97" s="321"/>
      <c r="K97" s="321"/>
      <c r="L97" s="321"/>
      <c r="M97" s="322"/>
      <c r="N97" s="245"/>
      <c r="O97" s="245"/>
      <c r="P97" s="246"/>
    </row>
    <row r="98" spans="1:16" x14ac:dyDescent="0.2">
      <c r="A98" s="244"/>
      <c r="B98" s="245"/>
      <c r="C98" s="245"/>
      <c r="D98" s="245"/>
      <c r="E98" s="245"/>
      <c r="F98" s="245"/>
      <c r="G98" s="245"/>
      <c r="H98" s="245"/>
      <c r="I98" s="245"/>
      <c r="J98" s="245"/>
      <c r="K98" s="245"/>
      <c r="L98" s="245"/>
      <c r="M98" s="245"/>
      <c r="N98" s="245"/>
      <c r="O98" s="245"/>
      <c r="P98" s="246"/>
    </row>
    <row r="99" spans="1:16" ht="13.5" thickBot="1" x14ac:dyDescent="0.25">
      <c r="A99" s="256"/>
      <c r="B99" s="257"/>
      <c r="C99" s="257"/>
      <c r="D99" s="257"/>
      <c r="E99" s="257"/>
      <c r="F99" s="257"/>
      <c r="G99" s="257"/>
      <c r="H99" s="257"/>
      <c r="I99" s="257"/>
      <c r="J99" s="257"/>
      <c r="K99" s="257"/>
      <c r="L99" s="257"/>
      <c r="M99" s="257"/>
      <c r="N99" s="257"/>
      <c r="O99" s="257"/>
      <c r="P99" s="258"/>
    </row>
    <row r="100" spans="1:16" ht="13.5" thickTop="1" x14ac:dyDescent="0.2"/>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114" zoomScale="115" zoomScaleNormal="115" zoomScaleSheetLayoutView="100" workbookViewId="0">
      <selection activeCell="F76" sqref="F76"/>
    </sheetView>
  </sheetViews>
  <sheetFormatPr defaultRowHeight="12.75" x14ac:dyDescent="0.2"/>
  <cols>
    <col min="1" max="1" width="0.42578125" customWidth="1"/>
    <col min="2" max="2" width="30" customWidth="1"/>
    <col min="3" max="3" width="15.140625" customWidth="1"/>
    <col min="4" max="4" width="17.28515625" customWidth="1"/>
    <col min="5" max="5" width="20.85546875" customWidth="1"/>
    <col min="6" max="6" width="16.85546875" customWidth="1"/>
    <col min="7" max="7" width="5.5703125" style="168" customWidth="1"/>
    <col min="8" max="8" width="9.5703125" customWidth="1"/>
    <col min="9" max="9" width="12.85546875" customWidth="1"/>
    <col min="11" max="11" width="10.28515625" customWidth="1"/>
    <col min="12" max="12" width="8.85546875" customWidth="1"/>
    <col min="13" max="13" width="9.85546875" customWidth="1"/>
    <col min="14" max="19" width="0" hidden="1" customWidth="1"/>
    <col min="20" max="20" width="2.7109375" hidden="1" customWidth="1"/>
    <col min="21" max="21" width="3" hidden="1" customWidth="1"/>
    <col min="22" max="22" width="1.140625" hidden="1" customWidth="1"/>
    <col min="23" max="23" width="3.7109375" hidden="1" customWidth="1"/>
    <col min="24" max="38" width="0" hidden="1" customWidth="1"/>
    <col min="39" max="39" width="11.7109375" customWidth="1"/>
    <col min="40" max="40" width="6.7109375" customWidth="1"/>
    <col min="41" max="41" width="9.28515625" customWidth="1"/>
    <col min="42" max="42" width="12.28515625" customWidth="1"/>
    <col min="43" max="43" width="12" customWidth="1"/>
    <col min="44" max="44" width="13.42578125" hidden="1" customWidth="1"/>
    <col min="45" max="45" width="14.5703125" customWidth="1"/>
    <col min="46" max="46" width="14.7109375" customWidth="1"/>
    <col min="47" max="47" width="11.28515625" customWidth="1"/>
    <col min="48" max="48" width="13" customWidth="1"/>
    <col min="49" max="49" width="13.42578125" customWidth="1"/>
    <col min="50" max="50" width="14.7109375" customWidth="1"/>
    <col min="51" max="51" width="14.140625" customWidth="1"/>
    <col min="52" max="52" width="12.85546875" customWidth="1"/>
    <col min="53" max="53" width="12.5703125" customWidth="1"/>
    <col min="54" max="54" width="9.85546875" customWidth="1"/>
    <col min="55" max="55" width="12.7109375" customWidth="1"/>
    <col min="56" max="56" width="13.7109375" customWidth="1"/>
    <col min="57" max="57" width="13.85546875" customWidth="1"/>
    <col min="58" max="59" width="14.42578125" customWidth="1"/>
    <col min="60" max="60" width="15.42578125" customWidth="1"/>
    <col min="61" max="61" width="15.28515625" customWidth="1"/>
    <col min="62" max="62" width="15.710937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28515625" customWidth="1"/>
    <col min="71" max="71" width="4.7109375" customWidth="1"/>
  </cols>
  <sheetData>
    <row r="1" spans="1:44" s="129" customFormat="1" ht="60.75" customHeight="1" x14ac:dyDescent="0.2">
      <c r="A1" s="325" t="s">
        <v>472</v>
      </c>
      <c r="B1" s="326"/>
      <c r="C1" s="326"/>
      <c r="D1" s="326"/>
      <c r="E1" s="326"/>
      <c r="F1" s="326"/>
      <c r="G1" s="326"/>
      <c r="H1" s="326"/>
      <c r="I1" s="326"/>
      <c r="J1" s="326"/>
      <c r="K1" s="326"/>
      <c r="L1" s="326"/>
      <c r="M1" s="326"/>
      <c r="N1" s="42"/>
      <c r="O1" s="42"/>
      <c r="P1" s="42"/>
      <c r="Q1" s="42"/>
      <c r="R1" s="40"/>
      <c r="S1" s="41"/>
      <c r="T1" s="39"/>
      <c r="U1" s="39"/>
      <c r="V1" s="39"/>
      <c r="W1" s="39"/>
      <c r="X1" s="39"/>
      <c r="Y1" s="39"/>
      <c r="Z1" s="39"/>
      <c r="AA1" s="39"/>
      <c r="AB1" s="39"/>
      <c r="AC1" s="39"/>
      <c r="AD1" s="39"/>
      <c r="AE1" s="39"/>
      <c r="AF1" s="39"/>
      <c r="AG1" s="39"/>
      <c r="AH1" s="39"/>
      <c r="AI1" s="39"/>
      <c r="AJ1" s="39"/>
      <c r="AK1" s="39"/>
      <c r="AL1" s="39"/>
      <c r="AM1" s="39"/>
    </row>
    <row r="2" spans="1:44" ht="15.75" x14ac:dyDescent="0.2">
      <c r="A2" s="19"/>
      <c r="B2" s="38" t="s">
        <v>104</v>
      </c>
      <c r="C2" s="19"/>
      <c r="D2" s="19"/>
      <c r="E2" s="19"/>
      <c r="F2" s="20"/>
      <c r="G2" s="20"/>
      <c r="H2" s="19"/>
      <c r="I2" s="19"/>
      <c r="J2" s="19"/>
      <c r="K2" s="19"/>
      <c r="L2" s="324"/>
      <c r="M2" s="324"/>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4" x14ac:dyDescent="0.2">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4" x14ac:dyDescent="0.2">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4" x14ac:dyDescent="0.2">
      <c r="A5" s="19"/>
      <c r="B5" s="19"/>
      <c r="C5" s="19"/>
      <c r="D5" s="19"/>
      <c r="E5" s="19"/>
      <c r="F5" s="19"/>
      <c r="G5" s="20"/>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4" x14ac:dyDescent="0.2">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4" ht="16.5" customHeight="1" x14ac:dyDescent="0.2">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4" x14ac:dyDescent="0.2">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4" ht="15" customHeight="1" x14ac:dyDescent="0.2">
      <c r="A9" s="19"/>
      <c r="B9" s="24"/>
      <c r="C9" s="205"/>
      <c r="D9" s="199" t="s">
        <v>364</v>
      </c>
      <c r="E9" s="123"/>
      <c r="F9" s="19"/>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44" ht="15" customHeight="1" x14ac:dyDescent="0.2">
      <c r="A10" s="19"/>
      <c r="B10" s="25"/>
      <c r="C10" s="21"/>
      <c r="D10" s="19" t="s">
        <v>103</v>
      </c>
      <c r="E10" s="124"/>
      <c r="F10" s="19"/>
      <c r="G10" s="20"/>
      <c r="H10" s="19"/>
      <c r="I10" s="19"/>
      <c r="J10" s="19"/>
      <c r="K10" s="19"/>
      <c r="L10" s="122"/>
      <c r="M10" s="122"/>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44" ht="22.9" customHeight="1" x14ac:dyDescent="0.2">
      <c r="A11" s="19"/>
      <c r="B11" s="25"/>
      <c r="C11" s="220"/>
      <c r="D11" s="327" t="s">
        <v>451</v>
      </c>
      <c r="E11" s="328"/>
      <c r="F11" s="19"/>
      <c r="G11" s="20"/>
      <c r="H11" s="19"/>
      <c r="I11" s="19"/>
      <c r="J11" s="19"/>
      <c r="K11" s="19"/>
      <c r="L11" s="122"/>
      <c r="M11" s="122"/>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44" ht="18" customHeight="1" x14ac:dyDescent="0.2">
      <c r="A12" s="19"/>
      <c r="B12" s="25"/>
      <c r="C12" s="219"/>
      <c r="D12" s="327"/>
      <c r="E12" s="328"/>
      <c r="F12" s="19"/>
      <c r="G12" s="20"/>
      <c r="H12" s="19"/>
      <c r="I12" s="19"/>
      <c r="J12" s="19"/>
      <c r="K12" s="19"/>
      <c r="L12" s="36"/>
      <c r="M12" s="36"/>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44" ht="15" customHeight="1" thickBot="1" x14ac:dyDescent="0.25">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4" ht="15" customHeight="1" x14ac:dyDescent="0.25">
      <c r="A14" s="19"/>
      <c r="B14" s="286" t="s">
        <v>481</v>
      </c>
      <c r="C14" s="298"/>
      <c r="D14" s="332" t="s">
        <v>482</v>
      </c>
      <c r="E14" s="332"/>
      <c r="F14" s="332"/>
      <c r="G14" s="332"/>
      <c r="H14" s="295"/>
      <c r="I14" s="278"/>
      <c r="J14" s="278"/>
      <c r="K14" s="278"/>
      <c r="L14" s="278"/>
      <c r="M14" s="278"/>
      <c r="N14" s="278"/>
      <c r="O14" s="278"/>
      <c r="P14" s="278"/>
      <c r="Q14" s="278"/>
      <c r="R14" s="278"/>
      <c r="S14" s="278"/>
      <c r="T14" s="278"/>
      <c r="U14" s="278"/>
      <c r="V14" s="278"/>
      <c r="W14" s="278"/>
      <c r="X14" s="278"/>
      <c r="Y14" s="278"/>
      <c r="Z14" s="278"/>
      <c r="AA14" s="278"/>
      <c r="AB14" s="278"/>
      <c r="AC14" s="278"/>
      <c r="AD14" s="278"/>
      <c r="AE14" s="278"/>
      <c r="AF14" s="278"/>
      <c r="AG14" s="278"/>
      <c r="AH14" s="278"/>
      <c r="AI14" s="278"/>
      <c r="AJ14" s="278"/>
      <c r="AK14" s="278"/>
      <c r="AL14" s="278"/>
      <c r="AM14" s="284"/>
    </row>
    <row r="15" spans="1:44" ht="15" customHeight="1" x14ac:dyDescent="0.25">
      <c r="A15" s="19"/>
      <c r="B15" s="287"/>
      <c r="C15" s="297"/>
      <c r="D15" s="333"/>
      <c r="E15" s="333"/>
      <c r="F15" s="333"/>
      <c r="G15" s="333"/>
      <c r="H15" s="296"/>
      <c r="I15" s="276"/>
      <c r="J15" s="276"/>
      <c r="K15" s="276"/>
      <c r="L15" s="276"/>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82"/>
      <c r="AR15" s="33" t="s">
        <v>195</v>
      </c>
    </row>
    <row r="16" spans="1:44" ht="15" customHeight="1" x14ac:dyDescent="0.2">
      <c r="A16" s="19"/>
      <c r="B16" s="331"/>
      <c r="C16" s="288"/>
      <c r="D16" s="338" t="s">
        <v>483</v>
      </c>
      <c r="E16" s="338"/>
      <c r="F16" s="338"/>
      <c r="G16" s="338"/>
      <c r="H16" s="338"/>
      <c r="I16" s="338"/>
      <c r="J16" s="292"/>
      <c r="K16" s="285"/>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82"/>
      <c r="AR16" s="33" t="s">
        <v>194</v>
      </c>
    </row>
    <row r="17" spans="1:39" ht="15" customHeight="1" x14ac:dyDescent="0.2">
      <c r="A17" s="19"/>
      <c r="B17" s="331"/>
      <c r="C17" s="288"/>
      <c r="D17" s="338" t="s">
        <v>484</v>
      </c>
      <c r="E17" s="338"/>
      <c r="F17" s="338"/>
      <c r="G17" s="338"/>
      <c r="H17" s="338"/>
      <c r="I17" s="338"/>
      <c r="J17" s="276"/>
      <c r="K17" s="276"/>
      <c r="L17" s="276"/>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82"/>
    </row>
    <row r="18" spans="1:39" ht="15" customHeight="1" x14ac:dyDescent="0.2">
      <c r="A18" s="19"/>
      <c r="B18" s="331"/>
      <c r="C18" s="288"/>
      <c r="D18" s="338" t="s">
        <v>485</v>
      </c>
      <c r="E18" s="338"/>
      <c r="F18" s="338"/>
      <c r="G18" s="338"/>
      <c r="H18" s="338"/>
      <c r="I18" s="338"/>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82"/>
    </row>
    <row r="19" spans="1:39" ht="15" customHeight="1" x14ac:dyDescent="0.2">
      <c r="A19" s="19"/>
      <c r="B19" s="331"/>
      <c r="C19" s="288"/>
      <c r="D19" s="338" t="s">
        <v>486</v>
      </c>
      <c r="E19" s="338"/>
      <c r="F19" s="338"/>
      <c r="G19" s="338"/>
      <c r="H19" s="338"/>
      <c r="I19" s="338"/>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82"/>
    </row>
    <row r="20" spans="1:39" ht="15" customHeight="1" x14ac:dyDescent="0.2">
      <c r="A20" s="19"/>
      <c r="B20" s="293"/>
      <c r="C20" s="288"/>
      <c r="D20" s="302" t="s">
        <v>490</v>
      </c>
      <c r="E20" s="289"/>
      <c r="F20" s="276"/>
      <c r="G20" s="276"/>
      <c r="H20" s="276"/>
      <c r="I20" s="276"/>
      <c r="J20" s="276"/>
      <c r="K20" s="276"/>
      <c r="L20" s="276"/>
      <c r="M20" s="276"/>
      <c r="N20" s="276"/>
      <c r="O20" s="276"/>
      <c r="P20" s="276"/>
      <c r="Q20" s="276"/>
      <c r="R20" s="276"/>
      <c r="S20" s="276"/>
      <c r="T20" s="276"/>
      <c r="U20" s="276"/>
      <c r="V20" s="276"/>
      <c r="W20" s="276"/>
      <c r="X20" s="276"/>
      <c r="Y20" s="276"/>
      <c r="Z20" s="276"/>
      <c r="AA20" s="276"/>
      <c r="AB20" s="276"/>
      <c r="AC20" s="276"/>
      <c r="AD20" s="276"/>
      <c r="AE20" s="276"/>
      <c r="AF20" s="276"/>
      <c r="AG20" s="276"/>
      <c r="AH20" s="276"/>
      <c r="AI20" s="276"/>
      <c r="AJ20" s="276"/>
      <c r="AK20" s="276"/>
      <c r="AL20" s="276"/>
      <c r="AM20" s="282"/>
    </row>
    <row r="21" spans="1:39" ht="15" customHeight="1" thickBot="1" x14ac:dyDescent="0.25">
      <c r="A21" s="19"/>
      <c r="B21" s="279"/>
      <c r="C21" s="276"/>
      <c r="D21" s="276"/>
      <c r="E21" s="277"/>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82"/>
    </row>
    <row r="22" spans="1:39" ht="29.1" customHeight="1" thickBot="1" x14ac:dyDescent="0.25">
      <c r="A22" s="19"/>
      <c r="B22" s="279"/>
      <c r="C22" s="276"/>
      <c r="D22" s="334" t="s">
        <v>487</v>
      </c>
      <c r="E22" s="335"/>
      <c r="F22" s="336"/>
      <c r="G22" s="300" t="s">
        <v>195</v>
      </c>
      <c r="H22" s="276"/>
      <c r="I22" s="276"/>
      <c r="J22" s="276"/>
      <c r="K22" s="276"/>
      <c r="L22" s="276"/>
      <c r="M22" s="276"/>
      <c r="N22" s="276"/>
      <c r="O22" s="276"/>
      <c r="P22" s="276"/>
      <c r="Q22" s="276"/>
      <c r="R22" s="276"/>
      <c r="S22" s="276"/>
      <c r="T22" s="276"/>
      <c r="U22" s="276"/>
      <c r="V22" s="276"/>
      <c r="W22" s="276"/>
      <c r="X22" s="276"/>
      <c r="Y22" s="276"/>
      <c r="Z22" s="276"/>
      <c r="AA22" s="276"/>
      <c r="AB22" s="276"/>
      <c r="AC22" s="276"/>
      <c r="AD22" s="276"/>
      <c r="AE22" s="276"/>
      <c r="AF22" s="276"/>
      <c r="AG22" s="276"/>
      <c r="AH22" s="276"/>
      <c r="AI22" s="276"/>
      <c r="AJ22" s="276"/>
      <c r="AK22" s="276"/>
      <c r="AL22" s="276"/>
      <c r="AM22" s="282"/>
    </row>
    <row r="23" spans="1:39" ht="32.1" customHeight="1" thickBot="1" x14ac:dyDescent="0.3">
      <c r="A23" s="19"/>
      <c r="B23" s="279"/>
      <c r="C23" s="276"/>
      <c r="D23" s="339" t="s">
        <v>488</v>
      </c>
      <c r="E23" s="340"/>
      <c r="F23" s="341"/>
      <c r="G23" s="301" t="s">
        <v>195</v>
      </c>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82"/>
    </row>
    <row r="24" spans="1:39" ht="15" customHeight="1" x14ac:dyDescent="0.2">
      <c r="A24" s="19"/>
      <c r="B24" s="279"/>
      <c r="C24" s="276"/>
      <c r="D24" s="337" t="s">
        <v>489</v>
      </c>
      <c r="E24" s="337"/>
      <c r="F24" s="337"/>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c r="AD24" s="276"/>
      <c r="AE24" s="276"/>
      <c r="AF24" s="276"/>
      <c r="AG24" s="276"/>
      <c r="AH24" s="276"/>
      <c r="AI24" s="276"/>
      <c r="AJ24" s="276"/>
      <c r="AK24" s="276"/>
      <c r="AL24" s="276"/>
      <c r="AM24" s="282"/>
    </row>
    <row r="25" spans="1:39" ht="15" customHeight="1" x14ac:dyDescent="0.2">
      <c r="A25" s="19"/>
      <c r="B25" s="279"/>
      <c r="C25" s="276"/>
      <c r="D25" s="337"/>
      <c r="E25" s="337"/>
      <c r="F25" s="337"/>
      <c r="G25" s="294"/>
      <c r="H25" s="276"/>
      <c r="I25" s="276"/>
      <c r="J25" s="285"/>
      <c r="K25" s="276"/>
      <c r="L25" s="276"/>
      <c r="M25" s="276"/>
      <c r="N25" s="276"/>
      <c r="O25" s="276"/>
      <c r="P25" s="276"/>
      <c r="Q25" s="276"/>
      <c r="R25" s="276"/>
      <c r="S25" s="276"/>
      <c r="T25" s="276"/>
      <c r="U25" s="276"/>
      <c r="V25" s="276"/>
      <c r="W25" s="276"/>
      <c r="X25" s="276"/>
      <c r="Y25" s="276"/>
      <c r="Z25" s="276"/>
      <c r="AA25" s="276"/>
      <c r="AB25" s="276"/>
      <c r="AC25" s="276"/>
      <c r="AD25" s="276"/>
      <c r="AE25" s="276"/>
      <c r="AF25" s="276"/>
      <c r="AG25" s="276"/>
      <c r="AH25" s="276"/>
      <c r="AI25" s="276"/>
      <c r="AJ25" s="276"/>
      <c r="AK25" s="276"/>
      <c r="AL25" s="276"/>
      <c r="AM25" s="282"/>
    </row>
    <row r="26" spans="1:39" ht="15" customHeight="1" thickBot="1" x14ac:dyDescent="0.25">
      <c r="A26" s="19"/>
      <c r="B26" s="280"/>
      <c r="C26" s="281"/>
      <c r="D26" s="299"/>
      <c r="E26" s="299"/>
      <c r="F26" s="299"/>
      <c r="G26" s="290"/>
      <c r="H26" s="281"/>
      <c r="I26" s="281"/>
      <c r="J26" s="29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3"/>
    </row>
    <row r="27" spans="1:39" ht="15" customHeight="1" x14ac:dyDescent="0.25">
      <c r="A27" s="19"/>
      <c r="B27" s="154" t="s">
        <v>149</v>
      </c>
      <c r="C27" s="96"/>
      <c r="D27" s="96"/>
      <c r="E27" s="97" t="s">
        <v>111</v>
      </c>
      <c r="F27" s="197">
        <v>29</v>
      </c>
      <c r="G27" s="178" t="s">
        <v>86</v>
      </c>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130"/>
    </row>
    <row r="28" spans="1:39" ht="15" customHeight="1" x14ac:dyDescent="0.25">
      <c r="A28" s="19"/>
      <c r="B28" s="98"/>
      <c r="C28" s="23"/>
      <c r="D28" s="23"/>
      <c r="E28" s="65" t="s">
        <v>119</v>
      </c>
      <c r="F28" s="198">
        <v>37</v>
      </c>
      <c r="G28" s="179" t="s">
        <v>86</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111"/>
    </row>
    <row r="29" spans="1:39" ht="15" customHeight="1" x14ac:dyDescent="0.2">
      <c r="A29" s="19"/>
      <c r="B29" s="99"/>
      <c r="C29" s="23"/>
      <c r="D29" s="23"/>
      <c r="E29" s="65" t="s">
        <v>112</v>
      </c>
      <c r="F29" s="198">
        <v>42.5</v>
      </c>
      <c r="G29" s="179" t="s">
        <v>86</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111"/>
    </row>
    <row r="30" spans="1:39" ht="15" customHeight="1" x14ac:dyDescent="0.2">
      <c r="A30" s="19"/>
      <c r="B30" s="99"/>
      <c r="C30" s="23"/>
      <c r="D30" s="23"/>
      <c r="E30" s="65" t="s">
        <v>121</v>
      </c>
      <c r="F30" s="198">
        <v>20.100000000000001</v>
      </c>
      <c r="G30" s="179" t="s">
        <v>25</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111"/>
    </row>
    <row r="31" spans="1:39" ht="15" customHeight="1" x14ac:dyDescent="0.2">
      <c r="A31" s="19"/>
      <c r="B31" s="99"/>
      <c r="C31" s="23"/>
      <c r="D31" s="23"/>
      <c r="E31" s="65" t="s">
        <v>228</v>
      </c>
      <c r="F31" s="198">
        <v>220</v>
      </c>
      <c r="G31" s="180" t="s">
        <v>83</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111"/>
    </row>
    <row r="32" spans="1:39" ht="15" customHeight="1" x14ac:dyDescent="0.2">
      <c r="A32" s="19"/>
      <c r="B32" s="99"/>
      <c r="C32" s="23"/>
      <c r="D32" s="23"/>
      <c r="E32" s="65" t="s">
        <v>120</v>
      </c>
      <c r="F32" s="303">
        <v>60</v>
      </c>
      <c r="G32" s="179" t="s">
        <v>125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111"/>
    </row>
    <row r="33" spans="1:40" ht="15" customHeight="1" x14ac:dyDescent="0.2">
      <c r="A33" s="19"/>
      <c r="B33" s="342" t="s">
        <v>491</v>
      </c>
      <c r="C33" s="23"/>
      <c r="D33" s="23"/>
      <c r="E33" s="65"/>
      <c r="F33" s="305"/>
      <c r="G33" s="186"/>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111"/>
    </row>
    <row r="34" spans="1:40" ht="15" customHeight="1" x14ac:dyDescent="0.2">
      <c r="A34" s="19"/>
      <c r="B34" s="342"/>
      <c r="C34" s="23"/>
      <c r="D34" s="23"/>
      <c r="E34" s="65"/>
      <c r="F34" s="305"/>
      <c r="G34" s="186"/>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111"/>
    </row>
    <row r="35" spans="1:40" ht="15" customHeight="1" thickBot="1" x14ac:dyDescent="0.25">
      <c r="A35" s="19"/>
      <c r="B35" s="100"/>
      <c r="C35" s="101"/>
      <c r="D35" s="101"/>
      <c r="E35" s="102"/>
      <c r="F35" s="306"/>
      <c r="G35" s="304"/>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15"/>
    </row>
    <row r="36" spans="1:40" ht="15" customHeight="1" x14ac:dyDescent="0.25">
      <c r="A36" s="19"/>
      <c r="B36" s="154" t="s">
        <v>226</v>
      </c>
      <c r="C36" s="146"/>
      <c r="D36" s="96"/>
      <c r="E36" s="263" t="s">
        <v>468</v>
      </c>
      <c r="F36" s="264" t="s">
        <v>467</v>
      </c>
      <c r="G36" s="262"/>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130"/>
      <c r="AN36" s="33"/>
    </row>
    <row r="37" spans="1:40" ht="15" customHeight="1" x14ac:dyDescent="0.2">
      <c r="A37" s="19"/>
      <c r="B37" s="103"/>
      <c r="C37" s="23"/>
      <c r="D37" s="23"/>
      <c r="E37" s="65" t="s">
        <v>261</v>
      </c>
      <c r="F37" s="61">
        <f>Equations!F20</f>
        <v>2.389044874636717</v>
      </c>
      <c r="G37" s="179" t="s">
        <v>85</v>
      </c>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111"/>
      <c r="AN37" s="33"/>
    </row>
    <row r="38" spans="1:40" ht="15" customHeight="1" x14ac:dyDescent="0.2">
      <c r="A38" s="19"/>
      <c r="B38" s="99"/>
      <c r="C38" s="23"/>
      <c r="D38" s="23"/>
      <c r="E38" s="65" t="s">
        <v>198</v>
      </c>
      <c r="F38" s="200" t="s">
        <v>195</v>
      </c>
      <c r="G38" s="179"/>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111"/>
      <c r="AN38" s="33" t="s">
        <v>195</v>
      </c>
    </row>
    <row r="39" spans="1:40" ht="15" customHeight="1" x14ac:dyDescent="0.2">
      <c r="A39" s="19"/>
      <c r="B39" s="99"/>
      <c r="C39" s="23"/>
      <c r="D39" s="23"/>
      <c r="E39" s="65" t="s">
        <v>109</v>
      </c>
      <c r="F39" s="201">
        <v>4</v>
      </c>
      <c r="G39" s="179" t="s">
        <v>85</v>
      </c>
      <c r="H39" s="131"/>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111"/>
      <c r="AN39" s="33" t="s">
        <v>194</v>
      </c>
    </row>
    <row r="40" spans="1:40" ht="15" customHeight="1" x14ac:dyDescent="0.2">
      <c r="A40" s="19"/>
      <c r="B40" s="99"/>
      <c r="C40" s="23"/>
      <c r="D40" s="23"/>
      <c r="E40" s="65" t="s">
        <v>201</v>
      </c>
      <c r="F40" s="108">
        <f>Equations!F21</f>
        <v>10</v>
      </c>
      <c r="G40" s="182" t="s">
        <v>87</v>
      </c>
      <c r="H40" s="21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111"/>
    </row>
    <row r="41" spans="1:40" ht="15" customHeight="1" x14ac:dyDescent="0.2">
      <c r="A41" s="19"/>
      <c r="B41" s="99"/>
      <c r="C41" s="23"/>
      <c r="D41" s="23"/>
      <c r="E41" s="65" t="s">
        <v>202</v>
      </c>
      <c r="F41" s="107">
        <f>Equations!F22</f>
        <v>6.5773195876288675</v>
      </c>
      <c r="G41" s="182" t="s">
        <v>87</v>
      </c>
      <c r="H41" s="21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111"/>
    </row>
    <row r="42" spans="1:40" ht="15" customHeight="1" x14ac:dyDescent="0.2">
      <c r="A42" s="19"/>
      <c r="B42" s="99"/>
      <c r="C42" s="23"/>
      <c r="D42" s="23"/>
      <c r="E42" s="65" t="s">
        <v>203</v>
      </c>
      <c r="F42" s="200">
        <v>10</v>
      </c>
      <c r="G42" s="182" t="s">
        <v>87</v>
      </c>
      <c r="H42" s="213"/>
      <c r="I42" s="23"/>
      <c r="J42" s="131"/>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111"/>
      <c r="AN42" t="b">
        <f>AND(F38="No")</f>
        <v>0</v>
      </c>
    </row>
    <row r="43" spans="1:40" ht="29.45" customHeight="1" x14ac:dyDescent="0.2">
      <c r="A43" s="19"/>
      <c r="B43" s="309" t="s">
        <v>491</v>
      </c>
      <c r="C43" s="23"/>
      <c r="D43" s="23"/>
      <c r="E43" s="65" t="s">
        <v>204</v>
      </c>
      <c r="F43" s="200">
        <v>6.58</v>
      </c>
      <c r="G43" s="182" t="s">
        <v>87</v>
      </c>
      <c r="H43" s="21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111"/>
    </row>
    <row r="44" spans="1:40" ht="15" customHeight="1" x14ac:dyDescent="0.2">
      <c r="A44" s="19"/>
      <c r="B44" s="307"/>
      <c r="C44" s="23"/>
      <c r="D44" s="23"/>
      <c r="E44" s="65" t="s">
        <v>260</v>
      </c>
      <c r="F44" s="107">
        <f>RsEFF</f>
        <v>2.4125452352231607</v>
      </c>
      <c r="G44" s="179" t="s">
        <v>85</v>
      </c>
      <c r="H44" s="21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111"/>
    </row>
    <row r="45" spans="1:40" ht="15" customHeight="1" x14ac:dyDescent="0.2">
      <c r="A45" s="19"/>
      <c r="B45" s="307"/>
      <c r="C45" s="23"/>
      <c r="D45" s="125"/>
      <c r="E45" s="126" t="s">
        <v>99</v>
      </c>
      <c r="F45" s="63">
        <f>CLMIN</f>
        <v>20.103249999999999</v>
      </c>
      <c r="G45" s="179" t="s">
        <v>25</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111"/>
    </row>
    <row r="46" spans="1:40" ht="15" customHeight="1" x14ac:dyDescent="0.2">
      <c r="A46" s="19"/>
      <c r="B46" s="99"/>
      <c r="C46" s="23"/>
      <c r="D46" s="127"/>
      <c r="E46" s="128" t="s">
        <v>100</v>
      </c>
      <c r="F46" s="63">
        <f>CLNOM</f>
        <v>22.797499999999999</v>
      </c>
      <c r="G46" s="179" t="s">
        <v>25</v>
      </c>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111"/>
    </row>
    <row r="47" spans="1:40" ht="15" customHeight="1" x14ac:dyDescent="0.2">
      <c r="A47" s="19"/>
      <c r="B47" s="99"/>
      <c r="C47" s="23"/>
      <c r="D47" s="152"/>
      <c r="E47" s="153" t="s">
        <v>101</v>
      </c>
      <c r="F47" s="63">
        <f>CLMAX</f>
        <v>25.491749999999996</v>
      </c>
      <c r="G47" s="179" t="s">
        <v>25</v>
      </c>
      <c r="H47" s="23"/>
      <c r="I47" s="9"/>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111"/>
      <c r="AN47" s="33" t="s">
        <v>240</v>
      </c>
    </row>
    <row r="48" spans="1:40" ht="15" customHeight="1" x14ac:dyDescent="0.2">
      <c r="A48" s="19"/>
      <c r="B48" s="99"/>
      <c r="C48" s="23"/>
      <c r="D48" s="23"/>
      <c r="E48" s="65" t="s">
        <v>113</v>
      </c>
      <c r="F48" s="48">
        <f>Equations!F27/1000</f>
        <v>2.5993172722499995</v>
      </c>
      <c r="G48" s="179" t="s">
        <v>87</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111"/>
      <c r="AN48" s="33" t="s">
        <v>241</v>
      </c>
    </row>
    <row r="49" spans="1:45" ht="15" customHeight="1" x14ac:dyDescent="0.2">
      <c r="A49" s="19"/>
      <c r="B49" s="99"/>
      <c r="C49" s="23"/>
      <c r="D49" s="23"/>
      <c r="E49" s="65" t="s">
        <v>239</v>
      </c>
      <c r="F49" s="274" t="s">
        <v>240</v>
      </c>
      <c r="G49" s="179"/>
      <c r="H49" s="131"/>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111"/>
      <c r="AN49" s="33" t="s">
        <v>420</v>
      </c>
    </row>
    <row r="50" spans="1:45" ht="15" customHeight="1" thickBot="1" x14ac:dyDescent="0.25">
      <c r="A50" s="19"/>
      <c r="B50" s="100"/>
      <c r="C50" s="101"/>
      <c r="D50" s="101"/>
      <c r="E50" s="143" t="s">
        <v>227</v>
      </c>
      <c r="F50" s="275" t="s">
        <v>420</v>
      </c>
      <c r="G50" s="18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15"/>
      <c r="AN50" s="33" t="s">
        <v>421</v>
      </c>
    </row>
    <row r="51" spans="1:45" ht="15" x14ac:dyDescent="0.25">
      <c r="A51" s="19"/>
      <c r="B51" s="154" t="s">
        <v>122</v>
      </c>
      <c r="C51" s="96"/>
      <c r="D51" s="96"/>
      <c r="E51" s="268" t="s">
        <v>473</v>
      </c>
      <c r="F51" s="272" t="s">
        <v>474</v>
      </c>
      <c r="G51" s="183"/>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130"/>
    </row>
    <row r="52" spans="1:45" ht="15.75" x14ac:dyDescent="0.3">
      <c r="A52" s="19"/>
      <c r="B52" s="99"/>
      <c r="C52" s="23"/>
      <c r="D52" s="23"/>
      <c r="E52" s="37" t="s">
        <v>257</v>
      </c>
      <c r="F52" s="260">
        <v>30</v>
      </c>
      <c r="G52" s="179" t="s">
        <v>126</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111"/>
      <c r="AN52">
        <f>((((TJMAX-TAMB)/ThetaJA)/(CLMAX^2))*1000)*NUMFETS^2</f>
        <v>53.090864079299401</v>
      </c>
      <c r="AO52">
        <f>((TJMAX-TAMB)/ThetaJA)</f>
        <v>3.8333333333333335</v>
      </c>
    </row>
    <row r="53" spans="1:45" x14ac:dyDescent="0.2">
      <c r="A53" s="19"/>
      <c r="B53" s="99"/>
      <c r="C53" s="23"/>
      <c r="D53" s="23"/>
      <c r="E53" s="37" t="s">
        <v>123</v>
      </c>
      <c r="F53" s="201">
        <v>3</v>
      </c>
      <c r="G53" s="179" t="s">
        <v>124</v>
      </c>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111"/>
      <c r="AN53" s="27" t="s">
        <v>258</v>
      </c>
    </row>
    <row r="54" spans="1:45" ht="15.75" customHeight="1" x14ac:dyDescent="0.3">
      <c r="A54" s="19"/>
      <c r="B54" s="240"/>
      <c r="C54" s="23"/>
      <c r="D54" s="23"/>
      <c r="E54" s="37" t="s">
        <v>263</v>
      </c>
      <c r="F54" s="201">
        <v>9.6</v>
      </c>
      <c r="G54" s="179" t="s">
        <v>85</v>
      </c>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111"/>
      <c r="AN54" s="33">
        <f>F54</f>
        <v>9.6</v>
      </c>
    </row>
    <row r="55" spans="1:45" ht="14.25" x14ac:dyDescent="0.2">
      <c r="A55" s="19"/>
      <c r="B55" s="239"/>
      <c r="C55" s="23"/>
      <c r="D55" s="23"/>
      <c r="E55" s="37" t="s">
        <v>127</v>
      </c>
      <c r="F55" s="201">
        <v>175</v>
      </c>
      <c r="G55" s="179" t="s">
        <v>186</v>
      </c>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111"/>
      <c r="AN55" s="33">
        <f t="shared" ref="AN55:AN60" si="0">F55</f>
        <v>175</v>
      </c>
    </row>
    <row r="56" spans="1:45" ht="22.15" customHeight="1" x14ac:dyDescent="0.3">
      <c r="A56" s="19"/>
      <c r="B56" s="308"/>
      <c r="C56" s="23"/>
      <c r="D56" s="23"/>
      <c r="E56" s="37" t="s">
        <v>373</v>
      </c>
      <c r="F56" s="201">
        <v>100</v>
      </c>
      <c r="G56" s="179" t="s">
        <v>25</v>
      </c>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111"/>
      <c r="AN56" s="33">
        <f t="shared" si="0"/>
        <v>100</v>
      </c>
    </row>
    <row r="57" spans="1:45" ht="15.75" customHeight="1" x14ac:dyDescent="0.3">
      <c r="A57" s="19"/>
      <c r="B57" s="310" t="s">
        <v>122</v>
      </c>
      <c r="C57" s="23"/>
      <c r="D57" s="23"/>
      <c r="E57" s="37" t="s">
        <v>374</v>
      </c>
      <c r="F57" s="201">
        <v>27</v>
      </c>
      <c r="G57" s="179" t="s">
        <v>25</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111"/>
      <c r="AN57" s="33">
        <f t="shared" si="0"/>
        <v>27</v>
      </c>
    </row>
    <row r="58" spans="1:45" ht="15.75" x14ac:dyDescent="0.3">
      <c r="A58" s="19"/>
      <c r="B58" s="308"/>
      <c r="C58" s="23"/>
      <c r="D58" s="23"/>
      <c r="E58" s="37" t="s">
        <v>375</v>
      </c>
      <c r="F58" s="201">
        <v>6</v>
      </c>
      <c r="G58" s="179" t="s">
        <v>25</v>
      </c>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111"/>
      <c r="AN58" s="33">
        <f t="shared" si="0"/>
        <v>6</v>
      </c>
    </row>
    <row r="59" spans="1:45" ht="15.75" customHeight="1" x14ac:dyDescent="0.3">
      <c r="A59" s="19"/>
      <c r="B59" s="308"/>
      <c r="C59" s="23"/>
      <c r="D59" s="23"/>
      <c r="E59" s="37" t="s">
        <v>441</v>
      </c>
      <c r="F59" s="200">
        <v>2.1</v>
      </c>
      <c r="G59" s="179" t="s">
        <v>25</v>
      </c>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111"/>
      <c r="AN59" s="33">
        <f t="shared" si="0"/>
        <v>2.1</v>
      </c>
      <c r="AS59" s="345"/>
    </row>
    <row r="60" spans="1:45" ht="19.899999999999999" customHeight="1" x14ac:dyDescent="0.3">
      <c r="A60" s="19"/>
      <c r="B60" s="308"/>
      <c r="C60" s="23"/>
      <c r="D60" s="23"/>
      <c r="E60" s="37" t="s">
        <v>442</v>
      </c>
      <c r="F60" s="201">
        <v>1.5</v>
      </c>
      <c r="G60" s="179" t="s">
        <v>25</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111"/>
      <c r="AN60" s="33">
        <f t="shared" si="0"/>
        <v>1.5</v>
      </c>
      <c r="AS60" s="345"/>
    </row>
    <row r="61" spans="1:45" ht="15" customHeight="1" x14ac:dyDescent="0.2">
      <c r="A61" s="19"/>
      <c r="B61" s="345" t="s">
        <v>462</v>
      </c>
      <c r="C61" s="23"/>
      <c r="D61" s="23"/>
      <c r="E61" s="37" t="s">
        <v>322</v>
      </c>
      <c r="F61" s="173">
        <f>(IOUTMAX/NUMFETS)^2*RDSON/1000</f>
        <v>0.43094399999999999</v>
      </c>
      <c r="G61" s="179" t="s">
        <v>87</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111"/>
      <c r="AS61" s="345"/>
    </row>
    <row r="62" spans="1:45" ht="15" customHeight="1" x14ac:dyDescent="0.3">
      <c r="A62" s="19"/>
      <c r="B62" s="345"/>
      <c r="C62" s="23"/>
      <c r="D62" s="23"/>
      <c r="E62" s="37" t="s">
        <v>262</v>
      </c>
      <c r="F62" s="173">
        <f>TAMB+(FETPDISS*ThetaJA)</f>
        <v>72.928319999999999</v>
      </c>
      <c r="G62" s="179" t="s">
        <v>125</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111"/>
      <c r="AS62" s="345"/>
    </row>
    <row r="63" spans="1:45" ht="15" customHeight="1" x14ac:dyDescent="0.2">
      <c r="A63" s="19"/>
      <c r="B63" s="345"/>
      <c r="C63" s="23"/>
      <c r="D63" s="23"/>
      <c r="E63" s="65" t="s">
        <v>469</v>
      </c>
      <c r="F63" s="173">
        <f>Equations!F38</f>
        <v>88.081249999999983</v>
      </c>
      <c r="G63" s="179" t="s">
        <v>87</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111"/>
      <c r="AS63" s="345"/>
    </row>
    <row r="64" spans="1:45" ht="15" customHeight="1" x14ac:dyDescent="0.2">
      <c r="A64" s="19"/>
      <c r="B64" s="345"/>
      <c r="C64" s="23"/>
      <c r="D64" s="23"/>
      <c r="E64" s="65" t="s">
        <v>278</v>
      </c>
      <c r="F64" s="273">
        <v>75</v>
      </c>
      <c r="G64" s="179" t="s">
        <v>87</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111"/>
      <c r="AS64" s="345"/>
    </row>
    <row r="65" spans="1:45" ht="15" customHeight="1" x14ac:dyDescent="0.2">
      <c r="A65" s="19"/>
      <c r="B65" s="345"/>
      <c r="C65" s="23"/>
      <c r="D65" s="23"/>
      <c r="E65" s="65" t="s">
        <v>279</v>
      </c>
      <c r="F65" s="151">
        <f>Equations!F40</f>
        <v>22.61761158021713</v>
      </c>
      <c r="G65" s="184" t="s">
        <v>84</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111"/>
      <c r="AS65" s="345"/>
    </row>
    <row r="66" spans="1:45" ht="15" customHeight="1" x14ac:dyDescent="0.2">
      <c r="A66" s="19"/>
      <c r="B66" s="345"/>
      <c r="C66" s="23"/>
      <c r="D66" s="23"/>
      <c r="E66" s="65" t="s">
        <v>282</v>
      </c>
      <c r="F66" s="201">
        <v>38.299999999999997</v>
      </c>
      <c r="G66" s="184" t="s">
        <v>84</v>
      </c>
      <c r="H66" s="23"/>
      <c r="I66" s="330" t="s">
        <v>492</v>
      </c>
      <c r="J66" s="343"/>
      <c r="K66" s="343"/>
      <c r="L66" s="343"/>
      <c r="M66" s="34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111"/>
    </row>
    <row r="67" spans="1:45" ht="15" customHeight="1" thickBot="1" x14ac:dyDescent="0.25">
      <c r="A67" s="19"/>
      <c r="B67" s="345"/>
      <c r="C67" s="23"/>
      <c r="D67" s="23"/>
      <c r="E67" s="65" t="s">
        <v>285</v>
      </c>
      <c r="F67" s="151">
        <f>Equations!F42</f>
        <v>127.00280000000001</v>
      </c>
      <c r="G67" s="179" t="s">
        <v>87</v>
      </c>
      <c r="H67" s="23"/>
      <c r="I67" s="344"/>
      <c r="J67" s="344"/>
      <c r="K67" s="344"/>
      <c r="L67" s="344"/>
      <c r="M67" s="344"/>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111"/>
    </row>
    <row r="68" spans="1:45" ht="15" x14ac:dyDescent="0.25">
      <c r="A68" s="19"/>
      <c r="B68" s="154" t="s">
        <v>133</v>
      </c>
      <c r="C68" s="96"/>
      <c r="D68" s="96"/>
      <c r="E68" s="104" t="s">
        <v>189</v>
      </c>
      <c r="F68" s="202">
        <v>16</v>
      </c>
      <c r="G68" s="183" t="s">
        <v>86</v>
      </c>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130"/>
      <c r="AN68" s="33"/>
    </row>
    <row r="69" spans="1:45" x14ac:dyDescent="0.2">
      <c r="A69" s="19"/>
      <c r="B69" s="105"/>
      <c r="C69" s="23"/>
      <c r="D69" s="23"/>
      <c r="E69" s="37" t="s">
        <v>134</v>
      </c>
      <c r="F69" s="201" t="s">
        <v>136</v>
      </c>
      <c r="G69" s="18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111"/>
      <c r="AN69" s="33"/>
    </row>
    <row r="70" spans="1:45" x14ac:dyDescent="0.2">
      <c r="A70" s="19"/>
      <c r="B70" s="99"/>
      <c r="C70" s="23"/>
      <c r="D70" s="23"/>
      <c r="E70" s="37" t="s">
        <v>135</v>
      </c>
      <c r="F70" s="201">
        <v>4</v>
      </c>
      <c r="G70" s="180" t="str">
        <f>IF(F69="Constant Current","A","Ohms")</f>
        <v>A</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111"/>
      <c r="AN70" t="s">
        <v>136</v>
      </c>
    </row>
    <row r="71" spans="1:45" x14ac:dyDescent="0.2">
      <c r="A71" s="19"/>
      <c r="B71" s="99"/>
      <c r="C71" s="23"/>
      <c r="D71" s="23"/>
      <c r="E71" s="65" t="s">
        <v>478</v>
      </c>
      <c r="F71" s="200" t="s">
        <v>195</v>
      </c>
      <c r="G71" s="18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111"/>
      <c r="AN71" t="s">
        <v>137</v>
      </c>
    </row>
    <row r="72" spans="1:45" x14ac:dyDescent="0.2">
      <c r="A72" s="19"/>
      <c r="B72" s="99"/>
      <c r="C72" s="23"/>
      <c r="D72" s="23"/>
      <c r="E72" s="37" t="s">
        <v>301</v>
      </c>
      <c r="F72" s="55">
        <f>Start_up!M2</f>
        <v>26.562499999999972</v>
      </c>
      <c r="G72" s="179" t="s">
        <v>8</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111"/>
      <c r="AN72" s="33"/>
    </row>
    <row r="73" spans="1:45" x14ac:dyDescent="0.2">
      <c r="A73" s="19"/>
      <c r="B73" s="99"/>
      <c r="C73" s="23"/>
      <c r="D73" s="23"/>
      <c r="E73" s="37" t="s">
        <v>308</v>
      </c>
      <c r="F73" s="169">
        <f>Start_up!O2</f>
        <v>8.088235294117653E-2</v>
      </c>
      <c r="G73" s="179"/>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111"/>
      <c r="AN73" s="33"/>
    </row>
    <row r="74" spans="1:45" ht="13.15" customHeight="1" x14ac:dyDescent="0.2">
      <c r="A74" s="19"/>
      <c r="B74" s="105"/>
      <c r="C74" s="23"/>
      <c r="D74" s="122"/>
      <c r="E74" s="175" t="s">
        <v>302</v>
      </c>
      <c r="F74" s="55">
        <f>Equations!F55</f>
        <v>39.843749999999957</v>
      </c>
      <c r="G74" s="180" t="s">
        <v>8</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111"/>
    </row>
    <row r="75" spans="1:45" ht="12.6" customHeight="1" x14ac:dyDescent="0.2">
      <c r="A75" s="19"/>
      <c r="B75" s="99"/>
      <c r="C75" s="23"/>
      <c r="D75" s="122"/>
      <c r="E75" s="176" t="s">
        <v>306</v>
      </c>
      <c r="F75" s="55">
        <f>Equations!F56</f>
        <v>846.67968749999909</v>
      </c>
      <c r="G75" s="179" t="s">
        <v>118</v>
      </c>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111"/>
    </row>
    <row r="76" spans="1:45" ht="15" customHeight="1" x14ac:dyDescent="0.2">
      <c r="A76" s="19"/>
      <c r="B76" s="99"/>
      <c r="C76" s="23"/>
      <c r="D76" s="122"/>
      <c r="E76" s="176" t="s">
        <v>309</v>
      </c>
      <c r="F76" s="201">
        <v>440</v>
      </c>
      <c r="G76" s="179" t="s">
        <v>118</v>
      </c>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111"/>
    </row>
    <row r="77" spans="1:45" ht="15" customHeight="1" x14ac:dyDescent="0.2">
      <c r="A77" s="19"/>
      <c r="B77" s="99"/>
      <c r="C77" s="23"/>
      <c r="D77" s="122"/>
      <c r="E77" s="176" t="s">
        <v>361</v>
      </c>
      <c r="F77" s="55">
        <f>Equations!F58</f>
        <v>20.705882352941178</v>
      </c>
      <c r="G77" s="179" t="s">
        <v>8</v>
      </c>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111"/>
    </row>
    <row r="78" spans="1:45" ht="15" customHeight="1" x14ac:dyDescent="0.2">
      <c r="A78" s="19"/>
      <c r="B78" s="311" t="s">
        <v>133</v>
      </c>
      <c r="C78" s="23"/>
      <c r="D78" s="122"/>
      <c r="E78" s="176" t="s">
        <v>317</v>
      </c>
      <c r="F78" s="55">
        <f>Equations!F59</f>
        <v>9.4384690145043724</v>
      </c>
      <c r="G78" s="179"/>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111"/>
    </row>
    <row r="79" spans="1:45" ht="15" customHeight="1" x14ac:dyDescent="0.2">
      <c r="A79" s="19"/>
      <c r="B79" s="99"/>
      <c r="C79" s="23"/>
      <c r="D79" s="122"/>
      <c r="E79" s="176" t="s">
        <v>366</v>
      </c>
      <c r="F79" s="200" t="s">
        <v>194</v>
      </c>
      <c r="G79" s="179"/>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111"/>
    </row>
    <row r="80" spans="1:45" ht="15" customHeight="1" x14ac:dyDescent="0.2">
      <c r="A80" s="19"/>
      <c r="B80" s="99"/>
      <c r="C80" s="23"/>
      <c r="D80" s="122"/>
      <c r="E80" s="176" t="s">
        <v>371</v>
      </c>
      <c r="F80" s="55">
        <f>dv_dt_recommendations!J28</f>
        <v>13.447186399678067</v>
      </c>
      <c r="G80" s="179" t="s">
        <v>325</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111"/>
    </row>
    <row r="81" spans="1:40" ht="15" customHeight="1" x14ac:dyDescent="0.2">
      <c r="A81" s="19"/>
      <c r="B81" s="99"/>
      <c r="C81" s="23"/>
      <c r="D81" s="122"/>
      <c r="E81" s="176" t="s">
        <v>372</v>
      </c>
      <c r="F81" s="55">
        <f>dv_dt_recommendations!J29</f>
        <v>0.94863575195258598</v>
      </c>
      <c r="G81" s="179" t="s">
        <v>325</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111"/>
    </row>
    <row r="82" spans="1:40" ht="15" customHeight="1" x14ac:dyDescent="0.2">
      <c r="A82" s="19"/>
      <c r="B82" s="99"/>
      <c r="C82" s="23"/>
      <c r="D82" s="122"/>
      <c r="E82" s="34" t="s">
        <v>359</v>
      </c>
      <c r="F82" s="201">
        <v>2</v>
      </c>
      <c r="G82" s="179" t="s">
        <v>325</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111"/>
    </row>
    <row r="83" spans="1:40" ht="15" customHeight="1" x14ac:dyDescent="0.2">
      <c r="A83" s="19"/>
      <c r="B83" s="99" t="s">
        <v>494</v>
      </c>
      <c r="C83" s="23"/>
      <c r="D83" s="122"/>
      <c r="E83" s="34" t="s">
        <v>348</v>
      </c>
      <c r="F83" s="55">
        <f>Equations!F62</f>
        <v>8</v>
      </c>
      <c r="G83" s="177" t="s">
        <v>118</v>
      </c>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111"/>
    </row>
    <row r="84" spans="1:40" ht="15" customHeight="1" x14ac:dyDescent="0.2">
      <c r="A84" s="19"/>
      <c r="B84" s="329"/>
      <c r="C84" s="330"/>
      <c r="D84" s="122"/>
      <c r="E84" s="34" t="s">
        <v>349</v>
      </c>
      <c r="F84" s="201">
        <v>10</v>
      </c>
      <c r="G84" s="179" t="s">
        <v>118</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111"/>
    </row>
    <row r="85" spans="1:40" ht="15" customHeight="1" x14ac:dyDescent="0.2">
      <c r="A85" s="19"/>
      <c r="B85" s="329"/>
      <c r="C85" s="330"/>
      <c r="D85" s="122"/>
      <c r="E85" s="34" t="s">
        <v>461</v>
      </c>
      <c r="F85" s="55">
        <f>Equations!F64</f>
        <v>1.6</v>
      </c>
      <c r="G85" s="179" t="s">
        <v>325</v>
      </c>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111"/>
    </row>
    <row r="86" spans="1:40" ht="16.899999999999999" customHeight="1" x14ac:dyDescent="0.2">
      <c r="A86" s="19"/>
      <c r="B86" s="329"/>
      <c r="C86" s="330"/>
      <c r="D86" s="122"/>
      <c r="E86" s="34" t="s">
        <v>354</v>
      </c>
      <c r="F86" s="55">
        <f>Equations!F71</f>
        <v>1.7936569346492701</v>
      </c>
      <c r="G86" s="179"/>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111"/>
    </row>
    <row r="87" spans="1:40" ht="16.899999999999999" customHeight="1" x14ac:dyDescent="0.2">
      <c r="A87" s="19"/>
      <c r="B87" s="329"/>
      <c r="C87" s="330"/>
      <c r="D87" s="122"/>
      <c r="E87" s="34" t="s">
        <v>351</v>
      </c>
      <c r="F87" s="201">
        <v>0.52</v>
      </c>
      <c r="G87" s="179" t="s">
        <v>8</v>
      </c>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111"/>
    </row>
    <row r="88" spans="1:40" ht="16.899999999999999" customHeight="1" x14ac:dyDescent="0.2">
      <c r="A88" s="19"/>
      <c r="B88" s="329"/>
      <c r="C88" s="330"/>
      <c r="D88" s="122"/>
      <c r="E88" s="34" t="s">
        <v>352</v>
      </c>
      <c r="F88" s="55">
        <f>Equations!F76</f>
        <v>11.05</v>
      </c>
      <c r="G88" s="179" t="s">
        <v>118</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111"/>
    </row>
    <row r="89" spans="1:40" ht="16.899999999999999" customHeight="1" x14ac:dyDescent="0.3">
      <c r="A89" s="19"/>
      <c r="B89" s="99"/>
      <c r="C89" s="23"/>
      <c r="D89" s="122"/>
      <c r="E89" s="194" t="s">
        <v>356</v>
      </c>
      <c r="F89" s="201">
        <v>10</v>
      </c>
      <c r="G89" s="179" t="s">
        <v>118</v>
      </c>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111"/>
    </row>
    <row r="90" spans="1:40" ht="15" customHeight="1" x14ac:dyDescent="0.2">
      <c r="A90" s="19"/>
      <c r="B90" s="99"/>
      <c r="C90" s="23"/>
      <c r="D90" s="122"/>
      <c r="E90" s="176" t="s">
        <v>358</v>
      </c>
      <c r="F90" s="55">
        <f>Equations!F78</f>
        <v>0.47058823529411764</v>
      </c>
      <c r="G90" s="179" t="s">
        <v>8</v>
      </c>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116" t="s">
        <v>259</v>
      </c>
    </row>
    <row r="91" spans="1:40" ht="15" customHeight="1" x14ac:dyDescent="0.2">
      <c r="A91" s="19"/>
      <c r="B91" s="99"/>
      <c r="C91" s="23"/>
      <c r="D91" s="122"/>
      <c r="E91" s="176" t="s">
        <v>362</v>
      </c>
      <c r="F91" s="55">
        <f>Equations!F80</f>
        <v>9.4384690145043724</v>
      </c>
      <c r="G91" s="180"/>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116"/>
    </row>
    <row r="92" spans="1:40" ht="14.45" customHeight="1" x14ac:dyDescent="0.2">
      <c r="A92" s="19"/>
      <c r="B92" s="99"/>
      <c r="C92" s="23"/>
      <c r="D92" s="122"/>
      <c r="E92" s="175" t="s">
        <v>197</v>
      </c>
      <c r="F92" s="62">
        <f>Equations!F107</f>
        <v>7.2727272727272725</v>
      </c>
      <c r="G92" s="180" t="s">
        <v>8</v>
      </c>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111"/>
    </row>
    <row r="93" spans="1:40" ht="15" customHeight="1" thickBot="1" x14ac:dyDescent="0.25">
      <c r="A93" s="19"/>
      <c r="B93" s="99"/>
      <c r="C93" s="23"/>
      <c r="D93" s="122"/>
      <c r="E93" s="175" t="s">
        <v>91</v>
      </c>
      <c r="F93" s="55">
        <f>Equations!F110</f>
        <v>94.064705882352953</v>
      </c>
      <c r="G93" s="179" t="s">
        <v>8</v>
      </c>
      <c r="H93" s="131"/>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111"/>
    </row>
    <row r="94" spans="1:40" ht="15" customHeight="1" x14ac:dyDescent="0.25">
      <c r="A94" s="19"/>
      <c r="B94" s="154" t="s">
        <v>211</v>
      </c>
      <c r="C94" s="146"/>
      <c r="D94" s="96"/>
      <c r="E94" s="110" t="s">
        <v>21</v>
      </c>
      <c r="F94" s="202" t="s">
        <v>20</v>
      </c>
      <c r="G94" s="185"/>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130"/>
      <c r="AN94" s="33" t="s">
        <v>19</v>
      </c>
    </row>
    <row r="95" spans="1:40" ht="15" customHeight="1" x14ac:dyDescent="0.2">
      <c r="A95" s="19"/>
      <c r="B95" s="99"/>
      <c r="C95" s="23"/>
      <c r="D95" s="23"/>
      <c r="E95" s="65" t="s">
        <v>92</v>
      </c>
      <c r="F95" s="203">
        <v>30</v>
      </c>
      <c r="G95" s="186" t="s">
        <v>86</v>
      </c>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111"/>
      <c r="AN95" s="33" t="s">
        <v>20</v>
      </c>
    </row>
    <row r="96" spans="1:40" ht="15" customHeight="1" x14ac:dyDescent="0.2">
      <c r="A96" s="19"/>
      <c r="B96" s="99"/>
      <c r="C96" s="23"/>
      <c r="D96" s="23"/>
      <c r="E96" s="65" t="s">
        <v>93</v>
      </c>
      <c r="F96" s="203">
        <v>28</v>
      </c>
      <c r="G96" s="186" t="s">
        <v>86</v>
      </c>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111"/>
      <c r="AN96" t="s">
        <v>425</v>
      </c>
    </row>
    <row r="97" spans="1:40" ht="15" customHeight="1" x14ac:dyDescent="0.2">
      <c r="A97" s="19"/>
      <c r="B97" s="99"/>
      <c r="C97" s="23"/>
      <c r="D97" s="23"/>
      <c r="E97" s="65" t="s">
        <v>102</v>
      </c>
      <c r="F97" s="203">
        <v>65</v>
      </c>
      <c r="G97" s="186" t="s">
        <v>86</v>
      </c>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111"/>
      <c r="AN97" t="s">
        <v>426</v>
      </c>
    </row>
    <row r="98" spans="1:40" ht="15" customHeight="1" x14ac:dyDescent="0.2">
      <c r="A98" s="19"/>
      <c r="B98" s="99"/>
      <c r="C98" s="23"/>
      <c r="D98" s="23"/>
      <c r="E98" s="121" t="s">
        <v>94</v>
      </c>
      <c r="F98" s="203">
        <v>63</v>
      </c>
      <c r="G98" s="186" t="s">
        <v>86</v>
      </c>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111"/>
    </row>
    <row r="99" spans="1:40" ht="15" customHeight="1" x14ac:dyDescent="0.2">
      <c r="A99" s="19"/>
      <c r="B99" s="99"/>
      <c r="C99" s="23"/>
      <c r="D99" s="23"/>
      <c r="E99" s="120" t="s">
        <v>256</v>
      </c>
      <c r="F99" s="60">
        <f>IF(F94="Option A",Equations!F128,Equations!G128)</f>
        <v>95.238095238095241</v>
      </c>
      <c r="G99" s="187" t="s">
        <v>84</v>
      </c>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111"/>
    </row>
    <row r="100" spans="1:40" ht="15" customHeight="1" x14ac:dyDescent="0.2">
      <c r="A100" s="19"/>
      <c r="B100" s="99"/>
      <c r="C100" s="23"/>
      <c r="D100" s="23"/>
      <c r="E100" s="119" t="s">
        <v>22</v>
      </c>
      <c r="F100" s="60">
        <f>IF(F94="Option A",Equations!F129,Equations!G129)</f>
        <v>9.3370681605975729</v>
      </c>
      <c r="G100" s="187" t="s">
        <v>84</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111"/>
    </row>
    <row r="101" spans="1:40" ht="15" customHeight="1" x14ac:dyDescent="0.2">
      <c r="A101" s="19"/>
      <c r="B101" s="312" t="s">
        <v>211</v>
      </c>
      <c r="C101" s="23"/>
      <c r="D101" s="23"/>
      <c r="E101" s="119" t="s">
        <v>23</v>
      </c>
      <c r="F101" s="60">
        <f>IF(F94="Option A",Equations!F130,Equations!G130)</f>
        <v>95.238095238095241</v>
      </c>
      <c r="G101" s="187" t="s">
        <v>84</v>
      </c>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111"/>
    </row>
    <row r="102" spans="1:40" ht="15" customHeight="1" x14ac:dyDescent="0.2">
      <c r="A102" s="19"/>
      <c r="B102" s="99"/>
      <c r="C102" s="23"/>
      <c r="D102" s="23"/>
      <c r="E102" s="119" t="s">
        <v>24</v>
      </c>
      <c r="F102" s="60">
        <f>IF(F94="Option A",Equations!F131,Equations!G131)</f>
        <v>3.8095238095238098</v>
      </c>
      <c r="G102" s="186" t="s">
        <v>84</v>
      </c>
      <c r="H102" s="23"/>
      <c r="I102" s="23"/>
      <c r="J102" s="114"/>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111"/>
    </row>
    <row r="103" spans="1:40" ht="15" customHeight="1" x14ac:dyDescent="0.2">
      <c r="A103" s="19"/>
      <c r="B103" s="99"/>
      <c r="C103" s="23"/>
      <c r="D103" s="23"/>
      <c r="E103" s="65" t="s">
        <v>105</v>
      </c>
      <c r="F103" s="203">
        <v>100</v>
      </c>
      <c r="G103" s="187" t="s">
        <v>84</v>
      </c>
      <c r="H103" s="23"/>
      <c r="I103" s="23"/>
      <c r="J103" s="114"/>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111"/>
    </row>
    <row r="104" spans="1:40" ht="15" customHeight="1" x14ac:dyDescent="0.2">
      <c r="A104" s="19"/>
      <c r="B104" s="99"/>
      <c r="C104" s="23"/>
      <c r="D104" s="23"/>
      <c r="E104" s="65" t="s">
        <v>106</v>
      </c>
      <c r="F104" s="203">
        <v>9.76</v>
      </c>
      <c r="G104" s="187" t="s">
        <v>84</v>
      </c>
      <c r="H104" s="23"/>
      <c r="I104" s="23"/>
      <c r="J104" s="114"/>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111"/>
    </row>
    <row r="105" spans="1:40" ht="15" customHeight="1" x14ac:dyDescent="0.2">
      <c r="A105" s="19"/>
      <c r="B105" s="99"/>
      <c r="C105" s="23"/>
      <c r="D105" s="23"/>
      <c r="E105" s="65" t="s">
        <v>107</v>
      </c>
      <c r="F105" s="203">
        <v>100</v>
      </c>
      <c r="G105" s="187" t="s">
        <v>84</v>
      </c>
      <c r="H105" s="23"/>
      <c r="I105" s="23"/>
      <c r="J105" s="114"/>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111"/>
    </row>
    <row r="106" spans="1:40" ht="15" customHeight="1" x14ac:dyDescent="0.2">
      <c r="A106" s="19"/>
      <c r="B106" s="99"/>
      <c r="C106" s="23"/>
      <c r="D106" s="23"/>
      <c r="E106" s="65" t="s">
        <v>108</v>
      </c>
      <c r="F106" s="203">
        <v>4</v>
      </c>
      <c r="G106" s="187" t="s">
        <v>84</v>
      </c>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111"/>
    </row>
    <row r="107" spans="1:40" ht="15" customHeight="1" x14ac:dyDescent="0.2">
      <c r="A107" s="19"/>
      <c r="B107" s="99"/>
      <c r="C107" s="23"/>
      <c r="D107" s="23"/>
      <c r="E107" s="23"/>
      <c r="F107" s="23"/>
      <c r="G107" s="188"/>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111"/>
    </row>
    <row r="108" spans="1:40" ht="15" customHeight="1" thickBot="1" x14ac:dyDescent="0.25">
      <c r="A108" s="19"/>
      <c r="B108" s="99"/>
      <c r="C108" s="112" t="s">
        <v>54</v>
      </c>
      <c r="D108" s="113" t="s">
        <v>35</v>
      </c>
      <c r="E108" s="113" t="s">
        <v>36</v>
      </c>
      <c r="F108" s="113" t="s">
        <v>37</v>
      </c>
      <c r="G108" s="188"/>
      <c r="H108" s="122"/>
      <c r="I108" s="122"/>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111"/>
    </row>
    <row r="109" spans="1:40" ht="15" customHeight="1" x14ac:dyDescent="0.2">
      <c r="A109" s="19"/>
      <c r="B109" s="99"/>
      <c r="C109" s="37" t="s">
        <v>95</v>
      </c>
      <c r="D109" s="51">
        <f>IF($F$94="Option A",Equations!F132,Equations!G132)</f>
        <v>28.752459016393448</v>
      </c>
      <c r="E109" s="52">
        <f>IF($F$94="Option A",Equations!F133,Equations!G133)</f>
        <v>30.214754098360654</v>
      </c>
      <c r="F109" s="53">
        <f>IF($F$94="Option A",Equations!F134,Equations!G134)</f>
        <v>31.67704918032787</v>
      </c>
      <c r="G109" s="186" t="s">
        <v>86</v>
      </c>
      <c r="H109" s="122"/>
      <c r="I109" s="122"/>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111"/>
    </row>
    <row r="110" spans="1:40" ht="15" customHeight="1" x14ac:dyDescent="0.2">
      <c r="A110" s="19"/>
      <c r="B110" s="99"/>
      <c r="C110" s="37" t="s">
        <v>96</v>
      </c>
      <c r="D110" s="54">
        <f>IF($F$94="Option A",Equations!F135,Equations!G135)</f>
        <v>27.552459016393446</v>
      </c>
      <c r="E110" s="55">
        <f>IF($F$94="Option A",Equations!F136,Equations!G136)</f>
        <v>28.11475409836066</v>
      </c>
      <c r="F110" s="56">
        <f>IF($F$94="Option A",Equations!F137,Equations!G137)</f>
        <v>28.677049180327867</v>
      </c>
      <c r="G110" s="186" t="s">
        <v>86</v>
      </c>
      <c r="H110" s="122"/>
      <c r="I110" s="122"/>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111"/>
    </row>
    <row r="111" spans="1:40" ht="15" customHeight="1" x14ac:dyDescent="0.2">
      <c r="A111" s="19"/>
      <c r="B111" s="99"/>
      <c r="C111" s="37" t="s">
        <v>97</v>
      </c>
      <c r="D111" s="54">
        <f>IF($F$94="Option A",Equations!F138,Equations!G138)</f>
        <v>63.7</v>
      </c>
      <c r="E111" s="55">
        <f>IF($F$94="Option A",Equations!F139,Equations!G139)</f>
        <v>65</v>
      </c>
      <c r="F111" s="56">
        <f>IF($F$94="Option A",Equations!F140,Equations!G140)</f>
        <v>66.3</v>
      </c>
      <c r="G111" s="186" t="s">
        <v>86</v>
      </c>
      <c r="H111" s="122"/>
      <c r="I111" s="122"/>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111"/>
    </row>
    <row r="112" spans="1:40" ht="15" customHeight="1" thickBot="1" x14ac:dyDescent="0.25">
      <c r="A112" s="19"/>
      <c r="B112" s="99"/>
      <c r="C112" s="37" t="s">
        <v>98</v>
      </c>
      <c r="D112" s="57">
        <f>IF($F$94="Option A",Equations!F141,Equations!G141)</f>
        <v>60.7</v>
      </c>
      <c r="E112" s="58">
        <f>IF($F$94="Option A",Equations!F142,Equations!G142)</f>
        <v>62.9</v>
      </c>
      <c r="F112" s="59">
        <f>IF($F$94="Option A",Equations!F143,Equations!G143)</f>
        <v>65.099999999999994</v>
      </c>
      <c r="G112" s="186" t="s">
        <v>86</v>
      </c>
      <c r="H112" s="122"/>
      <c r="I112" s="122"/>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111"/>
    </row>
    <row r="113" spans="1:39" ht="15" customHeight="1" x14ac:dyDescent="0.2">
      <c r="A113" s="19"/>
      <c r="B113" s="99"/>
      <c r="C113" s="346" t="s">
        <v>433</v>
      </c>
      <c r="D113" s="346"/>
      <c r="E113" s="346"/>
      <c r="F113" s="346"/>
      <c r="G113" s="347"/>
      <c r="H113" s="122"/>
      <c r="I113" s="122"/>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111"/>
    </row>
    <row r="114" spans="1:39" ht="15" customHeight="1" x14ac:dyDescent="0.2">
      <c r="A114" s="19"/>
      <c r="B114" s="99"/>
      <c r="C114" s="346"/>
      <c r="D114" s="346"/>
      <c r="E114" s="346"/>
      <c r="F114" s="346"/>
      <c r="G114" s="347"/>
      <c r="H114" s="122"/>
      <c r="I114" s="122"/>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111"/>
    </row>
    <row r="115" spans="1:39" ht="15" customHeight="1" x14ac:dyDescent="0.2">
      <c r="A115" s="19"/>
      <c r="B115" s="99"/>
      <c r="C115" s="346"/>
      <c r="D115" s="346"/>
      <c r="E115" s="346"/>
      <c r="F115" s="346"/>
      <c r="G115" s="347"/>
      <c r="H115" s="122"/>
      <c r="I115" s="122"/>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111"/>
    </row>
    <row r="116" spans="1:39" ht="15" customHeight="1" x14ac:dyDescent="0.3">
      <c r="A116" s="19"/>
      <c r="B116" s="98"/>
      <c r="C116" s="23"/>
      <c r="D116" s="23"/>
      <c r="E116" s="37" t="s">
        <v>114</v>
      </c>
      <c r="F116" s="204">
        <v>10</v>
      </c>
      <c r="G116" s="189" t="s">
        <v>84</v>
      </c>
      <c r="H116" s="23"/>
      <c r="I116" s="9"/>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111"/>
    </row>
    <row r="117" spans="1:39" ht="15" customHeight="1" x14ac:dyDescent="0.2">
      <c r="A117" s="19"/>
      <c r="B117" s="99"/>
      <c r="C117" s="23"/>
      <c r="D117" s="23"/>
      <c r="E117" s="37"/>
      <c r="F117" s="23"/>
      <c r="G117" s="18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111"/>
    </row>
    <row r="118" spans="1:39" ht="15" customHeight="1" x14ac:dyDescent="0.2">
      <c r="A118" s="19"/>
      <c r="B118" s="99"/>
      <c r="C118" s="23"/>
      <c r="D118" s="23"/>
      <c r="E118" s="37"/>
      <c r="F118" s="23"/>
      <c r="G118" s="18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111"/>
    </row>
    <row r="119" spans="1:39" ht="15" customHeight="1" x14ac:dyDescent="0.2">
      <c r="A119" s="19"/>
      <c r="B119" s="99"/>
      <c r="C119" s="23"/>
      <c r="D119" s="23"/>
      <c r="E119" s="37"/>
      <c r="F119" s="23"/>
      <c r="G119" s="18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111"/>
    </row>
    <row r="120" spans="1:39" ht="15" customHeight="1" thickBot="1" x14ac:dyDescent="0.25">
      <c r="A120" s="19"/>
      <c r="B120" s="99"/>
      <c r="C120" s="101"/>
      <c r="D120" s="101"/>
      <c r="E120" s="23"/>
      <c r="F120" s="23"/>
      <c r="G120" s="265"/>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15"/>
    </row>
    <row r="121" spans="1:39" ht="18.75" customHeight="1" x14ac:dyDescent="0.25">
      <c r="A121" s="19"/>
      <c r="B121" s="154" t="s">
        <v>214</v>
      </c>
      <c r="C121" s="96"/>
      <c r="D121" s="96"/>
      <c r="E121" s="132" t="s">
        <v>430</v>
      </c>
      <c r="F121" s="109">
        <f>Rs</f>
        <v>4</v>
      </c>
      <c r="G121" s="271" t="s">
        <v>85</v>
      </c>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130"/>
    </row>
    <row r="122" spans="1:39" ht="15" customHeight="1" x14ac:dyDescent="0.25">
      <c r="A122" s="19"/>
      <c r="B122" s="98"/>
      <c r="C122" s="23"/>
      <c r="D122" s="23"/>
      <c r="E122" s="117" t="s">
        <v>212</v>
      </c>
      <c r="F122" s="118">
        <f>IF(RsMAX&gt;Rs,"DNP",RDIV1)</f>
        <v>10</v>
      </c>
      <c r="G122" s="182" t="s">
        <v>87</v>
      </c>
      <c r="H122" s="23"/>
      <c r="I122" s="23"/>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55"/>
    </row>
    <row r="123" spans="1:39" ht="14.25" customHeight="1" x14ac:dyDescent="0.25">
      <c r="A123" s="19"/>
      <c r="B123" s="98"/>
      <c r="C123" s="23"/>
      <c r="D123" s="23"/>
      <c r="E123" s="117" t="s">
        <v>213</v>
      </c>
      <c r="F123" s="118">
        <f>IF(RsMAX&gt;Rs,"0",RDIV2)</f>
        <v>6.58</v>
      </c>
      <c r="G123" s="182" t="s">
        <v>87</v>
      </c>
      <c r="H123" s="23"/>
      <c r="I123" s="23"/>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55"/>
    </row>
    <row r="124" spans="1:39" ht="15" customHeight="1" thickBot="1" x14ac:dyDescent="0.25">
      <c r="A124" s="19"/>
      <c r="B124" s="99"/>
      <c r="C124" s="23"/>
      <c r="D124" s="23"/>
      <c r="E124" s="64" t="s">
        <v>17</v>
      </c>
      <c r="F124" s="45">
        <f>F66</f>
        <v>38.299999999999997</v>
      </c>
      <c r="G124" s="184" t="s">
        <v>84</v>
      </c>
      <c r="H124" s="23"/>
      <c r="I124" s="23"/>
      <c r="J124" s="135"/>
      <c r="K124" s="113" t="s">
        <v>435</v>
      </c>
      <c r="L124" s="237" t="s">
        <v>158</v>
      </c>
      <c r="M124" s="122"/>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7"/>
    </row>
    <row r="125" spans="1:39" ht="15" customHeight="1" x14ac:dyDescent="0.2">
      <c r="A125" s="19"/>
      <c r="B125" s="99"/>
      <c r="C125" s="23"/>
      <c r="D125" s="23"/>
      <c r="E125" s="65" t="s">
        <v>431</v>
      </c>
      <c r="F125" s="55">
        <f>IF(F71="YES", F89, F76)</f>
        <v>10</v>
      </c>
      <c r="G125" s="179" t="s">
        <v>118</v>
      </c>
      <c r="H125" s="23"/>
      <c r="I125" s="23"/>
      <c r="J125" s="37" t="s">
        <v>215</v>
      </c>
      <c r="K125" s="139">
        <f>F46</f>
        <v>22.797499999999999</v>
      </c>
      <c r="L125" s="131" t="s">
        <v>25</v>
      </c>
      <c r="M125" s="122"/>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116"/>
    </row>
    <row r="126" spans="1:39" ht="15" customHeight="1" x14ac:dyDescent="0.2">
      <c r="A126" s="19"/>
      <c r="B126" s="99"/>
      <c r="C126" s="23"/>
      <c r="D126" s="23"/>
      <c r="E126" s="64" t="s">
        <v>11</v>
      </c>
      <c r="F126" s="46">
        <f>F103</f>
        <v>100</v>
      </c>
      <c r="G126" s="184" t="s">
        <v>84</v>
      </c>
      <c r="H126" s="23"/>
      <c r="I126" s="23"/>
      <c r="J126" s="37" t="s">
        <v>168</v>
      </c>
      <c r="K126" s="140">
        <f>F67</f>
        <v>127.00280000000001</v>
      </c>
      <c r="L126" s="131" t="s">
        <v>87</v>
      </c>
      <c r="M126" s="122"/>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116"/>
    </row>
    <row r="127" spans="1:39" ht="15" customHeight="1" x14ac:dyDescent="0.2">
      <c r="A127" s="19"/>
      <c r="B127" s="99"/>
      <c r="C127" s="23"/>
      <c r="D127" s="23"/>
      <c r="E127" s="64" t="s">
        <v>12</v>
      </c>
      <c r="F127" s="46">
        <f>F104</f>
        <v>9.76</v>
      </c>
      <c r="G127" s="184" t="s">
        <v>84</v>
      </c>
      <c r="H127" s="23"/>
      <c r="I127" s="23"/>
      <c r="J127" s="34" t="s">
        <v>224</v>
      </c>
      <c r="K127" s="144">
        <f>F46</f>
        <v>22.797499999999999</v>
      </c>
      <c r="L127" s="131" t="s">
        <v>25</v>
      </c>
      <c r="M127" s="122"/>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116"/>
    </row>
    <row r="128" spans="1:39" ht="15" customHeight="1" x14ac:dyDescent="0.2">
      <c r="A128" s="19"/>
      <c r="B128" s="99"/>
      <c r="C128" s="23"/>
      <c r="D128" s="23"/>
      <c r="E128" s="64" t="s">
        <v>13</v>
      </c>
      <c r="F128" s="46">
        <f>F105</f>
        <v>100</v>
      </c>
      <c r="G128" s="184" t="s">
        <v>84</v>
      </c>
      <c r="H128" s="23"/>
      <c r="I128" s="23"/>
      <c r="J128" s="37" t="s">
        <v>216</v>
      </c>
      <c r="K128" s="147">
        <f>IF(F71="YES",Equations!F66,Start_up!M2)</f>
        <v>26.5625</v>
      </c>
      <c r="L128" s="131" t="s">
        <v>8</v>
      </c>
      <c r="M128" s="122"/>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116"/>
    </row>
    <row r="129" spans="1:40" ht="15" customHeight="1" x14ac:dyDescent="0.2">
      <c r="A129" s="19"/>
      <c r="B129" s="99"/>
      <c r="C129" s="23"/>
      <c r="D129" s="23"/>
      <c r="E129" s="64" t="s">
        <v>14</v>
      </c>
      <c r="F129" s="47">
        <f>IF(F94="Option A","N/A",F106)</f>
        <v>4</v>
      </c>
      <c r="G129" s="184" t="s">
        <v>84</v>
      </c>
      <c r="H129" s="23"/>
      <c r="I129" s="23"/>
      <c r="J129" s="37" t="s">
        <v>217</v>
      </c>
      <c r="K129" s="145">
        <f>TINSERT</f>
        <v>7.2727272727272725</v>
      </c>
      <c r="L129" s="131" t="s">
        <v>8</v>
      </c>
      <c r="M129" s="122"/>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116"/>
    </row>
    <row r="130" spans="1:40" ht="15" customHeight="1" x14ac:dyDescent="0.2">
      <c r="A130" s="19"/>
      <c r="B130" s="99"/>
      <c r="C130" s="23"/>
      <c r="D130" s="23"/>
      <c r="E130" s="65" t="s">
        <v>432</v>
      </c>
      <c r="F130" s="50">
        <f>IF(F71="YES", F84, "DNP")</f>
        <v>10</v>
      </c>
      <c r="G130" s="179" t="s">
        <v>118</v>
      </c>
      <c r="H130" s="23"/>
      <c r="I130" s="23"/>
      <c r="J130" s="37" t="s">
        <v>218</v>
      </c>
      <c r="K130" s="147">
        <f>IF(F71="YES", F90,F77)</f>
        <v>0.47058823529411764</v>
      </c>
      <c r="L130" s="131" t="s">
        <v>8</v>
      </c>
      <c r="M130" s="122"/>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116"/>
    </row>
    <row r="131" spans="1:40" ht="15" customHeight="1" x14ac:dyDescent="0.2">
      <c r="A131" s="19"/>
      <c r="B131" s="99"/>
      <c r="C131" s="23"/>
      <c r="D131" s="23"/>
      <c r="E131" s="64" t="s">
        <v>55</v>
      </c>
      <c r="F131" s="49">
        <v>0.01</v>
      </c>
      <c r="G131" s="184" t="s">
        <v>83</v>
      </c>
      <c r="H131" s="23"/>
      <c r="I131" s="23"/>
      <c r="J131" s="37" t="s">
        <v>219</v>
      </c>
      <c r="K131" s="148">
        <f>F93</f>
        <v>94.064705882352953</v>
      </c>
      <c r="L131" s="131" t="s">
        <v>8</v>
      </c>
      <c r="M131" s="122"/>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116"/>
    </row>
    <row r="132" spans="1:40" ht="15" customHeight="1" x14ac:dyDescent="0.2">
      <c r="A132" s="19"/>
      <c r="B132" s="99"/>
      <c r="C132" s="23"/>
      <c r="D132" s="23"/>
      <c r="E132" s="269" t="s">
        <v>464</v>
      </c>
      <c r="F132" s="270" t="s">
        <v>465</v>
      </c>
      <c r="G132" s="179"/>
      <c r="H132" s="23"/>
      <c r="I132" s="23"/>
      <c r="J132" s="138" t="s">
        <v>220</v>
      </c>
      <c r="K132" s="141">
        <f>E109</f>
        <v>30.214754098360654</v>
      </c>
      <c r="L132" s="131" t="s">
        <v>86</v>
      </c>
      <c r="M132" s="122"/>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116"/>
    </row>
    <row r="133" spans="1:40" ht="15" customHeight="1" x14ac:dyDescent="0.2">
      <c r="A133" s="19"/>
      <c r="B133" s="99"/>
      <c r="C133" s="23"/>
      <c r="D133" s="23"/>
      <c r="E133" s="269" t="s">
        <v>438</v>
      </c>
      <c r="F133" s="270" t="str">
        <f>IF(F71="YES","1N4148W-7-F","DNP")</f>
        <v>1N4148W-7-F</v>
      </c>
      <c r="G133" s="179"/>
      <c r="H133" s="23"/>
      <c r="I133" s="23"/>
      <c r="J133" s="138" t="s">
        <v>222</v>
      </c>
      <c r="K133" s="141">
        <f>E110</f>
        <v>28.11475409836066</v>
      </c>
      <c r="L133" s="131" t="s">
        <v>86</v>
      </c>
      <c r="M133" s="122"/>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116"/>
    </row>
    <row r="134" spans="1:40" ht="15" customHeight="1" x14ac:dyDescent="0.2">
      <c r="A134" s="19"/>
      <c r="B134" s="99"/>
      <c r="C134" s="23"/>
      <c r="D134" s="23"/>
      <c r="E134" s="269" t="s">
        <v>475</v>
      </c>
      <c r="F134" s="270" t="s">
        <v>474</v>
      </c>
      <c r="G134" s="179"/>
      <c r="H134" s="23"/>
      <c r="I134" s="23"/>
      <c r="J134" s="138" t="s">
        <v>223</v>
      </c>
      <c r="K134" s="141">
        <f>E111</f>
        <v>65</v>
      </c>
      <c r="L134" s="131" t="s">
        <v>86</v>
      </c>
      <c r="M134" s="122"/>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116"/>
    </row>
    <row r="135" spans="1:40" ht="15" customHeight="1" x14ac:dyDescent="0.2">
      <c r="A135" s="19"/>
      <c r="B135" s="99"/>
      <c r="C135" s="23"/>
      <c r="D135" s="23"/>
      <c r="E135" s="269" t="s">
        <v>476</v>
      </c>
      <c r="F135" s="270" t="str">
        <f>IF(F71="YES","MMBT5401LT1G","DNP")</f>
        <v>MMBT5401LT1G</v>
      </c>
      <c r="G135" s="179"/>
      <c r="H135" s="23"/>
      <c r="I135" s="23"/>
      <c r="J135" s="138" t="s">
        <v>221</v>
      </c>
      <c r="K135" s="141">
        <f>E112</f>
        <v>62.9</v>
      </c>
      <c r="L135" s="131" t="s">
        <v>86</v>
      </c>
      <c r="M135" s="122"/>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116"/>
    </row>
    <row r="136" spans="1:40" ht="15" customHeight="1" x14ac:dyDescent="0.2">
      <c r="A136" s="19"/>
      <c r="B136" s="99"/>
      <c r="C136" s="23"/>
      <c r="D136" s="23"/>
      <c r="E136" s="269" t="s">
        <v>463</v>
      </c>
      <c r="F136" s="270" t="s">
        <v>477</v>
      </c>
      <c r="G136" s="179"/>
      <c r="H136" s="23"/>
      <c r="I136" s="23"/>
      <c r="J136" s="138"/>
      <c r="K136" s="266"/>
      <c r="L136" s="131"/>
      <c r="M136" s="122"/>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116"/>
    </row>
    <row r="137" spans="1:40" ht="15" customHeight="1" x14ac:dyDescent="0.2">
      <c r="A137" s="19"/>
      <c r="B137" s="99"/>
      <c r="C137" s="23"/>
      <c r="D137" s="23"/>
      <c r="F137" s="149"/>
      <c r="G137" s="190"/>
      <c r="H137" s="23"/>
      <c r="I137" s="23"/>
      <c r="J137" s="138"/>
      <c r="K137" s="266"/>
      <c r="L137" s="131"/>
      <c r="M137" s="122"/>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116"/>
    </row>
    <row r="138" spans="1:40" ht="15" customHeight="1" x14ac:dyDescent="0.2">
      <c r="A138" s="19"/>
      <c r="B138" s="99"/>
      <c r="C138" s="23"/>
      <c r="D138" s="23"/>
      <c r="E138" s="65"/>
      <c r="F138" s="149"/>
      <c r="G138" s="190"/>
      <c r="H138" s="23"/>
      <c r="I138" s="23"/>
      <c r="J138" s="23"/>
      <c r="K138" s="23"/>
      <c r="L138" s="23"/>
      <c r="M138" s="122"/>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111"/>
      <c r="AN138" s="33"/>
    </row>
    <row r="139" spans="1:40" ht="15.75" x14ac:dyDescent="0.3">
      <c r="A139" s="19"/>
      <c r="B139" s="261" t="s">
        <v>18</v>
      </c>
      <c r="C139" s="35" t="s">
        <v>90</v>
      </c>
      <c r="D139" s="22"/>
      <c r="E139" s="35"/>
      <c r="F139" s="133"/>
      <c r="G139" s="191"/>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111"/>
      <c r="AN139" s="33"/>
    </row>
    <row r="140" spans="1:40" x14ac:dyDescent="0.2">
      <c r="A140" s="19"/>
      <c r="B140" s="99"/>
      <c r="C140" s="35" t="s">
        <v>110</v>
      </c>
      <c r="D140" s="23"/>
      <c r="E140" s="35"/>
      <c r="F140" s="23"/>
      <c r="G140" s="191"/>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111"/>
    </row>
    <row r="141" spans="1:40" x14ac:dyDescent="0.2">
      <c r="A141" s="19"/>
      <c r="B141" s="99"/>
      <c r="C141" s="35" t="s">
        <v>255</v>
      </c>
      <c r="D141" s="23"/>
      <c r="E141" s="35"/>
      <c r="F141" s="23"/>
      <c r="G141" s="191"/>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111"/>
    </row>
    <row r="142" spans="1:40" ht="13.5" thickBot="1" x14ac:dyDescent="0.25">
      <c r="A142" s="19"/>
      <c r="B142" s="100"/>
      <c r="C142" s="101"/>
      <c r="D142" s="101"/>
      <c r="E142" s="134"/>
      <c r="F142" s="101"/>
      <c r="G142" s="192"/>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15"/>
    </row>
    <row r="143" spans="1:40" x14ac:dyDescent="0.2">
      <c r="A143" s="19"/>
      <c r="B143" s="19"/>
      <c r="C143" s="19"/>
      <c r="D143" s="19"/>
      <c r="E143" s="19"/>
      <c r="F143" s="32"/>
      <c r="G143" s="20"/>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0" ht="15" x14ac:dyDescent="0.25">
      <c r="A144" s="19"/>
      <c r="B144" s="43"/>
      <c r="C144" s="19"/>
      <c r="D144" s="19"/>
      <c r="E144" s="19"/>
      <c r="F144" s="36"/>
      <c r="G144" s="193"/>
      <c r="H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
      <c r="A145" s="19"/>
      <c r="B145" s="19"/>
      <c r="C145" s="19"/>
      <c r="D145" s="19"/>
      <c r="E145" s="19"/>
      <c r="F145" s="36"/>
      <c r="G145" s="193"/>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
      <c r="A146" s="19"/>
      <c r="B146" s="19"/>
      <c r="C146" s="19"/>
      <c r="D146" s="19"/>
      <c r="E146" s="19"/>
      <c r="F146" s="36"/>
      <c r="G146" s="193"/>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
      <c r="A147" s="19"/>
      <c r="B147" s="19"/>
      <c r="C147" s="19"/>
      <c r="D147" s="19"/>
      <c r="E147" s="19"/>
      <c r="F147" s="36"/>
      <c r="G147" s="193"/>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x14ac:dyDescent="0.2">
      <c r="A148" s="19"/>
      <c r="B148" s="19"/>
      <c r="C148" s="19"/>
      <c r="D148" s="19"/>
      <c r="E148" s="19"/>
      <c r="F148" s="36"/>
      <c r="G148" s="193"/>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
      <c r="A149" s="19"/>
      <c r="B149" s="19"/>
      <c r="C149" s="19"/>
      <c r="D149" s="19"/>
      <c r="E149" s="19"/>
      <c r="F149" s="36"/>
      <c r="G149" s="193"/>
      <c r="H149" s="36"/>
      <c r="I149" s="36"/>
      <c r="J149" s="36"/>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
      <c r="A150" s="19"/>
      <c r="B150" s="19"/>
      <c r="C150" s="19"/>
      <c r="D150" s="19"/>
      <c r="E150" s="19"/>
      <c r="F150" s="36"/>
      <c r="G150" s="193"/>
      <c r="H150" s="36"/>
      <c r="I150" s="36"/>
      <c r="J150" s="36"/>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
      <c r="A151" s="19"/>
      <c r="B151" s="19"/>
      <c r="C151" s="19"/>
      <c r="D151" s="19"/>
      <c r="E151" s="19"/>
      <c r="F151" s="36"/>
      <c r="G151" s="193"/>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
      <c r="A153" s="19"/>
      <c r="B153" s="19"/>
      <c r="C153" s="19"/>
      <c r="D153" s="19"/>
      <c r="E153" s="19"/>
      <c r="F153" s="36"/>
      <c r="G153" s="193"/>
      <c r="H153" s="36"/>
      <c r="I153" s="36"/>
      <c r="J153" s="36"/>
      <c r="K153" s="36"/>
      <c r="L153" s="36"/>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
      <c r="A154" s="19"/>
      <c r="B154" s="19"/>
      <c r="C154" s="19"/>
      <c r="D154" s="19"/>
      <c r="E154" s="19"/>
      <c r="F154" s="36"/>
      <c r="G154" s="193"/>
      <c r="H154" s="36"/>
      <c r="I154" s="36"/>
      <c r="J154" s="36"/>
      <c r="K154" s="36"/>
      <c r="L154" s="36"/>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
      <c r="A155" s="19"/>
      <c r="B155" s="19"/>
      <c r="C155" s="19"/>
      <c r="D155" s="19"/>
      <c r="E155" s="19"/>
      <c r="F155" s="36"/>
      <c r="G155" s="193"/>
      <c r="H155" s="36"/>
      <c r="I155" s="36"/>
      <c r="J155" s="36"/>
      <c r="K155" s="36"/>
      <c r="L155" s="36"/>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
      <c r="A156" s="19"/>
      <c r="B156" s="19"/>
      <c r="C156" s="19"/>
      <c r="D156" s="19"/>
      <c r="E156" s="19"/>
      <c r="F156" s="36"/>
      <c r="G156" s="193"/>
      <c r="H156" s="36"/>
      <c r="I156" s="36"/>
      <c r="J156" s="36"/>
      <c r="K156" s="36"/>
      <c r="L156" s="36"/>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
      <c r="A157" s="19"/>
      <c r="B157" s="19"/>
      <c r="C157" s="19"/>
      <c r="D157" s="19"/>
      <c r="E157" s="19"/>
      <c r="F157" s="36"/>
      <c r="G157" s="193"/>
      <c r="H157" s="36"/>
      <c r="I157" s="36"/>
      <c r="J157" s="36"/>
      <c r="K157" s="36"/>
      <c r="L157" s="36"/>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
      <c r="A158" s="19"/>
      <c r="B158" s="19"/>
      <c r="C158" s="19"/>
      <c r="D158" s="19"/>
      <c r="E158" s="19"/>
      <c r="F158" s="36"/>
      <c r="G158" s="193"/>
      <c r="H158" s="36"/>
      <c r="I158" s="36"/>
      <c r="J158" s="36"/>
      <c r="K158" s="36"/>
      <c r="L158" s="36"/>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ht="15" x14ac:dyDescent="0.25">
      <c r="A170" s="19"/>
      <c r="B170" s="44"/>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
      <c r="A175" s="19"/>
      <c r="B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
      <c r="A189" s="19"/>
      <c r="B189" s="19"/>
      <c r="C189" s="19"/>
      <c r="D189" s="19"/>
      <c r="E189" s="19"/>
      <c r="F189" s="19"/>
      <c r="G189" s="20"/>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
      <c r="A190" s="19"/>
      <c r="B190" s="19"/>
      <c r="C190" s="19"/>
      <c r="D190" s="19"/>
      <c r="E190" s="19"/>
      <c r="F190" s="19"/>
      <c r="G190" s="20"/>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
      <c r="A191" s="19"/>
      <c r="B191" s="19"/>
      <c r="C191" s="19"/>
      <c r="D191" s="19"/>
      <c r="E191" s="19"/>
      <c r="F191" s="19"/>
      <c r="G191" s="20"/>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
      <c r="A192" s="19"/>
      <c r="B192" s="19"/>
      <c r="C192" s="19"/>
      <c r="D192" s="19"/>
      <c r="E192" s="19"/>
      <c r="F192" s="19"/>
      <c r="G192" s="20"/>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x14ac:dyDescent="0.2">
      <c r="A193" s="19"/>
      <c r="B193" s="19"/>
      <c r="C193" s="19"/>
      <c r="D193" s="19"/>
      <c r="E193" s="19"/>
      <c r="F193" s="19"/>
      <c r="G193" s="20"/>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x14ac:dyDescent="0.2">
      <c r="A194" s="19"/>
      <c r="B194" s="19"/>
      <c r="C194" s="19"/>
      <c r="D194" s="19"/>
      <c r="E194" s="19"/>
      <c r="F194" s="19"/>
      <c r="G194" s="20"/>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x14ac:dyDescent="0.2">
      <c r="A195" s="19"/>
      <c r="B195" s="19"/>
      <c r="C195" s="19"/>
      <c r="D195" s="19"/>
      <c r="E195" s="19"/>
      <c r="F195" s="19"/>
      <c r="G195" s="20"/>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x14ac:dyDescent="0.2">
      <c r="A196" s="19"/>
      <c r="B196" s="19"/>
      <c r="C196" s="19"/>
      <c r="D196" s="19"/>
      <c r="E196" s="19"/>
      <c r="F196" s="19"/>
      <c r="G196" s="20"/>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x14ac:dyDescent="0.2">
      <c r="A197" s="19"/>
      <c r="B197" s="19"/>
      <c r="C197" s="19"/>
      <c r="D197" s="19"/>
      <c r="E197" s="19"/>
      <c r="F197" s="19"/>
      <c r="G197" s="20"/>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x14ac:dyDescent="0.2">
      <c r="A198" s="19"/>
      <c r="B198" s="19"/>
      <c r="C198" s="19"/>
      <c r="D198" s="19"/>
      <c r="E198" s="19"/>
      <c r="F198" s="19"/>
      <c r="G198" s="20"/>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x14ac:dyDescent="0.2">
      <c r="A199" s="19"/>
      <c r="B199" s="19"/>
      <c r="C199" s="19"/>
      <c r="D199" s="19"/>
      <c r="E199" s="19"/>
      <c r="F199" s="19"/>
      <c r="G199" s="20"/>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x14ac:dyDescent="0.2">
      <c r="A200" s="19"/>
      <c r="B200" s="19"/>
      <c r="C200" s="19"/>
      <c r="D200" s="19"/>
      <c r="E200" s="19"/>
      <c r="F200" s="19"/>
      <c r="G200" s="20"/>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x14ac:dyDescent="0.2">
      <c r="A201" s="19"/>
      <c r="B201" s="19"/>
      <c r="C201" s="19"/>
      <c r="D201" s="19"/>
      <c r="E201" s="19"/>
      <c r="F201" s="19"/>
      <c r="G201" s="20"/>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x14ac:dyDescent="0.2">
      <c r="A202" s="19"/>
      <c r="B202" s="19"/>
      <c r="C202" s="19"/>
      <c r="D202" s="19"/>
      <c r="E202" s="19"/>
      <c r="F202" s="19"/>
      <c r="G202" s="20"/>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x14ac:dyDescent="0.2">
      <c r="A203" s="19"/>
      <c r="B203" s="19"/>
      <c r="C203" s="19"/>
      <c r="D203" s="19"/>
      <c r="E203" s="19"/>
      <c r="F203" s="19"/>
      <c r="G203" s="20"/>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x14ac:dyDescent="0.2">
      <c r="A204" s="19"/>
      <c r="B204" s="19"/>
      <c r="C204" s="19"/>
      <c r="D204" s="19"/>
      <c r="E204" s="19"/>
      <c r="F204" s="19"/>
      <c r="G204" s="20"/>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x14ac:dyDescent="0.2">
      <c r="A205" s="19"/>
      <c r="B205" s="19"/>
      <c r="C205" s="19"/>
      <c r="D205" s="19"/>
      <c r="E205" s="19"/>
      <c r="F205" s="19"/>
      <c r="G205" s="20"/>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x14ac:dyDescent="0.2">
      <c r="A206" s="19"/>
      <c r="B206" s="19"/>
      <c r="C206" s="19"/>
      <c r="D206" s="19"/>
      <c r="E206" s="19"/>
      <c r="F206" s="19"/>
      <c r="G206" s="20"/>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x14ac:dyDescent="0.2">
      <c r="A207" s="19"/>
      <c r="B207" s="19"/>
      <c r="C207" s="19"/>
      <c r="D207" s="19"/>
      <c r="E207" s="19"/>
      <c r="F207" s="19"/>
      <c r="G207" s="20"/>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x14ac:dyDescent="0.2">
      <c r="A208" s="19"/>
      <c r="B208" s="19"/>
      <c r="C208" s="19"/>
      <c r="D208" s="19"/>
      <c r="E208" s="19"/>
      <c r="F208" s="19"/>
      <c r="G208" s="20"/>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x14ac:dyDescent="0.2">
      <c r="A209" s="19"/>
      <c r="B209" s="19"/>
      <c r="C209" s="19"/>
      <c r="D209" s="19"/>
      <c r="E209" s="19"/>
      <c r="F209" s="19"/>
      <c r="G209" s="20"/>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x14ac:dyDescent="0.2">
      <c r="A210" s="19"/>
      <c r="B210" s="19"/>
      <c r="C210" s="19"/>
      <c r="D210" s="19"/>
      <c r="E210" s="19"/>
      <c r="F210" s="19"/>
      <c r="G210" s="20"/>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x14ac:dyDescent="0.2">
      <c r="A211" s="19"/>
      <c r="B211" s="19"/>
      <c r="C211" s="19"/>
      <c r="D211" s="19"/>
      <c r="E211" s="19"/>
      <c r="F211" s="19"/>
      <c r="G211" s="20"/>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x14ac:dyDescent="0.2">
      <c r="A212" s="19"/>
      <c r="B212" s="19"/>
      <c r="C212" s="19"/>
      <c r="D212" s="19"/>
      <c r="E212" s="19"/>
      <c r="F212" s="19"/>
      <c r="G212" s="20"/>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x14ac:dyDescent="0.2">
      <c r="A213" s="19"/>
      <c r="B213" s="19"/>
      <c r="C213" s="19"/>
      <c r="D213" s="19"/>
      <c r="E213" s="19"/>
      <c r="F213" s="19"/>
      <c r="G213" s="20"/>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x14ac:dyDescent="0.2">
      <c r="A214" s="19"/>
      <c r="B214" s="19"/>
      <c r="C214" s="19"/>
      <c r="D214" s="19"/>
      <c r="E214" s="19"/>
      <c r="F214" s="19"/>
      <c r="G214" s="20"/>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sheetData>
  <sheetProtection selectLockedCells="1"/>
  <mergeCells count="18">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s>
  <phoneticPr fontId="4" type="noConversion"/>
  <conditionalFormatting sqref="F96">
    <cfRule type="cellIs" dxfId="36" priority="65" stopIfTrue="1" operator="greaterThanOrEqual">
      <formula>F95</formula>
    </cfRule>
  </conditionalFormatting>
  <conditionalFormatting sqref="G98">
    <cfRule type="expression" dxfId="35" priority="67" stopIfTrue="1">
      <formula>F94="Option A"</formula>
    </cfRule>
  </conditionalFormatting>
  <conditionalFormatting sqref="E98">
    <cfRule type="expression" dxfId="34" priority="68" stopIfTrue="1">
      <formula>F94="Option A"</formula>
    </cfRule>
  </conditionalFormatting>
  <conditionalFormatting sqref="F102">
    <cfRule type="expression" dxfId="33" priority="69" stopIfTrue="1">
      <formula>F94="Option A"</formula>
    </cfRule>
  </conditionalFormatting>
  <conditionalFormatting sqref="E102">
    <cfRule type="expression" dxfId="32" priority="71" stopIfTrue="1">
      <formula>F94="Option A"</formula>
    </cfRule>
  </conditionalFormatting>
  <conditionalFormatting sqref="F39">
    <cfRule type="cellIs" dxfId="31" priority="72" stopIfTrue="1" operator="greaterThan">
      <formula>200</formula>
    </cfRule>
  </conditionalFormatting>
  <conditionalFormatting sqref="D109:F112">
    <cfRule type="cellIs" dxfId="30" priority="74" stopIfTrue="1" operator="notBetween">
      <formula>10</formula>
      <formula>80</formula>
    </cfRule>
  </conditionalFormatting>
  <conditionalFormatting sqref="G102">
    <cfRule type="expression" dxfId="29" priority="62">
      <formula>F94="Option A"</formula>
    </cfRule>
  </conditionalFormatting>
  <conditionalFormatting sqref="G106">
    <cfRule type="expression" dxfId="28" priority="61">
      <formula>F94="Option A"</formula>
    </cfRule>
  </conditionalFormatting>
  <conditionalFormatting sqref="E106">
    <cfRule type="expression" dxfId="27" priority="59">
      <formula>F94="Option A"</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40:F41">
    <cfRule type="cellIs" dxfId="26" priority="33" operator="equal">
      <formula>"NA"</formula>
    </cfRule>
    <cfRule type="cellIs" dxfId="25" priority="39" operator="equal">
      <formula>"""NA"""</formula>
    </cfRule>
  </conditionalFormatting>
  <conditionalFormatting sqref="F73">
    <cfRule type="cellIs" dxfId="24" priority="78" operator="lessThan">
      <formula>0.25</formula>
    </cfRule>
  </conditionalFormatting>
  <conditionalFormatting sqref="F76">
    <cfRule type="cellIs" dxfId="23" priority="29" operator="lessThan">
      <formula>$F$75</formula>
    </cfRule>
  </conditionalFormatting>
  <conditionalFormatting sqref="F78">
    <cfRule type="cellIs" dxfId="22" priority="26" operator="lessThan">
      <formula>1.1</formula>
    </cfRule>
    <cfRule type="cellIs" dxfId="21" priority="27" operator="between">
      <formula>1.1</formula>
      <formula>1.3</formula>
    </cfRule>
  </conditionalFormatting>
  <conditionalFormatting sqref="E71:F71">
    <cfRule type="expression" dxfId="20" priority="76">
      <formula>#REF!="Yes"</formula>
    </cfRule>
  </conditionalFormatting>
  <conditionalFormatting sqref="G82 G84:G89">
    <cfRule type="expression" dxfId="19" priority="24">
      <formula>#REF!="Yes"</formula>
    </cfRule>
  </conditionalFormatting>
  <conditionalFormatting sqref="E72:G78">
    <cfRule type="expression" dxfId="18" priority="22" stopIfTrue="1">
      <formula>$F$71="Yes"</formula>
    </cfRule>
  </conditionalFormatting>
  <conditionalFormatting sqref="D80:G91 E79:G79 B84">
    <cfRule type="expression" dxfId="17" priority="8" stopIfTrue="1">
      <formula>$F$71="NO"</formula>
    </cfRule>
  </conditionalFormatting>
  <conditionalFormatting sqref="F82 F85">
    <cfRule type="cellIs" dxfId="16" priority="17" operator="greaterThanOrEqual">
      <formula>$F$80</formula>
    </cfRule>
  </conditionalFormatting>
  <conditionalFormatting sqref="F86 F91">
    <cfRule type="cellIs" dxfId="15" priority="19" operator="lessThan">
      <formula>1.1</formula>
    </cfRule>
  </conditionalFormatting>
  <conditionalFormatting sqref="F67">
    <cfRule type="cellIs" dxfId="14" priority="15" operator="lessThan">
      <formula>$F$63</formula>
    </cfRule>
  </conditionalFormatting>
  <conditionalFormatting sqref="F79">
    <cfRule type="expression" dxfId="13" priority="14">
      <formula>#REF!="Yes"</formula>
    </cfRule>
  </conditionalFormatting>
  <conditionalFormatting sqref="G54:G60">
    <cfRule type="expression" dxfId="12" priority="12" stopIfTrue="1">
      <formula>IF($F$51="Custom", "FALSE", "TRUE")</formula>
    </cfRule>
  </conditionalFormatting>
  <conditionalFormatting sqref="E40:G44">
    <cfRule type="expression" dxfId="11" priority="11" stopIfTrue="1">
      <formula>IF($F$38="No", "TRUE", "FALSE")</formula>
    </cfRule>
  </conditionalFormatting>
  <conditionalFormatting sqref="F45:F47">
    <cfRule type="cellIs" dxfId="10" priority="10" operator="lessThan">
      <formula>$F$30</formula>
    </cfRule>
  </conditionalFormatting>
  <conditionalFormatting sqref="F80:F81">
    <cfRule type="containsText" dxfId="9" priority="9" operator="containsText" text="NA">
      <formula>NOT(ISERROR(SEARCH("NA",F80)))</formula>
    </cfRule>
  </conditionalFormatting>
  <conditionalFormatting sqref="F86">
    <cfRule type="cellIs" dxfId="8" priority="18" operator="between">
      <formula>1.1</formula>
      <formula>1.499999</formula>
    </cfRule>
  </conditionalFormatting>
  <conditionalFormatting sqref="F91">
    <cfRule type="cellIs" dxfId="7" priority="16" operator="between">
      <formula>1.1</formula>
      <formula>1.299999</formula>
    </cfRule>
  </conditionalFormatting>
  <conditionalFormatting sqref="F64">
    <cfRule type="cellIs" dxfId="6" priority="7" operator="lessThan">
      <formula>$F$63</formula>
    </cfRule>
  </conditionalFormatting>
  <conditionalFormatting sqref="B27:AO60 B68:AO142 C61:AO65 C67:H67 C66:I66 N66:AO67">
    <cfRule type="expression" dxfId="5" priority="5">
      <formula>$G$23="No"</formula>
    </cfRule>
    <cfRule type="expression" dxfId="4" priority="6">
      <formula>$G$22="No"</formula>
    </cfRule>
  </conditionalFormatting>
  <conditionalFormatting sqref="AS59:AS65">
    <cfRule type="expression" dxfId="3" priority="3">
      <formula>$G$23="No"</formula>
    </cfRule>
    <cfRule type="expression" dxfId="2" priority="4">
      <formula>$G$22="No"</formula>
    </cfRule>
  </conditionalFormatting>
  <conditionalFormatting sqref="B61:B67">
    <cfRule type="expression" dxfId="1" priority="1">
      <formula>$G$23="No"</formula>
    </cfRule>
    <cfRule type="expression" dxfId="0" priority="2">
      <formula>$G$22="No"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75" x14ac:dyDescent="0.2"/>
  <cols>
    <col min="1" max="1" width="9.42578125" customWidth="1"/>
    <col min="2" max="2" width="24.28515625" customWidth="1"/>
    <col min="3" max="3" width="9.140625" customWidth="1"/>
    <col min="12" max="12" width="13.5703125" customWidth="1"/>
  </cols>
  <sheetData>
    <row r="2" spans="1:17" x14ac:dyDescent="0.2">
      <c r="A2" s="33"/>
      <c r="C2" s="33" t="s">
        <v>71</v>
      </c>
      <c r="D2" s="33" t="s">
        <v>72</v>
      </c>
      <c r="E2" s="33" t="s">
        <v>73</v>
      </c>
      <c r="F2" s="33" t="s">
        <v>158</v>
      </c>
    </row>
    <row r="3" spans="1:17" x14ac:dyDescent="0.2">
      <c r="A3" s="27" t="s">
        <v>155</v>
      </c>
      <c r="C3" s="33"/>
      <c r="D3" s="33"/>
      <c r="E3" s="33"/>
    </row>
    <row r="4" spans="1:17" x14ac:dyDescent="0.2">
      <c r="A4" s="27"/>
      <c r="B4" s="33" t="s">
        <v>166</v>
      </c>
      <c r="C4" s="80">
        <v>-40</v>
      </c>
      <c r="D4" s="80"/>
      <c r="E4" s="80">
        <v>125</v>
      </c>
    </row>
    <row r="5" spans="1:17" x14ac:dyDescent="0.2">
      <c r="B5" s="34" t="s">
        <v>156</v>
      </c>
      <c r="C5" s="1">
        <v>9</v>
      </c>
      <c r="D5" s="1"/>
      <c r="E5" s="1">
        <v>80</v>
      </c>
      <c r="F5" s="33" t="s">
        <v>86</v>
      </c>
      <c r="J5" s="2"/>
    </row>
    <row r="6" spans="1:17" ht="16.5" customHeight="1" x14ac:dyDescent="0.2">
      <c r="A6" s="27" t="s">
        <v>132</v>
      </c>
      <c r="B6" s="34"/>
      <c r="C6" s="1"/>
      <c r="D6" s="1"/>
      <c r="E6" s="1"/>
      <c r="J6" s="2"/>
    </row>
    <row r="7" spans="1:17" x14ac:dyDescent="0.2">
      <c r="B7" s="34"/>
      <c r="C7" s="1"/>
      <c r="D7" s="1"/>
      <c r="E7" s="1"/>
      <c r="J7" s="2"/>
    </row>
    <row r="8" spans="1:17" x14ac:dyDescent="0.2">
      <c r="B8" s="34"/>
      <c r="C8" s="1">
        <v>48.5</v>
      </c>
      <c r="D8" s="1">
        <v>55</v>
      </c>
      <c r="E8" s="1">
        <v>61.5</v>
      </c>
      <c r="J8" s="34"/>
    </row>
    <row r="9" spans="1:17" x14ac:dyDescent="0.2">
      <c r="B9" s="34" t="s">
        <v>157</v>
      </c>
      <c r="C9" s="1"/>
      <c r="D9" s="1">
        <v>23</v>
      </c>
      <c r="E9" s="1"/>
      <c r="F9" s="33" t="s">
        <v>159</v>
      </c>
      <c r="J9" s="34"/>
    </row>
    <row r="10" spans="1:17" x14ac:dyDescent="0.2">
      <c r="C10" s="1"/>
      <c r="D10" s="1"/>
      <c r="E10" s="1"/>
    </row>
    <row r="11" spans="1:17" x14ac:dyDescent="0.2">
      <c r="A11" s="27" t="s">
        <v>168</v>
      </c>
      <c r="C11" s="1"/>
      <c r="D11" s="1"/>
      <c r="E11" s="1"/>
    </row>
    <row r="12" spans="1:17" x14ac:dyDescent="0.2">
      <c r="B12" s="33" t="s">
        <v>264</v>
      </c>
      <c r="C12" s="1"/>
      <c r="D12" s="1"/>
      <c r="E12" s="1">
        <v>1E-3</v>
      </c>
      <c r="F12" s="33" t="s">
        <v>86</v>
      </c>
    </row>
    <row r="13" spans="1:17" x14ac:dyDescent="0.2">
      <c r="B13" s="33" t="s">
        <v>265</v>
      </c>
      <c r="C13" s="156"/>
      <c r="D13" s="156"/>
      <c r="E13" s="156">
        <v>5.0000000000000001E-3</v>
      </c>
      <c r="F13" s="33" t="s">
        <v>86</v>
      </c>
      <c r="G13" s="33" t="s">
        <v>266</v>
      </c>
    </row>
    <row r="14" spans="1:17" x14ac:dyDescent="0.2">
      <c r="B14" s="33" t="s">
        <v>267</v>
      </c>
      <c r="C14" s="156"/>
      <c r="D14" s="156"/>
      <c r="E14" s="160">
        <v>125000</v>
      </c>
      <c r="F14" s="33"/>
    </row>
    <row r="15" spans="1:17" x14ac:dyDescent="0.2">
      <c r="B15" s="33"/>
      <c r="C15" s="156"/>
      <c r="D15" s="156"/>
      <c r="E15" s="160"/>
      <c r="F15" s="33"/>
    </row>
    <row r="16" spans="1:17" x14ac:dyDescent="0.2">
      <c r="B16" s="33" t="s">
        <v>274</v>
      </c>
      <c r="C16" s="159" t="s">
        <v>268</v>
      </c>
      <c r="D16" s="156"/>
      <c r="E16" s="156"/>
      <c r="F16" s="33"/>
      <c r="I16" s="33" t="s">
        <v>269</v>
      </c>
      <c r="J16" s="33" t="s">
        <v>70</v>
      </c>
      <c r="K16" s="33" t="s">
        <v>270</v>
      </c>
      <c r="L16" s="33" t="s">
        <v>272</v>
      </c>
      <c r="M16" s="33" t="s">
        <v>271</v>
      </c>
      <c r="N16" s="33" t="s">
        <v>273</v>
      </c>
      <c r="P16" s="33" t="s">
        <v>271</v>
      </c>
      <c r="Q16" s="33" t="s">
        <v>270</v>
      </c>
    </row>
    <row r="17" spans="1:17" x14ac:dyDescent="0.2">
      <c r="B17" s="33"/>
      <c r="C17" s="159" t="s">
        <v>471</v>
      </c>
      <c r="D17" s="156"/>
      <c r="E17" s="156"/>
      <c r="F17" s="33"/>
      <c r="J17">
        <v>12</v>
      </c>
      <c r="K17">
        <v>25</v>
      </c>
      <c r="L17">
        <f>0.5</f>
        <v>0.5</v>
      </c>
      <c r="M17" s="162">
        <f>1/(0.001*L17)*(K17*1000/$E$14+J17*$E$12)</f>
        <v>424.00000000000006</v>
      </c>
      <c r="N17" s="161">
        <f>K17*1000/$E$14/J17+$E$12</f>
        <v>1.7666666666666667E-2</v>
      </c>
      <c r="P17">
        <v>82</v>
      </c>
      <c r="Q17">
        <f>E14*(P17*L17*0.001-J17*E12)</f>
        <v>3625</v>
      </c>
    </row>
    <row r="18" spans="1:17" x14ac:dyDescent="0.2">
      <c r="B18" s="33"/>
      <c r="C18" s="159" t="s">
        <v>470</v>
      </c>
      <c r="D18" s="156"/>
      <c r="E18" s="156"/>
      <c r="F18" s="33"/>
      <c r="J18">
        <v>12</v>
      </c>
      <c r="K18">
        <v>5</v>
      </c>
      <c r="L18">
        <f>0.5</f>
        <v>0.5</v>
      </c>
      <c r="M18" s="162">
        <f>1/(0.001*L18)*(K18*1000/$E$14+J18*$E$12)</f>
        <v>104.00000000000001</v>
      </c>
      <c r="N18" s="161">
        <f>K18*1000/$E$14/J18+$E$12*0.001</f>
        <v>3.3343333333333337E-3</v>
      </c>
    </row>
    <row r="19" spans="1:17" x14ac:dyDescent="0.2">
      <c r="B19" s="33" t="s">
        <v>275</v>
      </c>
      <c r="E19" s="156"/>
      <c r="F19" s="33"/>
      <c r="I19" s="33" t="s">
        <v>277</v>
      </c>
      <c r="M19" s="162"/>
      <c r="N19" s="161"/>
    </row>
    <row r="20" spans="1:17" x14ac:dyDescent="0.2">
      <c r="C20" s="1"/>
      <c r="D20" s="1"/>
      <c r="E20" s="1"/>
    </row>
    <row r="21" spans="1:17" x14ac:dyDescent="0.2">
      <c r="A21" s="27" t="s">
        <v>161</v>
      </c>
      <c r="C21" s="1"/>
      <c r="D21" s="1"/>
      <c r="E21" s="1"/>
    </row>
    <row r="22" spans="1:17" x14ac:dyDescent="0.2">
      <c r="B22" s="34" t="s">
        <v>162</v>
      </c>
      <c r="C22" s="1">
        <v>3.76</v>
      </c>
      <c r="D22" s="1">
        <v>4</v>
      </c>
      <c r="E22" s="1">
        <v>4.16</v>
      </c>
      <c r="F22" s="33" t="s">
        <v>86</v>
      </c>
    </row>
    <row r="23" spans="1:17" x14ac:dyDescent="0.2">
      <c r="B23" s="34" t="s">
        <v>163</v>
      </c>
      <c r="C23" s="1">
        <v>-8</v>
      </c>
      <c r="D23" s="1">
        <v>-5.5</v>
      </c>
      <c r="E23" s="1">
        <v>-3</v>
      </c>
      <c r="F23" s="33" t="s">
        <v>159</v>
      </c>
    </row>
    <row r="24" spans="1:17" x14ac:dyDescent="0.2">
      <c r="B24" s="34" t="s">
        <v>363</v>
      </c>
      <c r="C24" s="196"/>
      <c r="D24" s="196"/>
      <c r="E24" s="196"/>
      <c r="F24" s="33"/>
    </row>
    <row r="25" spans="1:17" x14ac:dyDescent="0.2">
      <c r="B25" s="34" t="s">
        <v>164</v>
      </c>
      <c r="C25" s="1">
        <v>120</v>
      </c>
      <c r="D25" s="1">
        <v>85</v>
      </c>
      <c r="E25" s="1">
        <v>51</v>
      </c>
      <c r="F25" s="33" t="s">
        <v>159</v>
      </c>
    </row>
    <row r="26" spans="1:17" x14ac:dyDescent="0.2">
      <c r="B26" s="34" t="s">
        <v>300</v>
      </c>
      <c r="C26" s="157"/>
      <c r="D26" s="157">
        <f>SQRT(0.66^2+ ((120-90)/90)^2+ 0.1^2)</f>
        <v>0.74613076006227697</v>
      </c>
      <c r="E26" s="157"/>
      <c r="F26" s="33"/>
      <c r="G26" s="33" t="s">
        <v>299</v>
      </c>
    </row>
    <row r="27" spans="1:17" x14ac:dyDescent="0.2">
      <c r="B27" s="34" t="s">
        <v>297</v>
      </c>
      <c r="C27" s="157"/>
      <c r="D27" s="157">
        <v>0.5</v>
      </c>
      <c r="E27" s="157"/>
      <c r="F27" s="33"/>
      <c r="G27" s="33" t="s">
        <v>298</v>
      </c>
    </row>
    <row r="28" spans="1:17" x14ac:dyDescent="0.2">
      <c r="B28" s="2"/>
      <c r="C28" s="1"/>
      <c r="D28" s="1"/>
      <c r="E28" s="1"/>
    </row>
    <row r="29" spans="1:17" x14ac:dyDescent="0.2">
      <c r="A29" s="27" t="s">
        <v>196</v>
      </c>
      <c r="B29" s="2"/>
      <c r="C29" s="1"/>
      <c r="D29" s="1"/>
      <c r="E29" s="1"/>
    </row>
    <row r="30" spans="1:17" x14ac:dyDescent="0.2">
      <c r="B30" s="34" t="s">
        <v>200</v>
      </c>
      <c r="C30" s="1">
        <v>10</v>
      </c>
      <c r="D30" s="1">
        <v>16</v>
      </c>
      <c r="E30" s="1">
        <v>22</v>
      </c>
    </row>
    <row r="31" spans="1:17" x14ac:dyDescent="0.2">
      <c r="B31" s="2"/>
      <c r="C31" s="1"/>
      <c r="D31" s="1"/>
      <c r="E31" s="1"/>
    </row>
    <row r="32" spans="1:17" x14ac:dyDescent="0.2">
      <c r="A32" s="27" t="s">
        <v>160</v>
      </c>
      <c r="B32" s="2"/>
      <c r="C32" s="348"/>
      <c r="D32" s="348"/>
      <c r="E32" s="348"/>
      <c r="F32" s="348"/>
      <c r="G32" s="348"/>
      <c r="H32" s="348"/>
    </row>
    <row r="33" spans="1:8" x14ac:dyDescent="0.2">
      <c r="B33" s="34"/>
      <c r="C33" s="1"/>
      <c r="D33" s="1"/>
      <c r="E33" s="1"/>
      <c r="F33" s="218"/>
      <c r="G33" s="218"/>
      <c r="H33" s="218"/>
    </row>
    <row r="34" spans="1:8" x14ac:dyDescent="0.2">
      <c r="B34" s="34"/>
      <c r="C34" s="1"/>
      <c r="D34" s="1"/>
      <c r="E34" s="1"/>
      <c r="F34" s="218"/>
      <c r="G34" s="218"/>
      <c r="H34" s="218"/>
    </row>
    <row r="35" spans="1:8" x14ac:dyDescent="0.2">
      <c r="B35" s="34"/>
      <c r="C35" s="1"/>
      <c r="D35" s="1"/>
      <c r="E35" s="1"/>
      <c r="F35" s="218"/>
      <c r="G35" s="218"/>
      <c r="H35" s="218"/>
    </row>
    <row r="36" spans="1:8" x14ac:dyDescent="0.2">
      <c r="B36" s="34"/>
      <c r="C36" s="1"/>
      <c r="D36" s="1"/>
      <c r="E36" s="1"/>
      <c r="F36" s="218"/>
      <c r="G36" s="218"/>
      <c r="H36" s="218"/>
    </row>
    <row r="37" spans="1:8" x14ac:dyDescent="0.2">
      <c r="B37" s="2"/>
      <c r="C37" s="1"/>
      <c r="D37" s="1"/>
      <c r="E37" s="1"/>
    </row>
    <row r="38" spans="1:8" x14ac:dyDescent="0.2">
      <c r="A38" s="27" t="s">
        <v>232</v>
      </c>
      <c r="B38" s="2"/>
    </row>
    <row r="39" spans="1:8" x14ac:dyDescent="0.2">
      <c r="B39" s="34" t="s">
        <v>162</v>
      </c>
      <c r="C39">
        <v>3.76</v>
      </c>
      <c r="D39">
        <v>4</v>
      </c>
      <c r="E39">
        <v>4.16</v>
      </c>
    </row>
    <row r="40" spans="1:8" x14ac:dyDescent="0.2">
      <c r="B40" s="34" t="s">
        <v>233</v>
      </c>
      <c r="C40">
        <v>1.1870000000000001</v>
      </c>
      <c r="D40">
        <v>1.25</v>
      </c>
      <c r="E40">
        <v>1.3129999999999999</v>
      </c>
    </row>
    <row r="41" spans="1:8" x14ac:dyDescent="0.2">
      <c r="B41" s="34" t="s">
        <v>234</v>
      </c>
      <c r="D41">
        <v>0.3</v>
      </c>
    </row>
    <row r="42" spans="1:8" x14ac:dyDescent="0.2">
      <c r="B42" s="34" t="s">
        <v>235</v>
      </c>
      <c r="D42">
        <v>0.3</v>
      </c>
    </row>
    <row r="43" spans="1:8" x14ac:dyDescent="0.2">
      <c r="B43" s="34" t="s">
        <v>236</v>
      </c>
      <c r="C43">
        <v>3</v>
      </c>
      <c r="D43">
        <v>5.5</v>
      </c>
      <c r="E43">
        <v>8</v>
      </c>
    </row>
    <row r="44" spans="1:8" x14ac:dyDescent="0.2">
      <c r="B44" s="34" t="s">
        <v>237</v>
      </c>
      <c r="C44">
        <v>1</v>
      </c>
      <c r="D44">
        <v>1.5</v>
      </c>
      <c r="E44">
        <v>2</v>
      </c>
    </row>
    <row r="45" spans="1:8" x14ac:dyDescent="0.2">
      <c r="B45" s="34" t="s">
        <v>164</v>
      </c>
      <c r="C45">
        <v>51</v>
      </c>
      <c r="D45">
        <v>85</v>
      </c>
      <c r="E45">
        <v>120</v>
      </c>
    </row>
    <row r="46" spans="1:8" x14ac:dyDescent="0.2">
      <c r="B46" s="34" t="s">
        <v>238</v>
      </c>
      <c r="C46">
        <v>1.25</v>
      </c>
      <c r="D46">
        <v>2.5</v>
      </c>
      <c r="E46">
        <v>3.75</v>
      </c>
    </row>
    <row r="48" spans="1:8" x14ac:dyDescent="0.2">
      <c r="A48" s="27" t="s">
        <v>242</v>
      </c>
    </row>
    <row r="49" spans="1:8" x14ac:dyDescent="0.2">
      <c r="B49" s="34" t="s">
        <v>243</v>
      </c>
      <c r="D49">
        <v>60</v>
      </c>
      <c r="E49">
        <v>150</v>
      </c>
      <c r="F49" s="33" t="s">
        <v>169</v>
      </c>
      <c r="G49">
        <v>2</v>
      </c>
      <c r="H49" s="33" t="s">
        <v>244</v>
      </c>
    </row>
    <row r="50" spans="1:8" x14ac:dyDescent="0.2">
      <c r="A50" s="27" t="s">
        <v>245</v>
      </c>
    </row>
    <row r="51" spans="1:8" x14ac:dyDescent="0.2">
      <c r="B51" s="33" t="s">
        <v>246</v>
      </c>
      <c r="C51">
        <v>2.41</v>
      </c>
      <c r="D51">
        <v>2.46</v>
      </c>
      <c r="E51">
        <v>2.52</v>
      </c>
      <c r="F51" s="33" t="s">
        <v>86</v>
      </c>
    </row>
    <row r="52" spans="1:8" x14ac:dyDescent="0.2">
      <c r="B52" s="33" t="s">
        <v>247</v>
      </c>
      <c r="C52">
        <v>15</v>
      </c>
      <c r="D52">
        <v>20</v>
      </c>
      <c r="E52">
        <v>25</v>
      </c>
      <c r="F52" s="33"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75" x14ac:dyDescent="0.2"/>
  <cols>
    <col min="6" max="6" width="12.42578125" bestFit="1" customWidth="1"/>
    <col min="8" max="8" width="14" customWidth="1"/>
    <col min="9" max="9" width="12.7109375" customWidth="1"/>
    <col min="10" max="10" width="11.7109375" customWidth="1"/>
  </cols>
  <sheetData>
    <row r="13" spans="1:6" x14ac:dyDescent="0.2">
      <c r="A13" s="27" t="s">
        <v>132</v>
      </c>
    </row>
    <row r="14" spans="1:6" x14ac:dyDescent="0.2">
      <c r="E14" s="2"/>
    </row>
    <row r="15" spans="1:6" x14ac:dyDescent="0.2">
      <c r="D15" t="s">
        <v>207</v>
      </c>
      <c r="E15">
        <f>IF('Design Calculator'!$F$36="26 mV",'Device Parameters'!C7,'Device Parameters'!C8)</f>
        <v>48.5</v>
      </c>
      <c r="F15" s="106" t="s">
        <v>169</v>
      </c>
    </row>
    <row r="16" spans="1:6" x14ac:dyDescent="0.2">
      <c r="D16" t="s">
        <v>206</v>
      </c>
      <c r="E16">
        <f>IF('Design Calculator'!$F$36="26 mV",'Device Parameters'!D7,'Device Parameters'!D8)</f>
        <v>55</v>
      </c>
      <c r="F16" s="106" t="s">
        <v>169</v>
      </c>
    </row>
    <row r="17" spans="1:8" x14ac:dyDescent="0.2">
      <c r="D17" t="s">
        <v>205</v>
      </c>
      <c r="E17">
        <f>IF('Design Calculator'!$F$36="26 mV",'Device Parameters'!E7,'Device Parameters'!E8)</f>
        <v>61.5</v>
      </c>
      <c r="F17" s="106" t="s">
        <v>169</v>
      </c>
    </row>
    <row r="18" spans="1:8" x14ac:dyDescent="0.2">
      <c r="E18" s="2"/>
    </row>
    <row r="19" spans="1:8" x14ac:dyDescent="0.2">
      <c r="A19" s="27"/>
      <c r="E19" s="2"/>
    </row>
    <row r="20" spans="1:8" x14ac:dyDescent="0.2">
      <c r="E20" s="2" t="s">
        <v>0</v>
      </c>
      <c r="F20">
        <f>CLMIN_Threshold/('Design Calculator'!F30*1.01)</f>
        <v>2.389044874636717</v>
      </c>
    </row>
    <row r="21" spans="1:8" x14ac:dyDescent="0.2">
      <c r="E21" s="34" t="s">
        <v>208</v>
      </c>
      <c r="F21" s="33">
        <f>IF(Rs&gt;RsMAX,10,"NA")</f>
        <v>10</v>
      </c>
    </row>
    <row r="22" spans="1:8" x14ac:dyDescent="0.2">
      <c r="E22" s="34" t="s">
        <v>209</v>
      </c>
      <c r="F22">
        <f>IF(Rs&gt;RsMAX,(((IOUTMAX*Rs)/CLMIN_Threshold)-1)*F21,"NA")</f>
        <v>6.5773195876288675</v>
      </c>
    </row>
    <row r="23" spans="1:8" x14ac:dyDescent="0.2">
      <c r="E23" s="34" t="s">
        <v>210</v>
      </c>
      <c r="F23">
        <f>IF(RsMAX&gt;Rs,Rs,IF('Design Calculator'!F38="Yes",IF(Rs&gt;RsMAX,Rs/(1+RDIV2/RDIV1),Rs),Rs))</f>
        <v>2.4125452352231607</v>
      </c>
      <c r="H23" s="142"/>
    </row>
    <row r="24" spans="1:8" x14ac:dyDescent="0.2">
      <c r="E24" s="2" t="s">
        <v>1</v>
      </c>
      <c r="F24" s="4">
        <f>CLMIN_Threshold/RsEFF</f>
        <v>20.103249999999999</v>
      </c>
      <c r="G24" s="4"/>
    </row>
    <row r="25" spans="1:8" x14ac:dyDescent="0.2">
      <c r="E25" s="2" t="s">
        <v>2</v>
      </c>
      <c r="F25">
        <f>CLNOM_Threshold/RsEFF</f>
        <v>22.797499999999999</v>
      </c>
    </row>
    <row r="26" spans="1:8" x14ac:dyDescent="0.2">
      <c r="E26" s="2" t="s">
        <v>3</v>
      </c>
      <c r="F26">
        <f>CLMAX_Threshold/RsEFF</f>
        <v>25.491749999999996</v>
      </c>
    </row>
    <row r="27" spans="1:8" x14ac:dyDescent="0.2">
      <c r="E27" s="2" t="s">
        <v>4</v>
      </c>
      <c r="F27">
        <f>F26^2*'Design Calculator'!F39</f>
        <v>2599.3172722499994</v>
      </c>
    </row>
    <row r="30" spans="1:8" x14ac:dyDescent="0.2">
      <c r="E30" s="2"/>
    </row>
    <row r="31" spans="1:8" x14ac:dyDescent="0.2">
      <c r="A31" s="27" t="s">
        <v>152</v>
      </c>
    </row>
    <row r="32" spans="1:8" x14ac:dyDescent="0.2">
      <c r="A32" s="33"/>
      <c r="F32" s="33" t="s">
        <v>153</v>
      </c>
      <c r="H32" s="33" t="s">
        <v>154</v>
      </c>
    </row>
    <row r="33" spans="1:8" x14ac:dyDescent="0.2">
      <c r="A33" s="33"/>
      <c r="E33" s="66" t="s">
        <v>128</v>
      </c>
      <c r="F33" s="67">
        <f>VINMAX*'Design Calculator'!F56</f>
        <v>4250</v>
      </c>
      <c r="G33" s="33" t="s">
        <v>87</v>
      </c>
      <c r="H33">
        <f>F33*(TJMAX-TJ)/(TJMAX-25)</f>
        <v>2892.0309333333335</v>
      </c>
    </row>
    <row r="34" spans="1:8" x14ac:dyDescent="0.2">
      <c r="A34" s="33"/>
      <c r="E34" s="66" t="s">
        <v>129</v>
      </c>
      <c r="F34" s="67">
        <f>VINMAX*'Design Calculator'!F57</f>
        <v>1147.5</v>
      </c>
      <c r="G34" s="33" t="s">
        <v>87</v>
      </c>
      <c r="H34">
        <f>F34*(TJMAX-TJ)/(TJMAX-25)</f>
        <v>780.84835199999998</v>
      </c>
    </row>
    <row r="35" spans="1:8" x14ac:dyDescent="0.2">
      <c r="A35" s="33"/>
      <c r="E35" s="66" t="s">
        <v>130</v>
      </c>
      <c r="F35" s="67">
        <f>VINMAX*'Design Calculator'!F58</f>
        <v>255</v>
      </c>
      <c r="G35" s="33" t="s">
        <v>87</v>
      </c>
      <c r="H35">
        <f>F35*(TJMAX-TJ)/(TJMAX-25)</f>
        <v>173.52185599999999</v>
      </c>
    </row>
    <row r="36" spans="1:8" x14ac:dyDescent="0.2">
      <c r="A36" s="33"/>
      <c r="E36" s="66" t="s">
        <v>131</v>
      </c>
      <c r="F36" s="67">
        <f>VINMAX*'Design Calculator'!F59</f>
        <v>89.25</v>
      </c>
      <c r="G36" s="75" t="s">
        <v>87</v>
      </c>
      <c r="H36">
        <f>F36*(TJMAX-TJ)/(TJMAX-25)</f>
        <v>60.732649600000002</v>
      </c>
    </row>
    <row r="37" spans="1:8" x14ac:dyDescent="0.2">
      <c r="A37" s="33"/>
      <c r="E37" s="77"/>
      <c r="F37" s="76"/>
      <c r="G37" s="75"/>
    </row>
    <row r="38" spans="1:8" x14ac:dyDescent="0.2">
      <c r="A38" s="33"/>
      <c r="E38" s="77" t="s">
        <v>170</v>
      </c>
      <c r="F38" s="76">
        <f>VINMAX*'Device Parameters'!E13/RsEFF/0.001</f>
        <v>88.081249999999983</v>
      </c>
      <c r="G38" s="75" t="s">
        <v>87</v>
      </c>
    </row>
    <row r="39" spans="1:8" x14ac:dyDescent="0.2">
      <c r="A39" s="33"/>
      <c r="D39" s="150"/>
      <c r="E39" s="77" t="s">
        <v>280</v>
      </c>
      <c r="F39" s="76">
        <f>'Design Calculator'!F64</f>
        <v>75</v>
      </c>
      <c r="G39" s="75" t="s">
        <v>87</v>
      </c>
      <c r="H39" s="150"/>
    </row>
    <row r="40" spans="1:8" x14ac:dyDescent="0.2">
      <c r="A40" s="33"/>
      <c r="D40" s="150"/>
      <c r="E40" s="77" t="s">
        <v>270</v>
      </c>
      <c r="F40" s="267">
        <f>'Device Parameters'!E14*RsEFF*0.001*F39/1000</f>
        <v>22.61761158021713</v>
      </c>
      <c r="G40" s="75" t="s">
        <v>281</v>
      </c>
      <c r="H40" s="150"/>
    </row>
    <row r="41" spans="1:8" x14ac:dyDescent="0.2">
      <c r="A41" s="33"/>
      <c r="D41" s="150"/>
      <c r="E41" s="77" t="s">
        <v>283</v>
      </c>
      <c r="F41" s="76">
        <f>RPWR</f>
        <v>38.299999999999997</v>
      </c>
      <c r="G41" s="75" t="s">
        <v>281</v>
      </c>
      <c r="H41" s="150"/>
    </row>
    <row r="42" spans="1:8" x14ac:dyDescent="0.2">
      <c r="A42" s="33"/>
      <c r="D42" s="150"/>
      <c r="E42" s="77" t="s">
        <v>284</v>
      </c>
      <c r="F42" s="222">
        <f>(1/RsEFF)*1000*(Equations!F41*1000/'Device Parameters'!E14)</f>
        <v>127.00280000000001</v>
      </c>
      <c r="G42" s="75" t="s">
        <v>87</v>
      </c>
      <c r="H42" s="150"/>
    </row>
    <row r="43" spans="1:8" x14ac:dyDescent="0.2">
      <c r="A43" s="33"/>
      <c r="D43" s="150"/>
      <c r="E43" s="77"/>
      <c r="F43" s="150"/>
      <c r="G43" s="75"/>
      <c r="H43" s="150"/>
    </row>
    <row r="44" spans="1:8" x14ac:dyDescent="0.2">
      <c r="A44" s="33"/>
      <c r="D44" s="150"/>
      <c r="E44" s="77"/>
      <c r="F44" s="150"/>
      <c r="G44" s="75"/>
      <c r="H44" s="150"/>
    </row>
    <row r="45" spans="1:8" x14ac:dyDescent="0.2">
      <c r="A45" s="33"/>
      <c r="D45" s="150"/>
      <c r="E45" s="77"/>
      <c r="F45" s="150"/>
      <c r="G45" s="75"/>
      <c r="H45" s="150"/>
    </row>
    <row r="46" spans="1:8" x14ac:dyDescent="0.2">
      <c r="D46" s="150"/>
      <c r="E46" s="223" t="s">
        <v>5</v>
      </c>
      <c r="F46" s="224">
        <f>F47*(1-0.24)</f>
        <v>96.522128000000009</v>
      </c>
      <c r="G46" s="150" t="s">
        <v>15</v>
      </c>
      <c r="H46" s="150"/>
    </row>
    <row r="47" spans="1:8" x14ac:dyDescent="0.2">
      <c r="D47" s="150"/>
      <c r="E47" s="223" t="s">
        <v>6</v>
      </c>
      <c r="F47" s="224">
        <f>F42</f>
        <v>127.00280000000001</v>
      </c>
      <c r="G47" s="150"/>
      <c r="H47" s="150"/>
    </row>
    <row r="48" spans="1:8" x14ac:dyDescent="0.2">
      <c r="D48" s="150"/>
      <c r="E48" s="223" t="s">
        <v>7</v>
      </c>
      <c r="F48" s="224">
        <f>F47*(1+0.24)</f>
        <v>157.48347200000001</v>
      </c>
      <c r="G48" s="150"/>
      <c r="H48" s="150"/>
    </row>
    <row r="49" spans="1:12" x14ac:dyDescent="0.2">
      <c r="D49" s="150"/>
      <c r="E49" s="223"/>
      <c r="F49" s="225"/>
      <c r="G49" s="150"/>
      <c r="H49" s="223"/>
      <c r="I49" s="1"/>
      <c r="K49" s="2"/>
      <c r="L49" s="1"/>
    </row>
    <row r="50" spans="1:12" x14ac:dyDescent="0.2">
      <c r="D50" s="150"/>
      <c r="E50" s="223"/>
      <c r="F50" s="225"/>
      <c r="G50" s="150"/>
      <c r="H50" s="223"/>
      <c r="I50" s="1"/>
      <c r="K50" s="2"/>
      <c r="L50" s="1"/>
    </row>
    <row r="51" spans="1:12" x14ac:dyDescent="0.2">
      <c r="A51" s="27" t="s">
        <v>151</v>
      </c>
      <c r="D51" s="150"/>
      <c r="E51" s="150"/>
      <c r="F51" s="150"/>
      <c r="G51" s="150"/>
      <c r="H51" s="150"/>
    </row>
    <row r="52" spans="1:12" x14ac:dyDescent="0.2">
      <c r="A52" s="27"/>
      <c r="D52" s="349" t="s">
        <v>323</v>
      </c>
      <c r="E52" s="350"/>
      <c r="F52" s="350"/>
      <c r="G52" s="350"/>
      <c r="H52" s="150"/>
    </row>
    <row r="53" spans="1:12" x14ac:dyDescent="0.2">
      <c r="A53" s="27"/>
      <c r="D53" s="150"/>
      <c r="E53" s="77" t="s">
        <v>303</v>
      </c>
      <c r="F53" s="224">
        <f>Start_up!M2</f>
        <v>26.562499999999972</v>
      </c>
      <c r="G53" s="226" t="s">
        <v>8</v>
      </c>
      <c r="H53" s="150"/>
    </row>
    <row r="54" spans="1:12" x14ac:dyDescent="0.2">
      <c r="A54" s="27"/>
      <c r="D54" s="150"/>
      <c r="E54" s="77" t="s">
        <v>304</v>
      </c>
      <c r="F54" s="224">
        <f>'Device Parameters'!D27</f>
        <v>0.5</v>
      </c>
      <c r="G54" s="150"/>
      <c r="H54" s="150"/>
    </row>
    <row r="55" spans="1:12" x14ac:dyDescent="0.2">
      <c r="A55" s="27"/>
      <c r="D55" s="150"/>
      <c r="E55" s="77" t="s">
        <v>305</v>
      </c>
      <c r="F55" s="150">
        <f>F53*(1+F54)</f>
        <v>39.843749999999957</v>
      </c>
      <c r="G55" s="226" t="s">
        <v>8</v>
      </c>
      <c r="H55" s="150"/>
    </row>
    <row r="56" spans="1:12" x14ac:dyDescent="0.2">
      <c r="A56" s="27"/>
      <c r="D56" s="150"/>
      <c r="E56" s="77" t="s">
        <v>306</v>
      </c>
      <c r="F56" s="150">
        <f>'Device Parameters'!D25/'Device Parameters'!D22*F55</f>
        <v>846.67968749999909</v>
      </c>
      <c r="G56" s="226" t="s">
        <v>118</v>
      </c>
      <c r="H56" s="150"/>
    </row>
    <row r="57" spans="1:12" x14ac:dyDescent="0.2">
      <c r="A57" s="27"/>
      <c r="D57" s="150"/>
      <c r="E57" s="77" t="s">
        <v>307</v>
      </c>
      <c r="F57" s="224">
        <f>'Design Calculator'!F76</f>
        <v>440</v>
      </c>
      <c r="G57" s="226" t="s">
        <v>118</v>
      </c>
      <c r="H57" s="150"/>
    </row>
    <row r="58" spans="1:12" x14ac:dyDescent="0.2">
      <c r="A58" s="27"/>
      <c r="D58" s="150"/>
      <c r="E58" s="77" t="s">
        <v>310</v>
      </c>
      <c r="F58" s="150">
        <f>'Device Parameters'!D22/'Device Parameters'!D25*F57</f>
        <v>20.705882352941178</v>
      </c>
      <c r="G58" s="226" t="s">
        <v>8</v>
      </c>
      <c r="H58" s="150"/>
    </row>
    <row r="59" spans="1:12" x14ac:dyDescent="0.2">
      <c r="A59" s="27"/>
      <c r="D59" s="150"/>
      <c r="E59" s="77" t="s">
        <v>318</v>
      </c>
      <c r="F59" s="150">
        <f>SOA!C26/F47</f>
        <v>9.4384690145043724</v>
      </c>
      <c r="G59" s="226"/>
      <c r="H59" s="150"/>
    </row>
    <row r="60" spans="1:12" x14ac:dyDescent="0.2">
      <c r="A60" s="27"/>
      <c r="D60" s="349" t="s">
        <v>327</v>
      </c>
      <c r="E60" s="350"/>
      <c r="F60" s="350"/>
      <c r="G60" s="350"/>
      <c r="H60" s="150"/>
    </row>
    <row r="61" spans="1:12" x14ac:dyDescent="0.2">
      <c r="A61" s="27"/>
      <c r="C61" s="33"/>
      <c r="D61" s="227"/>
      <c r="E61" s="77" t="s">
        <v>324</v>
      </c>
      <c r="F61" s="228">
        <f>'Design Calculator'!F82</f>
        <v>2</v>
      </c>
      <c r="G61" s="228" t="s">
        <v>325</v>
      </c>
      <c r="H61" s="150"/>
    </row>
    <row r="62" spans="1:12" x14ac:dyDescent="0.2">
      <c r="A62" s="27"/>
      <c r="C62" s="33"/>
      <c r="D62" s="227"/>
      <c r="E62" s="77" t="s">
        <v>348</v>
      </c>
      <c r="F62" s="225">
        <f>'Device Parameters'!D30/ss_rate</f>
        <v>8</v>
      </c>
      <c r="G62" s="226" t="s">
        <v>118</v>
      </c>
      <c r="H62" s="150"/>
    </row>
    <row r="63" spans="1:12" x14ac:dyDescent="0.2">
      <c r="A63" s="27"/>
      <c r="C63" s="33"/>
      <c r="D63" s="227"/>
      <c r="E63" s="77" t="s">
        <v>349</v>
      </c>
      <c r="F63" s="228">
        <f>'Design Calculator'!F84</f>
        <v>10</v>
      </c>
      <c r="G63" s="226" t="s">
        <v>118</v>
      </c>
      <c r="H63" s="150"/>
    </row>
    <row r="64" spans="1:12" x14ac:dyDescent="0.2">
      <c r="A64" s="27"/>
      <c r="C64" s="33"/>
      <c r="D64" s="227"/>
      <c r="E64" s="77" t="s">
        <v>350</v>
      </c>
      <c r="F64" s="225">
        <f>ss_rate*F62/F63</f>
        <v>1.6</v>
      </c>
      <c r="G64" s="226" t="s">
        <v>325</v>
      </c>
      <c r="H64" s="150"/>
    </row>
    <row r="65" spans="1:8" x14ac:dyDescent="0.2">
      <c r="A65" s="27"/>
      <c r="C65" s="33"/>
      <c r="D65" s="227"/>
      <c r="E65" s="77" t="s">
        <v>326</v>
      </c>
      <c r="F65" s="228">
        <f>COUTMAX*F64/1000</f>
        <v>0.35199999999999998</v>
      </c>
      <c r="G65" s="228" t="s">
        <v>25</v>
      </c>
      <c r="H65" s="150"/>
    </row>
    <row r="66" spans="1:8" x14ac:dyDescent="0.2">
      <c r="A66" s="27"/>
      <c r="C66" s="33"/>
      <c r="D66" s="227"/>
      <c r="E66" s="77" t="s">
        <v>341</v>
      </c>
      <c r="F66" s="228">
        <f>VINMAX/F64</f>
        <v>26.5625</v>
      </c>
      <c r="G66" s="228" t="s">
        <v>8</v>
      </c>
      <c r="H66" s="150"/>
    </row>
    <row r="67" spans="1:8" x14ac:dyDescent="0.2">
      <c r="A67" s="27"/>
      <c r="C67" s="33"/>
      <c r="D67" s="227"/>
      <c r="E67" s="77" t="s">
        <v>342</v>
      </c>
      <c r="F67" s="228">
        <f>Start_up!N5</f>
        <v>1.065166466346154</v>
      </c>
      <c r="G67" s="228" t="s">
        <v>331</v>
      </c>
      <c r="H67" s="150"/>
    </row>
    <row r="68" spans="1:8" x14ac:dyDescent="0.2">
      <c r="A68" s="27"/>
      <c r="C68" s="33"/>
      <c r="D68" s="227"/>
      <c r="E68" s="77" t="s">
        <v>343</v>
      </c>
      <c r="F68" s="228">
        <f>Start_up!Q4</f>
        <v>113.82153846153847</v>
      </c>
      <c r="G68" s="228" t="s">
        <v>87</v>
      </c>
      <c r="H68" s="150"/>
    </row>
    <row r="69" spans="1:8" x14ac:dyDescent="0.2">
      <c r="A69" s="27"/>
      <c r="D69" s="229"/>
      <c r="E69" s="77" t="s">
        <v>344</v>
      </c>
      <c r="F69" s="228">
        <f>F67/F68*1000</f>
        <v>9.3582153320312518</v>
      </c>
      <c r="G69" s="228" t="s">
        <v>8</v>
      </c>
      <c r="H69" s="150"/>
    </row>
    <row r="70" spans="1:8" x14ac:dyDescent="0.2">
      <c r="A70" s="27"/>
      <c r="D70" s="150"/>
      <c r="E70" s="77" t="s">
        <v>345</v>
      </c>
      <c r="F70" s="226">
        <f>SOA!H28</f>
        <v>204.15679177398709</v>
      </c>
      <c r="G70" s="228" t="s">
        <v>87</v>
      </c>
      <c r="H70" s="150"/>
    </row>
    <row r="71" spans="1:8" x14ac:dyDescent="0.2">
      <c r="A71" s="27"/>
      <c r="D71" s="150"/>
      <c r="E71" s="77" t="s">
        <v>346</v>
      </c>
      <c r="F71" s="226">
        <f>F70/F68</f>
        <v>1.7936569346492701</v>
      </c>
      <c r="G71" s="226"/>
      <c r="H71" s="150"/>
    </row>
    <row r="72" spans="1:8" x14ac:dyDescent="0.2">
      <c r="A72" s="27"/>
      <c r="D72" s="150"/>
      <c r="E72" s="77"/>
      <c r="F72" s="226"/>
      <c r="G72" s="226"/>
      <c r="H72" s="150"/>
    </row>
    <row r="73" spans="1:8" x14ac:dyDescent="0.2">
      <c r="A73" s="27"/>
      <c r="D73" s="150"/>
      <c r="E73" s="77"/>
      <c r="F73" s="226">
        <v>1</v>
      </c>
      <c r="G73" s="228" t="s">
        <v>8</v>
      </c>
      <c r="H73" s="150"/>
    </row>
    <row r="74" spans="1:8" x14ac:dyDescent="0.2">
      <c r="A74" s="27"/>
      <c r="D74" s="351" t="s">
        <v>355</v>
      </c>
      <c r="E74" s="351"/>
      <c r="F74" s="351"/>
      <c r="G74" s="351"/>
      <c r="H74" s="351"/>
    </row>
    <row r="75" spans="1:8" x14ac:dyDescent="0.2">
      <c r="A75" s="27"/>
      <c r="D75" s="150"/>
      <c r="E75" s="77" t="s">
        <v>351</v>
      </c>
      <c r="F75" s="230">
        <f>'Design Calculator'!F87</f>
        <v>0.52</v>
      </c>
      <c r="G75" s="226"/>
      <c r="H75" s="150"/>
    </row>
    <row r="76" spans="1:8" x14ac:dyDescent="0.2">
      <c r="A76" s="27"/>
      <c r="D76" s="150"/>
      <c r="E76" s="77" t="s">
        <v>352</v>
      </c>
      <c r="F76" s="226">
        <f>'Device Parameters'!D25/'Device Parameters'!D22*F75</f>
        <v>11.05</v>
      </c>
      <c r="G76" s="226" t="s">
        <v>118</v>
      </c>
      <c r="H76" s="150"/>
    </row>
    <row r="77" spans="1:8" x14ac:dyDescent="0.2">
      <c r="A77" s="27"/>
      <c r="D77" s="150"/>
      <c r="E77" s="194" t="s">
        <v>353</v>
      </c>
      <c r="F77" s="230">
        <f>'Design Calculator'!F89</f>
        <v>10</v>
      </c>
      <c r="G77" s="226" t="s">
        <v>118</v>
      </c>
      <c r="H77" s="150"/>
    </row>
    <row r="78" spans="1:8" x14ac:dyDescent="0.2">
      <c r="A78" s="27"/>
      <c r="D78" s="150"/>
      <c r="E78" s="77" t="s">
        <v>358</v>
      </c>
      <c r="F78" s="226">
        <f>'Device Parameters'!D22/'Device Parameters'!D25*F77</f>
        <v>0.47058823529411764</v>
      </c>
      <c r="G78" s="226" t="s">
        <v>8</v>
      </c>
      <c r="H78" s="150"/>
    </row>
    <row r="79" spans="1:8" x14ac:dyDescent="0.2">
      <c r="A79" s="27"/>
      <c r="D79" s="150"/>
      <c r="E79" s="194" t="s">
        <v>357</v>
      </c>
      <c r="F79" s="226">
        <f>SOA!C26</f>
        <v>1198.7119925552959</v>
      </c>
      <c r="G79" s="226" t="s">
        <v>87</v>
      </c>
      <c r="H79" s="150"/>
    </row>
    <row r="80" spans="1:8" x14ac:dyDescent="0.2">
      <c r="A80" s="27"/>
      <c r="D80" s="150"/>
      <c r="E80" s="77" t="s">
        <v>346</v>
      </c>
      <c r="F80" s="226">
        <f>F79/F42</f>
        <v>9.4384690145043724</v>
      </c>
      <c r="G80" s="226"/>
      <c r="H80" s="150"/>
    </row>
    <row r="81" spans="1:13" x14ac:dyDescent="0.2">
      <c r="A81" s="27"/>
      <c r="D81" s="150"/>
      <c r="E81" s="77"/>
      <c r="F81" s="226"/>
      <c r="G81" s="226"/>
      <c r="H81" s="150"/>
    </row>
    <row r="82" spans="1:13" x14ac:dyDescent="0.2">
      <c r="A82" s="27"/>
      <c r="D82" s="150"/>
      <c r="E82" s="77"/>
      <c r="F82" s="226"/>
      <c r="G82" s="226"/>
      <c r="H82" s="150"/>
    </row>
    <row r="83" spans="1:13" x14ac:dyDescent="0.2">
      <c r="A83" s="27"/>
      <c r="D83" s="150"/>
      <c r="E83" s="77"/>
      <c r="F83" s="226"/>
      <c r="G83" s="226"/>
      <c r="H83" s="150"/>
    </row>
    <row r="84" spans="1:13" x14ac:dyDescent="0.2">
      <c r="A84" s="27"/>
      <c r="D84" s="150"/>
      <c r="E84" s="77"/>
      <c r="F84" s="226"/>
      <c r="G84" s="226"/>
      <c r="H84" s="150"/>
    </row>
    <row r="85" spans="1:13" x14ac:dyDescent="0.2">
      <c r="A85" s="27"/>
      <c r="D85" s="150"/>
      <c r="E85" s="77"/>
      <c r="F85" s="226"/>
      <c r="G85" s="226"/>
      <c r="H85" s="150"/>
    </row>
    <row r="86" spans="1:13" x14ac:dyDescent="0.2">
      <c r="A86" s="27"/>
      <c r="D86" s="150"/>
      <c r="E86" s="77"/>
      <c r="F86" s="226"/>
      <c r="G86" s="226"/>
      <c r="H86" s="150"/>
    </row>
    <row r="87" spans="1:13" x14ac:dyDescent="0.2">
      <c r="A87" s="27"/>
      <c r="D87" s="150"/>
      <c r="E87" s="77"/>
      <c r="F87" s="226"/>
      <c r="G87" s="226"/>
      <c r="H87" s="150"/>
    </row>
    <row r="88" spans="1:13" x14ac:dyDescent="0.2">
      <c r="A88" s="27"/>
      <c r="D88" s="150"/>
      <c r="E88" s="77"/>
      <c r="F88" s="226"/>
      <c r="G88" s="226"/>
      <c r="H88" s="150"/>
    </row>
    <row r="89" spans="1:13" x14ac:dyDescent="0.2">
      <c r="A89" s="27"/>
      <c r="D89" s="150"/>
      <c r="E89" s="150"/>
      <c r="F89" s="226"/>
      <c r="G89" s="150"/>
      <c r="H89" s="150"/>
    </row>
    <row r="90" spans="1:13" x14ac:dyDescent="0.2">
      <c r="A90" s="33"/>
      <c r="D90" s="150"/>
      <c r="E90" s="77"/>
      <c r="F90" s="226"/>
      <c r="G90" s="150"/>
      <c r="H90" s="150"/>
    </row>
    <row r="91" spans="1:13" x14ac:dyDescent="0.2">
      <c r="A91" s="33"/>
      <c r="D91" s="150"/>
      <c r="E91" s="77"/>
      <c r="F91" s="226"/>
      <c r="G91" s="150"/>
      <c r="H91" s="150"/>
    </row>
    <row r="92" spans="1:13" x14ac:dyDescent="0.2">
      <c r="D92" s="226"/>
      <c r="E92" s="77"/>
      <c r="F92" s="226"/>
      <c r="G92" s="150"/>
      <c r="H92" s="150"/>
    </row>
    <row r="93" spans="1:13" x14ac:dyDescent="0.2">
      <c r="D93" s="226"/>
      <c r="E93" s="77"/>
      <c r="F93" s="226"/>
      <c r="G93" s="150"/>
      <c r="H93" s="150"/>
    </row>
    <row r="94" spans="1:13" x14ac:dyDescent="0.2">
      <c r="D94" s="226"/>
      <c r="E94" s="77"/>
      <c r="F94" s="226"/>
      <c r="G94" s="150"/>
      <c r="H94" s="150"/>
    </row>
    <row r="95" spans="1:13" x14ac:dyDescent="0.2">
      <c r="D95" s="150"/>
      <c r="E95" s="77"/>
      <c r="F95" s="226"/>
      <c r="G95" s="150"/>
      <c r="H95" s="150"/>
      <c r="J95" s="6"/>
      <c r="M95" s="6"/>
    </row>
    <row r="96" spans="1:13" x14ac:dyDescent="0.2">
      <c r="D96" s="150"/>
      <c r="E96" s="77"/>
      <c r="F96" s="226"/>
      <c r="G96" s="150"/>
      <c r="H96" s="150"/>
      <c r="J96" s="6"/>
      <c r="M96" s="6"/>
    </row>
    <row r="97" spans="4:13" x14ac:dyDescent="0.2">
      <c r="D97" s="150"/>
      <c r="E97" s="223"/>
      <c r="F97" s="226"/>
      <c r="G97" s="150" t="s">
        <v>16</v>
      </c>
      <c r="H97" s="150"/>
      <c r="J97" s="7"/>
      <c r="M97" s="7"/>
    </row>
    <row r="98" spans="4:13" x14ac:dyDescent="0.2">
      <c r="D98" s="150"/>
      <c r="E98" s="77"/>
      <c r="F98" s="226"/>
      <c r="G98" s="150"/>
      <c r="H98" s="150"/>
      <c r="J98" s="7"/>
      <c r="M98" s="7"/>
    </row>
    <row r="99" spans="4:13" x14ac:dyDescent="0.2">
      <c r="D99" s="150"/>
      <c r="E99" s="223"/>
      <c r="F99" s="226"/>
      <c r="G99" s="150"/>
      <c r="H99" s="150"/>
    </row>
    <row r="100" spans="4:13" x14ac:dyDescent="0.2">
      <c r="D100" s="150"/>
      <c r="E100" s="223"/>
      <c r="F100" s="226"/>
      <c r="G100" s="150"/>
      <c r="H100" s="150"/>
      <c r="I100" t="s">
        <v>27</v>
      </c>
      <c r="L100" t="s">
        <v>50</v>
      </c>
    </row>
    <row r="101" spans="4:13" x14ac:dyDescent="0.2">
      <c r="D101" s="150"/>
      <c r="E101" s="77"/>
      <c r="F101" s="226"/>
      <c r="G101" s="226" t="s">
        <v>25</v>
      </c>
      <c r="H101" s="150"/>
    </row>
    <row r="102" spans="4:13" x14ac:dyDescent="0.2">
      <c r="D102" s="150"/>
      <c r="E102" s="77"/>
      <c r="F102" s="226"/>
      <c r="G102" s="226" t="s">
        <v>199</v>
      </c>
      <c r="H102" s="150"/>
    </row>
    <row r="103" spans="4:13" x14ac:dyDescent="0.2">
      <c r="D103" s="150"/>
      <c r="E103" s="77"/>
      <c r="F103" s="226"/>
      <c r="G103" s="226" t="s">
        <v>118</v>
      </c>
      <c r="H103" s="150"/>
    </row>
    <row r="104" spans="4:13" x14ac:dyDescent="0.2">
      <c r="D104" s="150"/>
      <c r="E104" s="77"/>
      <c r="F104" s="150"/>
      <c r="G104" s="226"/>
      <c r="H104" s="150"/>
    </row>
    <row r="105" spans="4:13" x14ac:dyDescent="0.2">
      <c r="D105" s="150"/>
      <c r="E105" s="77"/>
      <c r="F105" s="150"/>
      <c r="G105" s="226"/>
      <c r="H105" s="150"/>
    </row>
    <row r="106" spans="4:13" x14ac:dyDescent="0.2">
      <c r="D106" s="150"/>
      <c r="E106" s="77" t="s">
        <v>229</v>
      </c>
      <c r="F106" s="224">
        <f>IF('Design Calculator'!F71="YES", Equations!F77, Equations!F57)*'Device Parameters'!C39*1000/'Device Parameters'!E43*0.001</f>
        <v>4.6999999999999993</v>
      </c>
      <c r="G106" s="226" t="s">
        <v>8</v>
      </c>
      <c r="H106" s="150"/>
    </row>
    <row r="107" spans="4:13" x14ac:dyDescent="0.2">
      <c r="D107" s="150"/>
      <c r="E107" s="77" t="s">
        <v>9</v>
      </c>
      <c r="F107" s="224">
        <f>IF('Design Calculator'!F71="YES", Equations!F77, Equations!F57)*0.001*'Device Parameters'!D39*1000/'Device Parameters'!D43</f>
        <v>7.2727272727272725</v>
      </c>
      <c r="G107" s="226" t="s">
        <v>8</v>
      </c>
      <c r="H107" s="150"/>
    </row>
    <row r="108" spans="4:13" x14ac:dyDescent="0.2">
      <c r="D108" s="150"/>
      <c r="E108" s="77" t="s">
        <v>230</v>
      </c>
      <c r="F108" s="224">
        <f>IF('Design Calculator'!F71="YES", Equations!F77, Equations!F57)*0.001*'Device Parameters'!E39*1000/'Device Parameters'!C43</f>
        <v>13.866666666666669</v>
      </c>
      <c r="G108" s="226" t="s">
        <v>8</v>
      </c>
      <c r="H108" s="150"/>
    </row>
    <row r="109" spans="4:13" x14ac:dyDescent="0.2">
      <c r="D109" s="150"/>
      <c r="E109" s="77" t="s">
        <v>231</v>
      </c>
      <c r="F109" s="150">
        <f>IF('Design Calculator'!F71="YES", Equations!F77, Equations!F57)*(H109+I109+J109)</f>
        <v>87.311416666666659</v>
      </c>
      <c r="G109" s="226" t="s">
        <v>8</v>
      </c>
      <c r="H109" s="150">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4:13" x14ac:dyDescent="0.2">
      <c r="D110" s="150"/>
      <c r="E110" s="77" t="s">
        <v>10</v>
      </c>
      <c r="F110" s="150">
        <f>IF('Design Calculator'!F71="YES", Equations!F77, Equations!F57)*(H110+I110+J110)</f>
        <v>94.064705882352953</v>
      </c>
      <c r="G110" s="226" t="s">
        <v>8</v>
      </c>
      <c r="H110" s="15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4:13" x14ac:dyDescent="0.2">
      <c r="D111" s="150"/>
      <c r="E111" s="77" t="s">
        <v>251</v>
      </c>
      <c r="F111" s="150">
        <f>IF('Design Calculator'!F71="YES", Equations!F77, Equations!F57)*(H111+I111+J111)</f>
        <v>99.23658823529415</v>
      </c>
      <c r="G111" s="226" t="s">
        <v>8</v>
      </c>
      <c r="H111" s="150">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4:13" x14ac:dyDescent="0.2">
      <c r="D112" s="150"/>
      <c r="E112" s="77" t="s">
        <v>250</v>
      </c>
      <c r="F112" s="150" t="e">
        <f>(1+'Design Calculator'!#REF!/'Design Calculator'!#REF!)*'Device Parameters'!C51</f>
        <v>#REF!</v>
      </c>
      <c r="G112" s="226"/>
      <c r="H112" s="150"/>
    </row>
    <row r="113" spans="4:12" x14ac:dyDescent="0.2">
      <c r="D113" s="150"/>
      <c r="E113" s="77" t="s">
        <v>249</v>
      </c>
      <c r="F113" s="150" t="e">
        <f>(1+'Design Calculator'!#REF!/'Design Calculator'!#REF!)*'Device Parameters'!D51</f>
        <v>#REF!</v>
      </c>
      <c r="G113" s="226"/>
      <c r="H113" s="150"/>
    </row>
    <row r="114" spans="4:12" x14ac:dyDescent="0.2">
      <c r="D114" s="150"/>
      <c r="E114" s="77" t="s">
        <v>248</v>
      </c>
      <c r="F114" s="150" t="e">
        <f>(1+'Design Calculator'!#REF!/'Design Calculator'!#REF!)*'Device Parameters'!E51</f>
        <v>#REF!</v>
      </c>
      <c r="G114" s="150"/>
      <c r="H114" s="150"/>
    </row>
    <row r="115" spans="4:12" x14ac:dyDescent="0.2">
      <c r="D115" s="150"/>
      <c r="E115" s="77" t="s">
        <v>252</v>
      </c>
      <c r="F115" s="150" t="e">
        <f>('Design Calculator'!#REF!*'Device Parameters'!C52)</f>
        <v>#REF!</v>
      </c>
      <c r="G115" s="150"/>
      <c r="H115" s="150"/>
    </row>
    <row r="116" spans="4:12" x14ac:dyDescent="0.2">
      <c r="D116" s="150"/>
      <c r="E116" s="77" t="s">
        <v>253</v>
      </c>
      <c r="F116" s="150" t="e">
        <f>('Design Calculator'!#REF!*'Device Parameters'!$D$52)</f>
        <v>#REF!</v>
      </c>
      <c r="G116" s="150"/>
      <c r="H116" s="150"/>
    </row>
    <row r="117" spans="4:12" x14ac:dyDescent="0.2">
      <c r="D117" s="150"/>
      <c r="E117" s="77" t="s">
        <v>254</v>
      </c>
      <c r="F117" s="150" t="e">
        <f>('Design Calculator'!#REF!*'Device Parameters'!$E$52)</f>
        <v>#REF!</v>
      </c>
      <c r="G117" s="150"/>
      <c r="H117" s="150"/>
    </row>
    <row r="118" spans="4:12" x14ac:dyDescent="0.2">
      <c r="D118" s="150"/>
      <c r="E118" s="77"/>
      <c r="F118" s="150"/>
      <c r="G118" s="150"/>
      <c r="H118" s="150"/>
    </row>
    <row r="119" spans="4:12" x14ac:dyDescent="0.2">
      <c r="D119" s="150"/>
      <c r="E119" s="77"/>
      <c r="F119" s="150"/>
      <c r="G119" s="150"/>
      <c r="H119" s="150"/>
    </row>
    <row r="120" spans="4:12" x14ac:dyDescent="0.2">
      <c r="D120" s="231"/>
      <c r="E120" s="150"/>
      <c r="F120" s="150"/>
      <c r="G120" s="150"/>
      <c r="H120" s="150"/>
      <c r="I120" t="s">
        <v>28</v>
      </c>
      <c r="L120" t="s">
        <v>51</v>
      </c>
    </row>
    <row r="121" spans="4:12" x14ac:dyDescent="0.2">
      <c r="D121" s="231"/>
      <c r="E121" s="150"/>
      <c r="F121" s="150"/>
      <c r="G121" s="150"/>
      <c r="H121" s="150"/>
      <c r="I121" t="s">
        <v>29</v>
      </c>
      <c r="L121" t="s">
        <v>52</v>
      </c>
    </row>
    <row r="122" spans="4:12" x14ac:dyDescent="0.2">
      <c r="D122" s="231"/>
      <c r="E122" s="150"/>
      <c r="F122" s="150"/>
      <c r="G122" s="150"/>
      <c r="H122" s="150"/>
      <c r="I122" t="s">
        <v>30</v>
      </c>
      <c r="L122" t="s">
        <v>53</v>
      </c>
    </row>
    <row r="123" spans="4:12" x14ac:dyDescent="0.2">
      <c r="D123" s="150"/>
      <c r="E123" s="150"/>
      <c r="F123" s="150"/>
      <c r="G123" s="150"/>
      <c r="H123" s="150"/>
    </row>
    <row r="124" spans="4:12" x14ac:dyDescent="0.2">
      <c r="D124" s="150"/>
      <c r="E124" s="150"/>
      <c r="F124" s="150"/>
      <c r="G124" s="150"/>
      <c r="H124" s="150"/>
    </row>
    <row r="125" spans="4:12" x14ac:dyDescent="0.2">
      <c r="D125" s="150"/>
      <c r="E125" s="223" t="s">
        <v>19</v>
      </c>
      <c r="F125" s="150"/>
      <c r="G125" s="150"/>
      <c r="H125" s="150"/>
    </row>
    <row r="126" spans="4:12" x14ac:dyDescent="0.2">
      <c r="D126" s="150"/>
      <c r="E126" s="223" t="s">
        <v>20</v>
      </c>
      <c r="F126" s="150"/>
      <c r="G126" s="150"/>
      <c r="H126" s="150"/>
    </row>
    <row r="127" spans="4:12" x14ac:dyDescent="0.2">
      <c r="D127" s="150"/>
      <c r="E127" s="223"/>
      <c r="F127" s="225" t="s">
        <v>25</v>
      </c>
      <c r="G127" s="225" t="s">
        <v>26</v>
      </c>
      <c r="H127" s="225" t="s">
        <v>427</v>
      </c>
      <c r="I127" s="218" t="s">
        <v>428</v>
      </c>
    </row>
    <row r="128" spans="4:12" x14ac:dyDescent="0.2">
      <c r="D128" s="150"/>
      <c r="E128" s="223" t="s">
        <v>33</v>
      </c>
      <c r="F128" s="232">
        <f>('Design Calculator'!F95-'Design Calculator'!F96)*1000/21</f>
        <v>95.238095238095241</v>
      </c>
      <c r="G128" s="232">
        <f>('Design Calculator'!F95-'Design Calculator'!F96)*1000/21</f>
        <v>95.238095238095241</v>
      </c>
      <c r="H128" s="150"/>
    </row>
    <row r="129" spans="2:8" x14ac:dyDescent="0.2">
      <c r="D129" s="150"/>
      <c r="E129" s="223" t="s">
        <v>32</v>
      </c>
      <c r="F129" s="232">
        <f>2.5*F128/('Design Calculator'!F96-2.5)-F130</f>
        <v>5.3149464914170794</v>
      </c>
      <c r="G129" s="232">
        <f>2.5*G128/('Design Calculator'!F96-2.5)</f>
        <v>9.3370681605975729</v>
      </c>
      <c r="H129" s="150"/>
    </row>
    <row r="130" spans="2:8" x14ac:dyDescent="0.2">
      <c r="D130" s="150"/>
      <c r="E130" s="223" t="s">
        <v>31</v>
      </c>
      <c r="F130" s="232">
        <f>(F128*'Design Calculator'!F96*2.5)/('Design Calculator'!F97*('Design Calculator'!F96-2.5))</f>
        <v>4.0221216691804935</v>
      </c>
      <c r="G130" s="232">
        <f>('Design Calculator'!F97-'Design Calculator'!F98)*1000/21</f>
        <v>95.238095238095241</v>
      </c>
      <c r="H130" s="150"/>
    </row>
    <row r="131" spans="2:8" x14ac:dyDescent="0.2">
      <c r="D131" s="150"/>
      <c r="E131" s="223" t="s">
        <v>34</v>
      </c>
      <c r="F131" s="225"/>
      <c r="G131" s="232">
        <f>2.5*G130/('Design Calculator'!F97-2.5)</f>
        <v>3.8095238095238098</v>
      </c>
      <c r="H131" s="150"/>
    </row>
    <row r="132" spans="2:8" x14ac:dyDescent="0.2">
      <c r="B132" s="10"/>
      <c r="C132" s="11"/>
      <c r="D132" s="233"/>
      <c r="E132" s="12" t="s">
        <v>38</v>
      </c>
      <c r="F132" s="232">
        <f>2.45+('Design Calculator'!F$103*((2.45/('Design Calculator'!F$104+'Design Calculator'!F$105))+(12/1000)))</f>
        <v>5.882142857142858</v>
      </c>
      <c r="G132" s="232">
        <f>2.45+('Design Calculator'!F$103*((2.45/'Design Calculator'!F$104)+(12/1000)))</f>
        <v>28.752459016393448</v>
      </c>
      <c r="H132" s="150"/>
    </row>
    <row r="133" spans="2:8" x14ac:dyDescent="0.2">
      <c r="B133" s="13"/>
      <c r="C133" s="9"/>
      <c r="D133" s="234"/>
      <c r="E133" s="14" t="s">
        <v>39</v>
      </c>
      <c r="F133" s="232">
        <f>2.5+('Design Calculator'!F$103*((2.5/('Design Calculator'!F$104+'Design Calculator'!F$105))+(21/1000)))</f>
        <v>6.8776967930029151</v>
      </c>
      <c r="G133" s="232">
        <f>2.5+('Design Calculator'!F$103*((2.5/'Design Calculator'!F$104)+(21/1000)))</f>
        <v>30.214754098360654</v>
      </c>
      <c r="H133" s="150"/>
    </row>
    <row r="134" spans="2:8" x14ac:dyDescent="0.2">
      <c r="B134" s="15"/>
      <c r="C134" s="16"/>
      <c r="D134" s="235"/>
      <c r="E134" s="17" t="s">
        <v>40</v>
      </c>
      <c r="F134" s="232">
        <f>2.55+('Design Calculator'!F$103*((2.55/('Design Calculator'!F$104+'Design Calculator'!F$105))+(30/1000)))</f>
        <v>7.8732507288629732</v>
      </c>
      <c r="G134" s="232">
        <f>2.55+('Design Calculator'!F$103*((2.55/'Design Calculator'!F$104)+(30/1000)))</f>
        <v>31.67704918032787</v>
      </c>
      <c r="H134" s="150"/>
    </row>
    <row r="135" spans="2:8" x14ac:dyDescent="0.2">
      <c r="D135" s="150"/>
      <c r="E135" s="3" t="s">
        <v>41</v>
      </c>
      <c r="F135" s="232">
        <f>2.45*('Design Calculator'!F$103+'Design Calculator'!F$104+'Design Calculator'!F$105)/('Design Calculator'!F$104+'Design Calculator'!F$105)</f>
        <v>4.6821428571428569</v>
      </c>
      <c r="G135" s="232">
        <f>2.45*('Design Calculator'!F$103+'Design Calculator'!F$104)/'Design Calculator'!F$104</f>
        <v>27.552459016393446</v>
      </c>
      <c r="H135" s="150"/>
    </row>
    <row r="136" spans="2:8" x14ac:dyDescent="0.2">
      <c r="D136" s="150"/>
      <c r="E136" s="3" t="s">
        <v>42</v>
      </c>
      <c r="F136" s="232">
        <f>2.5*('Design Calculator'!F$103+'Design Calculator'!F$104+'Design Calculator'!F$105)/('Design Calculator'!F$104+'Design Calculator'!F$105)</f>
        <v>4.7776967930029146</v>
      </c>
      <c r="G136" s="232">
        <f>2.5*('Design Calculator'!F$103+'Design Calculator'!F$104)/'Design Calculator'!F$104</f>
        <v>28.11475409836066</v>
      </c>
      <c r="H136" s="150"/>
    </row>
    <row r="137" spans="2:8" x14ac:dyDescent="0.2">
      <c r="D137" s="150"/>
      <c r="E137" s="3" t="s">
        <v>43</v>
      </c>
      <c r="F137" s="232">
        <f>2.55*('Design Calculator'!F$103+'Design Calculator'!F$104+'Design Calculator'!F$105)/('Design Calculator'!F$104+'Design Calculator'!F$105)</f>
        <v>4.8732507288629732</v>
      </c>
      <c r="G137" s="232">
        <f>2.55*('Design Calculator'!F$103+'Design Calculator'!F$104)/'Design Calculator'!F$104</f>
        <v>28.677049180327867</v>
      </c>
      <c r="H137" s="150"/>
    </row>
    <row r="138" spans="2:8" x14ac:dyDescent="0.2">
      <c r="B138" s="10"/>
      <c r="C138" s="11"/>
      <c r="D138" s="233"/>
      <c r="E138" s="12" t="s">
        <v>44</v>
      </c>
      <c r="F138" s="232">
        <f>2.45*('Design Calculator'!F$103+'Design Calculator'!F$104+'Design Calculator'!F$105)/'Design Calculator'!F$105</f>
        <v>5.1391200000000001</v>
      </c>
      <c r="G138" s="232">
        <f>2.45*('Design Calculator'!F$105+'Design Calculator'!F$106)/'Design Calculator'!F$106</f>
        <v>63.7</v>
      </c>
      <c r="H138" s="150"/>
    </row>
    <row r="139" spans="2:8" x14ac:dyDescent="0.2">
      <c r="B139" s="13"/>
      <c r="C139" s="9"/>
      <c r="D139" s="234"/>
      <c r="E139" s="14" t="s">
        <v>45</v>
      </c>
      <c r="F139" s="232">
        <f>2.5*('Design Calculator'!F$103+'Design Calculator'!F$104+'Design Calculator'!F$105)/'Design Calculator'!F$105</f>
        <v>5.2439999999999998</v>
      </c>
      <c r="G139" s="232">
        <f>2.5*('Design Calculator'!F$105+'Design Calculator'!F$106)/'Design Calculator'!F$106</f>
        <v>65</v>
      </c>
      <c r="H139" s="150"/>
    </row>
    <row r="140" spans="2:8" x14ac:dyDescent="0.2">
      <c r="B140" s="15"/>
      <c r="C140" s="16"/>
      <c r="D140" s="235"/>
      <c r="E140" s="17" t="s">
        <v>46</v>
      </c>
      <c r="F140" s="232">
        <f>2.55*('Design Calculator'!F$103+'Design Calculator'!F$104+'Design Calculator'!F$105)/'Design Calculator'!F$105</f>
        <v>5.3488799999999994</v>
      </c>
      <c r="G140" s="232">
        <f>2.55*('Design Calculator'!F$105+'Design Calculator'!F$106)/'Design Calculator'!F$106</f>
        <v>66.3</v>
      </c>
      <c r="H140" s="150"/>
    </row>
    <row r="141" spans="2:8" x14ac:dyDescent="0.2">
      <c r="D141" s="150"/>
      <c r="E141" s="3" t="s">
        <v>47</v>
      </c>
      <c r="F141" s="232">
        <f>2.45+(('Design Calculator'!F$103+'Design Calculator'!F$104)*((2.45/'Design Calculator'!F$105)-(30/1000)))</f>
        <v>1.8463200000000004</v>
      </c>
      <c r="G141" s="232">
        <f>2.45+('Design Calculator'!F$105*((2.45/'Design Calculator'!F$106)-(30/1000)))</f>
        <v>60.7</v>
      </c>
      <c r="H141" s="150"/>
    </row>
    <row r="142" spans="2:8" x14ac:dyDescent="0.2">
      <c r="D142" s="150"/>
      <c r="E142" s="3" t="s">
        <v>48</v>
      </c>
      <c r="F142" s="232">
        <f>2.5+(('Design Calculator'!F$103+'Design Calculator'!F$104)*((2.5/'Design Calculator'!F$105)-(21/1000)))</f>
        <v>2.9390399999999999</v>
      </c>
      <c r="G142" s="232">
        <f>2.5+('Design Calculator'!F$105*((2.5/'Design Calculator'!F$106)-(21/1000)))</f>
        <v>62.9</v>
      </c>
      <c r="H142" s="150"/>
    </row>
    <row r="143" spans="2:8" x14ac:dyDescent="0.2">
      <c r="D143" s="150"/>
      <c r="E143" s="3" t="s">
        <v>49</v>
      </c>
      <c r="F143" s="232">
        <f>2.55+(('Design Calculator'!F$103+'Design Calculator'!F$104)*((2.55/'Design Calculator'!F$105)-(12/1000)))</f>
        <v>4.0317600000000002</v>
      </c>
      <c r="G143" s="232">
        <f>2.55+('Design Calculator'!F$105*((2.55/'Design Calculator'!F$106)-(12/1000)))</f>
        <v>65.099999999999994</v>
      </c>
      <c r="H143" s="150"/>
    </row>
    <row r="144" spans="2:8" x14ac:dyDescent="0.2">
      <c r="D144" s="150"/>
      <c r="E144" s="150"/>
      <c r="F144" s="150"/>
      <c r="G144" s="150"/>
      <c r="H144" s="150"/>
    </row>
    <row r="145" spans="4:8" x14ac:dyDescent="0.2">
      <c r="D145" s="150"/>
      <c r="E145" s="150"/>
      <c r="F145" s="150"/>
      <c r="G145" s="150"/>
      <c r="H145" s="150"/>
    </row>
    <row r="146" spans="4:8" x14ac:dyDescent="0.2">
      <c r="D146" s="150"/>
      <c r="E146" s="150"/>
      <c r="F146" s="150"/>
      <c r="G146" s="150"/>
      <c r="H146" s="150"/>
    </row>
    <row r="147" spans="4:8" x14ac:dyDescent="0.2">
      <c r="D147" s="150"/>
      <c r="E147" s="150"/>
      <c r="F147" s="150"/>
      <c r="G147" s="150"/>
      <c r="H147" s="150"/>
    </row>
    <row r="148" spans="4:8" x14ac:dyDescent="0.2">
      <c r="D148" s="150"/>
      <c r="E148" s="150"/>
      <c r="F148" s="150"/>
      <c r="G148" s="150"/>
      <c r="H148" s="150"/>
    </row>
    <row r="149" spans="4:8" x14ac:dyDescent="0.2">
      <c r="D149" s="150"/>
      <c r="E149" s="150"/>
      <c r="F149" s="150"/>
      <c r="G149" s="150"/>
      <c r="H149" s="150"/>
    </row>
    <row r="150" spans="4:8" x14ac:dyDescent="0.2">
      <c r="D150" s="150"/>
      <c r="E150" s="150"/>
      <c r="F150" s="150"/>
      <c r="G150" s="150"/>
      <c r="H150" s="150"/>
    </row>
    <row r="151" spans="4:8" x14ac:dyDescent="0.2">
      <c r="D151" s="150"/>
      <c r="E151" s="77" t="s">
        <v>115</v>
      </c>
      <c r="F151" s="226" t="e">
        <f>'Design Calculator'!#REF!</f>
        <v>#REF!</v>
      </c>
      <c r="G151" s="226" t="s">
        <v>8</v>
      </c>
      <c r="H151" s="150"/>
    </row>
    <row r="152" spans="4:8" x14ac:dyDescent="0.2">
      <c r="D152" s="150"/>
      <c r="E152" s="77" t="s">
        <v>116</v>
      </c>
      <c r="F152" s="226">
        <f>'Design Calculator'!F28</f>
        <v>37</v>
      </c>
      <c r="G152" s="226" t="s">
        <v>86</v>
      </c>
      <c r="H152" s="150"/>
    </row>
    <row r="153" spans="4:8" x14ac:dyDescent="0.2">
      <c r="D153" s="150"/>
      <c r="E153" s="77" t="s">
        <v>117</v>
      </c>
      <c r="F153" s="150" t="e">
        <f>22/F152*F151</f>
        <v>#REF!</v>
      </c>
      <c r="G153" s="226" t="s">
        <v>118</v>
      </c>
      <c r="H153" s="150"/>
    </row>
    <row r="154" spans="4:8" x14ac:dyDescent="0.2">
      <c r="D154" s="150"/>
      <c r="E154" s="150"/>
      <c r="F154" s="150"/>
      <c r="G154" s="150"/>
      <c r="H154" s="150"/>
    </row>
    <row r="155" spans="4:8" x14ac:dyDescent="0.2">
      <c r="D155" s="150"/>
      <c r="E155" s="150"/>
      <c r="F155" s="150"/>
      <c r="G155" s="150"/>
      <c r="H155" s="150"/>
    </row>
    <row r="156" spans="4:8" x14ac:dyDescent="0.2">
      <c r="D156" s="150"/>
      <c r="E156" s="150"/>
      <c r="F156" s="150"/>
      <c r="G156" s="150"/>
      <c r="H156" s="150"/>
    </row>
    <row r="157" spans="4:8" x14ac:dyDescent="0.2">
      <c r="D157" s="150"/>
      <c r="E157" s="150"/>
      <c r="F157" s="150"/>
      <c r="G157" s="150"/>
      <c r="H157" s="150"/>
    </row>
    <row r="158" spans="4:8" x14ac:dyDescent="0.2">
      <c r="D158" s="150"/>
      <c r="E158" s="150"/>
      <c r="F158" s="150"/>
      <c r="G158" s="150"/>
      <c r="H158" s="150"/>
    </row>
    <row r="159" spans="4:8" x14ac:dyDescent="0.2">
      <c r="D159" s="150"/>
      <c r="E159" s="150"/>
      <c r="F159" s="150"/>
      <c r="G159" s="150"/>
      <c r="H159" s="150"/>
    </row>
    <row r="160" spans="4:8" x14ac:dyDescent="0.2">
      <c r="D160" s="150"/>
      <c r="E160" s="150"/>
      <c r="F160" s="150"/>
      <c r="G160" s="150"/>
      <c r="H160" s="150"/>
    </row>
    <row r="161" spans="3:8" x14ac:dyDescent="0.2">
      <c r="D161" s="150"/>
      <c r="E161" s="150"/>
      <c r="F161" s="150"/>
      <c r="G161" s="150"/>
      <c r="H161" s="150"/>
    </row>
    <row r="162" spans="3:8" x14ac:dyDescent="0.2">
      <c r="D162" s="150"/>
      <c r="E162" s="150"/>
      <c r="F162" s="150"/>
      <c r="G162" s="150"/>
      <c r="H162" s="150"/>
    </row>
    <row r="163" spans="3:8" x14ac:dyDescent="0.2">
      <c r="D163" s="150"/>
      <c r="E163" s="150"/>
      <c r="F163" s="150"/>
      <c r="G163" s="150"/>
      <c r="H163" s="150"/>
    </row>
    <row r="164" spans="3:8" x14ac:dyDescent="0.2">
      <c r="D164" s="150"/>
      <c r="E164" s="150"/>
      <c r="F164" s="150"/>
      <c r="G164" s="150"/>
      <c r="H164" s="150"/>
    </row>
    <row r="165" spans="3:8" x14ac:dyDescent="0.2">
      <c r="D165" s="150"/>
      <c r="E165" s="150"/>
      <c r="F165" s="150"/>
      <c r="G165" s="150"/>
      <c r="H165" s="150"/>
    </row>
    <row r="166" spans="3:8" x14ac:dyDescent="0.2">
      <c r="D166" s="150"/>
      <c r="E166" s="150"/>
      <c r="F166" s="150"/>
      <c r="G166" s="150"/>
      <c r="H166" s="150"/>
    </row>
    <row r="167" spans="3:8" x14ac:dyDescent="0.2">
      <c r="D167" s="150"/>
      <c r="E167" s="150"/>
      <c r="F167" s="150"/>
      <c r="G167" s="150"/>
      <c r="H167" s="150"/>
    </row>
    <row r="168" spans="3:8" x14ac:dyDescent="0.2">
      <c r="D168" s="150"/>
      <c r="E168" s="150"/>
      <c r="F168" s="150"/>
      <c r="G168" s="150"/>
      <c r="H168" s="150"/>
    </row>
    <row r="169" spans="3:8" x14ac:dyDescent="0.2">
      <c r="D169" s="150"/>
      <c r="E169" s="150"/>
      <c r="F169" s="150"/>
      <c r="G169" s="150"/>
      <c r="H169" s="150"/>
    </row>
    <row r="170" spans="3:8" x14ac:dyDescent="0.2">
      <c r="D170" s="150"/>
      <c r="E170" s="150"/>
      <c r="F170" s="150"/>
      <c r="G170" s="150"/>
      <c r="H170" s="150"/>
    </row>
    <row r="171" spans="3:8" x14ac:dyDescent="0.2">
      <c r="D171" s="150"/>
      <c r="E171" s="150"/>
      <c r="F171" s="150"/>
      <c r="G171" s="150"/>
      <c r="H171" s="150"/>
    </row>
    <row r="174" spans="3:8" x14ac:dyDescent="0.2">
      <c r="C174" s="27" t="s">
        <v>56</v>
      </c>
    </row>
    <row r="175" spans="3:8" x14ac:dyDescent="0.2">
      <c r="E175" s="2" t="s">
        <v>57</v>
      </c>
      <c r="F175" s="1">
        <f>'Design Calculator'!F39</f>
        <v>4</v>
      </c>
    </row>
    <row r="176" spans="3:8" ht="15.75" x14ac:dyDescent="0.3">
      <c r="E176" s="2" t="s">
        <v>58</v>
      </c>
      <c r="F176" s="1">
        <f>'Design Calculator'!F66</f>
        <v>38.299999999999997</v>
      </c>
    </row>
    <row r="177" spans="2:25" x14ac:dyDescent="0.2">
      <c r="E177" s="2" t="s">
        <v>59</v>
      </c>
      <c r="F177" s="1">
        <f>'Design Calculator'!F29</f>
        <v>42.5</v>
      </c>
    </row>
    <row r="179" spans="2:25" x14ac:dyDescent="0.2">
      <c r="E179" s="2" t="s">
        <v>60</v>
      </c>
      <c r="F179" s="18">
        <f>F24</f>
        <v>20.103249999999999</v>
      </c>
    </row>
    <row r="180" spans="2:25" x14ac:dyDescent="0.2">
      <c r="E180" s="2" t="s">
        <v>61</v>
      </c>
      <c r="F180" s="18">
        <f>F25</f>
        <v>22.797499999999999</v>
      </c>
    </row>
    <row r="181" spans="2:25" x14ac:dyDescent="0.2">
      <c r="E181" s="2" t="s">
        <v>62</v>
      </c>
      <c r="F181" s="18">
        <f>F26</f>
        <v>25.491749999999996</v>
      </c>
    </row>
    <row r="183" spans="2:25" x14ac:dyDescent="0.2">
      <c r="E183" s="2" t="s">
        <v>63</v>
      </c>
      <c r="F183" s="6">
        <f>F46</f>
        <v>96.522128000000009</v>
      </c>
    </row>
    <row r="184" spans="2:25" x14ac:dyDescent="0.2">
      <c r="E184" s="2" t="s">
        <v>64</v>
      </c>
      <c r="F184" s="6">
        <f>F47</f>
        <v>127.00280000000001</v>
      </c>
      <c r="Y184" s="33" t="s">
        <v>87</v>
      </c>
    </row>
    <row r="185" spans="2:25" x14ac:dyDescent="0.2">
      <c r="E185" s="2" t="s">
        <v>65</v>
      </c>
      <c r="F185" s="6">
        <f>F48</f>
        <v>157.48347200000001</v>
      </c>
    </row>
    <row r="190" spans="2:25" x14ac:dyDescent="0.2">
      <c r="D190" t="s">
        <v>66</v>
      </c>
      <c r="E190" s="2"/>
      <c r="I190" t="s">
        <v>67</v>
      </c>
      <c r="N190" t="s">
        <v>82</v>
      </c>
      <c r="R190" s="33" t="s">
        <v>88</v>
      </c>
    </row>
    <row r="191" spans="2:25" x14ac:dyDescent="0.2">
      <c r="D191" t="s">
        <v>68</v>
      </c>
      <c r="I191" t="s">
        <v>69</v>
      </c>
      <c r="N191" t="s">
        <v>74</v>
      </c>
      <c r="R191" s="33" t="s">
        <v>89</v>
      </c>
    </row>
    <row r="192" spans="2:25" x14ac:dyDescent="0.2">
      <c r="B192" s="33" t="s">
        <v>144</v>
      </c>
      <c r="D192" s="5" t="s">
        <v>70</v>
      </c>
      <c r="E192" s="5" t="s">
        <v>71</v>
      </c>
      <c r="F192" s="158" t="s">
        <v>72</v>
      </c>
      <c r="G192" s="5" t="s">
        <v>73</v>
      </c>
      <c r="I192" s="5" t="s">
        <v>70</v>
      </c>
      <c r="J192" s="5" t="s">
        <v>71</v>
      </c>
      <c r="K192" s="5" t="s">
        <v>72</v>
      </c>
      <c r="L192" s="5" t="s">
        <v>73</v>
      </c>
      <c r="N192" t="s">
        <v>75</v>
      </c>
      <c r="R192" s="5" t="s">
        <v>70</v>
      </c>
      <c r="S192" s="26" t="s">
        <v>71</v>
      </c>
      <c r="T192" s="26" t="s">
        <v>72</v>
      </c>
      <c r="U192" s="26" t="s">
        <v>73</v>
      </c>
      <c r="V192" s="170" t="s">
        <v>81</v>
      </c>
      <c r="X192" s="171" t="s">
        <v>316</v>
      </c>
    </row>
    <row r="193" spans="2:24" x14ac:dyDescent="0.2">
      <c r="B193">
        <f>D193*F193</f>
        <v>109.80105</v>
      </c>
      <c r="D193" s="5">
        <v>1</v>
      </c>
      <c r="E193" s="28">
        <f t="shared" ref="E193:E209" si="0">(1-$F$280)*F193</f>
        <v>82.350787499999996</v>
      </c>
      <c r="F193" s="28">
        <f t="shared" ref="F193:F224" si="1">($F$184+(D193-VINMAX)*$E$277/$E$278)/D193</f>
        <v>109.80105</v>
      </c>
      <c r="G193" s="28">
        <f t="shared" ref="G193:G209" si="2">F193*(1+$F$280)</f>
        <v>137.25131250000001</v>
      </c>
      <c r="I193" s="5">
        <v>1</v>
      </c>
      <c r="J193" s="28">
        <f t="shared" ref="J193:J209" si="3">IF(E193&gt;$F$179,$F$179,E193)</f>
        <v>20.103249999999999</v>
      </c>
      <c r="K193" s="28">
        <f t="shared" ref="K193:K209" si="4">IF(F193&gt;$F$180,$F$180,F193)</f>
        <v>22.797499999999999</v>
      </c>
      <c r="L193" s="28">
        <f t="shared" ref="L193:L209" si="5">IF(G193&gt;$F$181,$F$181,G193)</f>
        <v>25.491749999999996</v>
      </c>
      <c r="N193" t="s">
        <v>76</v>
      </c>
      <c r="R193" s="5">
        <v>1</v>
      </c>
      <c r="S193" s="28">
        <f>IF($R193&gt;$F$177,0.0000000005,J193)</f>
        <v>20.103249999999999</v>
      </c>
      <c r="T193" s="28">
        <f>IF($R193&gt;$F$177,0.0000000005,K193)</f>
        <v>22.797499999999999</v>
      </c>
      <c r="U193" s="28">
        <f t="shared" ref="U193:U209" si="6">IF($R193&gt;$F$177,0.0000000005,L193)</f>
        <v>25.491749999999996</v>
      </c>
      <c r="V193" s="28">
        <f t="shared" ref="V193:V209" si="7">$X$193/R193</f>
        <v>1198.7119925552959</v>
      </c>
      <c r="X193">
        <f>SOA!C26</f>
        <v>1198.7119925552959</v>
      </c>
    </row>
    <row r="194" spans="2:24" x14ac:dyDescent="0.2">
      <c r="B194">
        <f t="shared" ref="B194:B257" si="8">D194*F194</f>
        <v>110.21555000000001</v>
      </c>
      <c r="D194" s="5">
        <v>2</v>
      </c>
      <c r="E194" s="28">
        <f t="shared" si="0"/>
        <v>41.330831250000003</v>
      </c>
      <c r="F194" s="28">
        <f t="shared" si="1"/>
        <v>55.107775000000004</v>
      </c>
      <c r="G194" s="28">
        <f t="shared" si="2"/>
        <v>68.884718750000005</v>
      </c>
      <c r="I194" s="5">
        <v>2</v>
      </c>
      <c r="J194" s="28">
        <f t="shared" si="3"/>
        <v>20.103249999999999</v>
      </c>
      <c r="K194" s="28">
        <f t="shared" si="4"/>
        <v>22.797499999999999</v>
      </c>
      <c r="L194" s="28">
        <f t="shared" si="5"/>
        <v>25.491749999999996</v>
      </c>
      <c r="R194" s="5">
        <v>2</v>
      </c>
      <c r="S194" s="28">
        <f t="shared" ref="S194:S209" si="9">IF($R194&gt;$F$177,0.0000000005,J194)</f>
        <v>20.103249999999999</v>
      </c>
      <c r="T194" s="28">
        <f t="shared" ref="T194:T209" si="10">IF($R194&gt;$F$177,0.0000000005,K194)</f>
        <v>22.797499999999999</v>
      </c>
      <c r="U194" s="28">
        <f t="shared" si="6"/>
        <v>25.491749999999996</v>
      </c>
      <c r="V194" s="28">
        <f t="shared" si="7"/>
        <v>599.35599627764793</v>
      </c>
    </row>
    <row r="195" spans="2:24" x14ac:dyDescent="0.2">
      <c r="B195">
        <f t="shared" si="8"/>
        <v>110.63005000000001</v>
      </c>
      <c r="D195" s="5">
        <v>3</v>
      </c>
      <c r="E195" s="28">
        <f t="shared" si="0"/>
        <v>27.657512500000003</v>
      </c>
      <c r="F195" s="28">
        <f t="shared" si="1"/>
        <v>36.876683333333339</v>
      </c>
      <c r="G195" s="28">
        <f t="shared" si="2"/>
        <v>46.095854166666676</v>
      </c>
      <c r="I195" s="5">
        <v>3</v>
      </c>
      <c r="J195" s="28">
        <f t="shared" si="3"/>
        <v>20.103249999999999</v>
      </c>
      <c r="K195" s="28">
        <f t="shared" si="4"/>
        <v>22.797499999999999</v>
      </c>
      <c r="L195" s="28">
        <f t="shared" si="5"/>
        <v>25.491749999999996</v>
      </c>
      <c r="O195" s="29" t="s">
        <v>77</v>
      </c>
      <c r="R195" s="5">
        <v>3</v>
      </c>
      <c r="S195" s="28">
        <f t="shared" si="9"/>
        <v>20.103249999999999</v>
      </c>
      <c r="T195" s="28">
        <f t="shared" si="10"/>
        <v>22.797499999999999</v>
      </c>
      <c r="U195" s="28">
        <f t="shared" si="6"/>
        <v>25.491749999999996</v>
      </c>
      <c r="V195" s="28">
        <f t="shared" si="7"/>
        <v>399.57066418509862</v>
      </c>
    </row>
    <row r="196" spans="2:24" x14ac:dyDescent="0.2">
      <c r="B196">
        <f t="shared" si="8"/>
        <v>111.04455000000002</v>
      </c>
      <c r="D196" s="5">
        <v>4</v>
      </c>
      <c r="E196" s="28">
        <f t="shared" si="0"/>
        <v>20.820853125000003</v>
      </c>
      <c r="F196" s="28">
        <f t="shared" si="1"/>
        <v>27.761137500000004</v>
      </c>
      <c r="G196" s="28">
        <f t="shared" si="2"/>
        <v>34.701421875000008</v>
      </c>
      <c r="I196" s="5">
        <v>4</v>
      </c>
      <c r="J196" s="28">
        <f t="shared" si="3"/>
        <v>20.103249999999999</v>
      </c>
      <c r="K196" s="28">
        <f t="shared" si="4"/>
        <v>22.797499999999999</v>
      </c>
      <c r="L196" s="28">
        <f t="shared" si="5"/>
        <v>25.491749999999996</v>
      </c>
      <c r="N196" s="8" t="s">
        <v>70</v>
      </c>
      <c r="O196" s="30" t="s">
        <v>78</v>
      </c>
      <c r="R196" s="5">
        <v>4</v>
      </c>
      <c r="S196" s="28">
        <f t="shared" si="9"/>
        <v>20.103249999999999</v>
      </c>
      <c r="T196" s="28">
        <f t="shared" si="10"/>
        <v>22.797499999999999</v>
      </c>
      <c r="U196" s="28">
        <f t="shared" si="6"/>
        <v>25.491749999999996</v>
      </c>
      <c r="V196" s="28">
        <f t="shared" si="7"/>
        <v>299.67799813882397</v>
      </c>
    </row>
    <row r="197" spans="2:24" x14ac:dyDescent="0.2">
      <c r="B197">
        <f t="shared" si="8"/>
        <v>111.45905</v>
      </c>
      <c r="D197" s="5">
        <v>5</v>
      </c>
      <c r="E197" s="28">
        <f t="shared" si="0"/>
        <v>16.718857500000002</v>
      </c>
      <c r="F197" s="28">
        <f t="shared" si="1"/>
        <v>22.291810000000002</v>
      </c>
      <c r="G197" s="28">
        <f t="shared" si="2"/>
        <v>27.864762500000001</v>
      </c>
      <c r="I197" s="5">
        <v>5</v>
      </c>
      <c r="J197" s="28">
        <f t="shared" si="3"/>
        <v>16.718857500000002</v>
      </c>
      <c r="K197" s="28">
        <f t="shared" si="4"/>
        <v>22.291810000000002</v>
      </c>
      <c r="L197" s="28">
        <f t="shared" si="5"/>
        <v>25.491749999999996</v>
      </c>
      <c r="N197" s="5">
        <v>1</v>
      </c>
      <c r="O197" s="5" t="e">
        <f>#REF!</f>
        <v>#REF!</v>
      </c>
      <c r="P197" t="s">
        <v>79</v>
      </c>
      <c r="R197" s="5">
        <v>5</v>
      </c>
      <c r="S197" s="28">
        <f t="shared" si="9"/>
        <v>16.718857500000002</v>
      </c>
      <c r="T197" s="28">
        <f t="shared" si="10"/>
        <v>22.291810000000002</v>
      </c>
      <c r="U197" s="28">
        <f t="shared" si="6"/>
        <v>25.491749999999996</v>
      </c>
      <c r="V197" s="28">
        <f t="shared" si="7"/>
        <v>239.74239851105918</v>
      </c>
    </row>
    <row r="198" spans="2:24" x14ac:dyDescent="0.2">
      <c r="B198">
        <f t="shared" si="8"/>
        <v>111.87355000000001</v>
      </c>
      <c r="D198" s="5">
        <v>6</v>
      </c>
      <c r="E198" s="28">
        <f t="shared" si="0"/>
        <v>13.984193750000001</v>
      </c>
      <c r="F198" s="28">
        <f t="shared" si="1"/>
        <v>18.645591666666668</v>
      </c>
      <c r="G198" s="28">
        <f t="shared" si="2"/>
        <v>23.306989583333333</v>
      </c>
      <c r="I198" s="5">
        <v>6</v>
      </c>
      <c r="J198" s="28">
        <f t="shared" si="3"/>
        <v>13.984193750000001</v>
      </c>
      <c r="K198" s="28">
        <f t="shared" si="4"/>
        <v>18.645591666666668</v>
      </c>
      <c r="L198" s="28">
        <f t="shared" si="5"/>
        <v>23.306989583333333</v>
      </c>
      <c r="N198" s="5">
        <v>2</v>
      </c>
      <c r="O198" s="28" t="e">
        <f>O201+((O197-O201)*3/7)</f>
        <v>#REF!</v>
      </c>
      <c r="R198" s="5">
        <v>6</v>
      </c>
      <c r="S198" s="28">
        <f t="shared" si="9"/>
        <v>13.984193750000001</v>
      </c>
      <c r="T198" s="28">
        <f t="shared" si="10"/>
        <v>18.645591666666668</v>
      </c>
      <c r="U198" s="28">
        <f t="shared" si="6"/>
        <v>23.306989583333333</v>
      </c>
      <c r="V198" s="28">
        <f t="shared" si="7"/>
        <v>199.78533209254931</v>
      </c>
    </row>
    <row r="199" spans="2:24" x14ac:dyDescent="0.2">
      <c r="B199">
        <f t="shared" si="8"/>
        <v>112.28805000000001</v>
      </c>
      <c r="D199" s="5">
        <v>7</v>
      </c>
      <c r="E199" s="28">
        <f t="shared" si="0"/>
        <v>12.030862500000001</v>
      </c>
      <c r="F199" s="28">
        <f t="shared" si="1"/>
        <v>16.041150000000002</v>
      </c>
      <c r="G199" s="28">
        <f t="shared" si="2"/>
        <v>20.051437500000002</v>
      </c>
      <c r="I199" s="5">
        <v>7</v>
      </c>
      <c r="J199" s="28">
        <f t="shared" si="3"/>
        <v>12.030862500000001</v>
      </c>
      <c r="K199" s="28">
        <f t="shared" si="4"/>
        <v>16.041150000000002</v>
      </c>
      <c r="L199" s="28">
        <f t="shared" si="5"/>
        <v>20.051437500000002</v>
      </c>
      <c r="N199" s="5">
        <v>3</v>
      </c>
      <c r="O199" s="28" t="e">
        <f>O201+((O197-O201)*2/8)</f>
        <v>#REF!</v>
      </c>
      <c r="R199" s="5">
        <v>7</v>
      </c>
      <c r="S199" s="28">
        <f t="shared" si="9"/>
        <v>12.030862500000001</v>
      </c>
      <c r="T199" s="28">
        <f t="shared" si="10"/>
        <v>16.041150000000002</v>
      </c>
      <c r="U199" s="28">
        <f t="shared" si="6"/>
        <v>20.051437500000002</v>
      </c>
      <c r="V199" s="28">
        <f t="shared" si="7"/>
        <v>171.24457036504228</v>
      </c>
    </row>
    <row r="200" spans="2:24" x14ac:dyDescent="0.2">
      <c r="B200">
        <f t="shared" si="8"/>
        <v>112.70255</v>
      </c>
      <c r="D200" s="5">
        <v>8</v>
      </c>
      <c r="E200" s="28">
        <f t="shared" si="0"/>
        <v>10.565864062500001</v>
      </c>
      <c r="F200" s="28">
        <f t="shared" si="1"/>
        <v>14.08781875</v>
      </c>
      <c r="G200" s="28">
        <f t="shared" si="2"/>
        <v>17.609773437499999</v>
      </c>
      <c r="I200" s="5">
        <v>8</v>
      </c>
      <c r="J200" s="28">
        <f t="shared" si="3"/>
        <v>10.565864062500001</v>
      </c>
      <c r="K200" s="28">
        <f t="shared" si="4"/>
        <v>14.08781875</v>
      </c>
      <c r="L200" s="28">
        <f t="shared" si="5"/>
        <v>17.609773437499999</v>
      </c>
      <c r="N200" s="5">
        <v>4</v>
      </c>
      <c r="O200" s="28" t="e">
        <f>O201+((O197-O201)*1/9)</f>
        <v>#REF!</v>
      </c>
      <c r="R200" s="5">
        <v>8</v>
      </c>
      <c r="S200" s="28">
        <f t="shared" si="9"/>
        <v>10.565864062500001</v>
      </c>
      <c r="T200" s="28">
        <f t="shared" si="10"/>
        <v>14.08781875</v>
      </c>
      <c r="U200" s="28">
        <f t="shared" si="6"/>
        <v>17.609773437499999</v>
      </c>
      <c r="V200" s="28">
        <f t="shared" si="7"/>
        <v>149.83899906941198</v>
      </c>
    </row>
    <row r="201" spans="2:24" x14ac:dyDescent="0.2">
      <c r="B201">
        <f t="shared" si="8"/>
        <v>113.11705000000001</v>
      </c>
      <c r="D201" s="5">
        <v>9</v>
      </c>
      <c r="E201" s="28">
        <f t="shared" si="0"/>
        <v>9.426420833333335</v>
      </c>
      <c r="F201" s="28">
        <f t="shared" si="1"/>
        <v>12.568561111111112</v>
      </c>
      <c r="G201" s="28">
        <f t="shared" si="2"/>
        <v>15.710701388888889</v>
      </c>
      <c r="I201" s="5">
        <v>9</v>
      </c>
      <c r="J201" s="28">
        <f t="shared" si="3"/>
        <v>9.426420833333335</v>
      </c>
      <c r="K201" s="28">
        <f t="shared" si="4"/>
        <v>12.568561111111112</v>
      </c>
      <c r="L201" s="28">
        <f t="shared" si="5"/>
        <v>15.710701388888889</v>
      </c>
      <c r="N201" s="5">
        <v>5</v>
      </c>
      <c r="O201" s="28" t="e">
        <f>#REF!</f>
        <v>#REF!</v>
      </c>
      <c r="P201" t="s">
        <v>80</v>
      </c>
      <c r="R201" s="5">
        <v>9</v>
      </c>
      <c r="S201" s="28">
        <f t="shared" si="9"/>
        <v>9.426420833333335</v>
      </c>
      <c r="T201" s="28">
        <f t="shared" si="10"/>
        <v>12.568561111111112</v>
      </c>
      <c r="U201" s="28">
        <f t="shared" si="6"/>
        <v>15.710701388888889</v>
      </c>
      <c r="V201" s="28">
        <f t="shared" si="7"/>
        <v>133.19022139503286</v>
      </c>
    </row>
    <row r="202" spans="2:24" x14ac:dyDescent="0.2">
      <c r="B202">
        <f t="shared" si="8"/>
        <v>113.53155000000001</v>
      </c>
      <c r="D202" s="5">
        <v>10</v>
      </c>
      <c r="E202" s="28">
        <f t="shared" si="0"/>
        <v>8.5148662500000007</v>
      </c>
      <c r="F202" s="28">
        <f t="shared" si="1"/>
        <v>11.353155000000001</v>
      </c>
      <c r="G202" s="28">
        <f t="shared" si="2"/>
        <v>14.191443750000001</v>
      </c>
      <c r="I202" s="5">
        <v>10</v>
      </c>
      <c r="J202" s="28">
        <f t="shared" si="3"/>
        <v>8.5148662500000007</v>
      </c>
      <c r="K202" s="28">
        <f t="shared" si="4"/>
        <v>11.353155000000001</v>
      </c>
      <c r="L202" s="28">
        <f t="shared" si="5"/>
        <v>14.191443750000001</v>
      </c>
      <c r="N202" s="5">
        <v>6</v>
      </c>
      <c r="O202" s="28" t="e">
        <f>O$206+((O$201-O$206)*4/6)</f>
        <v>#REF!</v>
      </c>
      <c r="R202" s="5">
        <v>10</v>
      </c>
      <c r="S202" s="28">
        <f t="shared" si="9"/>
        <v>8.5148662500000007</v>
      </c>
      <c r="T202" s="28">
        <f t="shared" si="10"/>
        <v>11.353155000000001</v>
      </c>
      <c r="U202" s="28">
        <f t="shared" si="6"/>
        <v>14.191443750000001</v>
      </c>
      <c r="V202" s="28">
        <f t="shared" si="7"/>
        <v>119.87119925552959</v>
      </c>
    </row>
    <row r="203" spans="2:24" x14ac:dyDescent="0.2">
      <c r="B203">
        <f t="shared" si="8"/>
        <v>113.94605000000001</v>
      </c>
      <c r="D203" s="5">
        <v>11</v>
      </c>
      <c r="E203" s="28">
        <f t="shared" si="0"/>
        <v>7.7690488636363648</v>
      </c>
      <c r="F203" s="28">
        <f t="shared" si="1"/>
        <v>10.35873181818182</v>
      </c>
      <c r="G203" s="28">
        <f t="shared" si="2"/>
        <v>12.948414772727276</v>
      </c>
      <c r="I203" s="5">
        <v>11</v>
      </c>
      <c r="J203" s="28">
        <f t="shared" si="3"/>
        <v>7.7690488636363648</v>
      </c>
      <c r="K203" s="28">
        <f t="shared" si="4"/>
        <v>10.35873181818182</v>
      </c>
      <c r="L203" s="28">
        <f t="shared" si="5"/>
        <v>12.948414772727276</v>
      </c>
      <c r="N203" s="5">
        <v>7</v>
      </c>
      <c r="O203" s="28" t="e">
        <f>O$206+((O$201-O$206)*3/7)</f>
        <v>#REF!</v>
      </c>
      <c r="R203" s="5">
        <v>11</v>
      </c>
      <c r="S203" s="28">
        <f t="shared" si="9"/>
        <v>7.7690488636363648</v>
      </c>
      <c r="T203" s="28">
        <f t="shared" si="10"/>
        <v>10.35873181818182</v>
      </c>
      <c r="U203" s="28">
        <f t="shared" si="6"/>
        <v>12.948414772727276</v>
      </c>
      <c r="V203" s="28">
        <f t="shared" si="7"/>
        <v>108.9738175050269</v>
      </c>
    </row>
    <row r="204" spans="2:24" x14ac:dyDescent="0.2">
      <c r="B204">
        <f t="shared" si="8"/>
        <v>114.36055000000002</v>
      </c>
      <c r="D204" s="5">
        <v>12</v>
      </c>
      <c r="E204" s="28">
        <f t="shared" si="0"/>
        <v>7.1475343750000011</v>
      </c>
      <c r="F204" s="28">
        <f t="shared" si="1"/>
        <v>9.5300458333333342</v>
      </c>
      <c r="G204" s="28">
        <f t="shared" si="2"/>
        <v>11.912557291666667</v>
      </c>
      <c r="I204" s="5">
        <v>12</v>
      </c>
      <c r="J204" s="28">
        <f t="shared" si="3"/>
        <v>7.1475343750000011</v>
      </c>
      <c r="K204" s="28">
        <f t="shared" si="4"/>
        <v>9.5300458333333342</v>
      </c>
      <c r="L204" s="28">
        <f t="shared" si="5"/>
        <v>11.912557291666667</v>
      </c>
      <c r="N204" s="5">
        <v>8</v>
      </c>
      <c r="O204" s="28" t="e">
        <f>O$206+((O$201-O$206)*2/8)</f>
        <v>#REF!</v>
      </c>
      <c r="R204" s="5">
        <v>12</v>
      </c>
      <c r="S204" s="28">
        <f t="shared" si="9"/>
        <v>7.1475343750000011</v>
      </c>
      <c r="T204" s="28">
        <f t="shared" si="10"/>
        <v>9.5300458333333342</v>
      </c>
      <c r="U204" s="28">
        <f t="shared" si="6"/>
        <v>11.912557291666667</v>
      </c>
      <c r="V204" s="28">
        <f t="shared" si="7"/>
        <v>99.892666046274655</v>
      </c>
    </row>
    <row r="205" spans="2:24" x14ac:dyDescent="0.2">
      <c r="B205">
        <f t="shared" si="8"/>
        <v>114.77505000000001</v>
      </c>
      <c r="D205" s="5">
        <v>13</v>
      </c>
      <c r="E205" s="28">
        <f t="shared" si="0"/>
        <v>6.6216375000000003</v>
      </c>
      <c r="F205" s="28">
        <f t="shared" si="1"/>
        <v>8.828850000000001</v>
      </c>
      <c r="G205" s="28">
        <f t="shared" si="2"/>
        <v>11.036062500000002</v>
      </c>
      <c r="I205" s="5">
        <v>13</v>
      </c>
      <c r="J205" s="28">
        <f t="shared" si="3"/>
        <v>6.6216375000000003</v>
      </c>
      <c r="K205" s="28">
        <f t="shared" si="4"/>
        <v>8.828850000000001</v>
      </c>
      <c r="L205" s="28">
        <f t="shared" si="5"/>
        <v>11.036062500000002</v>
      </c>
      <c r="N205" s="5">
        <v>9</v>
      </c>
      <c r="O205" s="28" t="e">
        <f>O$206+((O$201-O$206)*1/9)</f>
        <v>#REF!</v>
      </c>
      <c r="R205" s="5">
        <v>13</v>
      </c>
      <c r="S205" s="28">
        <f t="shared" si="9"/>
        <v>6.6216375000000003</v>
      </c>
      <c r="T205" s="28">
        <f t="shared" si="10"/>
        <v>8.828850000000001</v>
      </c>
      <c r="U205" s="28">
        <f t="shared" si="6"/>
        <v>11.036062500000002</v>
      </c>
      <c r="V205" s="28">
        <f t="shared" si="7"/>
        <v>92.208614811945836</v>
      </c>
    </row>
    <row r="206" spans="2:24" x14ac:dyDescent="0.2">
      <c r="B206">
        <f t="shared" si="8"/>
        <v>115.18955000000001</v>
      </c>
      <c r="D206" s="5">
        <v>14</v>
      </c>
      <c r="E206" s="28">
        <f t="shared" si="0"/>
        <v>6.1708687500000003</v>
      </c>
      <c r="F206" s="28">
        <f t="shared" si="1"/>
        <v>8.2278250000000011</v>
      </c>
      <c r="G206" s="28">
        <f t="shared" si="2"/>
        <v>10.284781250000002</v>
      </c>
      <c r="I206" s="5">
        <v>14</v>
      </c>
      <c r="J206" s="28">
        <f t="shared" si="3"/>
        <v>6.1708687500000003</v>
      </c>
      <c r="K206" s="28">
        <f t="shared" si="4"/>
        <v>8.2278250000000011</v>
      </c>
      <c r="L206" s="28">
        <f t="shared" si="5"/>
        <v>10.284781250000002</v>
      </c>
      <c r="N206" s="5">
        <v>10</v>
      </c>
      <c r="O206" s="28" t="e">
        <f>#REF!</f>
        <v>#REF!</v>
      </c>
      <c r="P206" t="s">
        <v>80</v>
      </c>
      <c r="R206" s="5">
        <v>14</v>
      </c>
      <c r="S206" s="28">
        <f t="shared" si="9"/>
        <v>6.1708687500000003</v>
      </c>
      <c r="T206" s="28">
        <f t="shared" si="10"/>
        <v>8.2278250000000011</v>
      </c>
      <c r="U206" s="28">
        <f t="shared" si="6"/>
        <v>10.284781250000002</v>
      </c>
      <c r="V206" s="28">
        <f t="shared" si="7"/>
        <v>85.622285182521139</v>
      </c>
    </row>
    <row r="207" spans="2:24" x14ac:dyDescent="0.2">
      <c r="B207">
        <f t="shared" si="8"/>
        <v>115.60405000000002</v>
      </c>
      <c r="D207" s="5">
        <v>15</v>
      </c>
      <c r="E207" s="28">
        <f t="shared" si="0"/>
        <v>5.7802025000000006</v>
      </c>
      <c r="F207" s="28">
        <f t="shared" si="1"/>
        <v>7.7069366666666674</v>
      </c>
      <c r="G207" s="28">
        <f t="shared" si="2"/>
        <v>9.6336708333333334</v>
      </c>
      <c r="I207" s="5">
        <v>15</v>
      </c>
      <c r="J207" s="28">
        <f t="shared" si="3"/>
        <v>5.7802025000000006</v>
      </c>
      <c r="K207" s="28">
        <f t="shared" si="4"/>
        <v>7.7069366666666674</v>
      </c>
      <c r="L207" s="28">
        <f t="shared" si="5"/>
        <v>9.6336708333333334</v>
      </c>
      <c r="N207" s="5">
        <v>11</v>
      </c>
      <c r="O207" s="28" t="e">
        <f>O$211+((O$206-O$211)*4/6)</f>
        <v>#REF!</v>
      </c>
      <c r="R207" s="5">
        <v>15</v>
      </c>
      <c r="S207" s="28">
        <f t="shared" si="9"/>
        <v>5.7802025000000006</v>
      </c>
      <c r="T207" s="28">
        <f t="shared" si="10"/>
        <v>7.7069366666666674</v>
      </c>
      <c r="U207" s="28">
        <f t="shared" si="6"/>
        <v>9.6336708333333334</v>
      </c>
      <c r="V207" s="28">
        <f t="shared" si="7"/>
        <v>79.914132837019721</v>
      </c>
    </row>
    <row r="208" spans="2:24" x14ac:dyDescent="0.2">
      <c r="B208">
        <f t="shared" si="8"/>
        <v>116.01855</v>
      </c>
      <c r="D208" s="5">
        <v>16</v>
      </c>
      <c r="E208" s="28">
        <f t="shared" si="0"/>
        <v>5.4383695312500002</v>
      </c>
      <c r="F208" s="28">
        <f t="shared" si="1"/>
        <v>7.2511593750000003</v>
      </c>
      <c r="G208" s="28">
        <f t="shared" si="2"/>
        <v>9.0639492187500004</v>
      </c>
      <c r="I208" s="5">
        <v>16</v>
      </c>
      <c r="J208" s="28">
        <f t="shared" si="3"/>
        <v>5.4383695312500002</v>
      </c>
      <c r="K208" s="28">
        <f t="shared" si="4"/>
        <v>7.2511593750000003</v>
      </c>
      <c r="L208" s="28">
        <f t="shared" si="5"/>
        <v>9.0639492187500004</v>
      </c>
      <c r="N208" s="5">
        <v>12</v>
      </c>
      <c r="O208" s="28" t="e">
        <f>O$211+((O$206-O$211)*3/7)</f>
        <v>#REF!</v>
      </c>
      <c r="R208" s="5">
        <v>16</v>
      </c>
      <c r="S208" s="28">
        <f t="shared" si="9"/>
        <v>5.4383695312500002</v>
      </c>
      <c r="T208" s="28">
        <f t="shared" si="10"/>
        <v>7.2511593750000003</v>
      </c>
      <c r="U208" s="28">
        <f t="shared" si="6"/>
        <v>9.0639492187500004</v>
      </c>
      <c r="V208" s="28">
        <f t="shared" si="7"/>
        <v>74.919499534705992</v>
      </c>
    </row>
    <row r="209" spans="2:22" x14ac:dyDescent="0.2">
      <c r="B209">
        <f t="shared" si="8"/>
        <v>116.43305000000001</v>
      </c>
      <c r="D209" s="5">
        <v>17</v>
      </c>
      <c r="E209" s="28">
        <f t="shared" si="0"/>
        <v>5.1367522058823534</v>
      </c>
      <c r="F209" s="28">
        <f t="shared" si="1"/>
        <v>6.8490029411764715</v>
      </c>
      <c r="G209" s="28">
        <f t="shared" si="2"/>
        <v>8.5612536764705887</v>
      </c>
      <c r="I209" s="5">
        <v>17</v>
      </c>
      <c r="J209" s="28">
        <f t="shared" si="3"/>
        <v>5.1367522058823534</v>
      </c>
      <c r="K209" s="28">
        <f t="shared" si="4"/>
        <v>6.8490029411764715</v>
      </c>
      <c r="L209" s="28">
        <f t="shared" si="5"/>
        <v>8.5612536764705887</v>
      </c>
      <c r="N209" s="5">
        <v>13</v>
      </c>
      <c r="O209" s="28" t="e">
        <f>O$211+((O$206-O$211)*2/8)</f>
        <v>#REF!</v>
      </c>
      <c r="R209" s="5">
        <v>17</v>
      </c>
      <c r="S209" s="28">
        <f t="shared" si="9"/>
        <v>5.1367522058823534</v>
      </c>
      <c r="T209" s="28">
        <f t="shared" si="10"/>
        <v>6.8490029411764715</v>
      </c>
      <c r="U209" s="28">
        <f t="shared" si="6"/>
        <v>8.5612536764705887</v>
      </c>
      <c r="V209" s="28">
        <f t="shared" si="7"/>
        <v>70.512470150311515</v>
      </c>
    </row>
    <row r="210" spans="2:22" x14ac:dyDescent="0.2">
      <c r="B210">
        <f t="shared" si="8"/>
        <v>116.84755000000001</v>
      </c>
      <c r="D210" s="5">
        <v>18</v>
      </c>
      <c r="E210" s="28">
        <f t="shared" ref="E210:E272" si="11">(1-$F$280)*F210</f>
        <v>4.8686479166666672</v>
      </c>
      <c r="F210" s="28">
        <f t="shared" si="1"/>
        <v>6.4915305555555562</v>
      </c>
      <c r="G210" s="28">
        <f t="shared" ref="G210:G272" si="12">F210*(1+$F$280)</f>
        <v>8.1144131944444453</v>
      </c>
      <c r="I210" s="5">
        <v>18</v>
      </c>
      <c r="J210" s="28">
        <f t="shared" ref="J210:J272" si="13">IF(E210&gt;$F$179,$F$179,E210)</f>
        <v>4.8686479166666672</v>
      </c>
      <c r="K210" s="28">
        <f t="shared" ref="K210:K272" si="14">IF(F210&gt;$F$180,$F$180,F210)</f>
        <v>6.4915305555555562</v>
      </c>
      <c r="L210" s="28">
        <f t="shared" ref="L210:L272" si="15">IF(G210&gt;$F$181,$F$181,G210)</f>
        <v>8.1144131944444453</v>
      </c>
      <c r="N210" s="5">
        <v>14</v>
      </c>
      <c r="O210" s="28" t="e">
        <f>O$211+((O$206-O$211)*1/9)</f>
        <v>#REF!</v>
      </c>
      <c r="R210" s="26">
        <v>18</v>
      </c>
      <c r="S210" s="28">
        <f t="shared" ref="S210:S212" si="16">IF($R210&gt;$F$177,0.0000000005,J210)</f>
        <v>4.8686479166666672</v>
      </c>
      <c r="T210" s="28">
        <f t="shared" ref="T210:T212" si="17">IF($R210&gt;$F$177,0.0000000005,K210)</f>
        <v>6.4915305555555562</v>
      </c>
      <c r="U210" s="28">
        <f t="shared" ref="U210:U212" si="18">IF($R210&gt;$F$177,0.0000000005,L210)</f>
        <v>8.1144131944444453</v>
      </c>
      <c r="V210" s="28">
        <f t="shared" ref="V210:V212" si="19">$X$193/R210</f>
        <v>66.595110697516432</v>
      </c>
    </row>
    <row r="211" spans="2:22" x14ac:dyDescent="0.2">
      <c r="B211">
        <f t="shared" si="8"/>
        <v>117.26205000000002</v>
      </c>
      <c r="D211" s="5">
        <v>19</v>
      </c>
      <c r="E211" s="28">
        <f t="shared" si="11"/>
        <v>4.6287651315789482</v>
      </c>
      <c r="F211" s="28">
        <f t="shared" si="1"/>
        <v>6.171686842105264</v>
      </c>
      <c r="G211" s="28">
        <f t="shared" si="12"/>
        <v>7.7146085526315797</v>
      </c>
      <c r="I211" s="5">
        <v>19</v>
      </c>
      <c r="J211" s="28">
        <f t="shared" si="13"/>
        <v>4.6287651315789482</v>
      </c>
      <c r="K211" s="28">
        <f t="shared" si="14"/>
        <v>6.171686842105264</v>
      </c>
      <c r="L211" s="28">
        <f t="shared" si="15"/>
        <v>7.7146085526315797</v>
      </c>
      <c r="N211" s="5">
        <v>15</v>
      </c>
      <c r="O211" s="28" t="e">
        <f>#REF!</f>
        <v>#REF!</v>
      </c>
      <c r="P211" t="s">
        <v>80</v>
      </c>
      <c r="R211" s="26">
        <v>19</v>
      </c>
      <c r="S211" s="28">
        <f t="shared" si="16"/>
        <v>4.6287651315789482</v>
      </c>
      <c r="T211" s="28">
        <f t="shared" si="17"/>
        <v>6.171686842105264</v>
      </c>
      <c r="U211" s="28">
        <f t="shared" si="18"/>
        <v>7.7146085526315797</v>
      </c>
      <c r="V211" s="28">
        <f t="shared" si="19"/>
        <v>63.090104871331363</v>
      </c>
    </row>
    <row r="212" spans="2:22" x14ac:dyDescent="0.2">
      <c r="B212">
        <f t="shared" si="8"/>
        <v>117.67655000000002</v>
      </c>
      <c r="D212" s="5">
        <v>20</v>
      </c>
      <c r="E212" s="28">
        <f t="shared" si="11"/>
        <v>4.412870625</v>
      </c>
      <c r="F212" s="28">
        <f t="shared" si="1"/>
        <v>5.8838275000000007</v>
      </c>
      <c r="G212" s="28">
        <f t="shared" si="12"/>
        <v>7.3547843750000013</v>
      </c>
      <c r="I212" s="5">
        <v>20</v>
      </c>
      <c r="J212" s="28">
        <f t="shared" si="13"/>
        <v>4.412870625</v>
      </c>
      <c r="K212" s="28">
        <f t="shared" si="14"/>
        <v>5.8838275000000007</v>
      </c>
      <c r="L212" s="28">
        <f t="shared" si="15"/>
        <v>7.3547843750000013</v>
      </c>
      <c r="N212" s="5">
        <v>16</v>
      </c>
      <c r="O212" s="28" t="e">
        <f>O$216+((O$211-O$216)*4/6)</f>
        <v>#REF!</v>
      </c>
      <c r="R212" s="26">
        <v>20</v>
      </c>
      <c r="S212" s="28">
        <f t="shared" si="16"/>
        <v>4.412870625</v>
      </c>
      <c r="T212" s="28">
        <f t="shared" si="17"/>
        <v>5.8838275000000007</v>
      </c>
      <c r="U212" s="28">
        <f t="shared" si="18"/>
        <v>7.3547843750000013</v>
      </c>
      <c r="V212" s="28">
        <f t="shared" si="19"/>
        <v>59.935599627764795</v>
      </c>
    </row>
    <row r="213" spans="2:22" x14ac:dyDescent="0.2">
      <c r="B213">
        <f t="shared" si="8"/>
        <v>118.09105000000001</v>
      </c>
      <c r="D213" s="5">
        <v>21</v>
      </c>
      <c r="E213" s="28">
        <f t="shared" si="11"/>
        <v>4.2175375000000006</v>
      </c>
      <c r="F213" s="28">
        <f t="shared" si="1"/>
        <v>5.6233833333333338</v>
      </c>
      <c r="G213" s="28">
        <f t="shared" si="12"/>
        <v>7.0292291666666671</v>
      </c>
      <c r="I213" s="5">
        <v>21</v>
      </c>
      <c r="J213" s="28">
        <f t="shared" si="13"/>
        <v>4.2175375000000006</v>
      </c>
      <c r="K213" s="28">
        <f t="shared" si="14"/>
        <v>5.6233833333333338</v>
      </c>
      <c r="L213" s="28">
        <f t="shared" si="15"/>
        <v>7.0292291666666671</v>
      </c>
      <c r="N213" s="5">
        <v>17</v>
      </c>
      <c r="O213" s="28" t="e">
        <f>O$216+((O$211-O$216)*3/7)</f>
        <v>#REF!</v>
      </c>
      <c r="R213" s="5">
        <v>21</v>
      </c>
      <c r="S213" s="28">
        <f t="shared" ref="S213:S228" si="20">IF($R213&gt;$F$177,0.0000000005,J213)</f>
        <v>4.2175375000000006</v>
      </c>
      <c r="T213" s="28">
        <f t="shared" ref="T213:T228" si="21">IF($R213&gt;$F$177,0.0000000005,K213)</f>
        <v>5.6233833333333338</v>
      </c>
      <c r="U213" s="28">
        <f t="shared" ref="U213:U228" si="22">IF($R213&gt;$F$177,0.0000000005,L213)</f>
        <v>7.0292291666666671</v>
      </c>
      <c r="V213" s="28">
        <f t="shared" ref="V213:V249" si="23">$X$193/R213</f>
        <v>57.081523455014086</v>
      </c>
    </row>
    <row r="214" spans="2:22" x14ac:dyDescent="0.2">
      <c r="B214">
        <f t="shared" si="8"/>
        <v>118.50555000000003</v>
      </c>
      <c r="D214" s="5">
        <v>22</v>
      </c>
      <c r="E214" s="28">
        <f t="shared" si="11"/>
        <v>4.0399619318181825</v>
      </c>
      <c r="F214" s="28">
        <f t="shared" si="1"/>
        <v>5.38661590909091</v>
      </c>
      <c r="G214" s="28">
        <f t="shared" si="12"/>
        <v>6.7332698863636375</v>
      </c>
      <c r="I214" s="5">
        <v>22</v>
      </c>
      <c r="J214" s="28">
        <f t="shared" si="13"/>
        <v>4.0399619318181825</v>
      </c>
      <c r="K214" s="28">
        <f t="shared" si="14"/>
        <v>5.38661590909091</v>
      </c>
      <c r="L214" s="28">
        <f t="shared" si="15"/>
        <v>6.7332698863636375</v>
      </c>
      <c r="N214" s="26">
        <v>18</v>
      </c>
      <c r="O214" s="28" t="e">
        <f>O$216+((O$211-O$216)*2/8)</f>
        <v>#REF!</v>
      </c>
      <c r="R214" s="5">
        <v>22</v>
      </c>
      <c r="S214" s="28">
        <f t="shared" si="20"/>
        <v>4.0399619318181825</v>
      </c>
      <c r="T214" s="28">
        <f t="shared" si="21"/>
        <v>5.38661590909091</v>
      </c>
      <c r="U214" s="28">
        <f t="shared" si="22"/>
        <v>6.7332698863636375</v>
      </c>
      <c r="V214" s="28">
        <f t="shared" si="23"/>
        <v>54.48690875251345</v>
      </c>
    </row>
    <row r="215" spans="2:22" x14ac:dyDescent="0.2">
      <c r="B215">
        <f t="shared" si="8"/>
        <v>118.92005000000002</v>
      </c>
      <c r="D215" s="5">
        <v>23</v>
      </c>
      <c r="E215" s="28">
        <f t="shared" si="11"/>
        <v>3.8778277173913045</v>
      </c>
      <c r="F215" s="28">
        <f t="shared" si="1"/>
        <v>5.1704369565217396</v>
      </c>
      <c r="G215" s="28">
        <f t="shared" si="12"/>
        <v>6.4630461956521748</v>
      </c>
      <c r="I215" s="5">
        <v>23</v>
      </c>
      <c r="J215" s="28">
        <f t="shared" si="13"/>
        <v>3.8778277173913045</v>
      </c>
      <c r="K215" s="28">
        <f t="shared" si="14"/>
        <v>5.1704369565217396</v>
      </c>
      <c r="L215" s="28">
        <f t="shared" si="15"/>
        <v>6.4630461956521748</v>
      </c>
      <c r="N215" s="26">
        <v>19</v>
      </c>
      <c r="O215" s="28" t="e">
        <f>O$216+((O$211-O$216)*1/9)</f>
        <v>#REF!</v>
      </c>
      <c r="R215" s="5">
        <v>23</v>
      </c>
      <c r="S215" s="28">
        <f t="shared" si="20"/>
        <v>3.8778277173913045</v>
      </c>
      <c r="T215" s="28">
        <f t="shared" si="21"/>
        <v>5.1704369565217396</v>
      </c>
      <c r="U215" s="28">
        <f t="shared" si="22"/>
        <v>6.4630461956521748</v>
      </c>
      <c r="V215" s="28">
        <f t="shared" si="23"/>
        <v>52.11791271979547</v>
      </c>
    </row>
    <row r="216" spans="2:22" x14ac:dyDescent="0.2">
      <c r="B216">
        <f t="shared" si="8"/>
        <v>119.33455000000001</v>
      </c>
      <c r="D216" s="5">
        <v>24</v>
      </c>
      <c r="E216" s="28">
        <f t="shared" si="11"/>
        <v>3.7292046875000002</v>
      </c>
      <c r="F216" s="28">
        <f t="shared" si="1"/>
        <v>4.9722729166666673</v>
      </c>
      <c r="G216" s="28">
        <f t="shared" si="12"/>
        <v>6.2153411458333343</v>
      </c>
      <c r="I216" s="5">
        <v>24</v>
      </c>
      <c r="J216" s="28">
        <f t="shared" si="13"/>
        <v>3.7292046875000002</v>
      </c>
      <c r="K216" s="28">
        <f t="shared" si="14"/>
        <v>4.9722729166666673</v>
      </c>
      <c r="L216" s="28">
        <f t="shared" si="15"/>
        <v>6.2153411458333343</v>
      </c>
      <c r="N216" s="26">
        <v>20</v>
      </c>
      <c r="O216" s="28" t="e">
        <f>#REF!</f>
        <v>#REF!</v>
      </c>
      <c r="P216" t="s">
        <v>80</v>
      </c>
      <c r="R216" s="5">
        <v>24</v>
      </c>
      <c r="S216" s="28">
        <f t="shared" si="20"/>
        <v>3.7292046875000002</v>
      </c>
      <c r="T216" s="28">
        <f t="shared" si="21"/>
        <v>4.9722729166666673</v>
      </c>
      <c r="U216" s="28">
        <f t="shared" si="22"/>
        <v>6.2153411458333343</v>
      </c>
      <c r="V216" s="28">
        <f t="shared" si="23"/>
        <v>49.946333023137328</v>
      </c>
    </row>
    <row r="217" spans="2:22" x14ac:dyDescent="0.2">
      <c r="B217">
        <f t="shared" si="8"/>
        <v>119.74905</v>
      </c>
      <c r="D217" s="5">
        <v>25</v>
      </c>
      <c r="E217" s="28">
        <f t="shared" si="11"/>
        <v>3.5924715000000003</v>
      </c>
      <c r="F217" s="28">
        <f t="shared" si="1"/>
        <v>4.7899620000000001</v>
      </c>
      <c r="G217" s="28">
        <f t="shared" si="12"/>
        <v>5.9874524999999998</v>
      </c>
      <c r="I217" s="5">
        <v>25</v>
      </c>
      <c r="J217" s="28">
        <f t="shared" si="13"/>
        <v>3.5924715000000003</v>
      </c>
      <c r="K217" s="28">
        <f t="shared" si="14"/>
        <v>4.7899620000000001</v>
      </c>
      <c r="L217" s="28">
        <f t="shared" si="15"/>
        <v>5.9874524999999998</v>
      </c>
      <c r="R217" s="5">
        <v>25</v>
      </c>
      <c r="S217" s="28">
        <f t="shared" si="20"/>
        <v>3.5924715000000003</v>
      </c>
      <c r="T217" s="28">
        <f t="shared" si="21"/>
        <v>4.7899620000000001</v>
      </c>
      <c r="U217" s="28">
        <f t="shared" si="22"/>
        <v>5.9874524999999998</v>
      </c>
      <c r="V217" s="28">
        <f t="shared" si="23"/>
        <v>47.948479702211834</v>
      </c>
    </row>
    <row r="218" spans="2:22" x14ac:dyDescent="0.2">
      <c r="B218">
        <f t="shared" si="8"/>
        <v>120.16355000000001</v>
      </c>
      <c r="D218" s="5">
        <v>26</v>
      </c>
      <c r="E218" s="28">
        <f t="shared" si="11"/>
        <v>3.4662562500000007</v>
      </c>
      <c r="F218" s="28">
        <f t="shared" si="1"/>
        <v>4.6216750000000006</v>
      </c>
      <c r="G218" s="28">
        <f t="shared" si="12"/>
        <v>5.7770937500000006</v>
      </c>
      <c r="I218" s="5">
        <v>26</v>
      </c>
      <c r="J218" s="28">
        <f t="shared" si="13"/>
        <v>3.4662562500000007</v>
      </c>
      <c r="K218" s="28">
        <f t="shared" si="14"/>
        <v>4.6216750000000006</v>
      </c>
      <c r="L218" s="28">
        <f t="shared" si="15"/>
        <v>5.7770937500000006</v>
      </c>
      <c r="R218" s="5">
        <v>26</v>
      </c>
      <c r="S218" s="28">
        <f t="shared" si="20"/>
        <v>3.4662562500000007</v>
      </c>
      <c r="T218" s="28">
        <f t="shared" si="21"/>
        <v>4.6216750000000006</v>
      </c>
      <c r="U218" s="28">
        <f t="shared" si="22"/>
        <v>5.7770937500000006</v>
      </c>
      <c r="V218" s="28">
        <f t="shared" si="23"/>
        <v>46.104307405972918</v>
      </c>
    </row>
    <row r="219" spans="2:22" x14ac:dyDescent="0.2">
      <c r="B219">
        <f t="shared" si="8"/>
        <v>120.57805000000002</v>
      </c>
      <c r="D219" s="5">
        <v>27</v>
      </c>
      <c r="E219" s="28">
        <f t="shared" si="11"/>
        <v>3.3493902777777782</v>
      </c>
      <c r="F219" s="28">
        <f t="shared" si="1"/>
        <v>4.4658537037037043</v>
      </c>
      <c r="G219" s="28">
        <f t="shared" si="12"/>
        <v>5.5823171296296303</v>
      </c>
      <c r="I219" s="5">
        <v>27</v>
      </c>
      <c r="J219" s="28">
        <f t="shared" si="13"/>
        <v>3.3493902777777782</v>
      </c>
      <c r="K219" s="28">
        <f t="shared" si="14"/>
        <v>4.4658537037037043</v>
      </c>
      <c r="L219" s="28">
        <f t="shared" si="15"/>
        <v>5.5823171296296303</v>
      </c>
      <c r="R219" s="5">
        <v>27</v>
      </c>
      <c r="S219" s="28">
        <f t="shared" si="20"/>
        <v>3.3493902777777782</v>
      </c>
      <c r="T219" s="28">
        <f t="shared" si="21"/>
        <v>4.4658537037037043</v>
      </c>
      <c r="U219" s="28">
        <f t="shared" si="22"/>
        <v>5.5823171296296303</v>
      </c>
      <c r="V219" s="28">
        <f t="shared" si="23"/>
        <v>44.396740465010957</v>
      </c>
    </row>
    <row r="220" spans="2:22" x14ac:dyDescent="0.2">
      <c r="B220">
        <f t="shared" si="8"/>
        <v>120.99255000000002</v>
      </c>
      <c r="D220" s="5">
        <v>28</v>
      </c>
      <c r="E220" s="28">
        <f t="shared" si="11"/>
        <v>3.2408718750000007</v>
      </c>
      <c r="F220" s="28">
        <f t="shared" si="1"/>
        <v>4.3211625000000007</v>
      </c>
      <c r="G220" s="28">
        <f t="shared" si="12"/>
        <v>5.4014531250000006</v>
      </c>
      <c r="I220" s="5">
        <v>28</v>
      </c>
      <c r="J220" s="28">
        <f t="shared" si="13"/>
        <v>3.2408718750000007</v>
      </c>
      <c r="K220" s="28">
        <f t="shared" si="14"/>
        <v>4.3211625000000007</v>
      </c>
      <c r="L220" s="28">
        <f t="shared" si="15"/>
        <v>5.4014531250000006</v>
      </c>
      <c r="R220" s="5">
        <v>28</v>
      </c>
      <c r="S220" s="28">
        <f t="shared" si="20"/>
        <v>3.2408718750000007</v>
      </c>
      <c r="T220" s="28">
        <f t="shared" si="21"/>
        <v>4.3211625000000007</v>
      </c>
      <c r="U220" s="28">
        <f t="shared" si="22"/>
        <v>5.4014531250000006</v>
      </c>
      <c r="V220" s="28">
        <f t="shared" si="23"/>
        <v>42.81114259126057</v>
      </c>
    </row>
    <row r="221" spans="2:22" x14ac:dyDescent="0.2">
      <c r="B221">
        <f t="shared" si="8"/>
        <v>121.40705000000003</v>
      </c>
      <c r="D221" s="5">
        <v>29</v>
      </c>
      <c r="E221" s="28">
        <f t="shared" si="11"/>
        <v>3.1398375000000005</v>
      </c>
      <c r="F221" s="28">
        <f t="shared" si="1"/>
        <v>4.1864500000000007</v>
      </c>
      <c r="G221" s="28">
        <f t="shared" si="12"/>
        <v>5.2330625000000008</v>
      </c>
      <c r="I221" s="5">
        <v>29</v>
      </c>
      <c r="J221" s="28">
        <f t="shared" si="13"/>
        <v>3.1398375000000005</v>
      </c>
      <c r="K221" s="28">
        <f t="shared" si="14"/>
        <v>4.1864500000000007</v>
      </c>
      <c r="L221" s="28">
        <f t="shared" si="15"/>
        <v>5.2330625000000008</v>
      </c>
      <c r="R221" s="5">
        <v>29</v>
      </c>
      <c r="S221" s="28">
        <f t="shared" si="20"/>
        <v>3.1398375000000005</v>
      </c>
      <c r="T221" s="28">
        <f t="shared" si="21"/>
        <v>4.1864500000000007</v>
      </c>
      <c r="U221" s="28">
        <f t="shared" si="22"/>
        <v>5.2330625000000008</v>
      </c>
      <c r="V221" s="28">
        <f t="shared" si="23"/>
        <v>41.334896295010203</v>
      </c>
    </row>
    <row r="222" spans="2:22" x14ac:dyDescent="0.2">
      <c r="B222">
        <f t="shared" si="8"/>
        <v>121.82154999999999</v>
      </c>
      <c r="D222" s="5">
        <v>30</v>
      </c>
      <c r="E222" s="28">
        <f t="shared" si="11"/>
        <v>3.0455387499999995</v>
      </c>
      <c r="F222" s="28">
        <f t="shared" si="1"/>
        <v>4.060718333333333</v>
      </c>
      <c r="G222" s="28">
        <f t="shared" si="12"/>
        <v>5.0758979166666665</v>
      </c>
      <c r="I222" s="5">
        <v>30</v>
      </c>
      <c r="J222" s="28">
        <f t="shared" si="13"/>
        <v>3.0455387499999995</v>
      </c>
      <c r="K222" s="28">
        <f t="shared" si="14"/>
        <v>4.060718333333333</v>
      </c>
      <c r="L222" s="28">
        <f t="shared" si="15"/>
        <v>5.0758979166666665</v>
      </c>
      <c r="R222" s="5">
        <v>30</v>
      </c>
      <c r="S222" s="28">
        <f t="shared" si="20"/>
        <v>3.0455387499999995</v>
      </c>
      <c r="T222" s="28">
        <f t="shared" si="21"/>
        <v>4.060718333333333</v>
      </c>
      <c r="U222" s="28">
        <f t="shared" si="22"/>
        <v>5.0758979166666665</v>
      </c>
      <c r="V222" s="28">
        <f t="shared" si="23"/>
        <v>39.957066418509861</v>
      </c>
    </row>
    <row r="223" spans="2:22" x14ac:dyDescent="0.2">
      <c r="B223">
        <f t="shared" si="8"/>
        <v>122.23605000000001</v>
      </c>
      <c r="D223" s="5">
        <v>31</v>
      </c>
      <c r="E223" s="28">
        <f t="shared" si="11"/>
        <v>2.9573237903225804</v>
      </c>
      <c r="F223" s="28">
        <f t="shared" si="1"/>
        <v>3.9430983870967742</v>
      </c>
      <c r="G223" s="28">
        <f t="shared" si="12"/>
        <v>4.9288729838709679</v>
      </c>
      <c r="I223" s="5">
        <v>31</v>
      </c>
      <c r="J223" s="28">
        <f t="shared" si="13"/>
        <v>2.9573237903225804</v>
      </c>
      <c r="K223" s="28">
        <f t="shared" si="14"/>
        <v>3.9430983870967742</v>
      </c>
      <c r="L223" s="28">
        <f t="shared" si="15"/>
        <v>4.9288729838709679</v>
      </c>
      <c r="R223" s="5">
        <v>31</v>
      </c>
      <c r="S223" s="28">
        <f t="shared" si="20"/>
        <v>2.9573237903225804</v>
      </c>
      <c r="T223" s="28">
        <f t="shared" si="21"/>
        <v>3.9430983870967742</v>
      </c>
      <c r="U223" s="28">
        <f t="shared" si="22"/>
        <v>4.9288729838709679</v>
      </c>
      <c r="V223" s="28">
        <f t="shared" si="23"/>
        <v>38.668128792106316</v>
      </c>
    </row>
    <row r="224" spans="2:22" x14ac:dyDescent="0.2">
      <c r="B224">
        <f t="shared" si="8"/>
        <v>122.65055000000001</v>
      </c>
      <c r="D224" s="5">
        <v>32</v>
      </c>
      <c r="E224" s="28">
        <f t="shared" si="11"/>
        <v>2.8746222656250002</v>
      </c>
      <c r="F224" s="28">
        <f t="shared" si="1"/>
        <v>3.8328296875000003</v>
      </c>
      <c r="G224" s="28">
        <f t="shared" si="12"/>
        <v>4.7910371093750008</v>
      </c>
      <c r="I224" s="5">
        <v>32</v>
      </c>
      <c r="J224" s="28">
        <f t="shared" si="13"/>
        <v>2.8746222656250002</v>
      </c>
      <c r="K224" s="28">
        <f t="shared" si="14"/>
        <v>3.8328296875000003</v>
      </c>
      <c r="L224" s="28">
        <f t="shared" si="15"/>
        <v>4.7910371093750008</v>
      </c>
      <c r="R224" s="5">
        <v>32</v>
      </c>
      <c r="S224" s="28">
        <f t="shared" si="20"/>
        <v>2.8746222656250002</v>
      </c>
      <c r="T224" s="28">
        <f t="shared" si="21"/>
        <v>3.8328296875000003</v>
      </c>
      <c r="U224" s="28">
        <f t="shared" si="22"/>
        <v>4.7910371093750008</v>
      </c>
      <c r="V224" s="28">
        <f t="shared" si="23"/>
        <v>37.459749767352996</v>
      </c>
    </row>
    <row r="225" spans="2:22" x14ac:dyDescent="0.2">
      <c r="B225">
        <f t="shared" si="8"/>
        <v>123.06505000000001</v>
      </c>
      <c r="D225" s="5">
        <v>33</v>
      </c>
      <c r="E225" s="28">
        <f t="shared" si="11"/>
        <v>2.7969329545454551</v>
      </c>
      <c r="F225" s="28">
        <f t="shared" ref="F225:F256" si="24">($F$184+(D225-VINMAX)*$E$277/$E$278)/D225</f>
        <v>3.7292439393939398</v>
      </c>
      <c r="G225" s="28">
        <f t="shared" si="12"/>
        <v>4.6615549242424246</v>
      </c>
      <c r="I225" s="5">
        <v>33</v>
      </c>
      <c r="J225" s="28">
        <f t="shared" si="13"/>
        <v>2.7969329545454551</v>
      </c>
      <c r="K225" s="28">
        <f t="shared" si="14"/>
        <v>3.7292439393939398</v>
      </c>
      <c r="L225" s="28">
        <f t="shared" si="15"/>
        <v>4.6615549242424246</v>
      </c>
      <c r="R225" s="5">
        <v>33</v>
      </c>
      <c r="S225" s="28">
        <f t="shared" si="20"/>
        <v>2.7969329545454551</v>
      </c>
      <c r="T225" s="28">
        <f t="shared" si="21"/>
        <v>3.7292439393939398</v>
      </c>
      <c r="U225" s="28">
        <f t="shared" si="22"/>
        <v>4.6615549242424246</v>
      </c>
      <c r="V225" s="28">
        <f t="shared" si="23"/>
        <v>36.324605835008967</v>
      </c>
    </row>
    <row r="226" spans="2:22" x14ac:dyDescent="0.2">
      <c r="B226">
        <f t="shared" si="8"/>
        <v>123.47955</v>
      </c>
      <c r="D226" s="5">
        <v>34</v>
      </c>
      <c r="E226" s="28">
        <f t="shared" si="11"/>
        <v>2.7238136029411768</v>
      </c>
      <c r="F226" s="28">
        <f t="shared" si="24"/>
        <v>3.6317514705882354</v>
      </c>
      <c r="G226" s="28">
        <f t="shared" si="12"/>
        <v>4.5396893382352941</v>
      </c>
      <c r="I226" s="5">
        <v>34</v>
      </c>
      <c r="J226" s="28">
        <f t="shared" si="13"/>
        <v>2.7238136029411768</v>
      </c>
      <c r="K226" s="28">
        <f t="shared" si="14"/>
        <v>3.6317514705882354</v>
      </c>
      <c r="L226" s="28">
        <f t="shared" si="15"/>
        <v>4.5396893382352941</v>
      </c>
      <c r="R226" s="5">
        <v>34</v>
      </c>
      <c r="S226" s="28">
        <f t="shared" si="20"/>
        <v>2.7238136029411768</v>
      </c>
      <c r="T226" s="28">
        <f t="shared" si="21"/>
        <v>3.6317514705882354</v>
      </c>
      <c r="U226" s="28">
        <f t="shared" si="22"/>
        <v>4.5396893382352941</v>
      </c>
      <c r="V226" s="28">
        <f t="shared" si="23"/>
        <v>35.256235075155757</v>
      </c>
    </row>
    <row r="227" spans="2:22" x14ac:dyDescent="0.2">
      <c r="B227">
        <f t="shared" si="8"/>
        <v>123.89405000000001</v>
      </c>
      <c r="D227" s="5">
        <v>35</v>
      </c>
      <c r="E227" s="28">
        <f t="shared" si="11"/>
        <v>2.6548725000000002</v>
      </c>
      <c r="F227" s="28">
        <f t="shared" si="24"/>
        <v>3.5398300000000003</v>
      </c>
      <c r="G227" s="28">
        <f t="shared" si="12"/>
        <v>4.4247875000000008</v>
      </c>
      <c r="I227" s="5">
        <v>35</v>
      </c>
      <c r="J227" s="28">
        <f t="shared" si="13"/>
        <v>2.6548725000000002</v>
      </c>
      <c r="K227" s="28">
        <f t="shared" si="14"/>
        <v>3.5398300000000003</v>
      </c>
      <c r="L227" s="28">
        <f t="shared" si="15"/>
        <v>4.4247875000000008</v>
      </c>
      <c r="R227" s="5">
        <v>35</v>
      </c>
      <c r="S227" s="28">
        <f t="shared" si="20"/>
        <v>2.6548725000000002</v>
      </c>
      <c r="T227" s="28">
        <f t="shared" si="21"/>
        <v>3.5398300000000003</v>
      </c>
      <c r="U227" s="28">
        <f t="shared" si="22"/>
        <v>4.4247875000000008</v>
      </c>
      <c r="V227" s="28">
        <f t="shared" si="23"/>
        <v>34.24891407300845</v>
      </c>
    </row>
    <row r="228" spans="2:22" x14ac:dyDescent="0.2">
      <c r="B228">
        <f t="shared" si="8"/>
        <v>124.30855000000003</v>
      </c>
      <c r="D228" s="5">
        <v>36</v>
      </c>
      <c r="E228" s="28">
        <f t="shared" si="11"/>
        <v>2.5897614583333337</v>
      </c>
      <c r="F228" s="28">
        <f t="shared" si="24"/>
        <v>3.4530152777777783</v>
      </c>
      <c r="G228" s="28">
        <f t="shared" si="12"/>
        <v>4.3162690972222233</v>
      </c>
      <c r="I228" s="5">
        <v>36</v>
      </c>
      <c r="J228" s="28">
        <f t="shared" si="13"/>
        <v>2.5897614583333337</v>
      </c>
      <c r="K228" s="28">
        <f t="shared" si="14"/>
        <v>3.4530152777777783</v>
      </c>
      <c r="L228" s="28">
        <f t="shared" si="15"/>
        <v>4.3162690972222233</v>
      </c>
      <c r="R228" s="5">
        <v>36</v>
      </c>
      <c r="S228" s="28">
        <f t="shared" si="20"/>
        <v>2.5897614583333337</v>
      </c>
      <c r="T228" s="28">
        <f t="shared" si="21"/>
        <v>3.4530152777777783</v>
      </c>
      <c r="U228" s="28">
        <f t="shared" si="22"/>
        <v>4.3162690972222233</v>
      </c>
      <c r="V228" s="28">
        <f t="shared" si="23"/>
        <v>33.297555348758216</v>
      </c>
    </row>
    <row r="229" spans="2:22" x14ac:dyDescent="0.2">
      <c r="B229">
        <f t="shared" si="8"/>
        <v>124.72305000000001</v>
      </c>
      <c r="D229" s="5">
        <v>37</v>
      </c>
      <c r="E229" s="28">
        <f t="shared" si="11"/>
        <v>2.5281699324324327</v>
      </c>
      <c r="F229" s="28">
        <f t="shared" si="24"/>
        <v>3.3708932432432435</v>
      </c>
      <c r="G229" s="28">
        <f t="shared" si="12"/>
        <v>4.2136165540540542</v>
      </c>
      <c r="I229" s="5">
        <v>37</v>
      </c>
      <c r="J229" s="28">
        <f t="shared" si="13"/>
        <v>2.5281699324324327</v>
      </c>
      <c r="K229" s="28">
        <f t="shared" si="14"/>
        <v>3.3708932432432435</v>
      </c>
      <c r="L229" s="28">
        <f t="shared" si="15"/>
        <v>4.2136165540540542</v>
      </c>
      <c r="R229" s="5">
        <v>37</v>
      </c>
      <c r="S229" s="28">
        <f t="shared" ref="S229:S233" si="25">IF($R229&gt;$F$177,0.0000000005,J229)</f>
        <v>2.5281699324324327</v>
      </c>
      <c r="T229" s="28">
        <f t="shared" ref="T229:T233" si="26">IF($R229&gt;$F$177,0.0000000005,K229)</f>
        <v>3.3708932432432435</v>
      </c>
      <c r="U229" s="28">
        <f t="shared" ref="U229:U233" si="27">IF($R229&gt;$F$177,0.0000000005,L229)</f>
        <v>4.2136165540540542</v>
      </c>
      <c r="V229" s="28">
        <f t="shared" ref="V229:V233" si="28">$X$193/R229</f>
        <v>32.397621420413401</v>
      </c>
    </row>
    <row r="230" spans="2:22" x14ac:dyDescent="0.2">
      <c r="B230">
        <f t="shared" si="8"/>
        <v>125.13755</v>
      </c>
      <c r="D230" s="5">
        <v>38</v>
      </c>
      <c r="E230" s="28">
        <f t="shared" si="11"/>
        <v>2.4698200657894738</v>
      </c>
      <c r="F230" s="28">
        <f t="shared" si="24"/>
        <v>3.2930934210526317</v>
      </c>
      <c r="G230" s="28">
        <f t="shared" si="12"/>
        <v>4.1163667763157896</v>
      </c>
      <c r="I230" s="5">
        <v>38</v>
      </c>
      <c r="J230" s="28">
        <f t="shared" si="13"/>
        <v>2.4698200657894738</v>
      </c>
      <c r="K230" s="28">
        <f t="shared" si="14"/>
        <v>3.2930934210526317</v>
      </c>
      <c r="L230" s="28">
        <f t="shared" si="15"/>
        <v>4.1163667763157896</v>
      </c>
      <c r="R230" s="26">
        <v>38</v>
      </c>
      <c r="S230" s="28">
        <f t="shared" si="25"/>
        <v>2.4698200657894738</v>
      </c>
      <c r="T230" s="28">
        <f t="shared" si="26"/>
        <v>3.2930934210526317</v>
      </c>
      <c r="U230" s="28">
        <f t="shared" si="27"/>
        <v>4.1163667763157896</v>
      </c>
      <c r="V230" s="28">
        <f t="shared" si="28"/>
        <v>31.545052435665681</v>
      </c>
    </row>
    <row r="231" spans="2:22" x14ac:dyDescent="0.2">
      <c r="B231">
        <f t="shared" si="8"/>
        <v>125.55205000000001</v>
      </c>
      <c r="D231" s="5">
        <v>39</v>
      </c>
      <c r="E231" s="28">
        <f t="shared" si="11"/>
        <v>2.4144625000000004</v>
      </c>
      <c r="F231" s="28">
        <f t="shared" si="24"/>
        <v>3.2192833333333337</v>
      </c>
      <c r="G231" s="28">
        <f t="shared" si="12"/>
        <v>4.0241041666666675</v>
      </c>
      <c r="I231" s="5">
        <v>39</v>
      </c>
      <c r="J231" s="28">
        <f t="shared" si="13"/>
        <v>2.4144625000000004</v>
      </c>
      <c r="K231" s="28">
        <f t="shared" si="14"/>
        <v>3.2192833333333337</v>
      </c>
      <c r="L231" s="28">
        <f t="shared" si="15"/>
        <v>4.0241041666666675</v>
      </c>
      <c r="R231" s="26">
        <v>39</v>
      </c>
      <c r="S231" s="28">
        <f t="shared" si="25"/>
        <v>2.4144625000000004</v>
      </c>
      <c r="T231" s="28">
        <f t="shared" si="26"/>
        <v>3.2192833333333337</v>
      </c>
      <c r="U231" s="28">
        <f t="shared" si="27"/>
        <v>4.0241041666666675</v>
      </c>
      <c r="V231" s="28">
        <f t="shared" si="28"/>
        <v>30.736204937315279</v>
      </c>
    </row>
    <row r="232" spans="2:22" x14ac:dyDescent="0.2">
      <c r="B232">
        <f t="shared" si="8"/>
        <v>125.96655000000001</v>
      </c>
      <c r="D232" s="5">
        <v>40</v>
      </c>
      <c r="E232" s="28">
        <f t="shared" si="11"/>
        <v>2.3618728125000006</v>
      </c>
      <c r="F232" s="28">
        <f t="shared" si="24"/>
        <v>3.1491637500000005</v>
      </c>
      <c r="G232" s="28">
        <f t="shared" si="12"/>
        <v>3.9364546875000004</v>
      </c>
      <c r="I232" s="5">
        <v>40</v>
      </c>
      <c r="J232" s="28">
        <f t="shared" si="13"/>
        <v>2.3618728125000006</v>
      </c>
      <c r="K232" s="28">
        <f t="shared" si="14"/>
        <v>3.1491637500000005</v>
      </c>
      <c r="L232" s="28">
        <f t="shared" si="15"/>
        <v>3.9364546875000004</v>
      </c>
      <c r="R232" s="26">
        <v>40</v>
      </c>
      <c r="S232" s="28">
        <f t="shared" si="25"/>
        <v>2.3618728125000006</v>
      </c>
      <c r="T232" s="28">
        <f t="shared" si="26"/>
        <v>3.1491637500000005</v>
      </c>
      <c r="U232" s="28">
        <f t="shared" si="27"/>
        <v>3.9364546875000004</v>
      </c>
      <c r="V232" s="28">
        <f t="shared" si="28"/>
        <v>29.967799813882397</v>
      </c>
    </row>
    <row r="233" spans="2:22" x14ac:dyDescent="0.2">
      <c r="B233">
        <f t="shared" si="8"/>
        <v>126.38105</v>
      </c>
      <c r="D233" s="5">
        <v>41</v>
      </c>
      <c r="E233" s="28">
        <f t="shared" si="11"/>
        <v>2.3118484756097564</v>
      </c>
      <c r="F233" s="28">
        <f t="shared" si="24"/>
        <v>3.0824646341463415</v>
      </c>
      <c r="G233" s="28">
        <f t="shared" si="12"/>
        <v>3.8530807926829267</v>
      </c>
      <c r="I233" s="5">
        <v>41</v>
      </c>
      <c r="J233" s="28">
        <f t="shared" si="13"/>
        <v>2.3118484756097564</v>
      </c>
      <c r="K233" s="28">
        <f t="shared" si="14"/>
        <v>3.0824646341463415</v>
      </c>
      <c r="L233" s="28">
        <f t="shared" si="15"/>
        <v>3.8530807926829267</v>
      </c>
      <c r="R233" s="5">
        <v>41</v>
      </c>
      <c r="S233" s="28">
        <f t="shared" si="25"/>
        <v>2.3118484756097564</v>
      </c>
      <c r="T233" s="28">
        <f t="shared" si="26"/>
        <v>3.0824646341463415</v>
      </c>
      <c r="U233" s="28">
        <f t="shared" si="27"/>
        <v>3.8530807926829267</v>
      </c>
      <c r="V233" s="28">
        <f t="shared" si="28"/>
        <v>29.236877867202338</v>
      </c>
    </row>
    <row r="234" spans="2:22" x14ac:dyDescent="0.2">
      <c r="B234">
        <f t="shared" si="8"/>
        <v>126.79554999999999</v>
      </c>
      <c r="D234" s="5">
        <v>42</v>
      </c>
      <c r="E234" s="28">
        <f t="shared" si="11"/>
        <v>2.26420625</v>
      </c>
      <c r="F234" s="28">
        <f t="shared" si="24"/>
        <v>3.0189416666666666</v>
      </c>
      <c r="G234" s="28">
        <f t="shared" si="12"/>
        <v>3.7736770833333333</v>
      </c>
      <c r="I234" s="5">
        <v>42</v>
      </c>
      <c r="J234" s="28">
        <f t="shared" si="13"/>
        <v>2.26420625</v>
      </c>
      <c r="K234" s="28">
        <f t="shared" si="14"/>
        <v>3.0189416666666666</v>
      </c>
      <c r="L234" s="28">
        <f t="shared" si="15"/>
        <v>3.7736770833333333</v>
      </c>
      <c r="R234" s="5">
        <v>42</v>
      </c>
      <c r="S234" s="28">
        <f t="shared" ref="S234:S249" si="29">IF($R234&gt;$F$177,0.0000000005,J234)</f>
        <v>2.26420625</v>
      </c>
      <c r="T234" s="28">
        <f t="shared" ref="T234:T249" si="30">IF($R234&gt;$F$177,0.0000000005,K234)</f>
        <v>3.0189416666666666</v>
      </c>
      <c r="U234" s="28">
        <f t="shared" ref="U234:U249" si="31">IF($R234&gt;$F$177,0.0000000005,L234)</f>
        <v>3.7736770833333333</v>
      </c>
      <c r="V234" s="28">
        <f t="shared" si="23"/>
        <v>28.540761727507043</v>
      </c>
    </row>
    <row r="235" spans="2:22" x14ac:dyDescent="0.2">
      <c r="B235">
        <f t="shared" si="8"/>
        <v>127.21005</v>
      </c>
      <c r="D235" s="5">
        <v>43</v>
      </c>
      <c r="E235" s="28">
        <f t="shared" si="11"/>
        <v>2.2187799418604652</v>
      </c>
      <c r="F235" s="28">
        <f t="shared" si="24"/>
        <v>2.9583732558139535</v>
      </c>
      <c r="G235" s="28">
        <f t="shared" si="12"/>
        <v>3.6979665697674418</v>
      </c>
      <c r="I235" s="5">
        <v>43</v>
      </c>
      <c r="J235" s="28">
        <f t="shared" si="13"/>
        <v>2.2187799418604652</v>
      </c>
      <c r="K235" s="28">
        <f t="shared" si="14"/>
        <v>2.9583732558139535</v>
      </c>
      <c r="L235" s="28">
        <f t="shared" si="15"/>
        <v>3.6979665697674418</v>
      </c>
      <c r="R235" s="5">
        <v>43</v>
      </c>
      <c r="S235" s="28">
        <f t="shared" si="29"/>
        <v>5.0000000000000003E-10</v>
      </c>
      <c r="T235" s="28">
        <f t="shared" si="30"/>
        <v>5.0000000000000003E-10</v>
      </c>
      <c r="U235" s="28">
        <f t="shared" si="31"/>
        <v>5.0000000000000003E-10</v>
      </c>
      <c r="V235" s="28">
        <f t="shared" si="23"/>
        <v>27.877023082681298</v>
      </c>
    </row>
    <row r="236" spans="2:22" x14ac:dyDescent="0.2">
      <c r="B236">
        <f t="shared" si="8"/>
        <v>127.62455000000001</v>
      </c>
      <c r="D236" s="5">
        <v>44</v>
      </c>
      <c r="E236" s="28">
        <f t="shared" si="11"/>
        <v>2.1754184659090909</v>
      </c>
      <c r="F236" s="28">
        <f t="shared" si="24"/>
        <v>2.9005579545454547</v>
      </c>
      <c r="G236" s="28">
        <f t="shared" si="12"/>
        <v>3.6256974431818185</v>
      </c>
      <c r="I236" s="5">
        <v>44</v>
      </c>
      <c r="J236" s="28">
        <f t="shared" si="13"/>
        <v>2.1754184659090909</v>
      </c>
      <c r="K236" s="28">
        <f t="shared" si="14"/>
        <v>2.9005579545454547</v>
      </c>
      <c r="L236" s="28">
        <f t="shared" si="15"/>
        <v>3.6256974431818185</v>
      </c>
      <c r="R236" s="5">
        <v>44</v>
      </c>
      <c r="S236" s="28">
        <f t="shared" si="29"/>
        <v>5.0000000000000003E-10</v>
      </c>
      <c r="T236" s="28">
        <f t="shared" si="30"/>
        <v>5.0000000000000003E-10</v>
      </c>
      <c r="U236" s="28">
        <f t="shared" si="31"/>
        <v>5.0000000000000003E-10</v>
      </c>
      <c r="V236" s="28">
        <f t="shared" si="23"/>
        <v>27.243454376256725</v>
      </c>
    </row>
    <row r="237" spans="2:22" x14ac:dyDescent="0.2">
      <c r="B237">
        <f t="shared" si="8"/>
        <v>128.03905</v>
      </c>
      <c r="D237" s="5">
        <v>45</v>
      </c>
      <c r="E237" s="28">
        <f t="shared" si="11"/>
        <v>2.1339841666666666</v>
      </c>
      <c r="F237" s="28">
        <f t="shared" si="24"/>
        <v>2.8453122222222222</v>
      </c>
      <c r="G237" s="28">
        <f t="shared" si="12"/>
        <v>3.5566402777777779</v>
      </c>
      <c r="I237" s="5">
        <v>45</v>
      </c>
      <c r="J237" s="28">
        <f t="shared" si="13"/>
        <v>2.1339841666666666</v>
      </c>
      <c r="K237" s="28">
        <f t="shared" si="14"/>
        <v>2.8453122222222222</v>
      </c>
      <c r="L237" s="28">
        <f t="shared" si="15"/>
        <v>3.5566402777777779</v>
      </c>
      <c r="R237" s="5">
        <v>45</v>
      </c>
      <c r="S237" s="28">
        <f t="shared" si="29"/>
        <v>5.0000000000000003E-10</v>
      </c>
      <c r="T237" s="28">
        <f t="shared" si="30"/>
        <v>5.0000000000000003E-10</v>
      </c>
      <c r="U237" s="28">
        <f t="shared" si="31"/>
        <v>5.0000000000000003E-10</v>
      </c>
      <c r="V237" s="28">
        <f t="shared" si="23"/>
        <v>26.638044279006575</v>
      </c>
    </row>
    <row r="238" spans="2:22" x14ac:dyDescent="0.2">
      <c r="B238">
        <f t="shared" si="8"/>
        <v>128.45355000000001</v>
      </c>
      <c r="D238" s="5">
        <v>46</v>
      </c>
      <c r="E238" s="28">
        <f t="shared" si="11"/>
        <v>2.0943513586956524</v>
      </c>
      <c r="F238" s="28">
        <f t="shared" si="24"/>
        <v>2.7924684782608695</v>
      </c>
      <c r="G238" s="28">
        <f t="shared" si="12"/>
        <v>3.4905855978260867</v>
      </c>
      <c r="I238" s="5">
        <v>46</v>
      </c>
      <c r="J238" s="28">
        <f t="shared" si="13"/>
        <v>2.0943513586956524</v>
      </c>
      <c r="K238" s="28">
        <f t="shared" si="14"/>
        <v>2.7924684782608695</v>
      </c>
      <c r="L238" s="28">
        <f t="shared" si="15"/>
        <v>3.4905855978260867</v>
      </c>
      <c r="R238" s="5">
        <v>46</v>
      </c>
      <c r="S238" s="28">
        <f t="shared" si="29"/>
        <v>5.0000000000000003E-10</v>
      </c>
      <c r="T238" s="28">
        <f t="shared" si="30"/>
        <v>5.0000000000000003E-10</v>
      </c>
      <c r="U238" s="28">
        <f t="shared" si="31"/>
        <v>5.0000000000000003E-10</v>
      </c>
      <c r="V238" s="28">
        <f t="shared" si="23"/>
        <v>26.058956359897735</v>
      </c>
    </row>
    <row r="239" spans="2:22" x14ac:dyDescent="0.2">
      <c r="B239">
        <f t="shared" si="8"/>
        <v>128.86805000000001</v>
      </c>
      <c r="D239" s="5">
        <v>47</v>
      </c>
      <c r="E239" s="28">
        <f t="shared" si="11"/>
        <v>2.0564050531914897</v>
      </c>
      <c r="F239" s="28">
        <f t="shared" si="24"/>
        <v>2.7418734042553194</v>
      </c>
      <c r="G239" s="28">
        <f t="shared" si="12"/>
        <v>3.4273417553191492</v>
      </c>
      <c r="I239" s="5">
        <v>47</v>
      </c>
      <c r="J239" s="28">
        <f t="shared" si="13"/>
        <v>2.0564050531914897</v>
      </c>
      <c r="K239" s="28">
        <f t="shared" si="14"/>
        <v>2.7418734042553194</v>
      </c>
      <c r="L239" s="28">
        <f t="shared" si="15"/>
        <v>3.4273417553191492</v>
      </c>
      <c r="R239" s="5">
        <v>47</v>
      </c>
      <c r="S239" s="28">
        <f t="shared" si="29"/>
        <v>5.0000000000000003E-10</v>
      </c>
      <c r="T239" s="28">
        <f t="shared" si="30"/>
        <v>5.0000000000000003E-10</v>
      </c>
      <c r="U239" s="28">
        <f t="shared" si="31"/>
        <v>5.0000000000000003E-10</v>
      </c>
      <c r="V239" s="28">
        <f t="shared" si="23"/>
        <v>25.504510479899913</v>
      </c>
    </row>
    <row r="240" spans="2:22" x14ac:dyDescent="0.2">
      <c r="B240">
        <f t="shared" si="8"/>
        <v>129.28255000000001</v>
      </c>
      <c r="D240" s="5">
        <v>48</v>
      </c>
      <c r="E240" s="28">
        <f t="shared" si="11"/>
        <v>2.0200398437500002</v>
      </c>
      <c r="F240" s="28">
        <f t="shared" si="24"/>
        <v>2.6933864583333338</v>
      </c>
      <c r="G240" s="28">
        <f t="shared" si="12"/>
        <v>3.3667330729166673</v>
      </c>
      <c r="I240" s="5">
        <v>48</v>
      </c>
      <c r="J240" s="28">
        <f t="shared" si="13"/>
        <v>2.0200398437500002</v>
      </c>
      <c r="K240" s="28">
        <f t="shared" si="14"/>
        <v>2.6933864583333338</v>
      </c>
      <c r="L240" s="28">
        <f t="shared" si="15"/>
        <v>3.3667330729166673</v>
      </c>
      <c r="R240" s="5">
        <v>48</v>
      </c>
      <c r="S240" s="28">
        <f t="shared" si="29"/>
        <v>5.0000000000000003E-10</v>
      </c>
      <c r="T240" s="28">
        <f t="shared" si="30"/>
        <v>5.0000000000000003E-10</v>
      </c>
      <c r="U240" s="28">
        <f t="shared" si="31"/>
        <v>5.0000000000000003E-10</v>
      </c>
      <c r="V240" s="28">
        <f t="shared" si="23"/>
        <v>24.973166511568664</v>
      </c>
    </row>
    <row r="241" spans="2:22" x14ac:dyDescent="0.2">
      <c r="B241">
        <f t="shared" si="8"/>
        <v>129.69705000000002</v>
      </c>
      <c r="D241" s="5">
        <v>49</v>
      </c>
      <c r="E241" s="28">
        <f t="shared" si="11"/>
        <v>1.9851589285714288</v>
      </c>
      <c r="F241" s="28">
        <f t="shared" si="24"/>
        <v>2.6468785714285716</v>
      </c>
      <c r="G241" s="28">
        <f t="shared" si="12"/>
        <v>3.3085982142857144</v>
      </c>
      <c r="I241" s="5">
        <v>49</v>
      </c>
      <c r="J241" s="28">
        <f t="shared" si="13"/>
        <v>1.9851589285714288</v>
      </c>
      <c r="K241" s="28">
        <f t="shared" si="14"/>
        <v>2.6468785714285716</v>
      </c>
      <c r="L241" s="28">
        <f t="shared" si="15"/>
        <v>3.3085982142857144</v>
      </c>
      <c r="R241" s="5">
        <v>49</v>
      </c>
      <c r="S241" s="28">
        <f t="shared" si="29"/>
        <v>5.0000000000000003E-10</v>
      </c>
      <c r="T241" s="28">
        <f t="shared" si="30"/>
        <v>5.0000000000000003E-10</v>
      </c>
      <c r="U241" s="28">
        <f t="shared" si="31"/>
        <v>5.0000000000000003E-10</v>
      </c>
      <c r="V241" s="28">
        <f t="shared" si="23"/>
        <v>24.463510052148894</v>
      </c>
    </row>
    <row r="242" spans="2:22" x14ac:dyDescent="0.2">
      <c r="B242">
        <f t="shared" si="8"/>
        <v>130.11154999999999</v>
      </c>
      <c r="D242" s="5">
        <v>50</v>
      </c>
      <c r="E242" s="28">
        <f t="shared" si="11"/>
        <v>1.9516732499999998</v>
      </c>
      <c r="F242" s="28">
        <f t="shared" si="24"/>
        <v>2.6022309999999997</v>
      </c>
      <c r="G242" s="28">
        <f t="shared" si="12"/>
        <v>3.2527887499999997</v>
      </c>
      <c r="I242" s="5">
        <v>50</v>
      </c>
      <c r="J242" s="28">
        <f t="shared" si="13"/>
        <v>1.9516732499999998</v>
      </c>
      <c r="K242" s="28">
        <f t="shared" si="14"/>
        <v>2.6022309999999997</v>
      </c>
      <c r="L242" s="28">
        <f t="shared" si="15"/>
        <v>3.2527887499999997</v>
      </c>
      <c r="R242" s="5">
        <v>50</v>
      </c>
      <c r="S242" s="28">
        <f t="shared" si="29"/>
        <v>5.0000000000000003E-10</v>
      </c>
      <c r="T242" s="28">
        <f t="shared" si="30"/>
        <v>5.0000000000000003E-10</v>
      </c>
      <c r="U242" s="28">
        <f t="shared" si="31"/>
        <v>5.0000000000000003E-10</v>
      </c>
      <c r="V242" s="28">
        <f t="shared" si="23"/>
        <v>23.974239851105917</v>
      </c>
    </row>
    <row r="243" spans="2:22" x14ac:dyDescent="0.2">
      <c r="B243">
        <f t="shared" si="8"/>
        <v>130.52605</v>
      </c>
      <c r="D243" s="5">
        <v>51</v>
      </c>
      <c r="E243" s="28">
        <f t="shared" si="11"/>
        <v>1.9195007352941178</v>
      </c>
      <c r="F243" s="28">
        <f t="shared" si="24"/>
        <v>2.5593343137254903</v>
      </c>
      <c r="G243" s="28">
        <f t="shared" si="12"/>
        <v>3.1991678921568627</v>
      </c>
      <c r="I243" s="5">
        <v>51</v>
      </c>
      <c r="J243" s="28">
        <f t="shared" si="13"/>
        <v>1.9195007352941178</v>
      </c>
      <c r="K243" s="28">
        <f t="shared" si="14"/>
        <v>2.5593343137254903</v>
      </c>
      <c r="L243" s="28">
        <f t="shared" si="15"/>
        <v>3.1991678921568627</v>
      </c>
      <c r="R243" s="5">
        <v>51</v>
      </c>
      <c r="S243" s="28">
        <f t="shared" si="29"/>
        <v>5.0000000000000003E-10</v>
      </c>
      <c r="T243" s="28">
        <f t="shared" si="30"/>
        <v>5.0000000000000003E-10</v>
      </c>
      <c r="U243" s="28">
        <f t="shared" si="31"/>
        <v>5.0000000000000003E-10</v>
      </c>
      <c r="V243" s="28">
        <f t="shared" si="23"/>
        <v>23.504156716770506</v>
      </c>
    </row>
    <row r="244" spans="2:22" x14ac:dyDescent="0.2">
      <c r="B244">
        <f t="shared" si="8"/>
        <v>130.94055</v>
      </c>
      <c r="D244" s="5">
        <v>52</v>
      </c>
      <c r="E244" s="28">
        <f t="shared" si="11"/>
        <v>1.888565625</v>
      </c>
      <c r="F244" s="28">
        <f t="shared" si="24"/>
        <v>2.5180875</v>
      </c>
      <c r="G244" s="28">
        <f t="shared" si="12"/>
        <v>3.147609375</v>
      </c>
      <c r="I244" s="5">
        <v>52</v>
      </c>
      <c r="J244" s="28">
        <f t="shared" si="13"/>
        <v>1.888565625</v>
      </c>
      <c r="K244" s="28">
        <f t="shared" si="14"/>
        <v>2.5180875</v>
      </c>
      <c r="L244" s="28">
        <f t="shared" si="15"/>
        <v>3.147609375</v>
      </c>
      <c r="R244" s="5">
        <v>52</v>
      </c>
      <c r="S244" s="28">
        <f t="shared" si="29"/>
        <v>5.0000000000000003E-10</v>
      </c>
      <c r="T244" s="28">
        <f t="shared" si="30"/>
        <v>5.0000000000000003E-10</v>
      </c>
      <c r="U244" s="28">
        <f t="shared" si="31"/>
        <v>5.0000000000000003E-10</v>
      </c>
      <c r="V244" s="28">
        <f t="shared" si="23"/>
        <v>23.052153702986459</v>
      </c>
    </row>
    <row r="245" spans="2:22" x14ac:dyDescent="0.2">
      <c r="B245">
        <f t="shared" si="8"/>
        <v>131.35505000000001</v>
      </c>
      <c r="D245" s="5">
        <v>53</v>
      </c>
      <c r="E245" s="28">
        <f t="shared" si="11"/>
        <v>1.8587978773584906</v>
      </c>
      <c r="F245" s="28">
        <f t="shared" si="24"/>
        <v>2.4783971698113207</v>
      </c>
      <c r="G245" s="28">
        <f t="shared" si="12"/>
        <v>3.0979964622641507</v>
      </c>
      <c r="I245" s="5">
        <v>53</v>
      </c>
      <c r="J245" s="28">
        <f t="shared" si="13"/>
        <v>1.8587978773584906</v>
      </c>
      <c r="K245" s="28">
        <f t="shared" si="14"/>
        <v>2.4783971698113207</v>
      </c>
      <c r="L245" s="28">
        <f t="shared" si="15"/>
        <v>3.0979964622641507</v>
      </c>
      <c r="R245" s="5">
        <v>53</v>
      </c>
      <c r="S245" s="28">
        <f t="shared" si="29"/>
        <v>5.0000000000000003E-10</v>
      </c>
      <c r="T245" s="28">
        <f t="shared" si="30"/>
        <v>5.0000000000000003E-10</v>
      </c>
      <c r="U245" s="28">
        <f t="shared" si="31"/>
        <v>5.0000000000000003E-10</v>
      </c>
      <c r="V245" s="28">
        <f t="shared" si="23"/>
        <v>22.617207406703695</v>
      </c>
    </row>
    <row r="246" spans="2:22" x14ac:dyDescent="0.2">
      <c r="B246">
        <f t="shared" si="8"/>
        <v>131.76955000000001</v>
      </c>
      <c r="D246" s="5">
        <v>54</v>
      </c>
      <c r="E246" s="28">
        <f t="shared" si="11"/>
        <v>1.8301326388888888</v>
      </c>
      <c r="F246" s="28">
        <f t="shared" si="24"/>
        <v>2.4401768518518518</v>
      </c>
      <c r="G246" s="28">
        <f t="shared" si="12"/>
        <v>3.0502210648148149</v>
      </c>
      <c r="I246" s="5">
        <v>54</v>
      </c>
      <c r="J246" s="28">
        <f t="shared" si="13"/>
        <v>1.8301326388888888</v>
      </c>
      <c r="K246" s="28">
        <f t="shared" si="14"/>
        <v>2.4401768518518518</v>
      </c>
      <c r="L246" s="28">
        <f t="shared" si="15"/>
        <v>3.0502210648148149</v>
      </c>
      <c r="R246" s="5">
        <v>54</v>
      </c>
      <c r="S246" s="28">
        <f t="shared" si="29"/>
        <v>5.0000000000000003E-10</v>
      </c>
      <c r="T246" s="28">
        <f t="shared" si="30"/>
        <v>5.0000000000000003E-10</v>
      </c>
      <c r="U246" s="28">
        <f t="shared" si="31"/>
        <v>5.0000000000000003E-10</v>
      </c>
      <c r="V246" s="28">
        <f t="shared" si="23"/>
        <v>22.198370232505479</v>
      </c>
    </row>
    <row r="247" spans="2:22" x14ac:dyDescent="0.2">
      <c r="B247">
        <f t="shared" si="8"/>
        <v>132.18405000000001</v>
      </c>
      <c r="D247" s="5">
        <v>55</v>
      </c>
      <c r="E247" s="28">
        <f t="shared" si="11"/>
        <v>1.8025097727272728</v>
      </c>
      <c r="F247" s="28">
        <f t="shared" si="24"/>
        <v>2.4033463636363637</v>
      </c>
      <c r="G247" s="28">
        <f t="shared" si="12"/>
        <v>3.0041829545454544</v>
      </c>
      <c r="I247" s="5">
        <v>55</v>
      </c>
      <c r="J247" s="28">
        <f t="shared" si="13"/>
        <v>1.8025097727272728</v>
      </c>
      <c r="K247" s="28">
        <f t="shared" si="14"/>
        <v>2.4033463636363637</v>
      </c>
      <c r="L247" s="28">
        <f t="shared" si="15"/>
        <v>3.0041829545454544</v>
      </c>
      <c r="R247" s="5">
        <v>55</v>
      </c>
      <c r="S247" s="28">
        <f t="shared" si="29"/>
        <v>5.0000000000000003E-10</v>
      </c>
      <c r="T247" s="28">
        <f t="shared" si="30"/>
        <v>5.0000000000000003E-10</v>
      </c>
      <c r="U247" s="28">
        <f t="shared" si="31"/>
        <v>5.0000000000000003E-10</v>
      </c>
      <c r="V247" s="28">
        <f t="shared" si="23"/>
        <v>21.794763501005381</v>
      </c>
    </row>
    <row r="248" spans="2:22" x14ac:dyDescent="0.2">
      <c r="B248">
        <f t="shared" si="8"/>
        <v>132.59855000000002</v>
      </c>
      <c r="D248" s="5">
        <v>56</v>
      </c>
      <c r="E248" s="28">
        <f t="shared" si="11"/>
        <v>1.7758734375000005</v>
      </c>
      <c r="F248" s="28">
        <f t="shared" si="24"/>
        <v>2.3678312500000005</v>
      </c>
      <c r="G248" s="28">
        <f t="shared" si="12"/>
        <v>2.9597890625000005</v>
      </c>
      <c r="I248" s="5">
        <v>56</v>
      </c>
      <c r="J248" s="28">
        <f t="shared" si="13"/>
        <v>1.7758734375000005</v>
      </c>
      <c r="K248" s="28">
        <f t="shared" si="14"/>
        <v>2.3678312500000005</v>
      </c>
      <c r="L248" s="28">
        <f t="shared" si="15"/>
        <v>2.9597890625000005</v>
      </c>
      <c r="R248" s="5">
        <v>56</v>
      </c>
      <c r="S248" s="28">
        <f t="shared" si="29"/>
        <v>5.0000000000000003E-10</v>
      </c>
      <c r="T248" s="28">
        <f t="shared" si="30"/>
        <v>5.0000000000000003E-10</v>
      </c>
      <c r="U248" s="28">
        <f t="shared" si="31"/>
        <v>5.0000000000000003E-10</v>
      </c>
      <c r="V248" s="28">
        <f t="shared" si="23"/>
        <v>21.405571295630285</v>
      </c>
    </row>
    <row r="249" spans="2:22" x14ac:dyDescent="0.2">
      <c r="B249">
        <f t="shared" si="8"/>
        <v>133.01305000000002</v>
      </c>
      <c r="D249" s="5">
        <v>57</v>
      </c>
      <c r="E249" s="28">
        <f t="shared" si="11"/>
        <v>1.7501717105263161</v>
      </c>
      <c r="F249" s="28">
        <f t="shared" si="24"/>
        <v>2.3335622807017549</v>
      </c>
      <c r="G249" s="28">
        <f t="shared" si="12"/>
        <v>2.9169528508771938</v>
      </c>
      <c r="I249" s="5">
        <v>57</v>
      </c>
      <c r="J249" s="28">
        <f t="shared" si="13"/>
        <v>1.7501717105263161</v>
      </c>
      <c r="K249" s="28">
        <f t="shared" si="14"/>
        <v>2.3335622807017549</v>
      </c>
      <c r="L249" s="28">
        <f t="shared" si="15"/>
        <v>2.9169528508771938</v>
      </c>
      <c r="R249" s="5">
        <v>57</v>
      </c>
      <c r="S249" s="28">
        <f t="shared" si="29"/>
        <v>5.0000000000000003E-10</v>
      </c>
      <c r="T249" s="28">
        <f t="shared" si="30"/>
        <v>5.0000000000000003E-10</v>
      </c>
      <c r="U249" s="28">
        <f t="shared" si="31"/>
        <v>5.0000000000000003E-10</v>
      </c>
      <c r="V249" s="28">
        <f t="shared" si="23"/>
        <v>21.030034957110455</v>
      </c>
    </row>
    <row r="250" spans="2:22" x14ac:dyDescent="0.2">
      <c r="B250">
        <f t="shared" si="8"/>
        <v>133.42755</v>
      </c>
      <c r="D250" s="5">
        <v>58</v>
      </c>
      <c r="E250" s="28">
        <f t="shared" si="11"/>
        <v>1.7253562499999999</v>
      </c>
      <c r="F250" s="28">
        <f t="shared" si="24"/>
        <v>2.300475</v>
      </c>
      <c r="G250" s="28">
        <f t="shared" si="12"/>
        <v>2.8755937500000002</v>
      </c>
      <c r="I250" s="5">
        <v>58</v>
      </c>
      <c r="J250" s="28">
        <f t="shared" si="13"/>
        <v>1.7253562499999999</v>
      </c>
      <c r="K250" s="28">
        <f t="shared" si="14"/>
        <v>2.300475</v>
      </c>
      <c r="L250" s="28">
        <f t="shared" si="15"/>
        <v>2.8755937500000002</v>
      </c>
      <c r="R250" s="26">
        <v>58</v>
      </c>
      <c r="S250" s="28">
        <f t="shared" ref="S250:S272" si="32">IF($R250&gt;$F$177,0.0000000005,J250)</f>
        <v>5.0000000000000003E-10</v>
      </c>
      <c r="T250" s="28">
        <f t="shared" ref="T250:T272" si="33">IF($R250&gt;$F$177,0.0000000005,K250)</f>
        <v>5.0000000000000003E-10</v>
      </c>
      <c r="U250" s="28">
        <f t="shared" ref="U250:U272" si="34">IF($R250&gt;$F$177,0.0000000005,L250)</f>
        <v>5.0000000000000003E-10</v>
      </c>
      <c r="V250" s="28">
        <f t="shared" ref="V250:V272" si="35">$X$193/R250</f>
        <v>20.667448147505102</v>
      </c>
    </row>
    <row r="251" spans="2:22" x14ac:dyDescent="0.2">
      <c r="B251">
        <f t="shared" si="8"/>
        <v>133.84205</v>
      </c>
      <c r="D251" s="5">
        <v>59</v>
      </c>
      <c r="E251" s="28">
        <f t="shared" si="11"/>
        <v>1.7013819915254236</v>
      </c>
      <c r="F251" s="28">
        <f t="shared" si="24"/>
        <v>2.2685093220338981</v>
      </c>
      <c r="G251" s="28">
        <f t="shared" si="12"/>
        <v>2.8356366525423726</v>
      </c>
      <c r="I251" s="5">
        <v>59</v>
      </c>
      <c r="J251" s="28">
        <f t="shared" si="13"/>
        <v>1.7013819915254236</v>
      </c>
      <c r="K251" s="28">
        <f t="shared" si="14"/>
        <v>2.2685093220338981</v>
      </c>
      <c r="L251" s="28">
        <f t="shared" si="15"/>
        <v>2.8356366525423726</v>
      </c>
      <c r="R251" s="26">
        <v>59</v>
      </c>
      <c r="S251" s="28">
        <f t="shared" si="32"/>
        <v>5.0000000000000003E-10</v>
      </c>
      <c r="T251" s="28">
        <f t="shared" si="33"/>
        <v>5.0000000000000003E-10</v>
      </c>
      <c r="U251" s="28">
        <f t="shared" si="34"/>
        <v>5.0000000000000003E-10</v>
      </c>
      <c r="V251" s="28">
        <f t="shared" si="35"/>
        <v>20.317152416191455</v>
      </c>
    </row>
    <row r="252" spans="2:22" x14ac:dyDescent="0.2">
      <c r="B252">
        <f t="shared" si="8"/>
        <v>134.25655</v>
      </c>
      <c r="D252" s="5">
        <v>60</v>
      </c>
      <c r="E252" s="28">
        <f t="shared" si="11"/>
        <v>1.6782068749999999</v>
      </c>
      <c r="F252" s="28">
        <f t="shared" si="24"/>
        <v>2.2376091666666666</v>
      </c>
      <c r="G252" s="28">
        <f t="shared" si="12"/>
        <v>2.7970114583333334</v>
      </c>
      <c r="I252" s="5">
        <v>60</v>
      </c>
      <c r="J252" s="28">
        <f t="shared" si="13"/>
        <v>1.6782068749999999</v>
      </c>
      <c r="K252" s="28">
        <f t="shared" si="14"/>
        <v>2.2376091666666666</v>
      </c>
      <c r="L252" s="28">
        <f t="shared" si="15"/>
        <v>2.7970114583333334</v>
      </c>
      <c r="R252" s="26">
        <v>60</v>
      </c>
      <c r="S252" s="28">
        <f t="shared" si="32"/>
        <v>5.0000000000000003E-10</v>
      </c>
      <c r="T252" s="28">
        <f t="shared" si="33"/>
        <v>5.0000000000000003E-10</v>
      </c>
      <c r="U252" s="28">
        <f t="shared" si="34"/>
        <v>5.0000000000000003E-10</v>
      </c>
      <c r="V252" s="28">
        <f t="shared" si="35"/>
        <v>19.97853320925493</v>
      </c>
    </row>
    <row r="253" spans="2:22" x14ac:dyDescent="0.2">
      <c r="B253">
        <f t="shared" si="8"/>
        <v>134.67105000000001</v>
      </c>
      <c r="D253" s="5">
        <v>61</v>
      </c>
      <c r="E253" s="28">
        <f t="shared" si="11"/>
        <v>1.6557915983606559</v>
      </c>
      <c r="F253" s="28">
        <f t="shared" si="24"/>
        <v>2.2077221311475412</v>
      </c>
      <c r="G253" s="28">
        <f t="shared" si="12"/>
        <v>2.7596526639344265</v>
      </c>
      <c r="I253" s="5">
        <v>61</v>
      </c>
      <c r="J253" s="28">
        <f t="shared" si="13"/>
        <v>1.6557915983606559</v>
      </c>
      <c r="K253" s="28">
        <f t="shared" si="14"/>
        <v>2.2077221311475412</v>
      </c>
      <c r="L253" s="28">
        <f t="shared" si="15"/>
        <v>2.7596526639344265</v>
      </c>
      <c r="R253" s="5">
        <v>61</v>
      </c>
      <c r="S253" s="28">
        <f t="shared" si="32"/>
        <v>5.0000000000000003E-10</v>
      </c>
      <c r="T253" s="28">
        <f t="shared" si="33"/>
        <v>5.0000000000000003E-10</v>
      </c>
      <c r="U253" s="28">
        <f t="shared" si="34"/>
        <v>5.0000000000000003E-10</v>
      </c>
      <c r="V253" s="28">
        <f t="shared" si="35"/>
        <v>19.651016271398294</v>
      </c>
    </row>
    <row r="254" spans="2:22" x14ac:dyDescent="0.2">
      <c r="B254">
        <f t="shared" si="8"/>
        <v>135.08555000000001</v>
      </c>
      <c r="D254" s="5">
        <v>62</v>
      </c>
      <c r="E254" s="28">
        <f t="shared" si="11"/>
        <v>1.6340993951612903</v>
      </c>
      <c r="F254" s="28">
        <f t="shared" si="24"/>
        <v>2.1787991935483872</v>
      </c>
      <c r="G254" s="28">
        <f t="shared" si="12"/>
        <v>2.7234989919354842</v>
      </c>
      <c r="I254" s="5">
        <v>62</v>
      </c>
      <c r="J254" s="28">
        <f t="shared" si="13"/>
        <v>1.6340993951612903</v>
      </c>
      <c r="K254" s="28">
        <f t="shared" si="14"/>
        <v>2.1787991935483872</v>
      </c>
      <c r="L254" s="28">
        <f t="shared" si="15"/>
        <v>2.7234989919354842</v>
      </c>
      <c r="R254" s="5">
        <v>62</v>
      </c>
      <c r="S254" s="28">
        <f t="shared" si="32"/>
        <v>5.0000000000000003E-10</v>
      </c>
      <c r="T254" s="28">
        <f t="shared" si="33"/>
        <v>5.0000000000000003E-10</v>
      </c>
      <c r="U254" s="28">
        <f t="shared" si="34"/>
        <v>5.0000000000000003E-10</v>
      </c>
      <c r="V254" s="28">
        <f t="shared" si="35"/>
        <v>19.334064396053158</v>
      </c>
    </row>
    <row r="255" spans="2:22" x14ac:dyDescent="0.2">
      <c r="B255">
        <f t="shared" si="8"/>
        <v>135.50005000000002</v>
      </c>
      <c r="D255" s="5">
        <v>63</v>
      </c>
      <c r="E255" s="28">
        <f t="shared" si="11"/>
        <v>1.6130958333333334</v>
      </c>
      <c r="F255" s="28">
        <f t="shared" si="24"/>
        <v>2.1507944444444447</v>
      </c>
      <c r="G255" s="28">
        <f t="shared" si="12"/>
        <v>2.688493055555556</v>
      </c>
      <c r="I255" s="5">
        <v>63</v>
      </c>
      <c r="J255" s="28">
        <f t="shared" si="13"/>
        <v>1.6130958333333334</v>
      </c>
      <c r="K255" s="28">
        <f t="shared" si="14"/>
        <v>2.1507944444444447</v>
      </c>
      <c r="L255" s="28">
        <f t="shared" si="15"/>
        <v>2.688493055555556</v>
      </c>
      <c r="R255" s="5">
        <v>63</v>
      </c>
      <c r="S255" s="28">
        <f t="shared" si="32"/>
        <v>5.0000000000000003E-10</v>
      </c>
      <c r="T255" s="28">
        <f t="shared" si="33"/>
        <v>5.0000000000000003E-10</v>
      </c>
      <c r="U255" s="28">
        <f t="shared" si="34"/>
        <v>5.0000000000000003E-10</v>
      </c>
      <c r="V255" s="28">
        <f t="shared" si="35"/>
        <v>19.027174485004696</v>
      </c>
    </row>
    <row r="256" spans="2:22" x14ac:dyDescent="0.2">
      <c r="B256">
        <f t="shared" si="8"/>
        <v>135.91455000000002</v>
      </c>
      <c r="D256" s="5">
        <v>64</v>
      </c>
      <c r="E256" s="28">
        <f t="shared" si="11"/>
        <v>1.5927486328125002</v>
      </c>
      <c r="F256" s="28">
        <f t="shared" si="24"/>
        <v>2.1236648437500003</v>
      </c>
      <c r="G256" s="28">
        <f t="shared" si="12"/>
        <v>2.6545810546875002</v>
      </c>
      <c r="I256" s="5">
        <v>64</v>
      </c>
      <c r="J256" s="28">
        <f t="shared" si="13"/>
        <v>1.5927486328125002</v>
      </c>
      <c r="K256" s="28">
        <f t="shared" si="14"/>
        <v>2.1236648437500003</v>
      </c>
      <c r="L256" s="28">
        <f t="shared" si="15"/>
        <v>2.6545810546875002</v>
      </c>
      <c r="R256" s="5">
        <v>64</v>
      </c>
      <c r="S256" s="28">
        <f t="shared" si="32"/>
        <v>5.0000000000000003E-10</v>
      </c>
      <c r="T256" s="28">
        <f t="shared" si="33"/>
        <v>5.0000000000000003E-10</v>
      </c>
      <c r="U256" s="28">
        <f t="shared" si="34"/>
        <v>5.0000000000000003E-10</v>
      </c>
      <c r="V256" s="28">
        <f t="shared" si="35"/>
        <v>18.729874883676498</v>
      </c>
    </row>
    <row r="257" spans="2:22" x14ac:dyDescent="0.2">
      <c r="B257">
        <f t="shared" si="8"/>
        <v>136.32905</v>
      </c>
      <c r="D257" s="5">
        <v>65</v>
      </c>
      <c r="E257" s="28">
        <f t="shared" si="11"/>
        <v>1.5730274999999998</v>
      </c>
      <c r="F257" s="28">
        <f t="shared" ref="F257:F272" si="36">($F$184+(D257-VINMAX)*$E$277/$E$278)/D257</f>
        <v>2.0973699999999997</v>
      </c>
      <c r="G257" s="28">
        <f t="shared" si="12"/>
        <v>2.6217124999999997</v>
      </c>
      <c r="I257" s="5">
        <v>65</v>
      </c>
      <c r="J257" s="28">
        <f t="shared" si="13"/>
        <v>1.5730274999999998</v>
      </c>
      <c r="K257" s="28">
        <f t="shared" si="14"/>
        <v>2.0973699999999997</v>
      </c>
      <c r="L257" s="28">
        <f t="shared" si="15"/>
        <v>2.6217124999999997</v>
      </c>
      <c r="R257" s="5">
        <v>65</v>
      </c>
      <c r="S257" s="28">
        <f t="shared" si="32"/>
        <v>5.0000000000000003E-10</v>
      </c>
      <c r="T257" s="28">
        <f t="shared" si="33"/>
        <v>5.0000000000000003E-10</v>
      </c>
      <c r="U257" s="28">
        <f t="shared" si="34"/>
        <v>5.0000000000000003E-10</v>
      </c>
      <c r="V257" s="28">
        <f t="shared" si="35"/>
        <v>18.441722962389168</v>
      </c>
    </row>
    <row r="258" spans="2:22" x14ac:dyDescent="0.2">
      <c r="B258">
        <f t="shared" ref="B258:B272" si="37">D258*F258</f>
        <v>136.74355</v>
      </c>
      <c r="D258" s="5">
        <v>66</v>
      </c>
      <c r="E258" s="28">
        <f t="shared" si="11"/>
        <v>1.5539039772727272</v>
      </c>
      <c r="F258" s="28">
        <f t="shared" si="36"/>
        <v>2.0718719696969696</v>
      </c>
      <c r="G258" s="28">
        <f t="shared" si="12"/>
        <v>2.589839962121212</v>
      </c>
      <c r="I258" s="5">
        <v>66</v>
      </c>
      <c r="J258" s="28">
        <f t="shared" si="13"/>
        <v>1.5539039772727272</v>
      </c>
      <c r="K258" s="28">
        <f t="shared" si="14"/>
        <v>2.0718719696969696</v>
      </c>
      <c r="L258" s="28">
        <f t="shared" si="15"/>
        <v>2.589839962121212</v>
      </c>
      <c r="R258" s="5">
        <v>66</v>
      </c>
      <c r="S258" s="28">
        <f t="shared" si="32"/>
        <v>5.0000000000000003E-10</v>
      </c>
      <c r="T258" s="28">
        <f t="shared" si="33"/>
        <v>5.0000000000000003E-10</v>
      </c>
      <c r="U258" s="28">
        <f t="shared" si="34"/>
        <v>5.0000000000000003E-10</v>
      </c>
      <c r="V258" s="28">
        <f t="shared" si="35"/>
        <v>18.162302917504483</v>
      </c>
    </row>
    <row r="259" spans="2:22" x14ac:dyDescent="0.2">
      <c r="B259">
        <f t="shared" si="37"/>
        <v>137.15805</v>
      </c>
      <c r="D259" s="5">
        <v>67</v>
      </c>
      <c r="E259" s="28">
        <f t="shared" si="11"/>
        <v>1.5353513059701491</v>
      </c>
      <c r="F259" s="28">
        <f t="shared" si="36"/>
        <v>2.0471350746268655</v>
      </c>
      <c r="G259" s="28">
        <f t="shared" si="12"/>
        <v>2.5589188432835819</v>
      </c>
      <c r="I259" s="5">
        <v>67</v>
      </c>
      <c r="J259" s="28">
        <f t="shared" si="13"/>
        <v>1.5353513059701491</v>
      </c>
      <c r="K259" s="28">
        <f t="shared" si="14"/>
        <v>2.0471350746268655</v>
      </c>
      <c r="L259" s="28">
        <f t="shared" si="15"/>
        <v>2.5589188432835819</v>
      </c>
      <c r="R259" s="5">
        <v>67</v>
      </c>
      <c r="S259" s="28">
        <f t="shared" si="32"/>
        <v>5.0000000000000003E-10</v>
      </c>
      <c r="T259" s="28">
        <f t="shared" si="33"/>
        <v>5.0000000000000003E-10</v>
      </c>
      <c r="U259" s="28">
        <f t="shared" si="34"/>
        <v>5.0000000000000003E-10</v>
      </c>
      <c r="V259" s="28">
        <f t="shared" si="35"/>
        <v>17.891223769482028</v>
      </c>
    </row>
    <row r="260" spans="2:22" x14ac:dyDescent="0.2">
      <c r="B260">
        <f t="shared" si="37"/>
        <v>137.57255000000001</v>
      </c>
      <c r="D260" s="5">
        <v>68</v>
      </c>
      <c r="E260" s="28">
        <f t="shared" si="11"/>
        <v>1.5173443014705885</v>
      </c>
      <c r="F260" s="28">
        <f t="shared" si="36"/>
        <v>2.0231257352941179</v>
      </c>
      <c r="G260" s="28">
        <f t="shared" si="12"/>
        <v>2.5289071691176472</v>
      </c>
      <c r="I260" s="5">
        <v>68</v>
      </c>
      <c r="J260" s="28">
        <f t="shared" si="13"/>
        <v>1.5173443014705885</v>
      </c>
      <c r="K260" s="28">
        <f t="shared" si="14"/>
        <v>2.0231257352941179</v>
      </c>
      <c r="L260" s="28">
        <f t="shared" si="15"/>
        <v>2.5289071691176472</v>
      </c>
      <c r="R260" s="5">
        <v>68</v>
      </c>
      <c r="S260" s="28">
        <f t="shared" si="32"/>
        <v>5.0000000000000003E-10</v>
      </c>
      <c r="T260" s="28">
        <f t="shared" si="33"/>
        <v>5.0000000000000003E-10</v>
      </c>
      <c r="U260" s="28">
        <f t="shared" si="34"/>
        <v>5.0000000000000003E-10</v>
      </c>
      <c r="V260" s="28">
        <f t="shared" si="35"/>
        <v>17.628117537577879</v>
      </c>
    </row>
    <row r="261" spans="2:22" x14ac:dyDescent="0.2">
      <c r="B261">
        <f t="shared" si="37"/>
        <v>137.98705000000001</v>
      </c>
      <c r="D261" s="5">
        <v>69</v>
      </c>
      <c r="E261" s="28">
        <f t="shared" si="11"/>
        <v>1.4998592391304348</v>
      </c>
      <c r="F261" s="28">
        <f t="shared" si="36"/>
        <v>1.9998123188405799</v>
      </c>
      <c r="G261" s="28">
        <f t="shared" si="12"/>
        <v>2.4997653985507249</v>
      </c>
      <c r="I261" s="5">
        <v>69</v>
      </c>
      <c r="J261" s="28">
        <f t="shared" si="13"/>
        <v>1.4998592391304348</v>
      </c>
      <c r="K261" s="28">
        <f t="shared" si="14"/>
        <v>1.9998123188405799</v>
      </c>
      <c r="L261" s="28">
        <f t="shared" si="15"/>
        <v>2.4997653985507249</v>
      </c>
      <c r="R261" s="5">
        <v>69</v>
      </c>
      <c r="S261" s="28">
        <f t="shared" si="32"/>
        <v>5.0000000000000003E-10</v>
      </c>
      <c r="T261" s="28">
        <f t="shared" si="33"/>
        <v>5.0000000000000003E-10</v>
      </c>
      <c r="U261" s="28">
        <f t="shared" si="34"/>
        <v>5.0000000000000003E-10</v>
      </c>
      <c r="V261" s="28">
        <f t="shared" si="35"/>
        <v>17.372637573265159</v>
      </c>
    </row>
    <row r="262" spans="2:22" x14ac:dyDescent="0.2">
      <c r="B262">
        <f t="shared" si="37"/>
        <v>138.40155000000001</v>
      </c>
      <c r="D262" s="5">
        <v>70</v>
      </c>
      <c r="E262" s="28">
        <f t="shared" si="11"/>
        <v>1.4828737500000002</v>
      </c>
      <c r="F262" s="28">
        <f t="shared" si="36"/>
        <v>1.9771650000000003</v>
      </c>
      <c r="G262" s="28">
        <f t="shared" si="12"/>
        <v>2.4714562500000001</v>
      </c>
      <c r="I262" s="5">
        <v>70</v>
      </c>
      <c r="J262" s="28">
        <f t="shared" si="13"/>
        <v>1.4828737500000002</v>
      </c>
      <c r="K262" s="28">
        <f t="shared" si="14"/>
        <v>1.9771650000000003</v>
      </c>
      <c r="L262" s="28">
        <f t="shared" si="15"/>
        <v>2.4714562500000001</v>
      </c>
      <c r="R262" s="5">
        <v>70</v>
      </c>
      <c r="S262" s="28">
        <f t="shared" si="32"/>
        <v>5.0000000000000003E-10</v>
      </c>
      <c r="T262" s="28">
        <f t="shared" si="33"/>
        <v>5.0000000000000003E-10</v>
      </c>
      <c r="U262" s="28">
        <f t="shared" si="34"/>
        <v>5.0000000000000003E-10</v>
      </c>
      <c r="V262" s="28">
        <f t="shared" si="35"/>
        <v>17.124457036504225</v>
      </c>
    </row>
    <row r="263" spans="2:22" x14ac:dyDescent="0.2">
      <c r="B263">
        <f t="shared" si="37"/>
        <v>138.81605000000002</v>
      </c>
      <c r="D263" s="5">
        <v>71</v>
      </c>
      <c r="E263" s="28">
        <f t="shared" si="11"/>
        <v>1.4663667253521129</v>
      </c>
      <c r="F263" s="28">
        <f t="shared" si="36"/>
        <v>1.9551556338028171</v>
      </c>
      <c r="G263" s="28">
        <f t="shared" si="12"/>
        <v>2.4439445422535213</v>
      </c>
      <c r="I263" s="5">
        <v>71</v>
      </c>
      <c r="J263" s="28">
        <f t="shared" si="13"/>
        <v>1.4663667253521129</v>
      </c>
      <c r="K263" s="28">
        <f t="shared" si="14"/>
        <v>1.9551556338028171</v>
      </c>
      <c r="L263" s="28">
        <f t="shared" si="15"/>
        <v>2.4439445422535213</v>
      </c>
      <c r="R263" s="5">
        <v>71</v>
      </c>
      <c r="S263" s="28">
        <f t="shared" si="32"/>
        <v>5.0000000000000003E-10</v>
      </c>
      <c r="T263" s="28">
        <f t="shared" si="33"/>
        <v>5.0000000000000003E-10</v>
      </c>
      <c r="U263" s="28">
        <f t="shared" si="34"/>
        <v>5.0000000000000003E-10</v>
      </c>
      <c r="V263" s="28">
        <f t="shared" si="35"/>
        <v>16.883267500778814</v>
      </c>
    </row>
    <row r="264" spans="2:22" x14ac:dyDescent="0.2">
      <c r="B264">
        <f t="shared" si="37"/>
        <v>139.23054999999999</v>
      </c>
      <c r="D264" s="5">
        <v>72</v>
      </c>
      <c r="E264" s="28">
        <f t="shared" si="11"/>
        <v>1.4503182291666668</v>
      </c>
      <c r="F264" s="28">
        <f t="shared" si="36"/>
        <v>1.9337576388888889</v>
      </c>
      <c r="G264" s="28">
        <f t="shared" si="12"/>
        <v>2.417197048611111</v>
      </c>
      <c r="I264" s="5">
        <v>72</v>
      </c>
      <c r="J264" s="28">
        <f t="shared" si="13"/>
        <v>1.4503182291666668</v>
      </c>
      <c r="K264" s="28">
        <f t="shared" si="14"/>
        <v>1.9337576388888889</v>
      </c>
      <c r="L264" s="28">
        <f t="shared" si="15"/>
        <v>2.417197048611111</v>
      </c>
      <c r="R264" s="5">
        <v>72</v>
      </c>
      <c r="S264" s="28">
        <f t="shared" si="32"/>
        <v>5.0000000000000003E-10</v>
      </c>
      <c r="T264" s="28">
        <f t="shared" si="33"/>
        <v>5.0000000000000003E-10</v>
      </c>
      <c r="U264" s="28">
        <f t="shared" si="34"/>
        <v>5.0000000000000003E-10</v>
      </c>
      <c r="V264" s="28">
        <f t="shared" si="35"/>
        <v>16.648777674379108</v>
      </c>
    </row>
    <row r="265" spans="2:22" x14ac:dyDescent="0.2">
      <c r="B265">
        <f t="shared" si="37"/>
        <v>139.64505</v>
      </c>
      <c r="D265" s="5">
        <v>73</v>
      </c>
      <c r="E265" s="28">
        <f t="shared" si="11"/>
        <v>1.4347094178082191</v>
      </c>
      <c r="F265" s="28">
        <f t="shared" si="36"/>
        <v>1.9129458904109589</v>
      </c>
      <c r="G265" s="28">
        <f t="shared" si="12"/>
        <v>2.3911823630136988</v>
      </c>
      <c r="I265" s="5">
        <v>73</v>
      </c>
      <c r="J265" s="28">
        <f t="shared" si="13"/>
        <v>1.4347094178082191</v>
      </c>
      <c r="K265" s="28">
        <f t="shared" si="14"/>
        <v>1.9129458904109589</v>
      </c>
      <c r="L265" s="28">
        <f t="shared" si="15"/>
        <v>2.3911823630136988</v>
      </c>
      <c r="R265" s="5">
        <v>73</v>
      </c>
      <c r="S265" s="28">
        <f t="shared" si="32"/>
        <v>5.0000000000000003E-10</v>
      </c>
      <c r="T265" s="28">
        <f t="shared" si="33"/>
        <v>5.0000000000000003E-10</v>
      </c>
      <c r="U265" s="28">
        <f t="shared" si="34"/>
        <v>5.0000000000000003E-10</v>
      </c>
      <c r="V265" s="28">
        <f t="shared" si="35"/>
        <v>16.420712226784875</v>
      </c>
    </row>
    <row r="266" spans="2:22" x14ac:dyDescent="0.2">
      <c r="B266">
        <f t="shared" si="37"/>
        <v>140.05955</v>
      </c>
      <c r="D266" s="5">
        <v>74</v>
      </c>
      <c r="E266" s="28">
        <f t="shared" si="11"/>
        <v>1.4195224662162162</v>
      </c>
      <c r="F266" s="28">
        <f t="shared" si="36"/>
        <v>1.8926966216216217</v>
      </c>
      <c r="G266" s="28">
        <f t="shared" si="12"/>
        <v>2.3658707770270269</v>
      </c>
      <c r="I266" s="5">
        <v>74</v>
      </c>
      <c r="J266" s="28">
        <f t="shared" si="13"/>
        <v>1.4195224662162162</v>
      </c>
      <c r="K266" s="28">
        <f t="shared" si="14"/>
        <v>1.8926966216216217</v>
      </c>
      <c r="L266" s="28">
        <f t="shared" si="15"/>
        <v>2.3658707770270269</v>
      </c>
      <c r="R266" s="5">
        <v>74</v>
      </c>
      <c r="S266" s="28">
        <f t="shared" si="32"/>
        <v>5.0000000000000003E-10</v>
      </c>
      <c r="T266" s="28">
        <f t="shared" si="33"/>
        <v>5.0000000000000003E-10</v>
      </c>
      <c r="U266" s="28">
        <f t="shared" si="34"/>
        <v>5.0000000000000003E-10</v>
      </c>
      <c r="V266" s="28">
        <f t="shared" si="35"/>
        <v>16.1988107102067</v>
      </c>
    </row>
    <row r="267" spans="2:22" x14ac:dyDescent="0.2">
      <c r="B267">
        <f t="shared" si="37"/>
        <v>140.47405000000001</v>
      </c>
      <c r="D267" s="5">
        <v>75</v>
      </c>
      <c r="E267" s="28">
        <f t="shared" si="11"/>
        <v>1.4047404999999999</v>
      </c>
      <c r="F267" s="28">
        <f t="shared" si="36"/>
        <v>1.8729873333333333</v>
      </c>
      <c r="G267" s="28">
        <f t="shared" si="12"/>
        <v>2.3412341666666667</v>
      </c>
      <c r="I267" s="5">
        <v>75</v>
      </c>
      <c r="J267" s="28">
        <f t="shared" si="13"/>
        <v>1.4047404999999999</v>
      </c>
      <c r="K267" s="28">
        <f t="shared" si="14"/>
        <v>1.8729873333333333</v>
      </c>
      <c r="L267" s="28">
        <f t="shared" si="15"/>
        <v>2.3412341666666667</v>
      </c>
      <c r="R267" s="5">
        <v>75</v>
      </c>
      <c r="S267" s="28">
        <f t="shared" si="32"/>
        <v>5.0000000000000003E-10</v>
      </c>
      <c r="T267" s="28">
        <f t="shared" si="33"/>
        <v>5.0000000000000003E-10</v>
      </c>
      <c r="U267" s="28">
        <f t="shared" si="34"/>
        <v>5.0000000000000003E-10</v>
      </c>
      <c r="V267" s="28">
        <f t="shared" si="35"/>
        <v>15.982826567403945</v>
      </c>
    </row>
    <row r="268" spans="2:22" x14ac:dyDescent="0.2">
      <c r="B268">
        <f t="shared" si="37"/>
        <v>140.88855000000001</v>
      </c>
      <c r="D268" s="5">
        <v>76</v>
      </c>
      <c r="E268" s="28">
        <f t="shared" si="11"/>
        <v>1.390347532894737</v>
      </c>
      <c r="F268" s="28">
        <f t="shared" si="36"/>
        <v>1.853796710526316</v>
      </c>
      <c r="G268" s="28">
        <f t="shared" si="12"/>
        <v>2.317245888157895</v>
      </c>
      <c r="I268" s="5">
        <v>76</v>
      </c>
      <c r="J268" s="28">
        <f t="shared" si="13"/>
        <v>1.390347532894737</v>
      </c>
      <c r="K268" s="28">
        <f t="shared" si="14"/>
        <v>1.853796710526316</v>
      </c>
      <c r="L268" s="28">
        <f t="shared" si="15"/>
        <v>2.317245888157895</v>
      </c>
      <c r="R268" s="5">
        <v>76</v>
      </c>
      <c r="S268" s="28">
        <f t="shared" si="32"/>
        <v>5.0000000000000003E-10</v>
      </c>
      <c r="T268" s="28">
        <f t="shared" si="33"/>
        <v>5.0000000000000003E-10</v>
      </c>
      <c r="U268" s="28">
        <f t="shared" si="34"/>
        <v>5.0000000000000003E-10</v>
      </c>
      <c r="V268" s="28">
        <f t="shared" si="35"/>
        <v>15.772526217832841</v>
      </c>
    </row>
    <row r="269" spans="2:22" x14ac:dyDescent="0.2">
      <c r="B269">
        <f t="shared" si="37"/>
        <v>141.30305000000001</v>
      </c>
      <c r="D269" s="5">
        <v>77</v>
      </c>
      <c r="E269" s="28">
        <f t="shared" si="11"/>
        <v>1.3763284090909091</v>
      </c>
      <c r="F269" s="28">
        <f t="shared" si="36"/>
        <v>1.8351045454545456</v>
      </c>
      <c r="G269" s="28">
        <f t="shared" si="12"/>
        <v>2.2938806818181821</v>
      </c>
      <c r="I269" s="5">
        <v>77</v>
      </c>
      <c r="J269" s="28">
        <f t="shared" si="13"/>
        <v>1.3763284090909091</v>
      </c>
      <c r="K269" s="28">
        <f t="shared" si="14"/>
        <v>1.8351045454545456</v>
      </c>
      <c r="L269" s="28">
        <f t="shared" si="15"/>
        <v>2.2938806818181821</v>
      </c>
      <c r="R269" s="5">
        <v>77</v>
      </c>
      <c r="S269" s="28">
        <f t="shared" si="32"/>
        <v>5.0000000000000003E-10</v>
      </c>
      <c r="T269" s="28">
        <f t="shared" si="33"/>
        <v>5.0000000000000003E-10</v>
      </c>
      <c r="U269" s="28">
        <f t="shared" si="34"/>
        <v>5.0000000000000003E-10</v>
      </c>
      <c r="V269" s="28">
        <f t="shared" si="35"/>
        <v>15.567688215003843</v>
      </c>
    </row>
    <row r="270" spans="2:22" x14ac:dyDescent="0.2">
      <c r="B270">
        <f t="shared" si="37"/>
        <v>141.71755000000002</v>
      </c>
      <c r="D270" s="5">
        <v>78</v>
      </c>
      <c r="E270" s="28">
        <f t="shared" si="11"/>
        <v>1.3626687500000001</v>
      </c>
      <c r="F270" s="28">
        <f t="shared" si="36"/>
        <v>1.8168916666666668</v>
      </c>
      <c r="G270" s="28">
        <f t="shared" si="12"/>
        <v>2.2711145833333335</v>
      </c>
      <c r="I270" s="5">
        <v>78</v>
      </c>
      <c r="J270" s="28">
        <f t="shared" si="13"/>
        <v>1.3626687500000001</v>
      </c>
      <c r="K270" s="28">
        <f t="shared" si="14"/>
        <v>1.8168916666666668</v>
      </c>
      <c r="L270" s="28">
        <f t="shared" si="15"/>
        <v>2.2711145833333335</v>
      </c>
      <c r="R270" s="26">
        <v>78</v>
      </c>
      <c r="S270" s="28">
        <f t="shared" si="32"/>
        <v>5.0000000000000003E-10</v>
      </c>
      <c r="T270" s="28">
        <f t="shared" si="33"/>
        <v>5.0000000000000003E-10</v>
      </c>
      <c r="U270" s="28">
        <f t="shared" si="34"/>
        <v>5.0000000000000003E-10</v>
      </c>
      <c r="V270" s="28">
        <f t="shared" si="35"/>
        <v>15.368102468657639</v>
      </c>
    </row>
    <row r="271" spans="2:22" x14ac:dyDescent="0.2">
      <c r="B271">
        <f t="shared" si="37"/>
        <v>142.13204999999999</v>
      </c>
      <c r="D271" s="5">
        <v>79</v>
      </c>
      <c r="E271" s="28">
        <f t="shared" si="11"/>
        <v>1.3493549050632911</v>
      </c>
      <c r="F271" s="28">
        <f t="shared" si="36"/>
        <v>1.7991398734177215</v>
      </c>
      <c r="G271" s="28">
        <f t="shared" si="12"/>
        <v>2.2489248417721521</v>
      </c>
      <c r="I271" s="5">
        <v>79</v>
      </c>
      <c r="J271" s="28">
        <f t="shared" si="13"/>
        <v>1.3493549050632911</v>
      </c>
      <c r="K271" s="28">
        <f t="shared" si="14"/>
        <v>1.7991398734177215</v>
      </c>
      <c r="L271" s="28">
        <f t="shared" si="15"/>
        <v>2.2489248417721521</v>
      </c>
      <c r="R271" s="26">
        <v>79</v>
      </c>
      <c r="S271" s="28">
        <f t="shared" si="32"/>
        <v>5.0000000000000003E-10</v>
      </c>
      <c r="T271" s="28">
        <f t="shared" si="33"/>
        <v>5.0000000000000003E-10</v>
      </c>
      <c r="U271" s="28">
        <f t="shared" si="34"/>
        <v>5.0000000000000003E-10</v>
      </c>
      <c r="V271" s="28">
        <f t="shared" si="35"/>
        <v>15.173569526016403</v>
      </c>
    </row>
    <row r="272" spans="2:22" x14ac:dyDescent="0.2">
      <c r="B272">
        <f t="shared" si="37"/>
        <v>142.54655</v>
      </c>
      <c r="D272" s="5">
        <v>80</v>
      </c>
      <c r="E272" s="28">
        <f t="shared" si="11"/>
        <v>1.33637390625</v>
      </c>
      <c r="F272" s="28">
        <f t="shared" si="36"/>
        <v>1.781831875</v>
      </c>
      <c r="G272" s="28">
        <f t="shared" si="12"/>
        <v>2.2272898437499999</v>
      </c>
      <c r="I272" s="5">
        <v>80</v>
      </c>
      <c r="J272" s="28">
        <f t="shared" si="13"/>
        <v>1.33637390625</v>
      </c>
      <c r="K272" s="28">
        <f t="shared" si="14"/>
        <v>1.781831875</v>
      </c>
      <c r="L272" s="28">
        <f t="shared" si="15"/>
        <v>2.2272898437499999</v>
      </c>
      <c r="R272" s="26">
        <v>80</v>
      </c>
      <c r="S272" s="28">
        <f t="shared" si="32"/>
        <v>5.0000000000000003E-10</v>
      </c>
      <c r="T272" s="28">
        <f t="shared" si="33"/>
        <v>5.0000000000000003E-10</v>
      </c>
      <c r="U272" s="28">
        <f t="shared" si="34"/>
        <v>5.0000000000000003E-10</v>
      </c>
      <c r="V272" s="28">
        <f t="shared" si="35"/>
        <v>14.983899906941199</v>
      </c>
    </row>
    <row r="273" spans="4:12" x14ac:dyDescent="0.2">
      <c r="D273" s="212"/>
      <c r="E273" s="238"/>
      <c r="F273" s="238"/>
      <c r="G273" s="238"/>
      <c r="I273" s="212"/>
      <c r="J273" s="238"/>
      <c r="K273" s="238"/>
      <c r="L273" s="238"/>
    </row>
    <row r="275" spans="4:12" x14ac:dyDescent="0.2">
      <c r="D275" s="33" t="s">
        <v>311</v>
      </c>
    </row>
    <row r="277" spans="4:12" x14ac:dyDescent="0.2">
      <c r="D277" s="33" t="s">
        <v>312</v>
      </c>
      <c r="E277">
        <f>'Device Parameters'!E12</f>
        <v>1E-3</v>
      </c>
    </row>
    <row r="278" spans="4:12" x14ac:dyDescent="0.2">
      <c r="D278" s="33" t="s">
        <v>313</v>
      </c>
      <c r="E278">
        <f>RsEFF*0.001</f>
        <v>2.4125452352231607E-3</v>
      </c>
    </row>
    <row r="279" spans="4:12" x14ac:dyDescent="0.2">
      <c r="D279" s="33" t="s">
        <v>314</v>
      </c>
      <c r="E279">
        <f>VINMAX</f>
        <v>42.5</v>
      </c>
    </row>
    <row r="280" spans="4:12" x14ac:dyDescent="0.2">
      <c r="D280" s="33" t="s">
        <v>315</v>
      </c>
      <c r="E280" s="156"/>
      <c r="F280">
        <v>0.25</v>
      </c>
    </row>
    <row r="282" spans="4:12" x14ac:dyDescent="0.2">
      <c r="D282" s="159"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140625" defaultRowHeight="12.75" x14ac:dyDescent="0.2"/>
  <cols>
    <col min="1" max="1" width="11" style="69" customWidth="1"/>
    <col min="2" max="3" width="9.140625" style="69"/>
    <col min="4" max="5" width="15" style="69" customWidth="1"/>
    <col min="6" max="6" width="15.42578125" style="69" customWidth="1"/>
    <col min="7" max="7" width="14.85546875" style="69" customWidth="1"/>
    <col min="8" max="8" width="10.7109375" style="69" customWidth="1"/>
    <col min="9" max="9" width="12.42578125" style="69" bestFit="1" customWidth="1"/>
    <col min="10" max="10" width="14.85546875" style="69" customWidth="1"/>
    <col min="11" max="11" width="12.85546875" style="69" customWidth="1"/>
    <col min="12" max="12" width="14.28515625" style="69" customWidth="1"/>
    <col min="13" max="13" width="20.85546875" style="69" customWidth="1"/>
    <col min="14" max="14" width="12.7109375" style="69" customWidth="1"/>
    <col min="15" max="15" width="10.140625" style="69" bestFit="1" customWidth="1"/>
    <col min="16" max="16" width="18.85546875" style="69" customWidth="1"/>
    <col min="17" max="17" width="10.85546875" style="69" customWidth="1"/>
    <col min="18" max="16384" width="9.140625" style="69"/>
  </cols>
  <sheetData>
    <row r="1" spans="1:25" x14ac:dyDescent="0.2">
      <c r="B1" s="69" t="s">
        <v>144</v>
      </c>
      <c r="C1" s="69" t="s">
        <v>286</v>
      </c>
      <c r="D1" s="69" t="s">
        <v>287</v>
      </c>
      <c r="F1" s="172" t="s">
        <v>321</v>
      </c>
      <c r="G1" s="172" t="s">
        <v>288</v>
      </c>
      <c r="H1" s="172" t="s">
        <v>289</v>
      </c>
      <c r="I1" s="172" t="s">
        <v>290</v>
      </c>
      <c r="J1" s="172" t="s">
        <v>291</v>
      </c>
      <c r="K1" s="172"/>
      <c r="L1" s="172"/>
      <c r="M1" s="172" t="s">
        <v>295</v>
      </c>
      <c r="N1" s="172"/>
      <c r="O1" s="172" t="s">
        <v>296</v>
      </c>
      <c r="Q1" s="69" t="s">
        <v>336</v>
      </c>
      <c r="R1" s="69" t="s">
        <v>337</v>
      </c>
    </row>
    <row r="2" spans="1:25" x14ac:dyDescent="0.2">
      <c r="B2" s="163">
        <f>'Design Calculator'!F67</f>
        <v>127.00280000000001</v>
      </c>
      <c r="C2" s="69">
        <f>'Design Calculator'!F46</f>
        <v>22.797499999999999</v>
      </c>
      <c r="D2" s="69" t="str">
        <f>IF( 'Design Calculator'!F69 = "Constant Current", "CC", "R")</f>
        <v>CC</v>
      </c>
      <c r="F2" s="69" t="str">
        <f>'Design Calculator'!F71</f>
        <v>Yes</v>
      </c>
      <c r="G2" s="69">
        <f>'Design Calculator'!F70</f>
        <v>4</v>
      </c>
      <c r="H2" s="69">
        <f>'Design Calculator'!F68</f>
        <v>16</v>
      </c>
      <c r="I2" s="69">
        <f>RsEFF</f>
        <v>2.4125452352231607</v>
      </c>
      <c r="J2" s="69">
        <f>'Device Parameters'!E12</f>
        <v>1E-3</v>
      </c>
      <c r="M2" s="163">
        <f>J114*1000</f>
        <v>26.562499999999972</v>
      </c>
      <c r="N2" s="69" t="s">
        <v>8</v>
      </c>
      <c r="O2" s="167">
        <f>MIN(L10:L111)</f>
        <v>8.088235294117653E-2</v>
      </c>
      <c r="Q2" s="69">
        <f>'Device Parameters'!E30/'Device Parameters'!D30</f>
        <v>1.375</v>
      </c>
      <c r="R2" s="69">
        <f>'Device Parameters'!C30/'Device Parameters'!D30</f>
        <v>0.625</v>
      </c>
    </row>
    <row r="3" spans="1:25" x14ac:dyDescent="0.2">
      <c r="B3" s="163"/>
      <c r="M3" s="163"/>
      <c r="O3" s="167"/>
    </row>
    <row r="4" spans="1:25" x14ac:dyDescent="0.2">
      <c r="B4" s="163"/>
      <c r="D4" s="69" t="s">
        <v>328</v>
      </c>
      <c r="M4" s="163" t="s">
        <v>329</v>
      </c>
      <c r="N4" s="69">
        <f>MIN(M10:M114)</f>
        <v>-7.1454786096256679</v>
      </c>
      <c r="O4" s="167" t="s">
        <v>325</v>
      </c>
      <c r="P4" s="69" t="s">
        <v>338</v>
      </c>
      <c r="Q4" s="69">
        <f>MAX(O10:O114)</f>
        <v>113.82153846153847</v>
      </c>
      <c r="R4" s="69" t="s">
        <v>87</v>
      </c>
    </row>
    <row r="5" spans="1:25" x14ac:dyDescent="0.2">
      <c r="B5" s="163"/>
      <c r="M5" s="69" t="s">
        <v>330</v>
      </c>
      <c r="N5" s="69">
        <f>SUM(N10:N114)</f>
        <v>1.065166466346154</v>
      </c>
      <c r="O5" s="167" t="s">
        <v>331</v>
      </c>
      <c r="P5" s="69" t="s">
        <v>340</v>
      </c>
      <c r="Q5" s="69">
        <f>MAX(P10:P114)</f>
        <v>117.27384615384615</v>
      </c>
      <c r="R5" s="69" t="s">
        <v>87</v>
      </c>
    </row>
    <row r="6" spans="1:25" x14ac:dyDescent="0.2">
      <c r="P6" s="69" t="s">
        <v>339</v>
      </c>
      <c r="Q6" s="69">
        <f>MAX(Q10:Q114)</f>
        <v>110.36923076923075</v>
      </c>
      <c r="R6" s="69" t="s">
        <v>87</v>
      </c>
    </row>
    <row r="7" spans="1:25" x14ac:dyDescent="0.2">
      <c r="A7" s="164" t="s">
        <v>167</v>
      </c>
      <c r="B7" s="165" t="s">
        <v>138</v>
      </c>
      <c r="C7" s="165" t="s">
        <v>139</v>
      </c>
      <c r="D7" s="165" t="s">
        <v>144</v>
      </c>
      <c r="E7" s="165" t="s">
        <v>319</v>
      </c>
      <c r="F7" s="165" t="s">
        <v>320</v>
      </c>
      <c r="G7" s="165" t="s">
        <v>293</v>
      </c>
      <c r="H7" s="165" t="s">
        <v>165</v>
      </c>
      <c r="I7" s="165" t="s">
        <v>292</v>
      </c>
      <c r="J7" s="166" t="s">
        <v>150</v>
      </c>
      <c r="K7" s="166" t="s">
        <v>370</v>
      </c>
      <c r="L7" s="164" t="s">
        <v>294</v>
      </c>
      <c r="M7" s="164" t="s">
        <v>332</v>
      </c>
      <c r="N7" s="164" t="s">
        <v>369</v>
      </c>
      <c r="O7" s="164" t="s">
        <v>333</v>
      </c>
      <c r="P7" s="69" t="s">
        <v>334</v>
      </c>
      <c r="Q7" s="69" t="s">
        <v>335</v>
      </c>
    </row>
    <row r="8" spans="1:25" x14ac:dyDescent="0.2">
      <c r="A8" s="164"/>
      <c r="B8" s="165"/>
      <c r="C8" s="165"/>
      <c r="D8" s="165"/>
      <c r="E8" s="165"/>
      <c r="F8" s="165"/>
      <c r="G8" s="165"/>
      <c r="H8" s="165"/>
      <c r="I8" s="165"/>
      <c r="J8" s="166"/>
      <c r="K8" s="214">
        <v>-1</v>
      </c>
      <c r="L8" s="164"/>
      <c r="M8" s="164"/>
      <c r="N8" s="164"/>
      <c r="O8" s="69">
        <v>0</v>
      </c>
    </row>
    <row r="9" spans="1:25" x14ac:dyDescent="0.2">
      <c r="A9" s="164"/>
      <c r="B9" s="165"/>
      <c r="C9" s="165"/>
      <c r="D9" s="165"/>
      <c r="E9" s="165"/>
      <c r="F9" s="165"/>
      <c r="G9" s="165"/>
      <c r="H9" s="165"/>
      <c r="I9" s="165"/>
      <c r="J9" s="166"/>
      <c r="K9" s="79">
        <v>-0.01</v>
      </c>
      <c r="L9" s="164"/>
      <c r="M9" s="164"/>
      <c r="N9" s="164"/>
      <c r="O9" s="69">
        <v>0</v>
      </c>
    </row>
    <row r="10" spans="1:25" x14ac:dyDescent="0.2">
      <c r="A10" s="69">
        <f t="shared" ref="A10:A41" si="0">VINMAX</f>
        <v>42.5</v>
      </c>
      <c r="B10" s="72">
        <f t="shared" ref="B10:B41" si="1">VINMAX*((ROW()-10)/104)</f>
        <v>0</v>
      </c>
      <c r="C10" s="70">
        <f t="shared" ref="C10:C41" si="2">IF(B10&gt;=$H$2,IF($D$2="CC", $G$2, B10/$G$2), 0)</f>
        <v>0</v>
      </c>
      <c r="D10" s="221">
        <f>B2</f>
        <v>127.00280000000001</v>
      </c>
      <c r="E10" s="68">
        <f>MIN(D10/(A10-B10),$C$2)</f>
        <v>2.9883011764705882</v>
      </c>
      <c r="F10" s="70">
        <f>I_Cout_ss+C10</f>
        <v>0.35199999999999998</v>
      </c>
      <c r="G10" s="68">
        <f>IF($F$2="YES", F10, E10)</f>
        <v>0.35199999999999998</v>
      </c>
      <c r="H10" s="70">
        <f t="shared" ref="H10:H41" si="3">G10-C10</f>
        <v>0.35199999999999998</v>
      </c>
      <c r="I10" s="71">
        <f>(COUTMAX/1000000)*(B10)/H10</f>
        <v>0</v>
      </c>
      <c r="J10" s="78">
        <f>I10</f>
        <v>0</v>
      </c>
      <c r="K10" s="214">
        <f>J10*1000</f>
        <v>0</v>
      </c>
      <c r="L10" s="167">
        <f>H10/G10</f>
        <v>1</v>
      </c>
      <c r="M10" s="69">
        <f t="shared" ref="M10:M41" si="4">1/COUTMAX*(E10/2-C10)*1000</f>
        <v>6.7915935828877005</v>
      </c>
      <c r="N10" s="69">
        <f>I10*G10*(A10-B10)</f>
        <v>0</v>
      </c>
      <c r="O10" s="69">
        <f>G10*(A10-B10)</f>
        <v>14.959999999999999</v>
      </c>
      <c r="P10" s="69">
        <f t="shared" ref="P10:P41" si="5">(A10-B10)*(I_Cout_ss*$Q$2+C10)</f>
        <v>20.57</v>
      </c>
      <c r="Q10" s="69">
        <f t="shared" ref="Q10:Q41" si="6">(A10-B10)*(I_Cout_ss*$R$2+C10)</f>
        <v>9.35</v>
      </c>
    </row>
    <row r="11" spans="1:25" x14ac:dyDescent="0.2">
      <c r="A11" s="69">
        <f t="shared" si="0"/>
        <v>42.5</v>
      </c>
      <c r="B11" s="72">
        <f t="shared" si="1"/>
        <v>0.4086538461538462</v>
      </c>
      <c r="C11" s="70">
        <f t="shared" si="2"/>
        <v>0</v>
      </c>
      <c r="D11" s="221">
        <f>B2</f>
        <v>127.00280000000001</v>
      </c>
      <c r="E11" s="68">
        <f t="shared" ref="E11:E74" si="7">MIN(D11/(A11-B11),$C$2)</f>
        <v>3.0173138092518563</v>
      </c>
      <c r="F11" s="70">
        <f t="shared" ref="F11:F41" si="8">I_Cout_ss+C11</f>
        <v>0.35199999999999998</v>
      </c>
      <c r="G11" s="68">
        <f t="shared" ref="G11:G74" si="9">IF($F$2="YES", F11, E11)</f>
        <v>0.35199999999999998</v>
      </c>
      <c r="H11" s="70">
        <f t="shared" si="3"/>
        <v>0.35199999999999998</v>
      </c>
      <c r="I11" s="71">
        <f t="shared" ref="I11:I42" si="10">(COUTMAX/1000000)*(B11-B10)/H11</f>
        <v>2.5540865384615391E-4</v>
      </c>
      <c r="J11" s="78">
        <f>J10+I11</f>
        <v>2.5540865384615391E-4</v>
      </c>
      <c r="K11" s="214">
        <f t="shared" ref="K11:K74" si="11">J11*1000</f>
        <v>0.25540865384615391</v>
      </c>
      <c r="L11" s="167">
        <f t="shared" ref="L11:L74" si="12">H11/G11</f>
        <v>1</v>
      </c>
      <c r="M11" s="69">
        <f t="shared" si="4"/>
        <v>6.8575313846633099</v>
      </c>
      <c r="N11" s="69">
        <f t="shared" ref="N11:N13" si="13">I11*G11*(A11-B11)</f>
        <v>3.7841739090236698E-3</v>
      </c>
      <c r="O11" s="69">
        <f t="shared" ref="O11:O74" si="14">G11*(A11-B11)</f>
        <v>14.816153846153846</v>
      </c>
      <c r="P11" s="69">
        <f t="shared" si="5"/>
        <v>20.372211538461539</v>
      </c>
      <c r="Q11" s="69">
        <f t="shared" si="6"/>
        <v>9.2600961538461526</v>
      </c>
    </row>
    <row r="12" spans="1:25" x14ac:dyDescent="0.2">
      <c r="A12" s="69">
        <f t="shared" si="0"/>
        <v>42.5</v>
      </c>
      <c r="B12" s="72">
        <f t="shared" si="1"/>
        <v>0.8173076923076924</v>
      </c>
      <c r="C12" s="70">
        <f t="shared" si="2"/>
        <v>0</v>
      </c>
      <c r="D12" s="221">
        <f>B2</f>
        <v>127.00280000000001</v>
      </c>
      <c r="E12" s="68">
        <f t="shared" si="7"/>
        <v>3.0468953171856983</v>
      </c>
      <c r="F12" s="70">
        <f t="shared" si="8"/>
        <v>0.35199999999999998</v>
      </c>
      <c r="G12" s="68">
        <f t="shared" si="9"/>
        <v>0.35199999999999998</v>
      </c>
      <c r="H12" s="70">
        <f t="shared" si="3"/>
        <v>0.35199999999999998</v>
      </c>
      <c r="I12" s="71">
        <f t="shared" si="10"/>
        <v>2.5540865384615391E-4</v>
      </c>
      <c r="J12" s="78">
        <f t="shared" ref="J12:J75" si="15">J11+I12</f>
        <v>5.1081730769230783E-4</v>
      </c>
      <c r="K12" s="214">
        <f t="shared" si="11"/>
        <v>0.51081730769230782</v>
      </c>
      <c r="L12" s="167">
        <f t="shared" si="12"/>
        <v>1</v>
      </c>
      <c r="M12" s="69">
        <f t="shared" si="4"/>
        <v>6.9247620845129507</v>
      </c>
      <c r="N12" s="69">
        <f>I12*G12*(A12-B12)</f>
        <v>3.7474343565088767E-3</v>
      </c>
      <c r="O12" s="69">
        <f t="shared" si="14"/>
        <v>14.67230769230769</v>
      </c>
      <c r="P12" s="69">
        <f t="shared" si="5"/>
        <v>20.174423076923077</v>
      </c>
      <c r="Q12" s="69">
        <f t="shared" si="6"/>
        <v>9.1701923076923055</v>
      </c>
      <c r="X12" s="352" t="s">
        <v>140</v>
      </c>
      <c r="Y12" s="352"/>
    </row>
    <row r="13" spans="1:25" x14ac:dyDescent="0.2">
      <c r="A13" s="69">
        <f t="shared" si="0"/>
        <v>42.5</v>
      </c>
      <c r="B13" s="72">
        <f t="shared" si="1"/>
        <v>1.2259615384615385</v>
      </c>
      <c r="C13" s="70">
        <f t="shared" si="2"/>
        <v>0</v>
      </c>
      <c r="D13" s="221">
        <f>B2</f>
        <v>127.00280000000001</v>
      </c>
      <c r="E13" s="68">
        <f t="shared" si="7"/>
        <v>3.0770625975538732</v>
      </c>
      <c r="F13" s="70">
        <f t="shared" si="8"/>
        <v>0.35199999999999998</v>
      </c>
      <c r="G13" s="68">
        <f t="shared" si="9"/>
        <v>0.35199999999999998</v>
      </c>
      <c r="H13" s="70">
        <f t="shared" si="3"/>
        <v>0.35199999999999998</v>
      </c>
      <c r="I13" s="71">
        <f t="shared" si="10"/>
        <v>2.5540865384615386E-4</v>
      </c>
      <c r="J13" s="78">
        <f t="shared" si="15"/>
        <v>7.6622596153846164E-4</v>
      </c>
      <c r="K13" s="214">
        <f t="shared" si="11"/>
        <v>0.76622596153846168</v>
      </c>
      <c r="L13" s="167">
        <f t="shared" si="12"/>
        <v>1</v>
      </c>
      <c r="M13" s="69">
        <f t="shared" si="4"/>
        <v>6.9933240853497116</v>
      </c>
      <c r="N13" s="69">
        <f t="shared" si="13"/>
        <v>3.7106948039940827E-3</v>
      </c>
      <c r="O13" s="69">
        <f t="shared" si="14"/>
        <v>14.528461538461537</v>
      </c>
      <c r="P13" s="69">
        <f t="shared" si="5"/>
        <v>19.976634615384615</v>
      </c>
      <c r="Q13" s="69">
        <f t="shared" si="6"/>
        <v>9.0802884615384603</v>
      </c>
      <c r="X13" s="73" t="s">
        <v>141</v>
      </c>
      <c r="Y13" s="74">
        <v>0.3</v>
      </c>
    </row>
    <row r="14" spans="1:25" x14ac:dyDescent="0.2">
      <c r="A14" s="69">
        <f t="shared" si="0"/>
        <v>42.5</v>
      </c>
      <c r="B14" s="72">
        <f t="shared" si="1"/>
        <v>1.6346153846153848</v>
      </c>
      <c r="C14" s="70">
        <f t="shared" si="2"/>
        <v>0</v>
      </c>
      <c r="D14" s="221">
        <f>B2</f>
        <v>127.00280000000001</v>
      </c>
      <c r="E14" s="68">
        <f t="shared" si="7"/>
        <v>3.1078332235294122</v>
      </c>
      <c r="F14" s="70">
        <f t="shared" si="8"/>
        <v>0.35199999999999998</v>
      </c>
      <c r="G14" s="68">
        <f t="shared" si="9"/>
        <v>0.35199999999999998</v>
      </c>
      <c r="H14" s="70">
        <f t="shared" si="3"/>
        <v>0.35199999999999998</v>
      </c>
      <c r="I14" s="71">
        <f t="shared" si="10"/>
        <v>2.5540865384615391E-4</v>
      </c>
      <c r="J14" s="78">
        <f t="shared" si="15"/>
        <v>1.0216346153846157E-3</v>
      </c>
      <c r="K14" s="214">
        <f t="shared" si="11"/>
        <v>1.0216346153846156</v>
      </c>
      <c r="L14" s="167">
        <f t="shared" si="12"/>
        <v>1</v>
      </c>
      <c r="M14" s="69">
        <f t="shared" si="4"/>
        <v>7.0632573262032095</v>
      </c>
      <c r="N14" s="69">
        <f t="shared" ref="N14:N74" si="16">I14*G14*(A14-B14)</f>
        <v>3.6739552514792905E-3</v>
      </c>
      <c r="O14" s="69">
        <f t="shared" si="14"/>
        <v>14.384615384615383</v>
      </c>
      <c r="P14" s="69">
        <f t="shared" si="5"/>
        <v>19.778846153846153</v>
      </c>
      <c r="Q14" s="69">
        <f t="shared" si="6"/>
        <v>8.9903846153846132</v>
      </c>
      <c r="X14" s="73" t="s">
        <v>142</v>
      </c>
      <c r="Y14" s="74">
        <v>0.3</v>
      </c>
    </row>
    <row r="15" spans="1:25" x14ac:dyDescent="0.2">
      <c r="A15" s="69">
        <f t="shared" si="0"/>
        <v>42.5</v>
      </c>
      <c r="B15" s="72">
        <f t="shared" si="1"/>
        <v>2.0432692307692308</v>
      </c>
      <c r="C15" s="70">
        <f t="shared" si="2"/>
        <v>0</v>
      </c>
      <c r="D15" s="221">
        <f>B2</f>
        <v>127.00280000000001</v>
      </c>
      <c r="E15" s="68">
        <f t="shared" si="7"/>
        <v>3.1392254783125377</v>
      </c>
      <c r="F15" s="70">
        <f t="shared" si="8"/>
        <v>0.35199999999999998</v>
      </c>
      <c r="G15" s="68">
        <f t="shared" si="9"/>
        <v>0.35199999999999998</v>
      </c>
      <c r="H15" s="70">
        <f t="shared" si="3"/>
        <v>0.35199999999999998</v>
      </c>
      <c r="I15" s="71">
        <f t="shared" si="10"/>
        <v>2.5540865384615381E-4</v>
      </c>
      <c r="J15" s="78">
        <f t="shared" si="15"/>
        <v>1.2770432692307695E-3</v>
      </c>
      <c r="K15" s="214">
        <f t="shared" si="11"/>
        <v>1.2770432692307694</v>
      </c>
      <c r="L15" s="167">
        <f t="shared" si="12"/>
        <v>1</v>
      </c>
      <c r="M15" s="69">
        <f t="shared" si="4"/>
        <v>7.134603359801222</v>
      </c>
      <c r="N15" s="69">
        <f t="shared" si="16"/>
        <v>3.6372156989644962E-3</v>
      </c>
      <c r="O15" s="69">
        <f t="shared" si="14"/>
        <v>14.24076923076923</v>
      </c>
      <c r="P15" s="69">
        <f t="shared" si="5"/>
        <v>19.581057692307692</v>
      </c>
      <c r="Q15" s="69">
        <f t="shared" si="6"/>
        <v>8.9004807692307679</v>
      </c>
      <c r="X15" s="73" t="s">
        <v>143</v>
      </c>
      <c r="Y15" s="74">
        <f>SQRT(Y14^2+Y13^2)</f>
        <v>0.42426406871192851</v>
      </c>
    </row>
    <row r="16" spans="1:25" x14ac:dyDescent="0.2">
      <c r="A16" s="69">
        <f t="shared" si="0"/>
        <v>42.5</v>
      </c>
      <c r="B16" s="72">
        <f t="shared" si="1"/>
        <v>2.4519230769230771</v>
      </c>
      <c r="C16" s="70">
        <f t="shared" si="2"/>
        <v>0</v>
      </c>
      <c r="D16" s="221">
        <f>B2</f>
        <v>127.00280000000001</v>
      </c>
      <c r="E16" s="68">
        <f t="shared" si="7"/>
        <v>3.1712583913565431</v>
      </c>
      <c r="F16" s="70">
        <f t="shared" si="8"/>
        <v>0.35199999999999998</v>
      </c>
      <c r="G16" s="68">
        <f t="shared" si="9"/>
        <v>0.35199999999999998</v>
      </c>
      <c r="H16" s="70">
        <f t="shared" si="3"/>
        <v>0.35199999999999998</v>
      </c>
      <c r="I16" s="71">
        <f t="shared" si="10"/>
        <v>2.5540865384615391E-4</v>
      </c>
      <c r="J16" s="78">
        <f t="shared" si="15"/>
        <v>1.5324519230769233E-3</v>
      </c>
      <c r="K16" s="214">
        <f t="shared" si="11"/>
        <v>1.5324519230769234</v>
      </c>
      <c r="L16" s="167">
        <f t="shared" si="12"/>
        <v>1</v>
      </c>
      <c r="M16" s="69">
        <f t="shared" si="4"/>
        <v>7.2074054349012338</v>
      </c>
      <c r="N16" s="69">
        <f t="shared" si="16"/>
        <v>3.6004761464497048E-3</v>
      </c>
      <c r="O16" s="69">
        <f t="shared" si="14"/>
        <v>14.096923076923074</v>
      </c>
      <c r="P16" s="69">
        <f t="shared" si="5"/>
        <v>19.38326923076923</v>
      </c>
      <c r="Q16" s="69">
        <f t="shared" si="6"/>
        <v>8.8105769230769209</v>
      </c>
      <c r="X16" s="74"/>
      <c r="Y16" s="74"/>
    </row>
    <row r="17" spans="1:25" x14ac:dyDescent="0.2">
      <c r="A17" s="69">
        <f t="shared" si="0"/>
        <v>42.5</v>
      </c>
      <c r="B17" s="72">
        <f t="shared" si="1"/>
        <v>2.8605769230769229</v>
      </c>
      <c r="C17" s="70">
        <f t="shared" si="2"/>
        <v>0</v>
      </c>
      <c r="D17" s="221">
        <f>B2</f>
        <v>127.00280000000001</v>
      </c>
      <c r="E17" s="68">
        <f t="shared" si="7"/>
        <v>3.2039517768344452</v>
      </c>
      <c r="F17" s="70">
        <f t="shared" si="8"/>
        <v>0.35199999999999998</v>
      </c>
      <c r="G17" s="68">
        <f t="shared" si="9"/>
        <v>0.35199999999999998</v>
      </c>
      <c r="H17" s="70">
        <f t="shared" si="3"/>
        <v>0.35199999999999998</v>
      </c>
      <c r="I17" s="71">
        <f t="shared" si="10"/>
        <v>2.5540865384615364E-4</v>
      </c>
      <c r="J17" s="78">
        <f t="shared" si="15"/>
        <v>1.7878605769230769E-3</v>
      </c>
      <c r="K17" s="214">
        <f t="shared" si="11"/>
        <v>1.7878605769230769</v>
      </c>
      <c r="L17" s="167">
        <f t="shared" si="12"/>
        <v>1</v>
      </c>
      <c r="M17" s="69">
        <f t="shared" si="4"/>
        <v>7.2817085837146482</v>
      </c>
      <c r="N17" s="69">
        <f t="shared" si="16"/>
        <v>3.5637365939349087E-3</v>
      </c>
      <c r="O17" s="69">
        <f t="shared" si="14"/>
        <v>13.953076923076923</v>
      </c>
      <c r="P17" s="69">
        <f t="shared" si="5"/>
        <v>19.185480769230772</v>
      </c>
      <c r="Q17" s="69">
        <f t="shared" si="6"/>
        <v>8.7206730769230774</v>
      </c>
      <c r="X17" s="73" t="s">
        <v>144</v>
      </c>
      <c r="Y17" s="74">
        <v>0.3</v>
      </c>
    </row>
    <row r="18" spans="1:25" x14ac:dyDescent="0.2">
      <c r="A18" s="69">
        <f t="shared" si="0"/>
        <v>42.5</v>
      </c>
      <c r="B18" s="72">
        <f t="shared" si="1"/>
        <v>3.2692307692307696</v>
      </c>
      <c r="C18" s="70">
        <f t="shared" si="2"/>
        <v>0</v>
      </c>
      <c r="D18" s="221">
        <f>B2</f>
        <v>127.00280000000001</v>
      </c>
      <c r="E18" s="68">
        <f t="shared" si="7"/>
        <v>3.2373262745098037</v>
      </c>
      <c r="F18" s="70">
        <f t="shared" si="8"/>
        <v>0.35199999999999998</v>
      </c>
      <c r="G18" s="68">
        <f t="shared" si="9"/>
        <v>0.35199999999999998</v>
      </c>
      <c r="H18" s="70">
        <f t="shared" si="3"/>
        <v>0.35199999999999998</v>
      </c>
      <c r="I18" s="71">
        <f t="shared" si="10"/>
        <v>2.5540865384615419E-4</v>
      </c>
      <c r="J18" s="78">
        <f t="shared" si="15"/>
        <v>2.0432692307692309E-3</v>
      </c>
      <c r="K18" s="214">
        <f t="shared" si="11"/>
        <v>2.0432692307692308</v>
      </c>
      <c r="L18" s="167">
        <f t="shared" si="12"/>
        <v>1</v>
      </c>
      <c r="M18" s="69">
        <f t="shared" si="4"/>
        <v>7.3575597147950083</v>
      </c>
      <c r="N18" s="69">
        <f t="shared" si="16"/>
        <v>3.5269970414201234E-3</v>
      </c>
      <c r="O18" s="69">
        <f t="shared" si="14"/>
        <v>13.809230769230769</v>
      </c>
      <c r="P18" s="69">
        <f t="shared" si="5"/>
        <v>18.98769230769231</v>
      </c>
      <c r="Q18" s="69">
        <f t="shared" si="6"/>
        <v>8.6307692307692303</v>
      </c>
      <c r="X18" s="73" t="s">
        <v>145</v>
      </c>
      <c r="Y18" s="74">
        <f>MAX(Y15:Y17)</f>
        <v>0.42426406871192851</v>
      </c>
    </row>
    <row r="19" spans="1:25" x14ac:dyDescent="0.2">
      <c r="A19" s="69">
        <f t="shared" si="0"/>
        <v>42.5</v>
      </c>
      <c r="B19" s="72">
        <f t="shared" si="1"/>
        <v>3.6778846153846154</v>
      </c>
      <c r="C19" s="70">
        <f t="shared" si="2"/>
        <v>0</v>
      </c>
      <c r="D19" s="221">
        <f>B2</f>
        <v>127.00280000000001</v>
      </c>
      <c r="E19" s="68">
        <f t="shared" si="7"/>
        <v>3.2714033931888546</v>
      </c>
      <c r="F19" s="70">
        <f t="shared" si="8"/>
        <v>0.35199999999999998</v>
      </c>
      <c r="G19" s="68">
        <f t="shared" si="9"/>
        <v>0.35199999999999998</v>
      </c>
      <c r="H19" s="70">
        <f t="shared" si="3"/>
        <v>0.35199999999999998</v>
      </c>
      <c r="I19" s="71">
        <f t="shared" si="10"/>
        <v>2.5540865384615364E-4</v>
      </c>
      <c r="J19" s="78">
        <f t="shared" si="15"/>
        <v>2.2986778846153847E-3</v>
      </c>
      <c r="K19" s="214">
        <f t="shared" si="11"/>
        <v>2.2986778846153846</v>
      </c>
      <c r="L19" s="167">
        <f t="shared" si="12"/>
        <v>1</v>
      </c>
      <c r="M19" s="69">
        <f t="shared" si="4"/>
        <v>7.435007711792851</v>
      </c>
      <c r="N19" s="69">
        <f t="shared" si="16"/>
        <v>3.490257488905323E-3</v>
      </c>
      <c r="O19" s="69">
        <f t="shared" si="14"/>
        <v>13.665384615384616</v>
      </c>
      <c r="P19" s="69">
        <f t="shared" si="5"/>
        <v>18.789903846153848</v>
      </c>
      <c r="Q19" s="69">
        <f t="shared" si="6"/>
        <v>8.5408653846153832</v>
      </c>
      <c r="X19" s="74"/>
      <c r="Y19" s="74"/>
    </row>
    <row r="20" spans="1:25" x14ac:dyDescent="0.2">
      <c r="A20" s="69">
        <f t="shared" si="0"/>
        <v>42.5</v>
      </c>
      <c r="B20" s="72">
        <f t="shared" si="1"/>
        <v>4.0865384615384617</v>
      </c>
      <c r="C20" s="70">
        <f t="shared" si="2"/>
        <v>0</v>
      </c>
      <c r="D20" s="221">
        <f>B2</f>
        <v>127.00280000000001</v>
      </c>
      <c r="E20" s="68">
        <f t="shared" si="7"/>
        <v>3.3062055569461828</v>
      </c>
      <c r="F20" s="70">
        <f t="shared" si="8"/>
        <v>0.35199999999999998</v>
      </c>
      <c r="G20" s="68">
        <f t="shared" si="9"/>
        <v>0.35199999999999998</v>
      </c>
      <c r="H20" s="70">
        <f t="shared" si="3"/>
        <v>0.35199999999999998</v>
      </c>
      <c r="I20" s="71">
        <f t="shared" si="10"/>
        <v>2.5540865384615391E-4</v>
      </c>
      <c r="J20" s="78">
        <f t="shared" si="15"/>
        <v>2.5540865384615385E-3</v>
      </c>
      <c r="K20" s="214">
        <f t="shared" si="11"/>
        <v>2.5540865384615383</v>
      </c>
      <c r="L20" s="167">
        <f t="shared" si="12"/>
        <v>1</v>
      </c>
      <c r="M20" s="69">
        <f t="shared" si="4"/>
        <v>7.5141035385140516</v>
      </c>
      <c r="N20" s="69">
        <f t="shared" si="16"/>
        <v>3.4535179363905338E-3</v>
      </c>
      <c r="O20" s="69">
        <f t="shared" si="14"/>
        <v>13.521538461538462</v>
      </c>
      <c r="P20" s="69">
        <f t="shared" si="5"/>
        <v>18.592115384615386</v>
      </c>
      <c r="Q20" s="69">
        <f t="shared" si="6"/>
        <v>8.450961538461538</v>
      </c>
      <c r="X20" s="73" t="s">
        <v>146</v>
      </c>
      <c r="Y20" s="74">
        <v>0.2</v>
      </c>
    </row>
    <row r="21" spans="1:25" x14ac:dyDescent="0.2">
      <c r="A21" s="69">
        <f t="shared" si="0"/>
        <v>42.5</v>
      </c>
      <c r="B21" s="72">
        <f t="shared" si="1"/>
        <v>4.4951923076923075</v>
      </c>
      <c r="C21" s="70">
        <f t="shared" si="2"/>
        <v>0</v>
      </c>
      <c r="D21" s="221">
        <f>B2</f>
        <v>127.00280000000001</v>
      </c>
      <c r="E21" s="68">
        <f t="shared" si="7"/>
        <v>3.341756154332701</v>
      </c>
      <c r="F21" s="70">
        <f t="shared" si="8"/>
        <v>0.35199999999999998</v>
      </c>
      <c r="G21" s="68">
        <f t="shared" si="9"/>
        <v>0.35199999999999998</v>
      </c>
      <c r="H21" s="70">
        <f t="shared" si="3"/>
        <v>0.35199999999999998</v>
      </c>
      <c r="I21" s="71">
        <f t="shared" si="10"/>
        <v>2.5540865384615364E-4</v>
      </c>
      <c r="J21" s="78">
        <f t="shared" si="15"/>
        <v>2.8094951923076923E-3</v>
      </c>
      <c r="K21" s="214">
        <f t="shared" si="11"/>
        <v>2.8094951923076925</v>
      </c>
      <c r="L21" s="167">
        <f t="shared" si="12"/>
        <v>1</v>
      </c>
      <c r="M21" s="69">
        <f t="shared" si="4"/>
        <v>7.5949003507561388</v>
      </c>
      <c r="N21" s="69">
        <f t="shared" si="16"/>
        <v>3.4167783838757368E-3</v>
      </c>
      <c r="O21" s="69">
        <f t="shared" si="14"/>
        <v>13.377692307692307</v>
      </c>
      <c r="P21" s="69">
        <f t="shared" si="5"/>
        <v>18.394326923076925</v>
      </c>
      <c r="Q21" s="69">
        <f t="shared" si="6"/>
        <v>8.3610576923076909</v>
      </c>
      <c r="X21" s="73" t="s">
        <v>147</v>
      </c>
      <c r="Y21" s="74">
        <v>0.2</v>
      </c>
    </row>
    <row r="22" spans="1:25" x14ac:dyDescent="0.2">
      <c r="A22" s="69">
        <f t="shared" si="0"/>
        <v>42.5</v>
      </c>
      <c r="B22" s="72">
        <f t="shared" si="1"/>
        <v>4.9038461538461542</v>
      </c>
      <c r="C22" s="70">
        <f t="shared" si="2"/>
        <v>0</v>
      </c>
      <c r="D22" s="221">
        <f>B2</f>
        <v>127.00280000000001</v>
      </c>
      <c r="E22" s="68">
        <f t="shared" si="7"/>
        <v>3.3780795907928391</v>
      </c>
      <c r="F22" s="70">
        <f t="shared" si="8"/>
        <v>0.35199999999999998</v>
      </c>
      <c r="G22" s="68">
        <f t="shared" si="9"/>
        <v>0.35199999999999998</v>
      </c>
      <c r="H22" s="70">
        <f t="shared" si="3"/>
        <v>0.35199999999999998</v>
      </c>
      <c r="I22" s="71">
        <f t="shared" si="10"/>
        <v>2.5540865384615419E-4</v>
      </c>
      <c r="J22" s="78">
        <f t="shared" si="15"/>
        <v>3.0649038461538465E-3</v>
      </c>
      <c r="K22" s="214">
        <f t="shared" si="11"/>
        <v>3.0649038461538467</v>
      </c>
      <c r="L22" s="167">
        <f t="shared" si="12"/>
        <v>1</v>
      </c>
      <c r="M22" s="69">
        <f t="shared" si="4"/>
        <v>7.6774536154382709</v>
      </c>
      <c r="N22" s="69">
        <f t="shared" si="16"/>
        <v>3.3800388313609511E-3</v>
      </c>
      <c r="O22" s="69">
        <f t="shared" si="14"/>
        <v>13.233846153846153</v>
      </c>
      <c r="P22" s="69">
        <f t="shared" si="5"/>
        <v>18.196538461538463</v>
      </c>
      <c r="Q22" s="69">
        <f t="shared" si="6"/>
        <v>8.2711538461538456</v>
      </c>
      <c r="X22" s="73" t="s">
        <v>143</v>
      </c>
      <c r="Y22" s="74">
        <f>SQRT(Y21^2+Y20^2)</f>
        <v>0.28284271247461906</v>
      </c>
    </row>
    <row r="23" spans="1:25" x14ac:dyDescent="0.2">
      <c r="A23" s="69">
        <f t="shared" si="0"/>
        <v>42.5</v>
      </c>
      <c r="B23" s="72">
        <f t="shared" si="1"/>
        <v>5.3125</v>
      </c>
      <c r="C23" s="70">
        <f t="shared" si="2"/>
        <v>0</v>
      </c>
      <c r="D23" s="221">
        <f>B2</f>
        <v>127.00280000000001</v>
      </c>
      <c r="E23" s="68">
        <f t="shared" si="7"/>
        <v>3.4152013445378153</v>
      </c>
      <c r="F23" s="70">
        <f t="shared" si="8"/>
        <v>0.35199999999999998</v>
      </c>
      <c r="G23" s="68">
        <f t="shared" si="9"/>
        <v>0.35199999999999998</v>
      </c>
      <c r="H23" s="70">
        <f t="shared" si="3"/>
        <v>0.35199999999999998</v>
      </c>
      <c r="I23" s="71">
        <f t="shared" si="10"/>
        <v>2.5540865384615364E-4</v>
      </c>
      <c r="J23" s="78">
        <f t="shared" si="15"/>
        <v>3.3203125000000003E-3</v>
      </c>
      <c r="K23" s="214">
        <f t="shared" si="11"/>
        <v>3.3203125000000004</v>
      </c>
      <c r="L23" s="167">
        <f t="shared" si="12"/>
        <v>1</v>
      </c>
      <c r="M23" s="69">
        <f t="shared" si="4"/>
        <v>7.7618212375859432</v>
      </c>
      <c r="N23" s="69">
        <f t="shared" si="16"/>
        <v>3.3432992788461511E-3</v>
      </c>
      <c r="O23" s="69">
        <f t="shared" si="14"/>
        <v>13.09</v>
      </c>
      <c r="P23" s="69">
        <f t="shared" si="5"/>
        <v>17.998750000000001</v>
      </c>
      <c r="Q23" s="69">
        <f t="shared" si="6"/>
        <v>8.1812499999999986</v>
      </c>
      <c r="X23" s="74"/>
      <c r="Y23" s="74"/>
    </row>
    <row r="24" spans="1:25" x14ac:dyDescent="0.2">
      <c r="A24" s="69">
        <f t="shared" si="0"/>
        <v>42.5</v>
      </c>
      <c r="B24" s="72">
        <f t="shared" si="1"/>
        <v>5.7211538461538458</v>
      </c>
      <c r="C24" s="70">
        <f t="shared" si="2"/>
        <v>0</v>
      </c>
      <c r="D24" s="221">
        <f>B2</f>
        <v>127.00280000000001</v>
      </c>
      <c r="E24" s="68">
        <f t="shared" si="7"/>
        <v>3.4531480261437912</v>
      </c>
      <c r="F24" s="70">
        <f t="shared" si="8"/>
        <v>0.35199999999999998</v>
      </c>
      <c r="G24" s="68">
        <f t="shared" si="9"/>
        <v>0.35199999999999998</v>
      </c>
      <c r="H24" s="70">
        <f t="shared" si="3"/>
        <v>0.35199999999999998</v>
      </c>
      <c r="I24" s="71">
        <f t="shared" si="10"/>
        <v>2.5540865384615364E-4</v>
      </c>
      <c r="J24" s="78">
        <f t="shared" si="15"/>
        <v>3.5757211538461542E-3</v>
      </c>
      <c r="K24" s="214">
        <f t="shared" si="11"/>
        <v>3.5757211538461542</v>
      </c>
      <c r="L24" s="167">
        <f t="shared" si="12"/>
        <v>1</v>
      </c>
      <c r="M24" s="69">
        <f t="shared" si="4"/>
        <v>7.8480636957813426</v>
      </c>
      <c r="N24" s="69">
        <f t="shared" si="16"/>
        <v>3.3065597263313585E-3</v>
      </c>
      <c r="O24" s="69">
        <f t="shared" si="14"/>
        <v>12.946153846153845</v>
      </c>
      <c r="P24" s="69">
        <f t="shared" si="5"/>
        <v>17.800961538461539</v>
      </c>
      <c r="Q24" s="69">
        <f t="shared" si="6"/>
        <v>8.0913461538461533</v>
      </c>
      <c r="X24" s="73" t="s">
        <v>148</v>
      </c>
      <c r="Y24" s="74">
        <f>SQRT(Y18^2+Y22^2)</f>
        <v>0.50990195135927852</v>
      </c>
    </row>
    <row r="25" spans="1:25" x14ac:dyDescent="0.2">
      <c r="A25" s="69">
        <f t="shared" si="0"/>
        <v>42.5</v>
      </c>
      <c r="B25" s="72">
        <f t="shared" si="1"/>
        <v>6.1298076923076916</v>
      </c>
      <c r="C25" s="70">
        <f t="shared" si="2"/>
        <v>0</v>
      </c>
      <c r="D25" s="221">
        <f>B2</f>
        <v>127.00280000000001</v>
      </c>
      <c r="E25" s="68">
        <f t="shared" si="7"/>
        <v>3.4919474421678789</v>
      </c>
      <c r="F25" s="70">
        <f t="shared" si="8"/>
        <v>0.35199999999999998</v>
      </c>
      <c r="G25" s="68">
        <f t="shared" si="9"/>
        <v>0.35199999999999998</v>
      </c>
      <c r="H25" s="70">
        <f t="shared" si="3"/>
        <v>0.35199999999999998</v>
      </c>
      <c r="I25" s="71">
        <f t="shared" si="10"/>
        <v>2.5540865384615364E-4</v>
      </c>
      <c r="J25" s="78">
        <f t="shared" si="15"/>
        <v>3.831129807692308E-3</v>
      </c>
      <c r="K25" s="214">
        <f t="shared" si="11"/>
        <v>3.8311298076923079</v>
      </c>
      <c r="L25" s="167">
        <f t="shared" si="12"/>
        <v>1</v>
      </c>
      <c r="M25" s="69">
        <f t="shared" si="4"/>
        <v>7.9362441867451787</v>
      </c>
      <c r="N25" s="69">
        <f t="shared" si="16"/>
        <v>3.2698201738165654E-3</v>
      </c>
      <c r="O25" s="69">
        <f t="shared" si="14"/>
        <v>12.802307692307691</v>
      </c>
      <c r="P25" s="69">
        <f t="shared" si="5"/>
        <v>17.603173076923078</v>
      </c>
      <c r="Q25" s="69">
        <f t="shared" si="6"/>
        <v>8.0014423076923062</v>
      </c>
    </row>
    <row r="26" spans="1:25" x14ac:dyDescent="0.2">
      <c r="A26" s="69">
        <f t="shared" si="0"/>
        <v>42.5</v>
      </c>
      <c r="B26" s="72">
        <f t="shared" si="1"/>
        <v>6.5384615384615392</v>
      </c>
      <c r="C26" s="70">
        <f t="shared" si="2"/>
        <v>0</v>
      </c>
      <c r="D26" s="221">
        <f>B2</f>
        <v>127.00280000000001</v>
      </c>
      <c r="E26" s="68">
        <f t="shared" si="7"/>
        <v>3.5316286631016047</v>
      </c>
      <c r="F26" s="70">
        <f t="shared" si="8"/>
        <v>0.35199999999999998</v>
      </c>
      <c r="G26" s="68">
        <f t="shared" si="9"/>
        <v>0.35199999999999998</v>
      </c>
      <c r="H26" s="70">
        <f t="shared" si="3"/>
        <v>0.35199999999999998</v>
      </c>
      <c r="I26" s="71">
        <f t="shared" si="10"/>
        <v>2.5540865384615478E-4</v>
      </c>
      <c r="J26" s="78">
        <f t="shared" si="15"/>
        <v>4.0865384615384626E-3</v>
      </c>
      <c r="K26" s="214">
        <f t="shared" si="11"/>
        <v>4.0865384615384626</v>
      </c>
      <c r="L26" s="167">
        <f t="shared" si="12"/>
        <v>1</v>
      </c>
      <c r="M26" s="69">
        <f t="shared" si="4"/>
        <v>8.0264287797763743</v>
      </c>
      <c r="N26" s="69">
        <f t="shared" si="16"/>
        <v>3.2330806213017866E-3</v>
      </c>
      <c r="O26" s="69">
        <f t="shared" si="14"/>
        <v>12.658461538461538</v>
      </c>
      <c r="P26" s="69">
        <f t="shared" si="5"/>
        <v>17.405384615384612</v>
      </c>
      <c r="Q26" s="69">
        <f t="shared" si="6"/>
        <v>7.9115384615384601</v>
      </c>
    </row>
    <row r="27" spans="1:25" x14ac:dyDescent="0.2">
      <c r="A27" s="69">
        <f t="shared" si="0"/>
        <v>42.5</v>
      </c>
      <c r="B27" s="72">
        <f t="shared" si="1"/>
        <v>6.947115384615385</v>
      </c>
      <c r="C27" s="70">
        <f t="shared" si="2"/>
        <v>0</v>
      </c>
      <c r="D27" s="221">
        <f>B2</f>
        <v>127.00280000000001</v>
      </c>
      <c r="E27" s="68">
        <f t="shared" si="7"/>
        <v>3.5722220960108184</v>
      </c>
      <c r="F27" s="70">
        <f t="shared" si="8"/>
        <v>0.35199999999999998</v>
      </c>
      <c r="G27" s="68">
        <f t="shared" si="9"/>
        <v>0.35199999999999998</v>
      </c>
      <c r="H27" s="70">
        <f t="shared" si="3"/>
        <v>0.35199999999999998</v>
      </c>
      <c r="I27" s="71">
        <f t="shared" si="10"/>
        <v>2.5540865384615364E-4</v>
      </c>
      <c r="J27" s="78">
        <f t="shared" si="15"/>
        <v>4.3419471153846164E-3</v>
      </c>
      <c r="K27" s="214">
        <f t="shared" si="11"/>
        <v>4.3419471153846168</v>
      </c>
      <c r="L27" s="167">
        <f t="shared" si="12"/>
        <v>1</v>
      </c>
      <c r="M27" s="69">
        <f t="shared" si="4"/>
        <v>8.118686581842768</v>
      </c>
      <c r="N27" s="69">
        <f t="shared" si="16"/>
        <v>3.1963410687869797E-3</v>
      </c>
      <c r="O27" s="69">
        <f t="shared" si="14"/>
        <v>12.514615384615382</v>
      </c>
      <c r="P27" s="69">
        <f t="shared" si="5"/>
        <v>17.207596153846151</v>
      </c>
      <c r="Q27" s="69">
        <f t="shared" si="6"/>
        <v>7.8216346153846139</v>
      </c>
    </row>
    <row r="28" spans="1:25" x14ac:dyDescent="0.2">
      <c r="A28" s="69">
        <f t="shared" si="0"/>
        <v>42.5</v>
      </c>
      <c r="B28" s="72">
        <f t="shared" si="1"/>
        <v>7.3557692307692308</v>
      </c>
      <c r="C28" s="70">
        <f t="shared" si="2"/>
        <v>0</v>
      </c>
      <c r="D28" s="221">
        <f>B2</f>
        <v>127.00280000000001</v>
      </c>
      <c r="E28" s="68">
        <f t="shared" si="7"/>
        <v>3.6137595622435024</v>
      </c>
      <c r="F28" s="70">
        <f t="shared" si="8"/>
        <v>0.35199999999999998</v>
      </c>
      <c r="G28" s="68">
        <f t="shared" si="9"/>
        <v>0.35199999999999998</v>
      </c>
      <c r="H28" s="70">
        <f t="shared" si="3"/>
        <v>0.35199999999999998</v>
      </c>
      <c r="I28" s="71">
        <f t="shared" si="10"/>
        <v>2.5540865384615364E-4</v>
      </c>
      <c r="J28" s="78">
        <f t="shared" si="15"/>
        <v>4.5973557692307702E-3</v>
      </c>
      <c r="K28" s="214">
        <f t="shared" si="11"/>
        <v>4.5973557692307701</v>
      </c>
      <c r="L28" s="167">
        <f t="shared" si="12"/>
        <v>1</v>
      </c>
      <c r="M28" s="69">
        <f t="shared" si="4"/>
        <v>8.2130899141897782</v>
      </c>
      <c r="N28" s="69">
        <f t="shared" si="16"/>
        <v>3.1596015162721866E-3</v>
      </c>
      <c r="O28" s="69">
        <f t="shared" si="14"/>
        <v>12.370769230769229</v>
      </c>
      <c r="P28" s="69">
        <f t="shared" si="5"/>
        <v>17.009807692307689</v>
      </c>
      <c r="Q28" s="69">
        <f t="shared" si="6"/>
        <v>7.7317307692307677</v>
      </c>
    </row>
    <row r="29" spans="1:25" x14ac:dyDescent="0.2">
      <c r="A29" s="69">
        <f t="shared" si="0"/>
        <v>42.5</v>
      </c>
      <c r="B29" s="72">
        <f t="shared" si="1"/>
        <v>7.7644230769230766</v>
      </c>
      <c r="C29" s="70">
        <f t="shared" si="2"/>
        <v>0</v>
      </c>
      <c r="D29" s="221">
        <f>B2</f>
        <v>127.00280000000001</v>
      </c>
      <c r="E29" s="68">
        <f t="shared" si="7"/>
        <v>3.6562743806228379</v>
      </c>
      <c r="F29" s="70">
        <f t="shared" si="8"/>
        <v>0.35199999999999998</v>
      </c>
      <c r="G29" s="68">
        <f t="shared" si="9"/>
        <v>0.35199999999999998</v>
      </c>
      <c r="H29" s="70">
        <f t="shared" si="3"/>
        <v>0.35199999999999998</v>
      </c>
      <c r="I29" s="71">
        <f t="shared" si="10"/>
        <v>2.5540865384615364E-4</v>
      </c>
      <c r="J29" s="78">
        <f t="shared" si="15"/>
        <v>4.8527644230769241E-3</v>
      </c>
      <c r="K29" s="214">
        <f t="shared" si="11"/>
        <v>4.8527644230769242</v>
      </c>
      <c r="L29" s="167">
        <f t="shared" si="12"/>
        <v>1</v>
      </c>
      <c r="M29" s="69">
        <f t="shared" si="4"/>
        <v>8.3097145014155398</v>
      </c>
      <c r="N29" s="69">
        <f t="shared" si="16"/>
        <v>3.1228619637573935E-3</v>
      </c>
      <c r="O29" s="69">
        <f t="shared" si="14"/>
        <v>12.226923076923075</v>
      </c>
      <c r="P29" s="69">
        <f t="shared" si="5"/>
        <v>16.812019230769227</v>
      </c>
      <c r="Q29" s="69">
        <f t="shared" si="6"/>
        <v>7.6418269230769216</v>
      </c>
    </row>
    <row r="30" spans="1:25" x14ac:dyDescent="0.2">
      <c r="A30" s="69">
        <f t="shared" si="0"/>
        <v>42.5</v>
      </c>
      <c r="B30" s="72">
        <f t="shared" si="1"/>
        <v>8.1730769230769234</v>
      </c>
      <c r="C30" s="70">
        <f t="shared" si="2"/>
        <v>0</v>
      </c>
      <c r="D30" s="221">
        <f>B2</f>
        <v>127.00280000000001</v>
      </c>
      <c r="E30" s="68">
        <f t="shared" si="7"/>
        <v>3.6998014565826329</v>
      </c>
      <c r="F30" s="70">
        <f t="shared" si="8"/>
        <v>0.35199999999999998</v>
      </c>
      <c r="G30" s="68">
        <f t="shared" si="9"/>
        <v>0.35199999999999998</v>
      </c>
      <c r="H30" s="70">
        <f t="shared" si="3"/>
        <v>0.35199999999999998</v>
      </c>
      <c r="I30" s="71">
        <f t="shared" si="10"/>
        <v>2.5540865384615419E-4</v>
      </c>
      <c r="J30" s="78">
        <f t="shared" si="15"/>
        <v>5.1081730769230779E-3</v>
      </c>
      <c r="K30" s="214">
        <f t="shared" si="11"/>
        <v>5.1081730769230775</v>
      </c>
      <c r="L30" s="167">
        <f t="shared" si="12"/>
        <v>1</v>
      </c>
      <c r="M30" s="69">
        <f t="shared" si="4"/>
        <v>8.4086396740514395</v>
      </c>
      <c r="N30" s="69">
        <f t="shared" si="16"/>
        <v>3.0861224112426078E-3</v>
      </c>
      <c r="O30" s="69">
        <f t="shared" si="14"/>
        <v>12.083076923076923</v>
      </c>
      <c r="P30" s="69">
        <f t="shared" si="5"/>
        <v>16.614230769230769</v>
      </c>
      <c r="Q30" s="69">
        <f t="shared" si="6"/>
        <v>7.5519230769230763</v>
      </c>
    </row>
    <row r="31" spans="1:25" x14ac:dyDescent="0.2">
      <c r="A31" s="69">
        <f t="shared" si="0"/>
        <v>42.5</v>
      </c>
      <c r="B31" s="72">
        <f t="shared" si="1"/>
        <v>8.5817307692307701</v>
      </c>
      <c r="C31" s="70">
        <f t="shared" si="2"/>
        <v>0</v>
      </c>
      <c r="D31" s="221">
        <f>B2</f>
        <v>127.00280000000001</v>
      </c>
      <c r="E31" s="68">
        <f t="shared" si="7"/>
        <v>3.7443773777462801</v>
      </c>
      <c r="F31" s="70">
        <f t="shared" si="8"/>
        <v>0.35199999999999998</v>
      </c>
      <c r="G31" s="68">
        <f t="shared" si="9"/>
        <v>0.35199999999999998</v>
      </c>
      <c r="H31" s="70">
        <f t="shared" si="3"/>
        <v>0.35199999999999998</v>
      </c>
      <c r="I31" s="71">
        <f t="shared" si="10"/>
        <v>2.5540865384615419E-4</v>
      </c>
      <c r="J31" s="78">
        <f t="shared" si="15"/>
        <v>5.3635817307692317E-3</v>
      </c>
      <c r="K31" s="214">
        <f t="shared" si="11"/>
        <v>5.3635817307692317</v>
      </c>
      <c r="L31" s="167">
        <f t="shared" si="12"/>
        <v>1</v>
      </c>
      <c r="M31" s="69">
        <f t="shared" si="4"/>
        <v>8.5099485857870008</v>
      </c>
      <c r="N31" s="69">
        <f t="shared" si="16"/>
        <v>3.0493828587278143E-3</v>
      </c>
      <c r="O31" s="69">
        <f t="shared" si="14"/>
        <v>11.939230769230766</v>
      </c>
      <c r="P31" s="69">
        <f t="shared" si="5"/>
        <v>16.416442307692304</v>
      </c>
      <c r="Q31" s="69">
        <f t="shared" si="6"/>
        <v>7.4620192307692292</v>
      </c>
    </row>
    <row r="32" spans="1:25" x14ac:dyDescent="0.2">
      <c r="A32" s="69">
        <f t="shared" si="0"/>
        <v>42.5</v>
      </c>
      <c r="B32" s="72">
        <f t="shared" si="1"/>
        <v>8.990384615384615</v>
      </c>
      <c r="C32" s="70">
        <f t="shared" si="2"/>
        <v>0</v>
      </c>
      <c r="D32" s="221">
        <f>B2</f>
        <v>127.00280000000001</v>
      </c>
      <c r="E32" s="68">
        <f t="shared" si="7"/>
        <v>3.7900405164992828</v>
      </c>
      <c r="F32" s="70">
        <f t="shared" si="8"/>
        <v>0.35199999999999998</v>
      </c>
      <c r="G32" s="68">
        <f t="shared" si="9"/>
        <v>0.35199999999999998</v>
      </c>
      <c r="H32" s="70">
        <f t="shared" si="3"/>
        <v>0.35199999999999998</v>
      </c>
      <c r="I32" s="71">
        <f t="shared" si="10"/>
        <v>2.554086538461531E-4</v>
      </c>
      <c r="J32" s="78">
        <f t="shared" si="15"/>
        <v>5.6189903846153846E-3</v>
      </c>
      <c r="K32" s="214">
        <f t="shared" si="11"/>
        <v>5.618990384615385</v>
      </c>
      <c r="L32" s="167">
        <f t="shared" si="12"/>
        <v>1</v>
      </c>
      <c r="M32" s="69">
        <f t="shared" si="4"/>
        <v>8.6137284465892794</v>
      </c>
      <c r="N32" s="69">
        <f t="shared" si="16"/>
        <v>3.0126433062130087E-3</v>
      </c>
      <c r="O32" s="69">
        <f t="shared" si="14"/>
        <v>11.795384615384615</v>
      </c>
      <c r="P32" s="69">
        <f t="shared" si="5"/>
        <v>16.218653846153845</v>
      </c>
      <c r="Q32" s="69">
        <f t="shared" si="6"/>
        <v>7.372115384615384</v>
      </c>
    </row>
    <row r="33" spans="1:17" x14ac:dyDescent="0.2">
      <c r="A33" s="69">
        <f t="shared" si="0"/>
        <v>42.5</v>
      </c>
      <c r="B33" s="72">
        <f t="shared" si="1"/>
        <v>9.3990384615384617</v>
      </c>
      <c r="C33" s="70">
        <f t="shared" si="2"/>
        <v>0</v>
      </c>
      <c r="D33" s="221">
        <f>B2</f>
        <v>127.00280000000001</v>
      </c>
      <c r="E33" s="68">
        <f t="shared" si="7"/>
        <v>3.8368311401597675</v>
      </c>
      <c r="F33" s="70">
        <f t="shared" si="8"/>
        <v>0.35199999999999998</v>
      </c>
      <c r="G33" s="68">
        <f t="shared" si="9"/>
        <v>0.35199999999999998</v>
      </c>
      <c r="H33" s="70">
        <f t="shared" si="3"/>
        <v>0.35199999999999998</v>
      </c>
      <c r="I33" s="71">
        <f t="shared" si="10"/>
        <v>2.5540865384615419E-4</v>
      </c>
      <c r="J33" s="78">
        <f t="shared" si="15"/>
        <v>5.8743990384615384E-3</v>
      </c>
      <c r="K33" s="214">
        <f t="shared" si="11"/>
        <v>5.8743990384615383</v>
      </c>
      <c r="L33" s="167">
        <f t="shared" si="12"/>
        <v>1</v>
      </c>
      <c r="M33" s="69">
        <f t="shared" si="4"/>
        <v>8.720070773090379</v>
      </c>
      <c r="N33" s="69">
        <f t="shared" si="16"/>
        <v>2.9759037536982291E-3</v>
      </c>
      <c r="O33" s="69">
        <f t="shared" si="14"/>
        <v>11.651538461538461</v>
      </c>
      <c r="P33" s="69">
        <f t="shared" si="5"/>
        <v>16.020865384615384</v>
      </c>
      <c r="Q33" s="69">
        <f t="shared" si="6"/>
        <v>7.2822115384615378</v>
      </c>
    </row>
    <row r="34" spans="1:17" x14ac:dyDescent="0.2">
      <c r="A34" s="69">
        <f t="shared" si="0"/>
        <v>42.5</v>
      </c>
      <c r="B34" s="72">
        <f t="shared" si="1"/>
        <v>9.8076923076923084</v>
      </c>
      <c r="C34" s="70">
        <f t="shared" si="2"/>
        <v>0</v>
      </c>
      <c r="D34" s="221">
        <f>B2</f>
        <v>127.00280000000001</v>
      </c>
      <c r="E34" s="68">
        <f t="shared" si="7"/>
        <v>3.884791529411765</v>
      </c>
      <c r="F34" s="70">
        <f t="shared" si="8"/>
        <v>0.35199999999999998</v>
      </c>
      <c r="G34" s="68">
        <f t="shared" si="9"/>
        <v>0.35199999999999998</v>
      </c>
      <c r="H34" s="70">
        <f t="shared" si="3"/>
        <v>0.35199999999999998</v>
      </c>
      <c r="I34" s="71">
        <f t="shared" si="10"/>
        <v>2.5540865384615419E-4</v>
      </c>
      <c r="J34" s="78">
        <f t="shared" si="15"/>
        <v>6.1298076923076922E-3</v>
      </c>
      <c r="K34" s="214">
        <f t="shared" si="11"/>
        <v>6.1298076923076925</v>
      </c>
      <c r="L34" s="167">
        <f t="shared" si="12"/>
        <v>1</v>
      </c>
      <c r="M34" s="69">
        <f t="shared" si="4"/>
        <v>8.8290716577540103</v>
      </c>
      <c r="N34" s="69">
        <f t="shared" si="16"/>
        <v>2.939164201183436E-3</v>
      </c>
      <c r="O34" s="69">
        <f t="shared" si="14"/>
        <v>11.507692307692308</v>
      </c>
      <c r="P34" s="69">
        <f t="shared" si="5"/>
        <v>15.823076923076924</v>
      </c>
      <c r="Q34" s="69">
        <f t="shared" si="6"/>
        <v>7.1923076923076916</v>
      </c>
    </row>
    <row r="35" spans="1:17" x14ac:dyDescent="0.2">
      <c r="A35" s="69">
        <f t="shared" si="0"/>
        <v>42.5</v>
      </c>
      <c r="B35" s="72">
        <f t="shared" si="1"/>
        <v>10.216346153846153</v>
      </c>
      <c r="C35" s="70">
        <f t="shared" si="2"/>
        <v>0</v>
      </c>
      <c r="D35" s="221">
        <f>B2</f>
        <v>127.00280000000001</v>
      </c>
      <c r="E35" s="68">
        <f t="shared" si="7"/>
        <v>3.933966105733433</v>
      </c>
      <c r="F35" s="70">
        <f t="shared" si="8"/>
        <v>0.35199999999999998</v>
      </c>
      <c r="G35" s="68">
        <f t="shared" si="9"/>
        <v>0.35199999999999998</v>
      </c>
      <c r="H35" s="70">
        <f t="shared" si="3"/>
        <v>0.35199999999999998</v>
      </c>
      <c r="I35" s="71">
        <f t="shared" si="10"/>
        <v>2.554086538461531E-4</v>
      </c>
      <c r="J35" s="78">
        <f t="shared" si="15"/>
        <v>6.3852163461538452E-3</v>
      </c>
      <c r="K35" s="214">
        <f t="shared" si="11"/>
        <v>6.3852163461538449</v>
      </c>
      <c r="L35" s="167">
        <f t="shared" si="12"/>
        <v>1</v>
      </c>
      <c r="M35" s="69">
        <f t="shared" si="4"/>
        <v>8.9408320584850731</v>
      </c>
      <c r="N35" s="69">
        <f t="shared" si="16"/>
        <v>2.9024246486686303E-3</v>
      </c>
      <c r="O35" s="69">
        <f t="shared" si="14"/>
        <v>11.363846153846154</v>
      </c>
      <c r="P35" s="69">
        <f t="shared" si="5"/>
        <v>15.625288461538462</v>
      </c>
      <c r="Q35" s="69">
        <f t="shared" si="6"/>
        <v>7.1024038461538455</v>
      </c>
    </row>
    <row r="36" spans="1:17" x14ac:dyDescent="0.2">
      <c r="A36" s="69">
        <f t="shared" si="0"/>
        <v>42.5</v>
      </c>
      <c r="B36" s="72">
        <f t="shared" si="1"/>
        <v>10.625</v>
      </c>
      <c r="C36" s="70">
        <f t="shared" si="2"/>
        <v>0</v>
      </c>
      <c r="D36" s="221">
        <f>B2</f>
        <v>127.00280000000001</v>
      </c>
      <c r="E36" s="68">
        <f t="shared" si="7"/>
        <v>3.9844015686274514</v>
      </c>
      <c r="F36" s="70">
        <f t="shared" si="8"/>
        <v>0.35199999999999998</v>
      </c>
      <c r="G36" s="68">
        <f t="shared" si="9"/>
        <v>0.35199999999999998</v>
      </c>
      <c r="H36" s="70">
        <f t="shared" si="3"/>
        <v>0.35199999999999998</v>
      </c>
      <c r="I36" s="71">
        <f t="shared" si="10"/>
        <v>2.5540865384615419E-4</v>
      </c>
      <c r="J36" s="78">
        <f t="shared" si="15"/>
        <v>6.640624999999999E-3</v>
      </c>
      <c r="K36" s="214">
        <f t="shared" si="11"/>
        <v>6.6406249999999991</v>
      </c>
      <c r="L36" s="167">
        <f t="shared" si="12"/>
        <v>1</v>
      </c>
      <c r="M36" s="69">
        <f t="shared" si="4"/>
        <v>9.0554581105169341</v>
      </c>
      <c r="N36" s="69">
        <f t="shared" si="16"/>
        <v>2.8656850961538498E-3</v>
      </c>
      <c r="O36" s="69">
        <f t="shared" si="14"/>
        <v>11.219999999999999</v>
      </c>
      <c r="P36" s="69">
        <f t="shared" si="5"/>
        <v>15.4275</v>
      </c>
      <c r="Q36" s="69">
        <f t="shared" si="6"/>
        <v>7.0124999999999993</v>
      </c>
    </row>
    <row r="37" spans="1:17" x14ac:dyDescent="0.2">
      <c r="A37" s="69">
        <f t="shared" si="0"/>
        <v>42.5</v>
      </c>
      <c r="B37" s="72">
        <f t="shared" si="1"/>
        <v>11.033653846153847</v>
      </c>
      <c r="C37" s="70">
        <f t="shared" si="2"/>
        <v>0</v>
      </c>
      <c r="D37" s="221">
        <f>B2</f>
        <v>127.00280000000001</v>
      </c>
      <c r="E37" s="68">
        <f t="shared" si="7"/>
        <v>4.0361470435446911</v>
      </c>
      <c r="F37" s="70">
        <f t="shared" si="8"/>
        <v>0.35199999999999998</v>
      </c>
      <c r="G37" s="68">
        <f t="shared" si="9"/>
        <v>0.35199999999999998</v>
      </c>
      <c r="H37" s="70">
        <f t="shared" si="3"/>
        <v>0.35199999999999998</v>
      </c>
      <c r="I37" s="71">
        <f t="shared" si="10"/>
        <v>2.5540865384615419E-4</v>
      </c>
      <c r="J37" s="78">
        <f t="shared" si="15"/>
        <v>6.8960336538461528E-3</v>
      </c>
      <c r="K37" s="214">
        <f t="shared" si="11"/>
        <v>6.8960336538461524</v>
      </c>
      <c r="L37" s="167">
        <f t="shared" si="12"/>
        <v>1</v>
      </c>
      <c r="M37" s="69">
        <f t="shared" si="4"/>
        <v>9.1730614626015701</v>
      </c>
      <c r="N37" s="69">
        <f t="shared" si="16"/>
        <v>2.8289455436390568E-3</v>
      </c>
      <c r="O37" s="69">
        <f t="shared" si="14"/>
        <v>11.076153846153845</v>
      </c>
      <c r="P37" s="69">
        <f t="shared" si="5"/>
        <v>15.229711538461538</v>
      </c>
      <c r="Q37" s="69">
        <f t="shared" si="6"/>
        <v>6.9225961538461531</v>
      </c>
    </row>
    <row r="38" spans="1:17" x14ac:dyDescent="0.2">
      <c r="A38" s="69">
        <f t="shared" si="0"/>
        <v>42.5</v>
      </c>
      <c r="B38" s="72">
        <f t="shared" si="1"/>
        <v>11.442307692307692</v>
      </c>
      <c r="C38" s="70">
        <f t="shared" si="2"/>
        <v>0</v>
      </c>
      <c r="D38" s="221">
        <f>B2</f>
        <v>127.00280000000001</v>
      </c>
      <c r="E38" s="68">
        <f t="shared" si="7"/>
        <v>4.0892542414860689</v>
      </c>
      <c r="F38" s="70">
        <f t="shared" si="8"/>
        <v>0.35199999999999998</v>
      </c>
      <c r="G38" s="68">
        <f t="shared" si="9"/>
        <v>0.35199999999999998</v>
      </c>
      <c r="H38" s="70">
        <f t="shared" si="3"/>
        <v>0.35199999999999998</v>
      </c>
      <c r="I38" s="71">
        <f t="shared" si="10"/>
        <v>2.554086538461531E-4</v>
      </c>
      <c r="J38" s="78">
        <f t="shared" si="15"/>
        <v>7.1514423076923057E-3</v>
      </c>
      <c r="K38" s="214">
        <f t="shared" si="11"/>
        <v>7.1514423076923057</v>
      </c>
      <c r="L38" s="167">
        <f t="shared" si="12"/>
        <v>1</v>
      </c>
      <c r="M38" s="69">
        <f t="shared" si="4"/>
        <v>9.2937596397410651</v>
      </c>
      <c r="N38" s="69">
        <f t="shared" si="16"/>
        <v>2.7922059911242515E-3</v>
      </c>
      <c r="O38" s="69">
        <f t="shared" si="14"/>
        <v>10.932307692307692</v>
      </c>
      <c r="P38" s="69">
        <f t="shared" si="5"/>
        <v>15.031923076923077</v>
      </c>
      <c r="Q38" s="69">
        <f t="shared" si="6"/>
        <v>6.832692307692307</v>
      </c>
    </row>
    <row r="39" spans="1:17" x14ac:dyDescent="0.2">
      <c r="A39" s="69">
        <f t="shared" si="0"/>
        <v>42.5</v>
      </c>
      <c r="B39" s="72">
        <f t="shared" si="1"/>
        <v>11.850961538461538</v>
      </c>
      <c r="C39" s="70">
        <f t="shared" si="2"/>
        <v>0</v>
      </c>
      <c r="D39" s="221">
        <f>B2</f>
        <v>127.00280000000001</v>
      </c>
      <c r="E39" s="68">
        <f t="shared" si="7"/>
        <v>4.1437776313725498</v>
      </c>
      <c r="F39" s="70">
        <f t="shared" si="8"/>
        <v>0.35199999999999998</v>
      </c>
      <c r="G39" s="68">
        <f t="shared" si="9"/>
        <v>0.35199999999999998</v>
      </c>
      <c r="H39" s="70">
        <f t="shared" si="3"/>
        <v>0.35199999999999998</v>
      </c>
      <c r="I39" s="71">
        <f t="shared" si="10"/>
        <v>2.5540865384615419E-4</v>
      </c>
      <c r="J39" s="78">
        <f t="shared" si="15"/>
        <v>7.4068509615384595E-3</v>
      </c>
      <c r="K39" s="214">
        <f t="shared" si="11"/>
        <v>7.4068509615384599</v>
      </c>
      <c r="L39" s="167">
        <f t="shared" si="12"/>
        <v>1</v>
      </c>
      <c r="M39" s="69">
        <f t="shared" si="4"/>
        <v>9.4176764349376132</v>
      </c>
      <c r="N39" s="69">
        <f t="shared" si="16"/>
        <v>2.755466438609471E-3</v>
      </c>
      <c r="O39" s="69">
        <f t="shared" si="14"/>
        <v>10.788461538461537</v>
      </c>
      <c r="P39" s="69">
        <f t="shared" si="5"/>
        <v>14.834134615384615</v>
      </c>
      <c r="Q39" s="69">
        <f t="shared" si="6"/>
        <v>6.7427884615384608</v>
      </c>
    </row>
    <row r="40" spans="1:17" x14ac:dyDescent="0.2">
      <c r="A40" s="69">
        <f t="shared" si="0"/>
        <v>42.5</v>
      </c>
      <c r="B40" s="72">
        <f t="shared" si="1"/>
        <v>12.259615384615383</v>
      </c>
      <c r="C40" s="70">
        <f t="shared" si="2"/>
        <v>0</v>
      </c>
      <c r="D40" s="221">
        <f>B2</f>
        <v>127.00280000000001</v>
      </c>
      <c r="E40" s="68">
        <f t="shared" si="7"/>
        <v>4.1997746263910969</v>
      </c>
      <c r="F40" s="70">
        <f t="shared" si="8"/>
        <v>0.35199999999999998</v>
      </c>
      <c r="G40" s="68">
        <f t="shared" si="9"/>
        <v>0.35199999999999998</v>
      </c>
      <c r="H40" s="70">
        <f t="shared" si="3"/>
        <v>0.35199999999999998</v>
      </c>
      <c r="I40" s="71">
        <f t="shared" si="10"/>
        <v>2.554086538461531E-4</v>
      </c>
      <c r="J40" s="78">
        <f t="shared" si="15"/>
        <v>7.6622596153846124E-3</v>
      </c>
      <c r="K40" s="214">
        <f t="shared" si="11"/>
        <v>7.6622596153846123</v>
      </c>
      <c r="L40" s="167">
        <f t="shared" si="12"/>
        <v>1</v>
      </c>
      <c r="M40" s="69">
        <f t="shared" si="4"/>
        <v>9.5449423327070377</v>
      </c>
      <c r="N40" s="69">
        <f t="shared" si="16"/>
        <v>2.7187268860946663E-3</v>
      </c>
      <c r="O40" s="69">
        <f t="shared" si="14"/>
        <v>10.644615384615385</v>
      </c>
      <c r="P40" s="69">
        <f t="shared" si="5"/>
        <v>14.636346153846153</v>
      </c>
      <c r="Q40" s="69">
        <f t="shared" si="6"/>
        <v>6.6528846153846146</v>
      </c>
    </row>
    <row r="41" spans="1:17" x14ac:dyDescent="0.2">
      <c r="A41" s="69">
        <f t="shared" si="0"/>
        <v>42.5</v>
      </c>
      <c r="B41" s="72">
        <f t="shared" si="1"/>
        <v>12.66826923076923</v>
      </c>
      <c r="C41" s="70">
        <f t="shared" si="2"/>
        <v>0</v>
      </c>
      <c r="D41" s="221">
        <f>B2</f>
        <v>127.00280000000001</v>
      </c>
      <c r="E41" s="68">
        <f t="shared" si="7"/>
        <v>4.2573057856567287</v>
      </c>
      <c r="F41" s="70">
        <f t="shared" si="8"/>
        <v>0.35199999999999998</v>
      </c>
      <c r="G41" s="68">
        <f t="shared" si="9"/>
        <v>0.35199999999999998</v>
      </c>
      <c r="H41" s="70">
        <f t="shared" si="3"/>
        <v>0.35199999999999998</v>
      </c>
      <c r="I41" s="71">
        <f t="shared" si="10"/>
        <v>2.5540865384615419E-4</v>
      </c>
      <c r="J41" s="78">
        <f t="shared" si="15"/>
        <v>7.9176682692307671E-3</v>
      </c>
      <c r="K41" s="214">
        <f t="shared" si="11"/>
        <v>7.9176682692307674</v>
      </c>
      <c r="L41" s="167">
        <f t="shared" si="12"/>
        <v>1</v>
      </c>
      <c r="M41" s="69">
        <f t="shared" si="4"/>
        <v>9.6756949674016557</v>
      </c>
      <c r="N41" s="69">
        <f t="shared" si="16"/>
        <v>2.6819873335798853E-3</v>
      </c>
      <c r="O41" s="69">
        <f t="shared" si="14"/>
        <v>10.500769230769231</v>
      </c>
      <c r="P41" s="69">
        <f t="shared" si="5"/>
        <v>14.438557692307691</v>
      </c>
      <c r="Q41" s="69">
        <f t="shared" si="6"/>
        <v>6.5629807692307685</v>
      </c>
    </row>
    <row r="42" spans="1:17" x14ac:dyDescent="0.2">
      <c r="A42" s="69">
        <f t="shared" ref="A42:A73" si="17">VINMAX</f>
        <v>42.5</v>
      </c>
      <c r="B42" s="72">
        <f t="shared" ref="B42:B73" si="18">VINMAX*((ROW()-10)/104)</f>
        <v>13.076923076923078</v>
      </c>
      <c r="C42" s="70">
        <f t="shared" ref="C42:C73" si="19">IF(B42&gt;=$H$2,IF($D$2="CC", $G$2, B42/$G$2), 0)</f>
        <v>0</v>
      </c>
      <c r="D42" s="221">
        <f>B2</f>
        <v>127.00280000000001</v>
      </c>
      <c r="E42" s="68">
        <f t="shared" si="7"/>
        <v>4.3164350326797392</v>
      </c>
      <c r="F42" s="70">
        <f t="shared" ref="F42:F73" si="20">I_Cout_ss+C42</f>
        <v>0.35199999999999998</v>
      </c>
      <c r="G42" s="68">
        <f t="shared" si="9"/>
        <v>0.35199999999999998</v>
      </c>
      <c r="H42" s="70">
        <f t="shared" ref="H42:H73" si="21">G42-C42</f>
        <v>0.35199999999999998</v>
      </c>
      <c r="I42" s="71">
        <f t="shared" si="10"/>
        <v>2.5540865384615532E-4</v>
      </c>
      <c r="J42" s="78">
        <f t="shared" si="15"/>
        <v>8.1730769230769218E-3</v>
      </c>
      <c r="K42" s="214">
        <f t="shared" si="11"/>
        <v>8.1730769230769216</v>
      </c>
      <c r="L42" s="167">
        <f t="shared" si="12"/>
        <v>1</v>
      </c>
      <c r="M42" s="69">
        <f t="shared" ref="M42:M73" si="22">1/COUTMAX*(E42/2-C42)*1000</f>
        <v>9.8100796197266789</v>
      </c>
      <c r="N42" s="69">
        <f t="shared" si="16"/>
        <v>2.6452477810651035E-3</v>
      </c>
      <c r="O42" s="69">
        <f t="shared" si="14"/>
        <v>10.356923076923076</v>
      </c>
      <c r="P42" s="69">
        <f t="shared" ref="P42:P73" si="23">(A42-B42)*(I_Cout_ss*$Q$2+C42)</f>
        <v>14.240769230769228</v>
      </c>
      <c r="Q42" s="69">
        <f t="shared" ref="Q42:Q73" si="24">(A42-B42)*(I_Cout_ss*$R$2+C42)</f>
        <v>6.4730769230769214</v>
      </c>
    </row>
    <row r="43" spans="1:17" x14ac:dyDescent="0.2">
      <c r="A43" s="69">
        <f t="shared" si="17"/>
        <v>42.5</v>
      </c>
      <c r="B43" s="72">
        <f t="shared" si="18"/>
        <v>13.485576923076922</v>
      </c>
      <c r="C43" s="70">
        <f t="shared" si="19"/>
        <v>0</v>
      </c>
      <c r="D43" s="221">
        <f>B2</f>
        <v>127.00280000000001</v>
      </c>
      <c r="E43" s="68">
        <f t="shared" si="7"/>
        <v>4.3772298922949462</v>
      </c>
      <c r="F43" s="70">
        <f t="shared" si="20"/>
        <v>0.35199999999999998</v>
      </c>
      <c r="G43" s="68">
        <f t="shared" si="9"/>
        <v>0.35199999999999998</v>
      </c>
      <c r="H43" s="70">
        <f t="shared" si="21"/>
        <v>0.35199999999999998</v>
      </c>
      <c r="I43" s="71">
        <f t="shared" ref="I43:I74" si="25">(COUTMAX/1000000)*(B43-B42)/H43</f>
        <v>2.5540865384615202E-4</v>
      </c>
      <c r="J43" s="78">
        <f t="shared" si="15"/>
        <v>8.428485576923073E-3</v>
      </c>
      <c r="K43" s="214">
        <f t="shared" si="11"/>
        <v>8.4284855769230731</v>
      </c>
      <c r="L43" s="167">
        <f t="shared" si="12"/>
        <v>1</v>
      </c>
      <c r="M43" s="69">
        <f t="shared" si="22"/>
        <v>9.9482497552157874</v>
      </c>
      <c r="N43" s="69">
        <f t="shared" si="16"/>
        <v>2.6085082285502771E-3</v>
      </c>
      <c r="O43" s="69">
        <f t="shared" si="14"/>
        <v>10.213076923076924</v>
      </c>
      <c r="P43" s="69">
        <f t="shared" si="23"/>
        <v>14.04298076923077</v>
      </c>
      <c r="Q43" s="69">
        <f t="shared" si="24"/>
        <v>6.383173076923077</v>
      </c>
    </row>
    <row r="44" spans="1:17" x14ac:dyDescent="0.2">
      <c r="A44" s="69">
        <f t="shared" si="17"/>
        <v>42.5</v>
      </c>
      <c r="B44" s="72">
        <f t="shared" si="18"/>
        <v>13.89423076923077</v>
      </c>
      <c r="C44" s="70">
        <f t="shared" si="19"/>
        <v>0</v>
      </c>
      <c r="D44" s="221">
        <f>B2</f>
        <v>127.00280000000001</v>
      </c>
      <c r="E44" s="68">
        <f t="shared" si="7"/>
        <v>4.4397617478991602</v>
      </c>
      <c r="F44" s="70">
        <f t="shared" si="20"/>
        <v>0.35199999999999998</v>
      </c>
      <c r="G44" s="68">
        <f t="shared" si="9"/>
        <v>0.35199999999999998</v>
      </c>
      <c r="H44" s="70">
        <f t="shared" si="21"/>
        <v>0.35199999999999998</v>
      </c>
      <c r="I44" s="71">
        <f t="shared" si="25"/>
        <v>2.5540865384615532E-4</v>
      </c>
      <c r="J44" s="78">
        <f t="shared" si="15"/>
        <v>8.6838942307692277E-3</v>
      </c>
      <c r="K44" s="214">
        <f t="shared" si="11"/>
        <v>8.6838942307692282</v>
      </c>
      <c r="L44" s="167">
        <f t="shared" si="12"/>
        <v>1</v>
      </c>
      <c r="M44" s="69">
        <f t="shared" si="22"/>
        <v>10.090367608861728</v>
      </c>
      <c r="N44" s="69">
        <f t="shared" si="16"/>
        <v>2.5717686760355174E-3</v>
      </c>
      <c r="O44" s="69">
        <f t="shared" si="14"/>
        <v>10.069230769230769</v>
      </c>
      <c r="P44" s="69">
        <f t="shared" si="23"/>
        <v>13.845192307692306</v>
      </c>
      <c r="Q44" s="69">
        <f t="shared" si="24"/>
        <v>6.2932692307692299</v>
      </c>
    </row>
    <row r="45" spans="1:17" x14ac:dyDescent="0.2">
      <c r="A45" s="69">
        <f t="shared" si="17"/>
        <v>42.5</v>
      </c>
      <c r="B45" s="72">
        <f t="shared" si="18"/>
        <v>14.302884615384617</v>
      </c>
      <c r="C45" s="70">
        <f t="shared" si="19"/>
        <v>0</v>
      </c>
      <c r="D45" s="221">
        <f>B2</f>
        <v>127.00280000000001</v>
      </c>
      <c r="E45" s="68">
        <f t="shared" si="7"/>
        <v>4.5041061210571192</v>
      </c>
      <c r="F45" s="70">
        <f t="shared" si="20"/>
        <v>0.35199999999999998</v>
      </c>
      <c r="G45" s="68">
        <f t="shared" si="9"/>
        <v>0.35199999999999998</v>
      </c>
      <c r="H45" s="70">
        <f t="shared" si="21"/>
        <v>0.35199999999999998</v>
      </c>
      <c r="I45" s="71">
        <f t="shared" si="25"/>
        <v>2.5540865384615419E-4</v>
      </c>
      <c r="J45" s="78">
        <f t="shared" si="15"/>
        <v>8.9393028846153823E-3</v>
      </c>
      <c r="K45" s="214">
        <f t="shared" si="11"/>
        <v>8.9393028846153815</v>
      </c>
      <c r="L45" s="167">
        <f t="shared" si="12"/>
        <v>1</v>
      </c>
      <c r="M45" s="69">
        <f t="shared" si="22"/>
        <v>10.236604820584361</v>
      </c>
      <c r="N45" s="69">
        <f t="shared" si="16"/>
        <v>2.5350291235207135E-3</v>
      </c>
      <c r="O45" s="69">
        <f t="shared" si="14"/>
        <v>9.9253846153846137</v>
      </c>
      <c r="P45" s="69">
        <f t="shared" si="23"/>
        <v>13.647403846153844</v>
      </c>
      <c r="Q45" s="69">
        <f t="shared" si="24"/>
        <v>6.2033653846153838</v>
      </c>
    </row>
    <row r="46" spans="1:17" x14ac:dyDescent="0.2">
      <c r="A46" s="69">
        <f t="shared" si="17"/>
        <v>42.5</v>
      </c>
      <c r="B46" s="72">
        <f t="shared" si="18"/>
        <v>14.711538461538462</v>
      </c>
      <c r="C46" s="70">
        <f t="shared" si="19"/>
        <v>0</v>
      </c>
      <c r="D46" s="221">
        <f>B2</f>
        <v>127.00280000000001</v>
      </c>
      <c r="E46" s="68">
        <f t="shared" si="7"/>
        <v>4.570342975778547</v>
      </c>
      <c r="F46" s="70">
        <f t="shared" si="20"/>
        <v>0.35199999999999998</v>
      </c>
      <c r="G46" s="68">
        <f t="shared" si="9"/>
        <v>0.35199999999999998</v>
      </c>
      <c r="H46" s="70">
        <f t="shared" si="21"/>
        <v>0.35199999999999998</v>
      </c>
      <c r="I46" s="71">
        <f t="shared" si="25"/>
        <v>2.554086538461531E-4</v>
      </c>
      <c r="J46" s="78">
        <f t="shared" si="15"/>
        <v>9.1947115384615353E-3</v>
      </c>
      <c r="K46" s="214">
        <f t="shared" si="11"/>
        <v>9.1947115384615348</v>
      </c>
      <c r="L46" s="167">
        <f t="shared" si="12"/>
        <v>1</v>
      </c>
      <c r="M46" s="69">
        <f t="shared" si="22"/>
        <v>10.387143126769425</v>
      </c>
      <c r="N46" s="69">
        <f t="shared" si="16"/>
        <v>2.4982895710059095E-3</v>
      </c>
      <c r="O46" s="69">
        <f t="shared" si="14"/>
        <v>9.781538461538462</v>
      </c>
      <c r="P46" s="69">
        <f t="shared" si="23"/>
        <v>13.449615384615385</v>
      </c>
      <c r="Q46" s="69">
        <f t="shared" si="24"/>
        <v>6.1134615384615385</v>
      </c>
    </row>
    <row r="47" spans="1:17" x14ac:dyDescent="0.2">
      <c r="A47" s="69">
        <f t="shared" si="17"/>
        <v>42.5</v>
      </c>
      <c r="B47" s="72">
        <f t="shared" si="18"/>
        <v>15.120192307692308</v>
      </c>
      <c r="C47" s="70">
        <f t="shared" si="19"/>
        <v>0</v>
      </c>
      <c r="D47" s="221">
        <f>B2</f>
        <v>127.00280000000001</v>
      </c>
      <c r="E47" s="68">
        <f t="shared" si="7"/>
        <v>4.6385570500438984</v>
      </c>
      <c r="F47" s="70">
        <f t="shared" si="20"/>
        <v>0.35199999999999998</v>
      </c>
      <c r="G47" s="68">
        <f t="shared" si="9"/>
        <v>0.35199999999999998</v>
      </c>
      <c r="H47" s="70">
        <f t="shared" si="21"/>
        <v>0.35199999999999998</v>
      </c>
      <c r="I47" s="71">
        <f t="shared" si="25"/>
        <v>2.5540865384615419E-4</v>
      </c>
      <c r="J47" s="78">
        <f t="shared" si="15"/>
        <v>9.45012019230769E-3</v>
      </c>
      <c r="K47" s="214">
        <f t="shared" si="11"/>
        <v>9.4501201923076898</v>
      </c>
      <c r="L47" s="167">
        <f t="shared" si="12"/>
        <v>1</v>
      </c>
      <c r="M47" s="69">
        <f t="shared" si="22"/>
        <v>10.542175113736132</v>
      </c>
      <c r="N47" s="69">
        <f t="shared" si="16"/>
        <v>2.4615500184911277E-3</v>
      </c>
      <c r="O47" s="69">
        <f t="shared" si="14"/>
        <v>9.6376923076923067</v>
      </c>
      <c r="P47" s="69">
        <f t="shared" si="23"/>
        <v>13.251826923076923</v>
      </c>
      <c r="Q47" s="69">
        <f t="shared" si="24"/>
        <v>6.0235576923076914</v>
      </c>
    </row>
    <row r="48" spans="1:17" x14ac:dyDescent="0.2">
      <c r="A48" s="69">
        <f t="shared" si="17"/>
        <v>42.5</v>
      </c>
      <c r="B48" s="72">
        <f t="shared" si="18"/>
        <v>15.528846153846153</v>
      </c>
      <c r="C48" s="70">
        <f t="shared" si="19"/>
        <v>0</v>
      </c>
      <c r="D48" s="221">
        <f>B2</f>
        <v>127.00280000000001</v>
      </c>
      <c r="E48" s="68">
        <f t="shared" si="7"/>
        <v>4.7088382174688057</v>
      </c>
      <c r="F48" s="70">
        <f t="shared" si="20"/>
        <v>0.35199999999999998</v>
      </c>
      <c r="G48" s="68">
        <f t="shared" si="9"/>
        <v>0.35199999999999998</v>
      </c>
      <c r="H48" s="70">
        <f t="shared" si="21"/>
        <v>0.35199999999999998</v>
      </c>
      <c r="I48" s="71">
        <f t="shared" si="25"/>
        <v>2.554086538461531E-4</v>
      </c>
      <c r="J48" s="78">
        <f t="shared" si="15"/>
        <v>9.7055288461538429E-3</v>
      </c>
      <c r="K48" s="214">
        <f t="shared" si="11"/>
        <v>9.7055288461538431</v>
      </c>
      <c r="L48" s="167">
        <f t="shared" si="12"/>
        <v>1</v>
      </c>
      <c r="M48" s="69">
        <f t="shared" si="22"/>
        <v>10.701905039701831</v>
      </c>
      <c r="N48" s="69">
        <f t="shared" si="16"/>
        <v>2.4248104659763238E-3</v>
      </c>
      <c r="O48" s="69">
        <f t="shared" si="14"/>
        <v>9.4938461538461532</v>
      </c>
      <c r="P48" s="69">
        <f t="shared" si="23"/>
        <v>13.054038461538461</v>
      </c>
      <c r="Q48" s="69">
        <f t="shared" si="24"/>
        <v>5.9336538461538453</v>
      </c>
    </row>
    <row r="49" spans="1:17" x14ac:dyDescent="0.2">
      <c r="A49" s="69">
        <f t="shared" si="17"/>
        <v>42.5</v>
      </c>
      <c r="B49" s="72">
        <f t="shared" si="18"/>
        <v>15.9375</v>
      </c>
      <c r="C49" s="70">
        <f t="shared" si="19"/>
        <v>0</v>
      </c>
      <c r="D49" s="221">
        <f>B2</f>
        <v>127.00280000000001</v>
      </c>
      <c r="E49" s="68">
        <f t="shared" si="7"/>
        <v>4.7812818823529417</v>
      </c>
      <c r="F49" s="70">
        <f t="shared" si="20"/>
        <v>0.35199999999999998</v>
      </c>
      <c r="G49" s="68">
        <f t="shared" si="9"/>
        <v>0.35199999999999998</v>
      </c>
      <c r="H49" s="70">
        <f t="shared" si="21"/>
        <v>0.35199999999999998</v>
      </c>
      <c r="I49" s="71">
        <f t="shared" si="25"/>
        <v>2.5540865384615419E-4</v>
      </c>
      <c r="J49" s="78">
        <f t="shared" si="15"/>
        <v>9.9609374999999976E-3</v>
      </c>
      <c r="K49" s="214">
        <f t="shared" si="11"/>
        <v>9.9609374999999982</v>
      </c>
      <c r="L49" s="167">
        <f t="shared" si="12"/>
        <v>1</v>
      </c>
      <c r="M49" s="69">
        <f t="shared" si="22"/>
        <v>10.866549732620321</v>
      </c>
      <c r="N49" s="69">
        <f t="shared" si="16"/>
        <v>2.3880709134615416E-3</v>
      </c>
      <c r="O49" s="69">
        <f t="shared" si="14"/>
        <v>9.35</v>
      </c>
      <c r="P49" s="69">
        <f t="shared" si="23"/>
        <v>12.856249999999999</v>
      </c>
      <c r="Q49" s="69">
        <f t="shared" si="24"/>
        <v>5.8437499999999991</v>
      </c>
    </row>
    <row r="50" spans="1:17" x14ac:dyDescent="0.2">
      <c r="A50" s="69">
        <f t="shared" si="17"/>
        <v>42.5</v>
      </c>
      <c r="B50" s="72">
        <f t="shared" si="18"/>
        <v>16.346153846153847</v>
      </c>
      <c r="C50" s="70">
        <f t="shared" si="19"/>
        <v>4</v>
      </c>
      <c r="D50" s="221">
        <f>B2</f>
        <v>127.00280000000001</v>
      </c>
      <c r="E50" s="68">
        <f t="shared" si="7"/>
        <v>4.855989411764706</v>
      </c>
      <c r="F50" s="70">
        <f t="shared" si="20"/>
        <v>4.3520000000000003</v>
      </c>
      <c r="G50" s="68">
        <f t="shared" si="9"/>
        <v>4.3520000000000003</v>
      </c>
      <c r="H50" s="70">
        <f t="shared" si="21"/>
        <v>0.35200000000000031</v>
      </c>
      <c r="I50" s="71">
        <f t="shared" si="25"/>
        <v>2.5540865384615397E-4</v>
      </c>
      <c r="J50" s="78">
        <f t="shared" si="15"/>
        <v>1.0216346153846152E-2</v>
      </c>
      <c r="K50" s="214">
        <f t="shared" si="11"/>
        <v>10.216346153846152</v>
      </c>
      <c r="L50" s="167">
        <f t="shared" si="12"/>
        <v>8.088235294117653E-2</v>
      </c>
      <c r="M50" s="69">
        <f t="shared" si="22"/>
        <v>-7.1454786096256679</v>
      </c>
      <c r="N50" s="69">
        <f t="shared" si="16"/>
        <v>2.9071005917159779E-2</v>
      </c>
      <c r="O50" s="69">
        <f t="shared" si="14"/>
        <v>113.82153846153847</v>
      </c>
      <c r="P50" s="69">
        <f t="shared" si="23"/>
        <v>117.27384615384615</v>
      </c>
      <c r="Q50" s="69">
        <f t="shared" si="24"/>
        <v>110.36923076923075</v>
      </c>
    </row>
    <row r="51" spans="1:17" x14ac:dyDescent="0.2">
      <c r="A51" s="69">
        <f t="shared" si="17"/>
        <v>42.5</v>
      </c>
      <c r="B51" s="72">
        <f t="shared" si="18"/>
        <v>16.754807692307693</v>
      </c>
      <c r="C51" s="70">
        <f t="shared" si="19"/>
        <v>4</v>
      </c>
      <c r="D51" s="221">
        <f>B2</f>
        <v>127.00280000000001</v>
      </c>
      <c r="E51" s="68">
        <f t="shared" si="7"/>
        <v>4.9330686087768445</v>
      </c>
      <c r="F51" s="70">
        <f t="shared" si="20"/>
        <v>4.3520000000000003</v>
      </c>
      <c r="G51" s="68">
        <f t="shared" si="9"/>
        <v>4.3520000000000003</v>
      </c>
      <c r="H51" s="70">
        <f t="shared" si="21"/>
        <v>0.35200000000000031</v>
      </c>
      <c r="I51" s="71">
        <f t="shared" si="25"/>
        <v>2.5540865384615397E-4</v>
      </c>
      <c r="J51" s="78">
        <f t="shared" si="15"/>
        <v>1.0471754807692307E-2</v>
      </c>
      <c r="K51" s="214">
        <f t="shared" si="11"/>
        <v>10.471754807692307</v>
      </c>
      <c r="L51" s="167">
        <f t="shared" si="12"/>
        <v>8.088235294117653E-2</v>
      </c>
      <c r="M51" s="69">
        <f t="shared" si="22"/>
        <v>-6.9702986164162626</v>
      </c>
      <c r="N51" s="69">
        <f t="shared" si="16"/>
        <v>2.8616771449704159E-2</v>
      </c>
      <c r="O51" s="69">
        <f t="shared" si="14"/>
        <v>112.04307692307692</v>
      </c>
      <c r="P51" s="69">
        <f t="shared" si="23"/>
        <v>115.4414423076923</v>
      </c>
      <c r="Q51" s="69">
        <f t="shared" si="24"/>
        <v>108.64471153846152</v>
      </c>
    </row>
    <row r="52" spans="1:17" x14ac:dyDescent="0.2">
      <c r="A52" s="69">
        <f t="shared" si="17"/>
        <v>42.5</v>
      </c>
      <c r="B52" s="72">
        <f t="shared" si="18"/>
        <v>17.16346153846154</v>
      </c>
      <c r="C52" s="70">
        <f t="shared" si="19"/>
        <v>4</v>
      </c>
      <c r="D52" s="221">
        <f>B2</f>
        <v>127.00280000000001</v>
      </c>
      <c r="E52" s="68">
        <f t="shared" si="7"/>
        <v>5.0126342314990522</v>
      </c>
      <c r="F52" s="70">
        <f t="shared" si="20"/>
        <v>4.3520000000000003</v>
      </c>
      <c r="G52" s="68">
        <f t="shared" si="9"/>
        <v>4.3520000000000003</v>
      </c>
      <c r="H52" s="70">
        <f t="shared" si="21"/>
        <v>0.35200000000000031</v>
      </c>
      <c r="I52" s="71">
        <f t="shared" si="25"/>
        <v>2.5540865384615397E-4</v>
      </c>
      <c r="J52" s="78">
        <f t="shared" si="15"/>
        <v>1.0727163461538462E-2</v>
      </c>
      <c r="K52" s="214">
        <f t="shared" si="11"/>
        <v>10.727163461538462</v>
      </c>
      <c r="L52" s="167">
        <f t="shared" si="12"/>
        <v>8.088235294117653E-2</v>
      </c>
      <c r="M52" s="69">
        <f t="shared" si="22"/>
        <v>-6.7894676556839721</v>
      </c>
      <c r="N52" s="69">
        <f t="shared" si="16"/>
        <v>2.8162536982248534E-2</v>
      </c>
      <c r="O52" s="69">
        <f t="shared" si="14"/>
        <v>110.26461538461538</v>
      </c>
      <c r="P52" s="69">
        <f t="shared" si="23"/>
        <v>113.60903846153846</v>
      </c>
      <c r="Q52" s="69">
        <f t="shared" si="24"/>
        <v>106.92019230769229</v>
      </c>
    </row>
    <row r="53" spans="1:17" x14ac:dyDescent="0.2">
      <c r="A53" s="69">
        <f t="shared" si="17"/>
        <v>42.5</v>
      </c>
      <c r="B53" s="72">
        <f t="shared" si="18"/>
        <v>17.572115384615383</v>
      </c>
      <c r="C53" s="70">
        <f t="shared" si="19"/>
        <v>4</v>
      </c>
      <c r="D53" s="221">
        <f>B2</f>
        <v>127.00280000000001</v>
      </c>
      <c r="E53" s="68">
        <f t="shared" si="7"/>
        <v>5.09480856316297</v>
      </c>
      <c r="F53" s="70">
        <f t="shared" si="20"/>
        <v>4.3520000000000003</v>
      </c>
      <c r="G53" s="68">
        <f t="shared" si="9"/>
        <v>4.3520000000000003</v>
      </c>
      <c r="H53" s="70">
        <f t="shared" si="21"/>
        <v>0.35200000000000031</v>
      </c>
      <c r="I53" s="71">
        <f t="shared" si="25"/>
        <v>2.5540865384615175E-4</v>
      </c>
      <c r="J53" s="78">
        <f t="shared" si="15"/>
        <v>1.0982572115384613E-2</v>
      </c>
      <c r="K53" s="214">
        <f t="shared" si="11"/>
        <v>10.982572115384613</v>
      </c>
      <c r="L53" s="167">
        <f t="shared" si="12"/>
        <v>8.088235294117653E-2</v>
      </c>
      <c r="M53" s="69">
        <f t="shared" si="22"/>
        <v>-6.6027078109932491</v>
      </c>
      <c r="N53" s="69">
        <f t="shared" si="16"/>
        <v>2.7708302514792674E-2</v>
      </c>
      <c r="O53" s="69">
        <f t="shared" si="14"/>
        <v>108.48615384615385</v>
      </c>
      <c r="P53" s="69">
        <f t="shared" si="23"/>
        <v>111.77663461538462</v>
      </c>
      <c r="Q53" s="69">
        <f t="shared" si="24"/>
        <v>105.19567307692307</v>
      </c>
    </row>
    <row r="54" spans="1:17" x14ac:dyDescent="0.2">
      <c r="A54" s="69">
        <f t="shared" si="17"/>
        <v>42.5</v>
      </c>
      <c r="B54" s="72">
        <f t="shared" si="18"/>
        <v>17.98076923076923</v>
      </c>
      <c r="C54" s="70">
        <f t="shared" si="19"/>
        <v>4</v>
      </c>
      <c r="D54" s="221">
        <f>B2</f>
        <v>127.00280000000001</v>
      </c>
      <c r="E54" s="68">
        <f t="shared" si="7"/>
        <v>5.1797220392156866</v>
      </c>
      <c r="F54" s="70">
        <f t="shared" si="20"/>
        <v>4.3520000000000003</v>
      </c>
      <c r="G54" s="68">
        <f t="shared" si="9"/>
        <v>4.3520000000000003</v>
      </c>
      <c r="H54" s="70">
        <f t="shared" si="21"/>
        <v>0.35200000000000031</v>
      </c>
      <c r="I54" s="71">
        <f t="shared" si="25"/>
        <v>2.5540865384615397E-4</v>
      </c>
      <c r="J54" s="78">
        <f t="shared" si="15"/>
        <v>1.1237980769230767E-2</v>
      </c>
      <c r="K54" s="214">
        <f t="shared" si="11"/>
        <v>11.237980769230768</v>
      </c>
      <c r="L54" s="167">
        <f t="shared" si="12"/>
        <v>8.088235294117653E-2</v>
      </c>
      <c r="M54" s="69">
        <f t="shared" si="22"/>
        <v>-6.4097226381461665</v>
      </c>
      <c r="N54" s="69">
        <f t="shared" si="16"/>
        <v>2.7254068047337297E-2</v>
      </c>
      <c r="O54" s="69">
        <f t="shared" si="14"/>
        <v>106.70769230769231</v>
      </c>
      <c r="P54" s="69">
        <f t="shared" si="23"/>
        <v>109.94423076923077</v>
      </c>
      <c r="Q54" s="69">
        <f t="shared" si="24"/>
        <v>103.47115384615384</v>
      </c>
    </row>
    <row r="55" spans="1:17" x14ac:dyDescent="0.2">
      <c r="A55" s="69">
        <f t="shared" si="17"/>
        <v>42.5</v>
      </c>
      <c r="B55" s="72">
        <f t="shared" si="18"/>
        <v>18.389423076923077</v>
      </c>
      <c r="C55" s="70">
        <f t="shared" si="19"/>
        <v>4</v>
      </c>
      <c r="D55" s="221">
        <f>B2</f>
        <v>127.00280000000001</v>
      </c>
      <c r="E55" s="68">
        <f t="shared" si="7"/>
        <v>5.2675139381854441</v>
      </c>
      <c r="F55" s="70">
        <f t="shared" si="20"/>
        <v>4.3520000000000003</v>
      </c>
      <c r="G55" s="68">
        <f t="shared" si="9"/>
        <v>4.3520000000000003</v>
      </c>
      <c r="H55" s="70">
        <f t="shared" si="21"/>
        <v>0.35200000000000031</v>
      </c>
      <c r="I55" s="71">
        <f t="shared" si="25"/>
        <v>2.5540865384615397E-4</v>
      </c>
      <c r="J55" s="78">
        <f t="shared" si="15"/>
        <v>1.1493389423076922E-2</v>
      </c>
      <c r="K55" s="214">
        <f t="shared" si="11"/>
        <v>11.493389423076922</v>
      </c>
      <c r="L55" s="167">
        <f t="shared" si="12"/>
        <v>8.088235294117653E-2</v>
      </c>
      <c r="M55" s="69">
        <f t="shared" si="22"/>
        <v>-6.2101955950330812</v>
      </c>
      <c r="N55" s="69">
        <f t="shared" si="16"/>
        <v>2.6799833579881673E-2</v>
      </c>
      <c r="O55" s="69">
        <f t="shared" si="14"/>
        <v>104.92923076923078</v>
      </c>
      <c r="P55" s="69">
        <f t="shared" si="23"/>
        <v>108.11182692307692</v>
      </c>
      <c r="Q55" s="69">
        <f t="shared" si="24"/>
        <v>101.74663461538461</v>
      </c>
    </row>
    <row r="56" spans="1:17" x14ac:dyDescent="0.2">
      <c r="A56" s="69">
        <f t="shared" si="17"/>
        <v>42.5</v>
      </c>
      <c r="B56" s="72">
        <f t="shared" si="18"/>
        <v>18.798076923076923</v>
      </c>
      <c r="C56" s="70">
        <f t="shared" si="19"/>
        <v>4</v>
      </c>
      <c r="D56" s="221">
        <f>B2</f>
        <v>127.00280000000001</v>
      </c>
      <c r="E56" s="68">
        <f t="shared" si="7"/>
        <v>5.3583331440162274</v>
      </c>
      <c r="F56" s="70">
        <f t="shared" si="20"/>
        <v>4.3520000000000003</v>
      </c>
      <c r="G56" s="68">
        <f t="shared" si="9"/>
        <v>4.3520000000000003</v>
      </c>
      <c r="H56" s="70">
        <f t="shared" si="21"/>
        <v>0.35200000000000031</v>
      </c>
      <c r="I56" s="71">
        <f t="shared" si="25"/>
        <v>2.5540865384615397E-4</v>
      </c>
      <c r="J56" s="78">
        <f t="shared" si="15"/>
        <v>1.1748798076923077E-2</v>
      </c>
      <c r="K56" s="214">
        <f t="shared" si="11"/>
        <v>11.748798076923077</v>
      </c>
      <c r="L56" s="167">
        <f t="shared" si="12"/>
        <v>8.088235294117653E-2</v>
      </c>
      <c r="M56" s="69">
        <f t="shared" si="22"/>
        <v>-6.0037883090540287</v>
      </c>
      <c r="N56" s="69">
        <f t="shared" si="16"/>
        <v>2.6345599112426052E-2</v>
      </c>
      <c r="O56" s="69">
        <f t="shared" si="14"/>
        <v>103.15076923076924</v>
      </c>
      <c r="P56" s="69">
        <f t="shared" si="23"/>
        <v>106.27942307692308</v>
      </c>
      <c r="Q56" s="69">
        <f t="shared" si="24"/>
        <v>100.02211538461538</v>
      </c>
    </row>
    <row r="57" spans="1:17" x14ac:dyDescent="0.2">
      <c r="A57" s="69">
        <f t="shared" si="17"/>
        <v>42.5</v>
      </c>
      <c r="B57" s="72">
        <f t="shared" si="18"/>
        <v>19.20673076923077</v>
      </c>
      <c r="C57" s="70">
        <f t="shared" si="19"/>
        <v>4</v>
      </c>
      <c r="D57" s="221">
        <f>B2</f>
        <v>127.00280000000001</v>
      </c>
      <c r="E57" s="68">
        <f t="shared" si="7"/>
        <v>5.4523389886480915</v>
      </c>
      <c r="F57" s="70">
        <f t="shared" si="20"/>
        <v>4.3520000000000003</v>
      </c>
      <c r="G57" s="68">
        <f t="shared" si="9"/>
        <v>4.3520000000000003</v>
      </c>
      <c r="H57" s="70">
        <f t="shared" si="21"/>
        <v>0.35200000000000031</v>
      </c>
      <c r="I57" s="71">
        <f t="shared" si="25"/>
        <v>2.5540865384615397E-4</v>
      </c>
      <c r="J57" s="78">
        <f t="shared" si="15"/>
        <v>1.2004206730769231E-2</v>
      </c>
      <c r="K57" s="214">
        <f t="shared" si="11"/>
        <v>12.004206730769232</v>
      </c>
      <c r="L57" s="167">
        <f t="shared" si="12"/>
        <v>8.088235294117653E-2</v>
      </c>
      <c r="M57" s="69">
        <f t="shared" si="22"/>
        <v>-5.7901386621634288</v>
      </c>
      <c r="N57" s="69">
        <f t="shared" si="16"/>
        <v>2.5891364644970428E-2</v>
      </c>
      <c r="O57" s="69">
        <f t="shared" si="14"/>
        <v>101.3723076923077</v>
      </c>
      <c r="P57" s="69">
        <f t="shared" si="23"/>
        <v>104.44701923076923</v>
      </c>
      <c r="Q57" s="69">
        <f t="shared" si="24"/>
        <v>98.297596153846143</v>
      </c>
    </row>
    <row r="58" spans="1:17" x14ac:dyDescent="0.2">
      <c r="A58" s="69">
        <f t="shared" si="17"/>
        <v>42.5</v>
      </c>
      <c r="B58" s="72">
        <f t="shared" si="18"/>
        <v>19.615384615384617</v>
      </c>
      <c r="C58" s="70">
        <f t="shared" si="19"/>
        <v>4</v>
      </c>
      <c r="D58" s="221">
        <f>B2</f>
        <v>127.00280000000001</v>
      </c>
      <c r="E58" s="68">
        <f t="shared" si="7"/>
        <v>5.5497021848739498</v>
      </c>
      <c r="F58" s="70">
        <f t="shared" si="20"/>
        <v>4.3520000000000003</v>
      </c>
      <c r="G58" s="68">
        <f t="shared" si="9"/>
        <v>4.3520000000000003</v>
      </c>
      <c r="H58" s="70">
        <f t="shared" si="21"/>
        <v>0.35200000000000031</v>
      </c>
      <c r="I58" s="71">
        <f t="shared" si="25"/>
        <v>2.5540865384615397E-4</v>
      </c>
      <c r="J58" s="78">
        <f t="shared" si="15"/>
        <v>1.2259615384615386E-2</v>
      </c>
      <c r="K58" s="214">
        <f t="shared" si="11"/>
        <v>12.259615384615387</v>
      </c>
      <c r="L58" s="167">
        <f t="shared" si="12"/>
        <v>8.088235294117653E-2</v>
      </c>
      <c r="M58" s="69">
        <f t="shared" si="22"/>
        <v>-5.5688586707410233</v>
      </c>
      <c r="N58" s="69">
        <f t="shared" si="16"/>
        <v>2.5437130177514807E-2</v>
      </c>
      <c r="O58" s="69">
        <f t="shared" si="14"/>
        <v>99.593846153846158</v>
      </c>
      <c r="P58" s="69">
        <f t="shared" si="23"/>
        <v>102.61461538461538</v>
      </c>
      <c r="Q58" s="69">
        <f t="shared" si="24"/>
        <v>96.573076923076911</v>
      </c>
    </row>
    <row r="59" spans="1:17" x14ac:dyDescent="0.2">
      <c r="A59" s="69">
        <f t="shared" si="17"/>
        <v>42.5</v>
      </c>
      <c r="B59" s="72">
        <f t="shared" si="18"/>
        <v>20.02403846153846</v>
      </c>
      <c r="C59" s="70">
        <f t="shared" si="19"/>
        <v>4</v>
      </c>
      <c r="D59" s="221">
        <f>B2</f>
        <v>127.00280000000001</v>
      </c>
      <c r="E59" s="68">
        <f t="shared" si="7"/>
        <v>5.6506058609625667</v>
      </c>
      <c r="F59" s="70">
        <f t="shared" si="20"/>
        <v>4.3520000000000003</v>
      </c>
      <c r="G59" s="68">
        <f t="shared" si="9"/>
        <v>4.3520000000000003</v>
      </c>
      <c r="H59" s="70">
        <f t="shared" si="21"/>
        <v>0.35200000000000031</v>
      </c>
      <c r="I59" s="71">
        <f t="shared" si="25"/>
        <v>2.5540865384615175E-4</v>
      </c>
      <c r="J59" s="78">
        <f t="shared" si="15"/>
        <v>1.2515024038461537E-2</v>
      </c>
      <c r="K59" s="214">
        <f t="shared" si="11"/>
        <v>12.515024038461537</v>
      </c>
      <c r="L59" s="167">
        <f t="shared" si="12"/>
        <v>8.088235294117653E-2</v>
      </c>
      <c r="M59" s="69">
        <f t="shared" si="22"/>
        <v>-5.3395321341759843</v>
      </c>
      <c r="N59" s="69">
        <f t="shared" si="16"/>
        <v>2.4982895710058968E-2</v>
      </c>
      <c r="O59" s="69">
        <f t="shared" si="14"/>
        <v>97.81538461538463</v>
      </c>
      <c r="P59" s="69">
        <f t="shared" si="23"/>
        <v>100.78221153846154</v>
      </c>
      <c r="Q59" s="69">
        <f t="shared" si="24"/>
        <v>94.848557692307693</v>
      </c>
    </row>
    <row r="60" spans="1:17" x14ac:dyDescent="0.2">
      <c r="A60" s="69">
        <f t="shared" si="17"/>
        <v>42.5</v>
      </c>
      <c r="B60" s="72">
        <f t="shared" si="18"/>
        <v>20.432692307692307</v>
      </c>
      <c r="C60" s="70">
        <f t="shared" si="19"/>
        <v>4</v>
      </c>
      <c r="D60" s="221">
        <f>B2</f>
        <v>127.00280000000001</v>
      </c>
      <c r="E60" s="68">
        <f t="shared" si="7"/>
        <v>5.7552467102396516</v>
      </c>
      <c r="F60" s="70">
        <f t="shared" si="20"/>
        <v>4.3520000000000003</v>
      </c>
      <c r="G60" s="68">
        <f t="shared" si="9"/>
        <v>4.3520000000000003</v>
      </c>
      <c r="H60" s="70">
        <f t="shared" si="21"/>
        <v>0.35200000000000031</v>
      </c>
      <c r="I60" s="71">
        <f t="shared" si="25"/>
        <v>2.5540865384615397E-4</v>
      </c>
      <c r="J60" s="78">
        <f t="shared" si="15"/>
        <v>1.2770432692307692E-2</v>
      </c>
      <c r="K60" s="214">
        <f t="shared" si="11"/>
        <v>12.770432692307692</v>
      </c>
      <c r="L60" s="167">
        <f t="shared" si="12"/>
        <v>8.088235294117653E-2</v>
      </c>
      <c r="M60" s="69">
        <f t="shared" si="22"/>
        <v>-5.1017120221826096</v>
      </c>
      <c r="N60" s="69">
        <f t="shared" si="16"/>
        <v>2.4528661242603566E-2</v>
      </c>
      <c r="O60" s="69">
        <f t="shared" si="14"/>
        <v>96.036923076923088</v>
      </c>
      <c r="P60" s="69">
        <f t="shared" si="23"/>
        <v>98.949807692307701</v>
      </c>
      <c r="Q60" s="69">
        <f t="shared" si="24"/>
        <v>93.124038461538461</v>
      </c>
    </row>
    <row r="61" spans="1:17" x14ac:dyDescent="0.2">
      <c r="A61" s="69">
        <f t="shared" si="17"/>
        <v>42.5</v>
      </c>
      <c r="B61" s="72">
        <f t="shared" si="18"/>
        <v>20.841346153846153</v>
      </c>
      <c r="C61" s="70">
        <f t="shared" si="19"/>
        <v>4</v>
      </c>
      <c r="D61" s="221">
        <f>B2</f>
        <v>127.00280000000001</v>
      </c>
      <c r="E61" s="68">
        <f t="shared" si="7"/>
        <v>5.8638362708102107</v>
      </c>
      <c r="F61" s="70">
        <f t="shared" si="20"/>
        <v>4.3520000000000003</v>
      </c>
      <c r="G61" s="68">
        <f t="shared" si="9"/>
        <v>4.3520000000000003</v>
      </c>
      <c r="H61" s="70">
        <f t="shared" si="21"/>
        <v>0.35200000000000031</v>
      </c>
      <c r="I61" s="71">
        <f t="shared" si="25"/>
        <v>2.5540865384615397E-4</v>
      </c>
      <c r="J61" s="78">
        <f t="shared" si="15"/>
        <v>1.3025841346153847E-2</v>
      </c>
      <c r="K61" s="214">
        <f t="shared" si="11"/>
        <v>13.025841346153847</v>
      </c>
      <c r="L61" s="167">
        <f t="shared" si="12"/>
        <v>8.088235294117653E-2</v>
      </c>
      <c r="M61" s="69">
        <f t="shared" si="22"/>
        <v>-4.85491756634043</v>
      </c>
      <c r="N61" s="69">
        <f>I61*G61*(A61-B61)</f>
        <v>2.4074426775147945E-2</v>
      </c>
      <c r="O61" s="69">
        <f t="shared" si="14"/>
        <v>94.258461538461546</v>
      </c>
      <c r="P61" s="69">
        <f t="shared" si="23"/>
        <v>97.117403846153849</v>
      </c>
      <c r="Q61" s="69">
        <f t="shared" si="24"/>
        <v>91.399519230769229</v>
      </c>
    </row>
    <row r="62" spans="1:17" x14ac:dyDescent="0.2">
      <c r="A62" s="69">
        <f t="shared" si="17"/>
        <v>42.5</v>
      </c>
      <c r="B62" s="72">
        <f t="shared" si="18"/>
        <v>21.25</v>
      </c>
      <c r="C62" s="70">
        <f t="shared" si="19"/>
        <v>4</v>
      </c>
      <c r="D62" s="221">
        <f>B2</f>
        <v>127.00280000000001</v>
      </c>
      <c r="E62" s="68">
        <f t="shared" si="7"/>
        <v>5.9766023529411765</v>
      </c>
      <c r="F62" s="70">
        <f t="shared" si="20"/>
        <v>4.3520000000000003</v>
      </c>
      <c r="G62" s="68">
        <f t="shared" si="9"/>
        <v>4.3520000000000003</v>
      </c>
      <c r="H62" s="70">
        <f t="shared" si="21"/>
        <v>0.35200000000000031</v>
      </c>
      <c r="I62" s="71">
        <f t="shared" si="25"/>
        <v>2.5540865384615397E-4</v>
      </c>
      <c r="J62" s="78">
        <f t="shared" si="15"/>
        <v>1.3281250000000001E-2</v>
      </c>
      <c r="K62" s="214">
        <f t="shared" si="11"/>
        <v>13.281250000000002</v>
      </c>
      <c r="L62" s="167">
        <f t="shared" si="12"/>
        <v>8.088235294117653E-2</v>
      </c>
      <c r="M62" s="69">
        <f t="shared" si="22"/>
        <v>-4.5986310160427806</v>
      </c>
      <c r="N62" s="69">
        <f t="shared" si="16"/>
        <v>2.3620192307692321E-2</v>
      </c>
      <c r="O62" s="69">
        <f t="shared" si="14"/>
        <v>92.48</v>
      </c>
      <c r="P62" s="69">
        <f t="shared" si="23"/>
        <v>95.284999999999997</v>
      </c>
      <c r="Q62" s="69">
        <f t="shared" si="24"/>
        <v>89.674999999999997</v>
      </c>
    </row>
    <row r="63" spans="1:17" x14ac:dyDescent="0.2">
      <c r="A63" s="69">
        <f t="shared" si="17"/>
        <v>42.5</v>
      </c>
      <c r="B63" s="72">
        <f t="shared" si="18"/>
        <v>21.658653846153843</v>
      </c>
      <c r="C63" s="70">
        <f t="shared" si="19"/>
        <v>4</v>
      </c>
      <c r="D63" s="221">
        <f>B2</f>
        <v>127.00280000000001</v>
      </c>
      <c r="E63" s="68">
        <f t="shared" si="7"/>
        <v>6.0937906343713948</v>
      </c>
      <c r="F63" s="70">
        <f t="shared" si="20"/>
        <v>4.3520000000000003</v>
      </c>
      <c r="G63" s="68">
        <f t="shared" si="9"/>
        <v>4.3520000000000003</v>
      </c>
      <c r="H63" s="70">
        <f t="shared" si="21"/>
        <v>0.35200000000000031</v>
      </c>
      <c r="I63" s="71">
        <f t="shared" si="25"/>
        <v>2.5540865384615175E-4</v>
      </c>
      <c r="J63" s="78">
        <f t="shared" si="15"/>
        <v>1.3536658653846153E-2</v>
      </c>
      <c r="K63" s="214">
        <f t="shared" si="11"/>
        <v>13.536658653846153</v>
      </c>
      <c r="L63" s="167">
        <f t="shared" si="12"/>
        <v>8.088235294117653E-2</v>
      </c>
      <c r="M63" s="69">
        <f t="shared" si="22"/>
        <v>-4.3322940127922838</v>
      </c>
      <c r="N63" s="69">
        <f t="shared" si="16"/>
        <v>2.3165957840236499E-2</v>
      </c>
      <c r="O63" s="69">
        <f t="shared" si="14"/>
        <v>90.701538461538476</v>
      </c>
      <c r="P63" s="69">
        <f t="shared" si="23"/>
        <v>93.452596153846173</v>
      </c>
      <c r="Q63" s="69">
        <f t="shared" si="24"/>
        <v>87.950480769230779</v>
      </c>
    </row>
    <row r="64" spans="1:17" x14ac:dyDescent="0.2">
      <c r="A64" s="69">
        <f t="shared" si="17"/>
        <v>42.5</v>
      </c>
      <c r="B64" s="72">
        <f t="shared" si="18"/>
        <v>22.067307692307693</v>
      </c>
      <c r="C64" s="70">
        <f t="shared" si="19"/>
        <v>4</v>
      </c>
      <c r="D64" s="221">
        <f>B2</f>
        <v>127.00280000000001</v>
      </c>
      <c r="E64" s="68">
        <f t="shared" si="7"/>
        <v>6.2156664470588243</v>
      </c>
      <c r="F64" s="70">
        <f t="shared" si="20"/>
        <v>4.3520000000000003</v>
      </c>
      <c r="G64" s="68">
        <f t="shared" si="9"/>
        <v>4.3520000000000003</v>
      </c>
      <c r="H64" s="70">
        <f t="shared" si="21"/>
        <v>0.35200000000000031</v>
      </c>
      <c r="I64" s="71">
        <f t="shared" si="25"/>
        <v>2.5540865384615619E-4</v>
      </c>
      <c r="J64" s="78">
        <f t="shared" si="15"/>
        <v>1.3792067307692309E-2</v>
      </c>
      <c r="K64" s="214">
        <f t="shared" si="11"/>
        <v>13.792067307692308</v>
      </c>
      <c r="L64" s="167">
        <f t="shared" si="12"/>
        <v>8.088235294117653E-2</v>
      </c>
      <c r="M64" s="69">
        <f t="shared" si="22"/>
        <v>-4.0553035294117628</v>
      </c>
      <c r="N64" s="69">
        <f t="shared" si="16"/>
        <v>2.2711723372781271E-2</v>
      </c>
      <c r="O64" s="69">
        <f t="shared" si="14"/>
        <v>88.92307692307692</v>
      </c>
      <c r="P64" s="69">
        <f t="shared" si="23"/>
        <v>91.620192307692307</v>
      </c>
      <c r="Q64" s="69">
        <f t="shared" si="24"/>
        <v>86.225961538461533</v>
      </c>
    </row>
    <row r="65" spans="1:17" x14ac:dyDescent="0.2">
      <c r="A65" s="69">
        <f t="shared" si="17"/>
        <v>42.5</v>
      </c>
      <c r="B65" s="72">
        <f t="shared" si="18"/>
        <v>22.47596153846154</v>
      </c>
      <c r="C65" s="70">
        <f t="shared" si="19"/>
        <v>4</v>
      </c>
      <c r="D65" s="221">
        <f>B2</f>
        <v>127.00280000000001</v>
      </c>
      <c r="E65" s="68">
        <f t="shared" si="7"/>
        <v>6.3425167827130862</v>
      </c>
      <c r="F65" s="70">
        <f t="shared" si="20"/>
        <v>4.3520000000000003</v>
      </c>
      <c r="G65" s="68">
        <f t="shared" si="9"/>
        <v>4.3520000000000003</v>
      </c>
      <c r="H65" s="70">
        <f t="shared" si="21"/>
        <v>0.35200000000000031</v>
      </c>
      <c r="I65" s="71">
        <f t="shared" si="25"/>
        <v>2.5540865384615397E-4</v>
      </c>
      <c r="J65" s="78">
        <f t="shared" si="15"/>
        <v>1.4047475961538464E-2</v>
      </c>
      <c r="K65" s="214">
        <f t="shared" si="11"/>
        <v>14.047475961538463</v>
      </c>
      <c r="L65" s="167">
        <f t="shared" si="12"/>
        <v>8.088235294117653E-2</v>
      </c>
      <c r="M65" s="69">
        <f t="shared" si="22"/>
        <v>-3.7670073120157128</v>
      </c>
      <c r="N65" s="69">
        <f t="shared" si="16"/>
        <v>2.2257488905325456E-2</v>
      </c>
      <c r="O65" s="69">
        <f t="shared" si="14"/>
        <v>87.144615384615378</v>
      </c>
      <c r="P65" s="69">
        <f t="shared" si="23"/>
        <v>89.787788461538454</v>
      </c>
      <c r="Q65" s="69">
        <f t="shared" si="24"/>
        <v>84.501442307692301</v>
      </c>
    </row>
    <row r="66" spans="1:17" x14ac:dyDescent="0.2">
      <c r="A66" s="69">
        <f t="shared" si="17"/>
        <v>42.5</v>
      </c>
      <c r="B66" s="72">
        <f t="shared" si="18"/>
        <v>22.884615384615383</v>
      </c>
      <c r="C66" s="70">
        <f t="shared" si="19"/>
        <v>4</v>
      </c>
      <c r="D66" s="221">
        <f>B2</f>
        <v>127.00280000000001</v>
      </c>
      <c r="E66" s="68">
        <f t="shared" si="7"/>
        <v>6.4746525490196074</v>
      </c>
      <c r="F66" s="70">
        <f t="shared" si="20"/>
        <v>4.3520000000000003</v>
      </c>
      <c r="G66" s="68">
        <f t="shared" si="9"/>
        <v>4.3520000000000003</v>
      </c>
      <c r="H66" s="70">
        <f t="shared" si="21"/>
        <v>0.35200000000000031</v>
      </c>
      <c r="I66" s="71">
        <f t="shared" si="25"/>
        <v>2.5540865384615175E-4</v>
      </c>
      <c r="J66" s="78">
        <f t="shared" si="15"/>
        <v>1.4302884615384615E-2</v>
      </c>
      <c r="K66" s="214">
        <f t="shared" si="11"/>
        <v>14.302884615384615</v>
      </c>
      <c r="L66" s="167">
        <f t="shared" si="12"/>
        <v>8.088235294117653E-2</v>
      </c>
      <c r="M66" s="69">
        <f t="shared" si="22"/>
        <v>-3.4666987522281651</v>
      </c>
      <c r="N66" s="69">
        <f t="shared" si="16"/>
        <v>2.1803254437869644E-2</v>
      </c>
      <c r="O66" s="69">
        <f t="shared" si="14"/>
        <v>85.366153846153864</v>
      </c>
      <c r="P66" s="69">
        <f t="shared" si="23"/>
        <v>87.955384615384617</v>
      </c>
      <c r="Q66" s="69">
        <f t="shared" si="24"/>
        <v>82.776923076923083</v>
      </c>
    </row>
    <row r="67" spans="1:17" x14ac:dyDescent="0.2">
      <c r="A67" s="69">
        <f t="shared" si="17"/>
        <v>42.5</v>
      </c>
      <c r="B67" s="72">
        <f t="shared" si="18"/>
        <v>23.293269230769234</v>
      </c>
      <c r="C67" s="70">
        <f t="shared" si="19"/>
        <v>4</v>
      </c>
      <c r="D67" s="221">
        <f>B2</f>
        <v>127.00280000000001</v>
      </c>
      <c r="E67" s="68">
        <f t="shared" si="7"/>
        <v>6.6124111138923665</v>
      </c>
      <c r="F67" s="70">
        <f t="shared" si="20"/>
        <v>4.3520000000000003</v>
      </c>
      <c r="G67" s="68">
        <f t="shared" si="9"/>
        <v>4.3520000000000003</v>
      </c>
      <c r="H67" s="70">
        <f t="shared" si="21"/>
        <v>0.35200000000000031</v>
      </c>
      <c r="I67" s="71">
        <f t="shared" si="25"/>
        <v>2.5540865384615619E-4</v>
      </c>
      <c r="J67" s="78">
        <f t="shared" si="15"/>
        <v>1.4558293269230771E-2</v>
      </c>
      <c r="K67" s="214">
        <f t="shared" si="11"/>
        <v>14.558293269230772</v>
      </c>
      <c r="L67" s="167">
        <f t="shared" si="12"/>
        <v>8.088235294117653E-2</v>
      </c>
      <c r="M67" s="69">
        <f t="shared" si="22"/>
        <v>-3.1536111047900759</v>
      </c>
      <c r="N67" s="69">
        <f t="shared" si="16"/>
        <v>2.1349019970414395E-2</v>
      </c>
      <c r="O67" s="69">
        <f t="shared" si="14"/>
        <v>83.587692307692308</v>
      </c>
      <c r="P67" s="69">
        <f t="shared" si="23"/>
        <v>86.12298076923075</v>
      </c>
      <c r="Q67" s="69">
        <f t="shared" si="24"/>
        <v>81.052403846153837</v>
      </c>
    </row>
    <row r="68" spans="1:17" x14ac:dyDescent="0.2">
      <c r="A68" s="69">
        <f t="shared" si="17"/>
        <v>42.5</v>
      </c>
      <c r="B68" s="72">
        <f t="shared" si="18"/>
        <v>23.701923076923077</v>
      </c>
      <c r="C68" s="70">
        <f t="shared" si="19"/>
        <v>4</v>
      </c>
      <c r="D68" s="221">
        <f>B2</f>
        <v>127.00280000000001</v>
      </c>
      <c r="E68" s="68">
        <f t="shared" si="7"/>
        <v>6.7561591815856783</v>
      </c>
      <c r="F68" s="70">
        <f t="shared" si="20"/>
        <v>4.3520000000000003</v>
      </c>
      <c r="G68" s="68">
        <f t="shared" si="9"/>
        <v>4.3520000000000003</v>
      </c>
      <c r="H68" s="70">
        <f t="shared" si="21"/>
        <v>0.35200000000000031</v>
      </c>
      <c r="I68" s="71">
        <f t="shared" si="25"/>
        <v>2.5540865384615175E-4</v>
      </c>
      <c r="J68" s="78">
        <f t="shared" si="15"/>
        <v>1.4813701923076922E-2</v>
      </c>
      <c r="K68" s="214">
        <f t="shared" si="11"/>
        <v>14.813701923076923</v>
      </c>
      <c r="L68" s="167">
        <f t="shared" si="12"/>
        <v>8.088235294117653E-2</v>
      </c>
      <c r="M68" s="69">
        <f t="shared" si="22"/>
        <v>-2.8269109509416404</v>
      </c>
      <c r="N68" s="69">
        <f t="shared" si="16"/>
        <v>2.089478550295841E-2</v>
      </c>
      <c r="O68" s="69">
        <f t="shared" si="14"/>
        <v>81.80923076923078</v>
      </c>
      <c r="P68" s="69">
        <f t="shared" si="23"/>
        <v>84.290576923076927</v>
      </c>
      <c r="Q68" s="69">
        <f t="shared" si="24"/>
        <v>79.327884615384619</v>
      </c>
    </row>
    <row r="69" spans="1:17" x14ac:dyDescent="0.2">
      <c r="A69" s="69">
        <f t="shared" si="17"/>
        <v>42.5</v>
      </c>
      <c r="B69" s="72">
        <f t="shared" si="18"/>
        <v>24.110576923076923</v>
      </c>
      <c r="C69" s="70">
        <f t="shared" si="19"/>
        <v>4</v>
      </c>
      <c r="D69" s="221">
        <f>B2</f>
        <v>127.00280000000001</v>
      </c>
      <c r="E69" s="68">
        <f t="shared" si="7"/>
        <v>6.9062960522875825</v>
      </c>
      <c r="F69" s="70">
        <f t="shared" si="20"/>
        <v>4.3520000000000003</v>
      </c>
      <c r="G69" s="68">
        <f t="shared" si="9"/>
        <v>4.3520000000000003</v>
      </c>
      <c r="H69" s="70">
        <f t="shared" si="21"/>
        <v>0.35200000000000031</v>
      </c>
      <c r="I69" s="71">
        <f t="shared" si="25"/>
        <v>2.5540865384615397E-4</v>
      </c>
      <c r="J69" s="78">
        <f t="shared" si="15"/>
        <v>1.5069110576923077E-2</v>
      </c>
      <c r="K69" s="214">
        <f t="shared" si="11"/>
        <v>15.069110576923077</v>
      </c>
      <c r="L69" s="167">
        <f t="shared" si="12"/>
        <v>8.088235294117653E-2</v>
      </c>
      <c r="M69" s="69">
        <f t="shared" si="22"/>
        <v>-2.4856907902554943</v>
      </c>
      <c r="N69" s="69">
        <f t="shared" si="16"/>
        <v>2.044055103550297E-2</v>
      </c>
      <c r="O69" s="69">
        <f t="shared" si="14"/>
        <v>80.030769230769238</v>
      </c>
      <c r="P69" s="69">
        <f t="shared" si="23"/>
        <v>82.458173076923075</v>
      </c>
      <c r="Q69" s="69">
        <f t="shared" si="24"/>
        <v>77.603365384615373</v>
      </c>
    </row>
    <row r="70" spans="1:17" x14ac:dyDescent="0.2">
      <c r="A70" s="69">
        <f t="shared" si="17"/>
        <v>42.5</v>
      </c>
      <c r="B70" s="72">
        <f t="shared" si="18"/>
        <v>24.519230769230766</v>
      </c>
      <c r="C70" s="70">
        <f t="shared" si="19"/>
        <v>4</v>
      </c>
      <c r="D70" s="221">
        <f>B2</f>
        <v>127.00280000000001</v>
      </c>
      <c r="E70" s="68">
        <f t="shared" si="7"/>
        <v>7.0632573262032077</v>
      </c>
      <c r="F70" s="70">
        <f t="shared" si="20"/>
        <v>4.3520000000000003</v>
      </c>
      <c r="G70" s="68">
        <f t="shared" si="9"/>
        <v>4.3520000000000003</v>
      </c>
      <c r="H70" s="70">
        <f t="shared" si="21"/>
        <v>0.35200000000000031</v>
      </c>
      <c r="I70" s="71">
        <f t="shared" si="25"/>
        <v>2.5540865384615175E-4</v>
      </c>
      <c r="J70" s="78">
        <f t="shared" si="15"/>
        <v>1.5324519230769228E-2</v>
      </c>
      <c r="K70" s="214">
        <f t="shared" si="11"/>
        <v>15.324519230769228</v>
      </c>
      <c r="L70" s="167">
        <f t="shared" si="12"/>
        <v>8.088235294117653E-2</v>
      </c>
      <c r="M70" s="69">
        <f t="shared" si="22"/>
        <v>-2.1289606222654371</v>
      </c>
      <c r="N70" s="69">
        <f t="shared" si="16"/>
        <v>1.9986316568047176E-2</v>
      </c>
      <c r="O70" s="69">
        <f t="shared" si="14"/>
        <v>78.25230769230771</v>
      </c>
      <c r="P70" s="69">
        <f t="shared" si="23"/>
        <v>80.625769230769237</v>
      </c>
      <c r="Q70" s="69">
        <f t="shared" si="24"/>
        <v>75.878846153846155</v>
      </c>
    </row>
    <row r="71" spans="1:17" x14ac:dyDescent="0.2">
      <c r="A71" s="69">
        <f t="shared" si="17"/>
        <v>42.5</v>
      </c>
      <c r="B71" s="72">
        <f t="shared" si="18"/>
        <v>24.927884615384617</v>
      </c>
      <c r="C71" s="70">
        <f t="shared" si="19"/>
        <v>4</v>
      </c>
      <c r="D71" s="221">
        <f>B2</f>
        <v>127.00280000000001</v>
      </c>
      <c r="E71" s="68">
        <f t="shared" si="7"/>
        <v>7.2275191244870047</v>
      </c>
      <c r="F71" s="70">
        <f t="shared" si="20"/>
        <v>4.3520000000000003</v>
      </c>
      <c r="G71" s="68">
        <f t="shared" si="9"/>
        <v>4.3520000000000003</v>
      </c>
      <c r="H71" s="70">
        <f t="shared" si="21"/>
        <v>0.35200000000000031</v>
      </c>
      <c r="I71" s="71">
        <f t="shared" si="25"/>
        <v>2.5540865384615619E-4</v>
      </c>
      <c r="J71" s="78">
        <f t="shared" si="15"/>
        <v>1.5579927884615385E-2</v>
      </c>
      <c r="K71" s="214">
        <f t="shared" si="11"/>
        <v>15.579927884615385</v>
      </c>
      <c r="L71" s="167">
        <f t="shared" si="12"/>
        <v>8.088235294117653E-2</v>
      </c>
      <c r="M71" s="69">
        <f t="shared" si="22"/>
        <v>-1.7556383534386255</v>
      </c>
      <c r="N71" s="69">
        <f t="shared" si="16"/>
        <v>1.9532082100591895E-2</v>
      </c>
      <c r="O71" s="69">
        <f t="shared" si="14"/>
        <v>76.473846153846154</v>
      </c>
      <c r="P71" s="69">
        <f t="shared" si="23"/>
        <v>78.793365384615385</v>
      </c>
      <c r="Q71" s="69">
        <f t="shared" si="24"/>
        <v>74.154326923076908</v>
      </c>
    </row>
    <row r="72" spans="1:17" x14ac:dyDescent="0.2">
      <c r="A72" s="69">
        <f t="shared" si="17"/>
        <v>42.5</v>
      </c>
      <c r="B72" s="72">
        <f t="shared" si="18"/>
        <v>25.33653846153846</v>
      </c>
      <c r="C72" s="70">
        <f t="shared" si="19"/>
        <v>4</v>
      </c>
      <c r="D72" s="221">
        <f>B2</f>
        <v>127.00280000000001</v>
      </c>
      <c r="E72" s="68">
        <f t="shared" si="7"/>
        <v>7.3996029131652659</v>
      </c>
      <c r="F72" s="70">
        <f t="shared" si="20"/>
        <v>4.3520000000000003</v>
      </c>
      <c r="G72" s="68">
        <f t="shared" si="9"/>
        <v>4.3520000000000003</v>
      </c>
      <c r="H72" s="70">
        <f t="shared" si="21"/>
        <v>0.35200000000000031</v>
      </c>
      <c r="I72" s="71">
        <f t="shared" si="25"/>
        <v>2.5540865384615175E-4</v>
      </c>
      <c r="J72" s="78">
        <f t="shared" si="15"/>
        <v>1.5835336538461538E-2</v>
      </c>
      <c r="K72" s="214">
        <f t="shared" si="11"/>
        <v>15.835336538461538</v>
      </c>
      <c r="L72" s="167">
        <f t="shared" si="12"/>
        <v>8.088235294117653E-2</v>
      </c>
      <c r="M72" s="69">
        <f t="shared" si="22"/>
        <v>-1.3645388337153048</v>
      </c>
      <c r="N72" s="69">
        <f t="shared" si="16"/>
        <v>1.9077847633135941E-2</v>
      </c>
      <c r="O72" s="69">
        <f t="shared" si="14"/>
        <v>74.695384615384626</v>
      </c>
      <c r="P72" s="69">
        <f t="shared" si="23"/>
        <v>76.960961538461547</v>
      </c>
      <c r="Q72" s="69">
        <f t="shared" si="24"/>
        <v>72.429807692307691</v>
      </c>
    </row>
    <row r="73" spans="1:17" x14ac:dyDescent="0.2">
      <c r="A73" s="69">
        <f t="shared" si="17"/>
        <v>42.5</v>
      </c>
      <c r="B73" s="72">
        <f t="shared" si="18"/>
        <v>25.745192307692307</v>
      </c>
      <c r="C73" s="70">
        <f t="shared" si="19"/>
        <v>4</v>
      </c>
      <c r="D73" s="221">
        <f>B2</f>
        <v>127.00280000000001</v>
      </c>
      <c r="E73" s="68">
        <f t="shared" si="7"/>
        <v>7.5800810329985655</v>
      </c>
      <c r="F73" s="70">
        <f t="shared" si="20"/>
        <v>4.3520000000000003</v>
      </c>
      <c r="G73" s="68">
        <f t="shared" si="9"/>
        <v>4.3520000000000003</v>
      </c>
      <c r="H73" s="70">
        <f t="shared" si="21"/>
        <v>0.35200000000000031</v>
      </c>
      <c r="I73" s="71">
        <f t="shared" si="25"/>
        <v>2.5540865384615397E-4</v>
      </c>
      <c r="J73" s="78">
        <f t="shared" si="15"/>
        <v>1.6090745192307691E-2</v>
      </c>
      <c r="K73" s="214">
        <f t="shared" si="11"/>
        <v>16.09074519230769</v>
      </c>
      <c r="L73" s="167">
        <f t="shared" si="12"/>
        <v>8.088235294117653E-2</v>
      </c>
      <c r="M73" s="69">
        <f t="shared" si="22"/>
        <v>-0.95436128863962388</v>
      </c>
      <c r="N73" s="69">
        <f t="shared" si="16"/>
        <v>1.8623613165680487E-2</v>
      </c>
      <c r="O73" s="69">
        <f t="shared" si="14"/>
        <v>72.916923076923084</v>
      </c>
      <c r="P73" s="69">
        <f t="shared" si="23"/>
        <v>75.128557692307695</v>
      </c>
      <c r="Q73" s="69">
        <f t="shared" si="24"/>
        <v>70.705288461538458</v>
      </c>
    </row>
    <row r="74" spans="1:17" x14ac:dyDescent="0.2">
      <c r="A74" s="69">
        <f t="shared" ref="A74:A105" si="26">VINMAX</f>
        <v>42.5</v>
      </c>
      <c r="B74" s="72">
        <f t="shared" ref="B74:B105" si="27">VINMAX*((ROW()-10)/104)</f>
        <v>26.153846153846157</v>
      </c>
      <c r="C74" s="70">
        <f t="shared" ref="C74:C105" si="28">IF(B74&gt;=$H$2,IF($D$2="CC", $G$2, B74/$G$2), 0)</f>
        <v>4</v>
      </c>
      <c r="D74" s="221">
        <f>B2</f>
        <v>127.00280000000001</v>
      </c>
      <c r="E74" s="68">
        <f t="shared" si="7"/>
        <v>7.7695830588235317</v>
      </c>
      <c r="F74" s="70">
        <f t="shared" ref="F74:F105" si="29">I_Cout_ss+C74</f>
        <v>4.3520000000000003</v>
      </c>
      <c r="G74" s="68">
        <f t="shared" si="9"/>
        <v>4.3520000000000003</v>
      </c>
      <c r="H74" s="70">
        <f t="shared" ref="H74:H105" si="30">G74-C74</f>
        <v>0.35200000000000031</v>
      </c>
      <c r="I74" s="71">
        <f t="shared" si="25"/>
        <v>2.5540865384615619E-4</v>
      </c>
      <c r="J74" s="78">
        <f t="shared" si="15"/>
        <v>1.6346153846153847E-2</v>
      </c>
      <c r="K74" s="214">
        <f t="shared" si="11"/>
        <v>16.346153846153847</v>
      </c>
      <c r="L74" s="167">
        <f t="shared" si="12"/>
        <v>8.088235294117653E-2</v>
      </c>
      <c r="M74" s="69">
        <f t="shared" ref="M74:M105" si="31">1/COUTMAX*(E74/2-C74)*1000</f>
        <v>-0.52367486631015514</v>
      </c>
      <c r="N74" s="69">
        <f t="shared" si="16"/>
        <v>1.8169378698225016E-2</v>
      </c>
      <c r="O74" s="69">
        <f t="shared" si="14"/>
        <v>71.138461538461527</v>
      </c>
      <c r="P74" s="69">
        <f t="shared" ref="P74:P105" si="32">(A74-B74)*(I_Cout_ss*$Q$2+C74)</f>
        <v>73.296153846153828</v>
      </c>
      <c r="Q74" s="69">
        <f t="shared" ref="Q74:Q105" si="33">(A74-B74)*(I_Cout_ss*$R$2+C74)</f>
        <v>68.980769230769212</v>
      </c>
    </row>
    <row r="75" spans="1:17" x14ac:dyDescent="0.2">
      <c r="A75" s="69">
        <f t="shared" si="26"/>
        <v>42.5</v>
      </c>
      <c r="B75" s="72">
        <f t="shared" si="27"/>
        <v>26.5625</v>
      </c>
      <c r="C75" s="70">
        <f t="shared" si="28"/>
        <v>4</v>
      </c>
      <c r="D75" s="221">
        <f>B2</f>
        <v>127.00280000000001</v>
      </c>
      <c r="E75" s="68">
        <f t="shared" ref="E75:E110" si="34">MIN(D75/(A75-B75),$C$2)</f>
        <v>7.9688031372549029</v>
      </c>
      <c r="F75" s="70">
        <f t="shared" si="29"/>
        <v>4.3520000000000003</v>
      </c>
      <c r="G75" s="68">
        <f t="shared" ref="G75:G110" si="35">IF($F$2="YES", F75, E75)</f>
        <v>4.3520000000000003</v>
      </c>
      <c r="H75" s="70">
        <f t="shared" si="30"/>
        <v>0.35200000000000031</v>
      </c>
      <c r="I75" s="71">
        <f t="shared" ref="I75:I106" si="36">(COUTMAX/1000000)*(B75-B74)/H75</f>
        <v>2.5540865384615175E-4</v>
      </c>
      <c r="J75" s="78">
        <f t="shared" si="15"/>
        <v>1.66015625E-2</v>
      </c>
      <c r="K75" s="214">
        <f t="shared" ref="K75:K114" si="37">J75*1000</f>
        <v>16.6015625</v>
      </c>
      <c r="L75" s="167">
        <f t="shared" ref="L75:L110" si="38">H75/G75</f>
        <v>8.088235294117653E-2</v>
      </c>
      <c r="M75" s="69">
        <f t="shared" si="31"/>
        <v>-7.0901960784311685E-2</v>
      </c>
      <c r="N75" s="69">
        <f t="shared" ref="N75:N110" si="39">I75*G75*(A75-B75)</f>
        <v>1.7715144230769087E-2</v>
      </c>
      <c r="O75" s="69">
        <f t="shared" ref="O75:O114" si="40">G75*(A75-B75)</f>
        <v>69.36</v>
      </c>
      <c r="P75" s="69">
        <f t="shared" si="32"/>
        <v>71.463750000000005</v>
      </c>
      <c r="Q75" s="69">
        <f t="shared" si="33"/>
        <v>67.256249999999994</v>
      </c>
    </row>
    <row r="76" spans="1:17" x14ac:dyDescent="0.2">
      <c r="A76" s="69">
        <f t="shared" si="26"/>
        <v>42.5</v>
      </c>
      <c r="B76" s="72">
        <f t="shared" si="27"/>
        <v>26.971153846153843</v>
      </c>
      <c r="C76" s="70">
        <f t="shared" si="28"/>
        <v>4</v>
      </c>
      <c r="D76" s="221">
        <f>B2</f>
        <v>127.00280000000001</v>
      </c>
      <c r="E76" s="68">
        <f t="shared" si="34"/>
        <v>8.178508482972136</v>
      </c>
      <c r="F76" s="70">
        <f t="shared" si="29"/>
        <v>4.3520000000000003</v>
      </c>
      <c r="G76" s="68">
        <f t="shared" si="35"/>
        <v>4.3520000000000003</v>
      </c>
      <c r="H76" s="70">
        <f t="shared" si="30"/>
        <v>0.35200000000000031</v>
      </c>
      <c r="I76" s="71">
        <f t="shared" si="36"/>
        <v>2.5540865384615175E-4</v>
      </c>
      <c r="J76" s="78">
        <f t="shared" ref="J76:J110" si="41">J75+I76</f>
        <v>1.6856971153846153E-2</v>
      </c>
      <c r="K76" s="214">
        <f t="shared" si="37"/>
        <v>16.856971153846153</v>
      </c>
      <c r="L76" s="167">
        <f t="shared" si="38"/>
        <v>8.088235294117653E-2</v>
      </c>
      <c r="M76" s="69">
        <f t="shared" si="31"/>
        <v>0.4057010976639453</v>
      </c>
      <c r="N76" s="69">
        <f t="shared" si="39"/>
        <v>1.7260909763313473E-2</v>
      </c>
      <c r="O76" s="69">
        <f t="shared" si="40"/>
        <v>67.581538461538486</v>
      </c>
      <c r="P76" s="69">
        <f t="shared" si="32"/>
        <v>69.631346153846167</v>
      </c>
      <c r="Q76" s="69">
        <f t="shared" si="33"/>
        <v>65.531730769230776</v>
      </c>
    </row>
    <row r="77" spans="1:17" x14ac:dyDescent="0.2">
      <c r="A77" s="69">
        <f t="shared" si="26"/>
        <v>42.5</v>
      </c>
      <c r="B77" s="72">
        <f t="shared" si="27"/>
        <v>27.379807692307693</v>
      </c>
      <c r="C77" s="70">
        <f t="shared" si="28"/>
        <v>4</v>
      </c>
      <c r="D77" s="221">
        <f>B2</f>
        <v>127.00280000000001</v>
      </c>
      <c r="E77" s="68">
        <f t="shared" si="34"/>
        <v>8.3995492527821956</v>
      </c>
      <c r="F77" s="70">
        <f t="shared" si="29"/>
        <v>4.3520000000000003</v>
      </c>
      <c r="G77" s="68">
        <f t="shared" si="35"/>
        <v>4.3520000000000003</v>
      </c>
      <c r="H77" s="70">
        <f t="shared" si="30"/>
        <v>0.35200000000000031</v>
      </c>
      <c r="I77" s="71">
        <f t="shared" si="36"/>
        <v>2.5540865384615619E-4</v>
      </c>
      <c r="J77" s="78">
        <f t="shared" si="41"/>
        <v>1.7112379807692309E-2</v>
      </c>
      <c r="K77" s="214">
        <f t="shared" si="37"/>
        <v>17.11237980769231</v>
      </c>
      <c r="L77" s="167">
        <f t="shared" si="38"/>
        <v>8.088235294117653E-2</v>
      </c>
      <c r="M77" s="69">
        <f t="shared" si="31"/>
        <v>0.90806648359589892</v>
      </c>
      <c r="N77" s="69">
        <f t="shared" si="39"/>
        <v>1.680667529585814E-2</v>
      </c>
      <c r="O77" s="69">
        <f t="shared" si="40"/>
        <v>65.803076923076929</v>
      </c>
      <c r="P77" s="69">
        <f t="shared" si="32"/>
        <v>67.7989423076923</v>
      </c>
      <c r="Q77" s="69">
        <f t="shared" si="33"/>
        <v>63.80721153846153</v>
      </c>
    </row>
    <row r="78" spans="1:17" x14ac:dyDescent="0.2">
      <c r="A78" s="69">
        <f t="shared" si="26"/>
        <v>42.5</v>
      </c>
      <c r="B78" s="72">
        <f t="shared" si="27"/>
        <v>27.78846153846154</v>
      </c>
      <c r="C78" s="70">
        <f t="shared" si="28"/>
        <v>4</v>
      </c>
      <c r="D78" s="221">
        <f>B2</f>
        <v>127.00280000000001</v>
      </c>
      <c r="E78" s="68">
        <f t="shared" si="34"/>
        <v>8.6328700653594783</v>
      </c>
      <c r="F78" s="70">
        <f t="shared" si="29"/>
        <v>4.3520000000000003</v>
      </c>
      <c r="G78" s="68">
        <f t="shared" si="35"/>
        <v>4.3520000000000003</v>
      </c>
      <c r="H78" s="70">
        <f t="shared" si="30"/>
        <v>0.35200000000000031</v>
      </c>
      <c r="I78" s="71">
        <f t="shared" si="36"/>
        <v>2.5540865384615397E-4</v>
      </c>
      <c r="J78" s="78">
        <f t="shared" si="41"/>
        <v>1.7367788461538462E-2</v>
      </c>
      <c r="K78" s="214">
        <f t="shared" si="37"/>
        <v>17.367788461538463</v>
      </c>
      <c r="L78" s="167">
        <f t="shared" si="38"/>
        <v>8.088235294117653E-2</v>
      </c>
      <c r="M78" s="69">
        <f t="shared" si="31"/>
        <v>1.4383410576351781</v>
      </c>
      <c r="N78" s="69">
        <f t="shared" si="39"/>
        <v>1.6352440828402374E-2</v>
      </c>
      <c r="O78" s="69">
        <f t="shared" si="40"/>
        <v>64.024615384615387</v>
      </c>
      <c r="P78" s="69">
        <f t="shared" si="32"/>
        <v>65.966538461538448</v>
      </c>
      <c r="Q78" s="69">
        <f t="shared" si="33"/>
        <v>62.082692307692298</v>
      </c>
    </row>
    <row r="79" spans="1:17" x14ac:dyDescent="0.2">
      <c r="A79" s="69">
        <f t="shared" si="26"/>
        <v>42.5</v>
      </c>
      <c r="B79" s="72">
        <f t="shared" si="27"/>
        <v>28.197115384615383</v>
      </c>
      <c r="C79" s="70">
        <f t="shared" si="28"/>
        <v>4</v>
      </c>
      <c r="D79" s="221">
        <f>B2</f>
        <v>127.00280000000001</v>
      </c>
      <c r="E79" s="68">
        <f t="shared" si="34"/>
        <v>8.8795234957983187</v>
      </c>
      <c r="F79" s="70">
        <f t="shared" si="29"/>
        <v>4.3520000000000003</v>
      </c>
      <c r="G79" s="68">
        <f t="shared" si="35"/>
        <v>4.3520000000000003</v>
      </c>
      <c r="H79" s="70">
        <f t="shared" si="30"/>
        <v>0.35200000000000031</v>
      </c>
      <c r="I79" s="71">
        <f t="shared" si="36"/>
        <v>2.5540865384615175E-4</v>
      </c>
      <c r="J79" s="78">
        <f t="shared" si="41"/>
        <v>1.7623197115384615E-2</v>
      </c>
      <c r="K79" s="214">
        <f t="shared" si="37"/>
        <v>17.623197115384617</v>
      </c>
      <c r="L79" s="167">
        <f t="shared" si="38"/>
        <v>8.088235294117653E-2</v>
      </c>
      <c r="M79" s="69">
        <f t="shared" si="31"/>
        <v>1.9989170359052695</v>
      </c>
      <c r="N79" s="69">
        <f t="shared" si="39"/>
        <v>1.5898206360946618E-2</v>
      </c>
      <c r="O79" s="69">
        <f t="shared" si="40"/>
        <v>62.246153846153859</v>
      </c>
      <c r="P79" s="69">
        <f t="shared" si="32"/>
        <v>64.134134615384625</v>
      </c>
      <c r="Q79" s="69">
        <f t="shared" si="33"/>
        <v>60.35817307692308</v>
      </c>
    </row>
    <row r="80" spans="1:17" x14ac:dyDescent="0.2">
      <c r="A80" s="69">
        <f t="shared" si="26"/>
        <v>42.5</v>
      </c>
      <c r="B80" s="72">
        <f t="shared" si="27"/>
        <v>28.605769230769234</v>
      </c>
      <c r="C80" s="70">
        <f t="shared" si="28"/>
        <v>4</v>
      </c>
      <c r="D80" s="221">
        <f>B2</f>
        <v>127.00280000000001</v>
      </c>
      <c r="E80" s="68">
        <f t="shared" si="34"/>
        <v>9.1406859515570957</v>
      </c>
      <c r="F80" s="70">
        <f t="shared" si="29"/>
        <v>4.3520000000000003</v>
      </c>
      <c r="G80" s="68">
        <f t="shared" si="35"/>
        <v>4.3520000000000003</v>
      </c>
      <c r="H80" s="70">
        <f t="shared" si="30"/>
        <v>0.35200000000000031</v>
      </c>
      <c r="I80" s="71">
        <f t="shared" si="36"/>
        <v>2.5540865384615619E-4</v>
      </c>
      <c r="J80" s="78">
        <f t="shared" si="41"/>
        <v>1.7878605769230772E-2</v>
      </c>
      <c r="K80" s="214">
        <f t="shared" si="37"/>
        <v>17.87860576923077</v>
      </c>
      <c r="L80" s="167">
        <f t="shared" si="38"/>
        <v>8.088235294117653E-2</v>
      </c>
      <c r="M80" s="69">
        <f t="shared" si="31"/>
        <v>2.5924680717206718</v>
      </c>
      <c r="N80" s="69">
        <f t="shared" si="39"/>
        <v>1.5443971893491263E-2</v>
      </c>
      <c r="O80" s="69">
        <f t="shared" si="40"/>
        <v>60.467692307692303</v>
      </c>
      <c r="P80" s="69">
        <f t="shared" si="32"/>
        <v>62.301730769230758</v>
      </c>
      <c r="Q80" s="69">
        <f t="shared" si="33"/>
        <v>58.633653846153834</v>
      </c>
    </row>
    <row r="81" spans="1:17" x14ac:dyDescent="0.2">
      <c r="A81" s="69">
        <f t="shared" si="26"/>
        <v>42.5</v>
      </c>
      <c r="B81" s="72">
        <f t="shared" si="27"/>
        <v>29.014423076923077</v>
      </c>
      <c r="C81" s="70">
        <f t="shared" si="28"/>
        <v>4</v>
      </c>
      <c r="D81" s="221">
        <f>B2</f>
        <v>127.00280000000001</v>
      </c>
      <c r="E81" s="68">
        <f t="shared" si="34"/>
        <v>9.4176764349376114</v>
      </c>
      <c r="F81" s="70">
        <f t="shared" si="29"/>
        <v>4.3520000000000003</v>
      </c>
      <c r="G81" s="68">
        <f t="shared" si="35"/>
        <v>4.3520000000000003</v>
      </c>
      <c r="H81" s="70">
        <f t="shared" si="30"/>
        <v>0.35200000000000031</v>
      </c>
      <c r="I81" s="71">
        <f t="shared" si="36"/>
        <v>2.5540865384615175E-4</v>
      </c>
      <c r="J81" s="78">
        <f t="shared" si="41"/>
        <v>1.8134014423076925E-2</v>
      </c>
      <c r="K81" s="214">
        <f t="shared" si="37"/>
        <v>18.134014423076923</v>
      </c>
      <c r="L81" s="167">
        <f t="shared" si="38"/>
        <v>8.088235294117653E-2</v>
      </c>
      <c r="M81" s="69">
        <f t="shared" si="31"/>
        <v>3.2219918975854802</v>
      </c>
      <c r="N81" s="69">
        <f t="shared" si="39"/>
        <v>1.498973742603538E-2</v>
      </c>
      <c r="O81" s="69">
        <f t="shared" si="40"/>
        <v>58.689230769230775</v>
      </c>
      <c r="P81" s="69">
        <f t="shared" si="32"/>
        <v>60.469326923076927</v>
      </c>
      <c r="Q81" s="69">
        <f t="shared" si="33"/>
        <v>56.909134615384616</v>
      </c>
    </row>
    <row r="82" spans="1:17" x14ac:dyDescent="0.2">
      <c r="A82" s="69">
        <f t="shared" si="26"/>
        <v>42.5</v>
      </c>
      <c r="B82" s="72">
        <f t="shared" si="27"/>
        <v>29.423076923076923</v>
      </c>
      <c r="C82" s="70">
        <f t="shared" si="28"/>
        <v>4</v>
      </c>
      <c r="D82" s="221">
        <f>B2</f>
        <v>127.00280000000001</v>
      </c>
      <c r="E82" s="68">
        <f t="shared" si="34"/>
        <v>9.711978823529412</v>
      </c>
      <c r="F82" s="70">
        <f t="shared" si="29"/>
        <v>4.3520000000000003</v>
      </c>
      <c r="G82" s="68">
        <f t="shared" si="35"/>
        <v>4.3520000000000003</v>
      </c>
      <c r="H82" s="70">
        <f t="shared" si="30"/>
        <v>0.35200000000000031</v>
      </c>
      <c r="I82" s="71">
        <f t="shared" si="36"/>
        <v>2.5540865384615397E-4</v>
      </c>
      <c r="J82" s="78">
        <f t="shared" si="41"/>
        <v>1.8389423076923078E-2</v>
      </c>
      <c r="K82" s="214">
        <f t="shared" si="37"/>
        <v>18.389423076923077</v>
      </c>
      <c r="L82" s="167">
        <f t="shared" si="38"/>
        <v>8.088235294117653E-2</v>
      </c>
      <c r="M82" s="69">
        <f t="shared" si="31"/>
        <v>3.8908609625668453</v>
      </c>
      <c r="N82" s="69">
        <f t="shared" si="39"/>
        <v>1.453550295857989E-2</v>
      </c>
      <c r="O82" s="69">
        <f t="shared" si="40"/>
        <v>56.910769230769233</v>
      </c>
      <c r="P82" s="69">
        <f t="shared" si="32"/>
        <v>58.636923076923075</v>
      </c>
      <c r="Q82" s="69">
        <f t="shared" si="33"/>
        <v>55.184615384615377</v>
      </c>
    </row>
    <row r="83" spans="1:17" x14ac:dyDescent="0.2">
      <c r="A83" s="69">
        <f t="shared" si="26"/>
        <v>42.5</v>
      </c>
      <c r="B83" s="72">
        <f t="shared" si="27"/>
        <v>29.831730769230766</v>
      </c>
      <c r="C83" s="70">
        <f t="shared" si="28"/>
        <v>4</v>
      </c>
      <c r="D83" s="221">
        <f>B2</f>
        <v>127.00280000000001</v>
      </c>
      <c r="E83" s="68">
        <f t="shared" si="34"/>
        <v>10.025268462998101</v>
      </c>
      <c r="F83" s="70">
        <f t="shared" si="29"/>
        <v>4.3520000000000003</v>
      </c>
      <c r="G83" s="68">
        <f t="shared" si="35"/>
        <v>4.3520000000000003</v>
      </c>
      <c r="H83" s="70">
        <f t="shared" si="30"/>
        <v>0.35200000000000031</v>
      </c>
      <c r="I83" s="71">
        <f t="shared" si="36"/>
        <v>2.5540865384615175E-4</v>
      </c>
      <c r="J83" s="78">
        <f t="shared" si="41"/>
        <v>1.864483173076923E-2</v>
      </c>
      <c r="K83" s="214">
        <f t="shared" si="37"/>
        <v>18.64483173076923</v>
      </c>
      <c r="L83" s="167">
        <f t="shared" si="38"/>
        <v>8.088235294117653E-2</v>
      </c>
      <c r="M83" s="69">
        <f t="shared" si="31"/>
        <v>4.6028828704502294</v>
      </c>
      <c r="N83" s="69">
        <f t="shared" si="39"/>
        <v>1.4081268491124148E-2</v>
      </c>
      <c r="O83" s="69">
        <f t="shared" si="40"/>
        <v>55.132307692307705</v>
      </c>
      <c r="P83" s="69">
        <f t="shared" si="32"/>
        <v>56.804519230769245</v>
      </c>
      <c r="Q83" s="69">
        <f t="shared" si="33"/>
        <v>53.460096153846159</v>
      </c>
    </row>
    <row r="84" spans="1:17" x14ac:dyDescent="0.2">
      <c r="A84" s="69">
        <f t="shared" si="26"/>
        <v>42.5</v>
      </c>
      <c r="B84" s="72">
        <f t="shared" si="27"/>
        <v>30.240384615384617</v>
      </c>
      <c r="C84" s="70">
        <f t="shared" si="28"/>
        <v>4</v>
      </c>
      <c r="D84" s="221">
        <f>B2</f>
        <v>127.00280000000001</v>
      </c>
      <c r="E84" s="68">
        <f t="shared" si="34"/>
        <v>10.359444078431375</v>
      </c>
      <c r="F84" s="70">
        <f t="shared" si="29"/>
        <v>4.3520000000000003</v>
      </c>
      <c r="G84" s="68">
        <f t="shared" si="35"/>
        <v>4.3520000000000003</v>
      </c>
      <c r="H84" s="70">
        <f t="shared" si="30"/>
        <v>0.35200000000000031</v>
      </c>
      <c r="I84" s="71">
        <f t="shared" si="36"/>
        <v>2.5540865384615619E-4</v>
      </c>
      <c r="J84" s="78">
        <f t="shared" si="41"/>
        <v>1.8900240384615387E-2</v>
      </c>
      <c r="K84" s="214">
        <f t="shared" si="37"/>
        <v>18.900240384615387</v>
      </c>
      <c r="L84" s="167">
        <f t="shared" si="38"/>
        <v>8.088235294117653E-2</v>
      </c>
      <c r="M84" s="69">
        <f t="shared" si="31"/>
        <v>5.3623729055258522</v>
      </c>
      <c r="N84" s="69">
        <f t="shared" si="39"/>
        <v>1.3627034023668763E-2</v>
      </c>
      <c r="O84" s="69">
        <f t="shared" si="40"/>
        <v>53.353846153846149</v>
      </c>
      <c r="P84" s="69">
        <f t="shared" si="32"/>
        <v>54.972115384615378</v>
      </c>
      <c r="Q84" s="69">
        <f t="shared" si="33"/>
        <v>51.735576923076913</v>
      </c>
    </row>
    <row r="85" spans="1:17" x14ac:dyDescent="0.2">
      <c r="A85" s="69">
        <f t="shared" si="26"/>
        <v>42.5</v>
      </c>
      <c r="B85" s="72">
        <f t="shared" si="27"/>
        <v>30.64903846153846</v>
      </c>
      <c r="C85" s="70">
        <f t="shared" si="28"/>
        <v>4</v>
      </c>
      <c r="D85" s="221">
        <f>B2</f>
        <v>127.00280000000001</v>
      </c>
      <c r="E85" s="68">
        <f t="shared" si="34"/>
        <v>10.716666288032453</v>
      </c>
      <c r="F85" s="70">
        <f t="shared" si="29"/>
        <v>4.3520000000000003</v>
      </c>
      <c r="G85" s="68">
        <f t="shared" si="35"/>
        <v>4.3520000000000003</v>
      </c>
      <c r="H85" s="70">
        <f t="shared" si="30"/>
        <v>0.35200000000000031</v>
      </c>
      <c r="I85" s="71">
        <f t="shared" si="36"/>
        <v>2.5540865384615175E-4</v>
      </c>
      <c r="J85" s="78">
        <f t="shared" si="41"/>
        <v>1.915564903846154E-2</v>
      </c>
      <c r="K85" s="214">
        <f t="shared" si="37"/>
        <v>19.15564903846154</v>
      </c>
      <c r="L85" s="167">
        <f t="shared" si="38"/>
        <v>8.088235294117653E-2</v>
      </c>
      <c r="M85" s="69">
        <f t="shared" si="31"/>
        <v>6.1742415637101198</v>
      </c>
      <c r="N85" s="69">
        <f t="shared" si="39"/>
        <v>1.3172799556212911E-2</v>
      </c>
      <c r="O85" s="69">
        <f t="shared" si="40"/>
        <v>51.575384615384628</v>
      </c>
      <c r="P85" s="69">
        <f t="shared" si="32"/>
        <v>53.139711538461547</v>
      </c>
      <c r="Q85" s="69">
        <f t="shared" si="33"/>
        <v>50.011057692307695</v>
      </c>
    </row>
    <row r="86" spans="1:17" x14ac:dyDescent="0.2">
      <c r="A86" s="69">
        <f t="shared" si="26"/>
        <v>42.5</v>
      </c>
      <c r="B86" s="72">
        <f t="shared" si="27"/>
        <v>31.057692307692307</v>
      </c>
      <c r="C86" s="70">
        <f t="shared" si="28"/>
        <v>4</v>
      </c>
      <c r="D86" s="221">
        <f>B2</f>
        <v>127.00280000000001</v>
      </c>
      <c r="E86" s="68">
        <f t="shared" si="34"/>
        <v>11.099404369747898</v>
      </c>
      <c r="F86" s="70">
        <f t="shared" si="29"/>
        <v>4.3520000000000003</v>
      </c>
      <c r="G86" s="68">
        <f t="shared" si="35"/>
        <v>4.3520000000000003</v>
      </c>
      <c r="H86" s="70">
        <f t="shared" si="30"/>
        <v>0.35200000000000031</v>
      </c>
      <c r="I86" s="71">
        <f t="shared" si="36"/>
        <v>2.5540865384615397E-4</v>
      </c>
      <c r="J86" s="78">
        <f t="shared" si="41"/>
        <v>1.9411057692307693E-2</v>
      </c>
      <c r="K86" s="214">
        <f t="shared" si="37"/>
        <v>19.411057692307693</v>
      </c>
      <c r="L86" s="167">
        <f t="shared" si="38"/>
        <v>8.088235294117653E-2</v>
      </c>
      <c r="M86" s="69">
        <f t="shared" si="31"/>
        <v>7.0441008403361316</v>
      </c>
      <c r="N86" s="69">
        <f t="shared" si="39"/>
        <v>1.2718565088757405E-2</v>
      </c>
      <c r="O86" s="69">
        <f t="shared" si="40"/>
        <v>49.796923076923086</v>
      </c>
      <c r="P86" s="69">
        <f t="shared" si="32"/>
        <v>51.307307692307695</v>
      </c>
      <c r="Q86" s="69">
        <f t="shared" si="33"/>
        <v>48.286538461538463</v>
      </c>
    </row>
    <row r="87" spans="1:17" x14ac:dyDescent="0.2">
      <c r="A87" s="69">
        <f t="shared" si="26"/>
        <v>42.5</v>
      </c>
      <c r="B87" s="72">
        <f t="shared" si="27"/>
        <v>31.466346153846157</v>
      </c>
      <c r="C87" s="70">
        <f t="shared" si="28"/>
        <v>4</v>
      </c>
      <c r="D87" s="221">
        <f>B2</f>
        <v>127.00280000000001</v>
      </c>
      <c r="E87" s="68">
        <f t="shared" si="34"/>
        <v>11.510493420479307</v>
      </c>
      <c r="F87" s="70">
        <f t="shared" si="29"/>
        <v>4.3520000000000003</v>
      </c>
      <c r="G87" s="68">
        <f t="shared" si="35"/>
        <v>4.3520000000000003</v>
      </c>
      <c r="H87" s="70">
        <f t="shared" si="30"/>
        <v>0.35200000000000031</v>
      </c>
      <c r="I87" s="71">
        <f t="shared" si="36"/>
        <v>2.5540865384615619E-4</v>
      </c>
      <c r="J87" s="78">
        <f t="shared" si="41"/>
        <v>1.9666466346153849E-2</v>
      </c>
      <c r="K87" s="214">
        <f t="shared" si="37"/>
        <v>19.66646634615385</v>
      </c>
      <c r="L87" s="167">
        <f t="shared" si="38"/>
        <v>8.088235294117653E-2</v>
      </c>
      <c r="M87" s="69">
        <f t="shared" si="31"/>
        <v>7.9783941374529688</v>
      </c>
      <c r="N87" s="69">
        <f t="shared" si="39"/>
        <v>1.2264330621301884E-2</v>
      </c>
      <c r="O87" s="69">
        <f t="shared" si="40"/>
        <v>48.01846153846153</v>
      </c>
      <c r="P87" s="69">
        <f t="shared" si="32"/>
        <v>49.474903846153829</v>
      </c>
      <c r="Q87" s="69">
        <f t="shared" si="33"/>
        <v>46.562019230769216</v>
      </c>
    </row>
    <row r="88" spans="1:17" x14ac:dyDescent="0.2">
      <c r="A88" s="69">
        <f t="shared" si="26"/>
        <v>42.5</v>
      </c>
      <c r="B88" s="72">
        <f t="shared" si="27"/>
        <v>31.875</v>
      </c>
      <c r="C88" s="70">
        <f t="shared" si="28"/>
        <v>4</v>
      </c>
      <c r="D88" s="221">
        <f>B2</f>
        <v>127.00280000000001</v>
      </c>
      <c r="E88" s="68">
        <f t="shared" si="34"/>
        <v>11.953204705882353</v>
      </c>
      <c r="F88" s="70">
        <f t="shared" si="29"/>
        <v>4.3520000000000003</v>
      </c>
      <c r="G88" s="68">
        <f t="shared" si="35"/>
        <v>4.3520000000000003</v>
      </c>
      <c r="H88" s="70">
        <f t="shared" si="30"/>
        <v>0.35200000000000031</v>
      </c>
      <c r="I88" s="71">
        <f t="shared" si="36"/>
        <v>2.5540865384615175E-4</v>
      </c>
      <c r="J88" s="78">
        <f t="shared" si="41"/>
        <v>1.9921875000000002E-2</v>
      </c>
      <c r="K88" s="214">
        <f t="shared" si="37"/>
        <v>19.921875000000004</v>
      </c>
      <c r="L88" s="167">
        <f t="shared" si="38"/>
        <v>8.088235294117653E-2</v>
      </c>
      <c r="M88" s="69">
        <f t="shared" si="31"/>
        <v>8.9845561497326205</v>
      </c>
      <c r="N88" s="69">
        <f t="shared" si="39"/>
        <v>1.1810096153846057E-2</v>
      </c>
      <c r="O88" s="69">
        <f t="shared" si="40"/>
        <v>46.24</v>
      </c>
      <c r="P88" s="69">
        <f t="shared" si="32"/>
        <v>47.642499999999998</v>
      </c>
      <c r="Q88" s="69">
        <f t="shared" si="33"/>
        <v>44.837499999999999</v>
      </c>
    </row>
    <row r="89" spans="1:17" x14ac:dyDescent="0.2">
      <c r="A89" s="69">
        <f t="shared" si="26"/>
        <v>42.5</v>
      </c>
      <c r="B89" s="72">
        <f t="shared" si="27"/>
        <v>32.283653846153847</v>
      </c>
      <c r="C89" s="70">
        <f t="shared" si="28"/>
        <v>4</v>
      </c>
      <c r="D89" s="221">
        <f>B2</f>
        <v>127.00280000000001</v>
      </c>
      <c r="E89" s="68">
        <f t="shared" si="34"/>
        <v>12.431332894117649</v>
      </c>
      <c r="F89" s="70">
        <f t="shared" si="29"/>
        <v>4.3520000000000003</v>
      </c>
      <c r="G89" s="68">
        <f t="shared" si="35"/>
        <v>4.3520000000000003</v>
      </c>
      <c r="H89" s="70">
        <f t="shared" si="30"/>
        <v>0.35200000000000031</v>
      </c>
      <c r="I89" s="71">
        <f t="shared" si="36"/>
        <v>2.5540865384615397E-4</v>
      </c>
      <c r="J89" s="78">
        <f t="shared" si="41"/>
        <v>2.0177283653846155E-2</v>
      </c>
      <c r="K89" s="214">
        <f t="shared" si="37"/>
        <v>20.177283653846153</v>
      </c>
      <c r="L89" s="167">
        <f t="shared" si="38"/>
        <v>8.088235294117653E-2</v>
      </c>
      <c r="M89" s="69">
        <f t="shared" si="31"/>
        <v>10.071211122994656</v>
      </c>
      <c r="N89" s="69">
        <f t="shared" si="39"/>
        <v>1.1355861686390538E-2</v>
      </c>
      <c r="O89" s="69">
        <f t="shared" si="40"/>
        <v>44.46153846153846</v>
      </c>
      <c r="P89" s="69">
        <f t="shared" si="32"/>
        <v>45.810096153846153</v>
      </c>
      <c r="Q89" s="69">
        <f t="shared" si="33"/>
        <v>43.112980769230766</v>
      </c>
    </row>
    <row r="90" spans="1:17" x14ac:dyDescent="0.2">
      <c r="A90" s="69">
        <f t="shared" si="26"/>
        <v>42.5</v>
      </c>
      <c r="B90" s="72">
        <f t="shared" si="27"/>
        <v>32.692307692307693</v>
      </c>
      <c r="C90" s="70">
        <f t="shared" si="28"/>
        <v>4</v>
      </c>
      <c r="D90" s="221">
        <f>B2</f>
        <v>127.00280000000001</v>
      </c>
      <c r="E90" s="68">
        <f t="shared" si="34"/>
        <v>12.949305098039218</v>
      </c>
      <c r="F90" s="70">
        <f t="shared" si="29"/>
        <v>4.3520000000000003</v>
      </c>
      <c r="G90" s="68">
        <f t="shared" si="35"/>
        <v>4.3520000000000003</v>
      </c>
      <c r="H90" s="70">
        <f t="shared" si="30"/>
        <v>0.35200000000000031</v>
      </c>
      <c r="I90" s="71">
        <f t="shared" si="36"/>
        <v>2.5540865384615397E-4</v>
      </c>
      <c r="J90" s="78">
        <f t="shared" si="41"/>
        <v>2.0432692307692308E-2</v>
      </c>
      <c r="K90" s="214">
        <f t="shared" si="37"/>
        <v>20.432692307692307</v>
      </c>
      <c r="L90" s="167">
        <f t="shared" si="38"/>
        <v>8.088235294117653E-2</v>
      </c>
      <c r="M90" s="69">
        <f t="shared" si="31"/>
        <v>11.24842067736186</v>
      </c>
      <c r="N90" s="69">
        <f t="shared" si="39"/>
        <v>1.0901627218934916E-2</v>
      </c>
      <c r="O90" s="69">
        <f t="shared" si="40"/>
        <v>42.683076923076925</v>
      </c>
      <c r="P90" s="69">
        <f t="shared" si="32"/>
        <v>43.977692307692301</v>
      </c>
      <c r="Q90" s="69">
        <f t="shared" si="33"/>
        <v>41.388461538461534</v>
      </c>
    </row>
    <row r="91" spans="1:17" x14ac:dyDescent="0.2">
      <c r="A91" s="69">
        <f t="shared" si="26"/>
        <v>42.5</v>
      </c>
      <c r="B91" s="72">
        <f t="shared" si="27"/>
        <v>33.10096153846154</v>
      </c>
      <c r="C91" s="70">
        <f t="shared" si="28"/>
        <v>4</v>
      </c>
      <c r="D91" s="221">
        <f>B2</f>
        <v>127.00280000000001</v>
      </c>
      <c r="E91" s="68">
        <f t="shared" si="34"/>
        <v>13.512318363171358</v>
      </c>
      <c r="F91" s="70">
        <f t="shared" si="29"/>
        <v>4.3520000000000003</v>
      </c>
      <c r="G91" s="68">
        <f t="shared" si="35"/>
        <v>4.3520000000000003</v>
      </c>
      <c r="H91" s="70">
        <f t="shared" si="30"/>
        <v>0.35200000000000031</v>
      </c>
      <c r="I91" s="71">
        <f t="shared" si="36"/>
        <v>2.5540865384615397E-4</v>
      </c>
      <c r="J91" s="78">
        <f t="shared" si="41"/>
        <v>2.0688100961538461E-2</v>
      </c>
      <c r="K91" s="214">
        <f t="shared" si="37"/>
        <v>20.68810096153846</v>
      </c>
      <c r="L91" s="167">
        <f t="shared" si="38"/>
        <v>8.088235294117653E-2</v>
      </c>
      <c r="M91" s="69">
        <f t="shared" si="31"/>
        <v>12.527996279934905</v>
      </c>
      <c r="N91" s="69">
        <f t="shared" si="39"/>
        <v>1.0447392751479294E-2</v>
      </c>
      <c r="O91" s="69">
        <f t="shared" si="40"/>
        <v>40.904615384615383</v>
      </c>
      <c r="P91" s="69">
        <f t="shared" si="32"/>
        <v>42.145288461538456</v>
      </c>
      <c r="Q91" s="69">
        <f t="shared" si="33"/>
        <v>39.663942307692295</v>
      </c>
    </row>
    <row r="92" spans="1:17" x14ac:dyDescent="0.2">
      <c r="A92" s="69">
        <f t="shared" si="26"/>
        <v>42.5</v>
      </c>
      <c r="B92" s="72">
        <f t="shared" si="27"/>
        <v>33.509615384615387</v>
      </c>
      <c r="C92" s="70">
        <f t="shared" si="28"/>
        <v>4</v>
      </c>
      <c r="D92" s="221">
        <f>B2</f>
        <v>127.00280000000001</v>
      </c>
      <c r="E92" s="68">
        <f t="shared" si="34"/>
        <v>14.126514652406421</v>
      </c>
      <c r="F92" s="70">
        <f t="shared" si="29"/>
        <v>4.3520000000000003</v>
      </c>
      <c r="G92" s="68">
        <f t="shared" si="35"/>
        <v>4.3520000000000003</v>
      </c>
      <c r="H92" s="70">
        <f t="shared" si="30"/>
        <v>0.35200000000000031</v>
      </c>
      <c r="I92" s="71">
        <f t="shared" si="36"/>
        <v>2.5540865384615397E-4</v>
      </c>
      <c r="J92" s="78">
        <f t="shared" si="41"/>
        <v>2.0943509615384614E-2</v>
      </c>
      <c r="K92" s="214">
        <f t="shared" si="37"/>
        <v>20.943509615384613</v>
      </c>
      <c r="L92" s="167">
        <f t="shared" si="38"/>
        <v>8.088235294117653E-2</v>
      </c>
      <c r="M92" s="69">
        <f t="shared" si="31"/>
        <v>13.923896937287319</v>
      </c>
      <c r="N92" s="69">
        <f t="shared" si="39"/>
        <v>9.9931582840236729E-3</v>
      </c>
      <c r="O92" s="69">
        <f t="shared" si="40"/>
        <v>39.126153846153841</v>
      </c>
      <c r="P92" s="69">
        <f t="shared" si="32"/>
        <v>40.312884615384604</v>
      </c>
      <c r="Q92" s="69">
        <f t="shared" si="33"/>
        <v>37.939423076923063</v>
      </c>
    </row>
    <row r="93" spans="1:17" x14ac:dyDescent="0.2">
      <c r="A93" s="69">
        <f t="shared" si="26"/>
        <v>42.5</v>
      </c>
      <c r="B93" s="72">
        <f t="shared" si="27"/>
        <v>33.918269230769234</v>
      </c>
      <c r="C93" s="70">
        <f t="shared" si="28"/>
        <v>4</v>
      </c>
      <c r="D93" s="221">
        <f>B2</f>
        <v>127.00280000000001</v>
      </c>
      <c r="E93" s="68">
        <f t="shared" si="34"/>
        <v>14.799205826330537</v>
      </c>
      <c r="F93" s="70">
        <f t="shared" si="29"/>
        <v>4.3520000000000003</v>
      </c>
      <c r="G93" s="68">
        <f t="shared" si="35"/>
        <v>4.3520000000000003</v>
      </c>
      <c r="H93" s="70">
        <f t="shared" si="30"/>
        <v>0.35200000000000031</v>
      </c>
      <c r="I93" s="71">
        <f t="shared" si="36"/>
        <v>2.5540865384615397E-4</v>
      </c>
      <c r="J93" s="78">
        <f t="shared" si="41"/>
        <v>2.1198918269230767E-2</v>
      </c>
      <c r="K93" s="214">
        <f t="shared" si="37"/>
        <v>21.198918269230766</v>
      </c>
      <c r="L93" s="167">
        <f t="shared" si="38"/>
        <v>8.088235294117653E-2</v>
      </c>
      <c r="M93" s="69">
        <f t="shared" si="31"/>
        <v>15.452740514387584</v>
      </c>
      <c r="N93" s="69">
        <f t="shared" si="39"/>
        <v>9.5389238165680505E-3</v>
      </c>
      <c r="O93" s="69">
        <f t="shared" si="40"/>
        <v>37.347692307692299</v>
      </c>
      <c r="P93" s="69">
        <f t="shared" si="32"/>
        <v>38.480480769230759</v>
      </c>
      <c r="Q93" s="69">
        <f t="shared" si="33"/>
        <v>36.214903846153831</v>
      </c>
    </row>
    <row r="94" spans="1:17" x14ac:dyDescent="0.2">
      <c r="A94" s="69">
        <f t="shared" si="26"/>
        <v>42.5</v>
      </c>
      <c r="B94" s="72">
        <f t="shared" si="27"/>
        <v>34.32692307692308</v>
      </c>
      <c r="C94" s="70">
        <f t="shared" si="28"/>
        <v>4</v>
      </c>
      <c r="D94" s="221">
        <f>B2</f>
        <v>127.00280000000001</v>
      </c>
      <c r="E94" s="68">
        <f t="shared" si="34"/>
        <v>15.539166117647065</v>
      </c>
      <c r="F94" s="70">
        <f t="shared" si="29"/>
        <v>4.3520000000000003</v>
      </c>
      <c r="G94" s="68">
        <f t="shared" si="35"/>
        <v>4.3520000000000003</v>
      </c>
      <c r="H94" s="70">
        <f t="shared" si="30"/>
        <v>0.35200000000000031</v>
      </c>
      <c r="I94" s="71">
        <f t="shared" si="36"/>
        <v>2.5540865384615397E-4</v>
      </c>
      <c r="J94" s="78">
        <f t="shared" si="41"/>
        <v>2.145432692307692E-2</v>
      </c>
      <c r="K94" s="214">
        <f t="shared" si="37"/>
        <v>21.45432692307692</v>
      </c>
      <c r="L94" s="167">
        <f t="shared" si="38"/>
        <v>8.088235294117653E-2</v>
      </c>
      <c r="M94" s="69">
        <f t="shared" si="31"/>
        <v>17.134468449197872</v>
      </c>
      <c r="N94" s="69">
        <f t="shared" si="39"/>
        <v>9.0846893491124282E-3</v>
      </c>
      <c r="O94" s="69">
        <f t="shared" si="40"/>
        <v>35.569230769230757</v>
      </c>
      <c r="P94" s="69">
        <f t="shared" si="32"/>
        <v>36.648076923076907</v>
      </c>
      <c r="Q94" s="69">
        <f t="shared" si="33"/>
        <v>34.490384615384599</v>
      </c>
    </row>
    <row r="95" spans="1:17" x14ac:dyDescent="0.2">
      <c r="A95" s="69">
        <f t="shared" si="26"/>
        <v>42.5</v>
      </c>
      <c r="B95" s="72">
        <f t="shared" si="27"/>
        <v>34.73557692307692</v>
      </c>
      <c r="C95" s="70">
        <f t="shared" si="28"/>
        <v>4</v>
      </c>
      <c r="D95" s="221">
        <f>B2</f>
        <v>127.00280000000001</v>
      </c>
      <c r="E95" s="68">
        <f t="shared" si="34"/>
        <v>16.357016965944265</v>
      </c>
      <c r="F95" s="70">
        <f t="shared" si="29"/>
        <v>4.3520000000000003</v>
      </c>
      <c r="G95" s="68">
        <f t="shared" si="35"/>
        <v>4.3520000000000003</v>
      </c>
      <c r="H95" s="70">
        <f t="shared" si="30"/>
        <v>0.35200000000000031</v>
      </c>
      <c r="I95" s="71">
        <f t="shared" si="36"/>
        <v>2.5540865384614952E-4</v>
      </c>
      <c r="J95" s="78">
        <f t="shared" si="41"/>
        <v>2.1709735576923069E-2</v>
      </c>
      <c r="K95" s="214">
        <f t="shared" si="37"/>
        <v>21.70973557692307</v>
      </c>
      <c r="L95" s="167">
        <f t="shared" si="38"/>
        <v>8.088235294117653E-2</v>
      </c>
      <c r="M95" s="69">
        <f t="shared" si="31"/>
        <v>18.993220377146056</v>
      </c>
      <c r="N95" s="69">
        <f t="shared" si="39"/>
        <v>8.6304548816566636E-3</v>
      </c>
      <c r="O95" s="69">
        <f t="shared" si="40"/>
        <v>33.79076923076925</v>
      </c>
      <c r="P95" s="69">
        <f t="shared" si="32"/>
        <v>34.81567307692309</v>
      </c>
      <c r="Q95" s="69">
        <f t="shared" si="33"/>
        <v>32.765865384615395</v>
      </c>
    </row>
    <row r="96" spans="1:17" x14ac:dyDescent="0.2">
      <c r="A96" s="69">
        <f t="shared" si="26"/>
        <v>42.5</v>
      </c>
      <c r="B96" s="72">
        <f t="shared" si="27"/>
        <v>35.144230769230766</v>
      </c>
      <c r="C96" s="70">
        <f t="shared" si="28"/>
        <v>4</v>
      </c>
      <c r="D96" s="221">
        <f>B2</f>
        <v>127.00280000000001</v>
      </c>
      <c r="E96" s="68">
        <f t="shared" si="34"/>
        <v>17.26574013071895</v>
      </c>
      <c r="F96" s="70">
        <f t="shared" si="29"/>
        <v>4.3520000000000003</v>
      </c>
      <c r="G96" s="68">
        <f t="shared" si="35"/>
        <v>4.3520000000000003</v>
      </c>
      <c r="H96" s="70">
        <f t="shared" si="30"/>
        <v>0.35200000000000031</v>
      </c>
      <c r="I96" s="71">
        <f t="shared" si="36"/>
        <v>2.5540865384615397E-4</v>
      </c>
      <c r="J96" s="78">
        <f t="shared" si="41"/>
        <v>2.1965144230769222E-2</v>
      </c>
      <c r="K96" s="214">
        <f t="shared" si="37"/>
        <v>21.965144230769223</v>
      </c>
      <c r="L96" s="167">
        <f t="shared" si="38"/>
        <v>8.088235294117653E-2</v>
      </c>
      <c r="M96" s="69">
        <f t="shared" si="31"/>
        <v>21.058500297088521</v>
      </c>
      <c r="N96" s="69">
        <f t="shared" si="39"/>
        <v>8.1762204142011921E-3</v>
      </c>
      <c r="O96" s="69">
        <f t="shared" si="40"/>
        <v>32.012307692307708</v>
      </c>
      <c r="P96" s="69">
        <f t="shared" si="32"/>
        <v>32.983269230769245</v>
      </c>
      <c r="Q96" s="69">
        <f t="shared" si="33"/>
        <v>31.041346153846163</v>
      </c>
    </row>
    <row r="97" spans="1:17" x14ac:dyDescent="0.2">
      <c r="A97" s="69">
        <f t="shared" si="26"/>
        <v>42.5</v>
      </c>
      <c r="B97" s="72">
        <f t="shared" si="27"/>
        <v>35.552884615384613</v>
      </c>
      <c r="C97" s="70">
        <f t="shared" si="28"/>
        <v>4</v>
      </c>
      <c r="D97" s="221">
        <f>B2</f>
        <v>127.00280000000001</v>
      </c>
      <c r="E97" s="68">
        <f t="shared" si="34"/>
        <v>18.281371903114181</v>
      </c>
      <c r="F97" s="70">
        <f t="shared" si="29"/>
        <v>4.3520000000000003</v>
      </c>
      <c r="G97" s="68">
        <f t="shared" si="35"/>
        <v>4.3520000000000003</v>
      </c>
      <c r="H97" s="70">
        <f t="shared" si="30"/>
        <v>0.35200000000000031</v>
      </c>
      <c r="I97" s="71">
        <f t="shared" si="36"/>
        <v>2.5540865384615397E-4</v>
      </c>
      <c r="J97" s="78">
        <f t="shared" si="41"/>
        <v>2.2220552884615375E-2</v>
      </c>
      <c r="K97" s="214">
        <f t="shared" si="37"/>
        <v>22.220552884615376</v>
      </c>
      <c r="L97" s="167">
        <f t="shared" si="38"/>
        <v>8.088235294117653E-2</v>
      </c>
      <c r="M97" s="69">
        <f t="shared" si="31"/>
        <v>23.3667543252595</v>
      </c>
      <c r="N97" s="69">
        <f t="shared" si="39"/>
        <v>7.7219859467455689E-3</v>
      </c>
      <c r="O97" s="69">
        <f t="shared" si="40"/>
        <v>30.233846153846166</v>
      </c>
      <c r="P97" s="69">
        <f t="shared" si="32"/>
        <v>31.150865384615393</v>
      </c>
      <c r="Q97" s="69">
        <f t="shared" si="33"/>
        <v>29.316826923076931</v>
      </c>
    </row>
    <row r="98" spans="1:17" x14ac:dyDescent="0.2">
      <c r="A98" s="69">
        <f t="shared" si="26"/>
        <v>42.5</v>
      </c>
      <c r="B98" s="72">
        <f t="shared" si="27"/>
        <v>35.96153846153846</v>
      </c>
      <c r="C98" s="70">
        <f t="shared" si="28"/>
        <v>4</v>
      </c>
      <c r="D98" s="221">
        <f>B2</f>
        <v>127.00280000000001</v>
      </c>
      <c r="E98" s="68">
        <f t="shared" si="34"/>
        <v>19.42395764705882</v>
      </c>
      <c r="F98" s="70">
        <f t="shared" si="29"/>
        <v>4.3520000000000003</v>
      </c>
      <c r="G98" s="68">
        <f t="shared" si="35"/>
        <v>4.3520000000000003</v>
      </c>
      <c r="H98" s="70">
        <f t="shared" si="30"/>
        <v>0.35200000000000031</v>
      </c>
      <c r="I98" s="71">
        <f t="shared" si="36"/>
        <v>2.5540865384615397E-4</v>
      </c>
      <c r="J98" s="78">
        <f t="shared" si="41"/>
        <v>2.2475961538461528E-2</v>
      </c>
      <c r="K98" s="214">
        <f t="shared" si="37"/>
        <v>22.475961538461529</v>
      </c>
      <c r="L98" s="167">
        <f t="shared" si="38"/>
        <v>8.088235294117653E-2</v>
      </c>
      <c r="M98" s="69">
        <f t="shared" si="31"/>
        <v>25.963540106951864</v>
      </c>
      <c r="N98" s="69">
        <f t="shared" si="39"/>
        <v>7.2677514792899474E-3</v>
      </c>
      <c r="O98" s="69">
        <f t="shared" si="40"/>
        <v>28.455384615384624</v>
      </c>
      <c r="P98" s="69">
        <f t="shared" si="32"/>
        <v>29.318461538461545</v>
      </c>
      <c r="Q98" s="69">
        <f t="shared" si="33"/>
        <v>27.592307692307699</v>
      </c>
    </row>
    <row r="99" spans="1:17" x14ac:dyDescent="0.2">
      <c r="A99" s="69">
        <f t="shared" si="26"/>
        <v>42.5</v>
      </c>
      <c r="B99" s="72">
        <f t="shared" si="27"/>
        <v>36.370192307692307</v>
      </c>
      <c r="C99" s="70">
        <f t="shared" si="28"/>
        <v>4</v>
      </c>
      <c r="D99" s="221">
        <f>B2</f>
        <v>127.00280000000001</v>
      </c>
      <c r="E99" s="68">
        <f t="shared" si="34"/>
        <v>20.718888156862743</v>
      </c>
      <c r="F99" s="70">
        <f t="shared" si="29"/>
        <v>4.3520000000000003</v>
      </c>
      <c r="G99" s="68">
        <f t="shared" si="35"/>
        <v>4.3520000000000003</v>
      </c>
      <c r="H99" s="70">
        <f t="shared" si="30"/>
        <v>0.35200000000000031</v>
      </c>
      <c r="I99" s="71">
        <f t="shared" si="36"/>
        <v>2.5540865384615397E-4</v>
      </c>
      <c r="J99" s="78">
        <f t="shared" si="41"/>
        <v>2.2731370192307681E-2</v>
      </c>
      <c r="K99" s="214">
        <f t="shared" si="37"/>
        <v>22.731370192307679</v>
      </c>
      <c r="L99" s="167">
        <f t="shared" si="38"/>
        <v>8.088235294117653E-2</v>
      </c>
      <c r="M99" s="69">
        <f t="shared" si="31"/>
        <v>28.90656399286987</v>
      </c>
      <c r="N99" s="69">
        <f t="shared" si="39"/>
        <v>6.813517011834325E-3</v>
      </c>
      <c r="O99" s="69">
        <f t="shared" si="40"/>
        <v>26.676923076923085</v>
      </c>
      <c r="P99" s="69">
        <f t="shared" si="32"/>
        <v>27.486057692307696</v>
      </c>
      <c r="Q99" s="69">
        <f t="shared" si="33"/>
        <v>25.867788461538463</v>
      </c>
    </row>
    <row r="100" spans="1:17" x14ac:dyDescent="0.2">
      <c r="A100" s="69">
        <f t="shared" si="26"/>
        <v>42.5</v>
      </c>
      <c r="B100" s="72">
        <f t="shared" si="27"/>
        <v>36.778846153846153</v>
      </c>
      <c r="C100" s="70">
        <f t="shared" si="28"/>
        <v>4</v>
      </c>
      <c r="D100" s="221">
        <f>B2</f>
        <v>127.00280000000001</v>
      </c>
      <c r="E100" s="68">
        <f t="shared" si="34"/>
        <v>22.198808739495796</v>
      </c>
      <c r="F100" s="70">
        <f t="shared" si="29"/>
        <v>4.3520000000000003</v>
      </c>
      <c r="G100" s="68">
        <f t="shared" si="35"/>
        <v>4.3520000000000003</v>
      </c>
      <c r="H100" s="70">
        <f t="shared" si="30"/>
        <v>0.35200000000000031</v>
      </c>
      <c r="I100" s="71">
        <f t="shared" si="36"/>
        <v>2.5540865384615397E-4</v>
      </c>
      <c r="J100" s="78">
        <f t="shared" si="41"/>
        <v>2.2986778846153834E-2</v>
      </c>
      <c r="K100" s="214">
        <f t="shared" si="37"/>
        <v>22.986778846153832</v>
      </c>
      <c r="L100" s="167">
        <f t="shared" si="38"/>
        <v>8.088235294117653E-2</v>
      </c>
      <c r="M100" s="69">
        <f t="shared" si="31"/>
        <v>32.270019862490443</v>
      </c>
      <c r="N100" s="69">
        <f t="shared" si="39"/>
        <v>6.3592825443787027E-3</v>
      </c>
      <c r="O100" s="69">
        <f t="shared" si="40"/>
        <v>24.898461538461543</v>
      </c>
      <c r="P100" s="69">
        <f t="shared" si="32"/>
        <v>25.653653846153848</v>
      </c>
      <c r="Q100" s="69">
        <f t="shared" si="33"/>
        <v>24.143269230769231</v>
      </c>
    </row>
    <row r="101" spans="1:17" x14ac:dyDescent="0.2">
      <c r="A101" s="69">
        <f t="shared" si="26"/>
        <v>42.5</v>
      </c>
      <c r="B101" s="72">
        <f t="shared" si="27"/>
        <v>37.1875</v>
      </c>
      <c r="C101" s="70">
        <f t="shared" si="28"/>
        <v>4</v>
      </c>
      <c r="D101" s="221">
        <f>B2</f>
        <v>127.00280000000001</v>
      </c>
      <c r="E101" s="68">
        <f t="shared" si="34"/>
        <v>22.797499999999999</v>
      </c>
      <c r="F101" s="70">
        <f t="shared" si="29"/>
        <v>4.3520000000000003</v>
      </c>
      <c r="G101" s="68">
        <f t="shared" si="35"/>
        <v>4.3520000000000003</v>
      </c>
      <c r="H101" s="70">
        <f t="shared" si="30"/>
        <v>0.35200000000000031</v>
      </c>
      <c r="I101" s="71">
        <f t="shared" si="36"/>
        <v>2.5540865384615397E-4</v>
      </c>
      <c r="J101" s="78">
        <f t="shared" si="41"/>
        <v>2.3242187499999987E-2</v>
      </c>
      <c r="K101" s="214">
        <f t="shared" si="37"/>
        <v>23.242187499999986</v>
      </c>
      <c r="L101" s="167">
        <f t="shared" si="38"/>
        <v>8.088235294117653E-2</v>
      </c>
      <c r="M101" s="69">
        <f t="shared" si="31"/>
        <v>33.630681818181813</v>
      </c>
      <c r="N101" s="69">
        <f t="shared" si="39"/>
        <v>5.9050480769230803E-3</v>
      </c>
      <c r="O101" s="69">
        <f t="shared" si="40"/>
        <v>23.12</v>
      </c>
      <c r="P101" s="69">
        <f t="shared" si="32"/>
        <v>23.821249999999999</v>
      </c>
      <c r="Q101" s="69">
        <f t="shared" si="33"/>
        <v>22.418749999999999</v>
      </c>
    </row>
    <row r="102" spans="1:17" x14ac:dyDescent="0.2">
      <c r="A102" s="69">
        <f t="shared" si="26"/>
        <v>42.5</v>
      </c>
      <c r="B102" s="72">
        <f t="shared" si="27"/>
        <v>37.596153846153847</v>
      </c>
      <c r="C102" s="70">
        <f t="shared" si="28"/>
        <v>4</v>
      </c>
      <c r="D102" s="221">
        <f>B2</f>
        <v>127.00280000000001</v>
      </c>
      <c r="E102" s="68">
        <f t="shared" si="34"/>
        <v>22.797499999999999</v>
      </c>
      <c r="F102" s="70">
        <f t="shared" si="29"/>
        <v>4.3520000000000003</v>
      </c>
      <c r="G102" s="68">
        <f t="shared" si="35"/>
        <v>4.3520000000000003</v>
      </c>
      <c r="H102" s="70">
        <f t="shared" si="30"/>
        <v>0.35200000000000031</v>
      </c>
      <c r="I102" s="71">
        <f t="shared" si="36"/>
        <v>2.5540865384615397E-4</v>
      </c>
      <c r="J102" s="78">
        <f t="shared" si="41"/>
        <v>2.349759615384614E-2</v>
      </c>
      <c r="K102" s="214">
        <f t="shared" si="37"/>
        <v>23.497596153846139</v>
      </c>
      <c r="L102" s="167">
        <f t="shared" si="38"/>
        <v>8.088235294117653E-2</v>
      </c>
      <c r="M102" s="69">
        <f t="shared" si="31"/>
        <v>33.630681818181813</v>
      </c>
      <c r="N102" s="69">
        <f t="shared" si="39"/>
        <v>5.4508136094674579E-3</v>
      </c>
      <c r="O102" s="69">
        <f t="shared" si="40"/>
        <v>21.341538461538462</v>
      </c>
      <c r="P102" s="69">
        <f t="shared" si="32"/>
        <v>21.988846153846151</v>
      </c>
      <c r="Q102" s="69">
        <f t="shared" si="33"/>
        <v>20.694230769230767</v>
      </c>
    </row>
    <row r="103" spans="1:17" x14ac:dyDescent="0.2">
      <c r="A103" s="69">
        <f t="shared" si="26"/>
        <v>42.5</v>
      </c>
      <c r="B103" s="72">
        <f t="shared" si="27"/>
        <v>38.004807692307693</v>
      </c>
      <c r="C103" s="70">
        <f t="shared" si="28"/>
        <v>4</v>
      </c>
      <c r="D103" s="221">
        <f>B2</f>
        <v>127.00280000000001</v>
      </c>
      <c r="E103" s="68">
        <f t="shared" si="34"/>
        <v>22.797499999999999</v>
      </c>
      <c r="F103" s="70">
        <f t="shared" si="29"/>
        <v>4.3520000000000003</v>
      </c>
      <c r="G103" s="68">
        <f t="shared" si="35"/>
        <v>4.3520000000000003</v>
      </c>
      <c r="H103" s="70">
        <f t="shared" si="30"/>
        <v>0.35200000000000031</v>
      </c>
      <c r="I103" s="71">
        <f t="shared" si="36"/>
        <v>2.5540865384615397E-4</v>
      </c>
      <c r="J103" s="78">
        <f t="shared" si="41"/>
        <v>2.3753004807692293E-2</v>
      </c>
      <c r="K103" s="214">
        <f t="shared" si="37"/>
        <v>23.753004807692292</v>
      </c>
      <c r="L103" s="167">
        <f t="shared" si="38"/>
        <v>8.088235294117653E-2</v>
      </c>
      <c r="M103" s="69">
        <f t="shared" si="31"/>
        <v>33.630681818181813</v>
      </c>
      <c r="N103" s="69">
        <f t="shared" si="39"/>
        <v>4.9965791420118364E-3</v>
      </c>
      <c r="O103" s="69">
        <f t="shared" si="40"/>
        <v>19.56307692307692</v>
      </c>
      <c r="P103" s="69">
        <f t="shared" si="32"/>
        <v>20.156442307692302</v>
      </c>
      <c r="Q103" s="69">
        <f t="shared" si="33"/>
        <v>18.969711538461532</v>
      </c>
    </row>
    <row r="104" spans="1:17" x14ac:dyDescent="0.2">
      <c r="A104" s="69">
        <f t="shared" si="26"/>
        <v>42.5</v>
      </c>
      <c r="B104" s="72">
        <f t="shared" si="27"/>
        <v>38.41346153846154</v>
      </c>
      <c r="C104" s="70">
        <f t="shared" si="28"/>
        <v>4</v>
      </c>
      <c r="D104" s="221">
        <f>B2</f>
        <v>127.00280000000001</v>
      </c>
      <c r="E104" s="68">
        <f t="shared" si="34"/>
        <v>22.797499999999999</v>
      </c>
      <c r="F104" s="70">
        <f t="shared" si="29"/>
        <v>4.3520000000000003</v>
      </c>
      <c r="G104" s="68">
        <f t="shared" si="35"/>
        <v>4.3520000000000003</v>
      </c>
      <c r="H104" s="70">
        <f t="shared" si="30"/>
        <v>0.35200000000000031</v>
      </c>
      <c r="I104" s="71">
        <f t="shared" si="36"/>
        <v>2.5540865384615397E-4</v>
      </c>
      <c r="J104" s="78">
        <f t="shared" si="41"/>
        <v>2.4008413461538446E-2</v>
      </c>
      <c r="K104" s="214">
        <f t="shared" si="37"/>
        <v>24.008413461538446</v>
      </c>
      <c r="L104" s="167">
        <f t="shared" si="38"/>
        <v>8.088235294117653E-2</v>
      </c>
      <c r="M104" s="69">
        <f t="shared" si="31"/>
        <v>33.630681818181813</v>
      </c>
      <c r="N104" s="69">
        <f t="shared" si="39"/>
        <v>4.5423446745562141E-3</v>
      </c>
      <c r="O104" s="69">
        <f t="shared" si="40"/>
        <v>17.784615384615378</v>
      </c>
      <c r="P104" s="69">
        <f t="shared" si="32"/>
        <v>18.324038461538454</v>
      </c>
      <c r="Q104" s="69">
        <f t="shared" si="33"/>
        <v>17.245192307692299</v>
      </c>
    </row>
    <row r="105" spans="1:17" x14ac:dyDescent="0.2">
      <c r="A105" s="69">
        <f t="shared" si="26"/>
        <v>42.5</v>
      </c>
      <c r="B105" s="72">
        <f t="shared" si="27"/>
        <v>38.822115384615387</v>
      </c>
      <c r="C105" s="70">
        <f t="shared" si="28"/>
        <v>4</v>
      </c>
      <c r="D105" s="221">
        <f>B2</f>
        <v>127.00280000000001</v>
      </c>
      <c r="E105" s="68">
        <f t="shared" si="34"/>
        <v>22.797499999999999</v>
      </c>
      <c r="F105" s="70">
        <f t="shared" si="29"/>
        <v>4.3520000000000003</v>
      </c>
      <c r="G105" s="68">
        <f t="shared" si="35"/>
        <v>4.3520000000000003</v>
      </c>
      <c r="H105" s="70">
        <f t="shared" si="30"/>
        <v>0.35200000000000031</v>
      </c>
      <c r="I105" s="71">
        <f t="shared" si="36"/>
        <v>2.5540865384615397E-4</v>
      </c>
      <c r="J105" s="78">
        <f t="shared" si="41"/>
        <v>2.4263822115384599E-2</v>
      </c>
      <c r="K105" s="214">
        <f t="shared" si="37"/>
        <v>24.263822115384599</v>
      </c>
      <c r="L105" s="167">
        <f t="shared" si="38"/>
        <v>8.088235294117653E-2</v>
      </c>
      <c r="M105" s="69">
        <f t="shared" si="31"/>
        <v>33.630681818181813</v>
      </c>
      <c r="N105" s="69">
        <f t="shared" si="39"/>
        <v>4.0881102071005917E-3</v>
      </c>
      <c r="O105" s="69">
        <f t="shared" si="40"/>
        <v>16.006153846153836</v>
      </c>
      <c r="P105" s="69">
        <f t="shared" si="32"/>
        <v>16.491634615384605</v>
      </c>
      <c r="Q105" s="69">
        <f t="shared" si="33"/>
        <v>15.520673076923067</v>
      </c>
    </row>
    <row r="106" spans="1:17" x14ac:dyDescent="0.2">
      <c r="A106" s="69">
        <f t="shared" ref="A106:A114" si="42">VINMAX</f>
        <v>42.5</v>
      </c>
      <c r="B106" s="72">
        <f t="shared" ref="B106:B114" si="43">VINMAX*((ROW()-10)/104)</f>
        <v>39.230769230769234</v>
      </c>
      <c r="C106" s="70">
        <f t="shared" ref="C106:C110" si="44">IF(B106&gt;=$H$2,IF($D$2="CC", $G$2, B106/$G$2), 0)</f>
        <v>4</v>
      </c>
      <c r="D106" s="221">
        <f>B2</f>
        <v>127.00280000000001</v>
      </c>
      <c r="E106" s="68">
        <f t="shared" si="34"/>
        <v>22.797499999999999</v>
      </c>
      <c r="F106" s="70">
        <f t="shared" ref="F106:F110" si="45">I_Cout_ss+C106</f>
        <v>4.3520000000000003</v>
      </c>
      <c r="G106" s="68">
        <f t="shared" si="35"/>
        <v>4.3520000000000003</v>
      </c>
      <c r="H106" s="70">
        <f t="shared" ref="H106:H110" si="46">G106-C106</f>
        <v>0.35200000000000031</v>
      </c>
      <c r="I106" s="71">
        <f t="shared" si="36"/>
        <v>2.5540865384615397E-4</v>
      </c>
      <c r="J106" s="78">
        <f t="shared" si="41"/>
        <v>2.4519230769230752E-2</v>
      </c>
      <c r="K106" s="214">
        <f t="shared" si="37"/>
        <v>24.519230769230752</v>
      </c>
      <c r="L106" s="167">
        <f t="shared" si="38"/>
        <v>8.088235294117653E-2</v>
      </c>
      <c r="M106" s="69">
        <f t="shared" ref="M106:M114" si="47">1/COUTMAX*(E106/2-C106)*1000</f>
        <v>33.630681818181813</v>
      </c>
      <c r="N106" s="69">
        <f t="shared" si="39"/>
        <v>3.6338757396449694E-3</v>
      </c>
      <c r="O106" s="69">
        <f t="shared" si="40"/>
        <v>14.227692307692298</v>
      </c>
      <c r="P106" s="69">
        <f t="shared" ref="P106:P114" si="48">(A106-B106)*(I_Cout_ss*$Q$2+C106)</f>
        <v>14.659230769230756</v>
      </c>
      <c r="Q106" s="69">
        <f t="shared" ref="Q106:Q114" si="49">(A106-B106)*(I_Cout_ss*$R$2+C106)</f>
        <v>13.796153846153834</v>
      </c>
    </row>
    <row r="107" spans="1:17" x14ac:dyDescent="0.2">
      <c r="A107" s="69">
        <f t="shared" si="42"/>
        <v>42.5</v>
      </c>
      <c r="B107" s="72">
        <f t="shared" si="43"/>
        <v>39.63942307692308</v>
      </c>
      <c r="C107" s="70">
        <f t="shared" si="44"/>
        <v>4</v>
      </c>
      <c r="D107" s="221">
        <f>B2</f>
        <v>127.00280000000001</v>
      </c>
      <c r="E107" s="68">
        <f t="shared" si="34"/>
        <v>22.797499999999999</v>
      </c>
      <c r="F107" s="70">
        <f t="shared" si="45"/>
        <v>4.3520000000000003</v>
      </c>
      <c r="G107" s="68">
        <f t="shared" si="35"/>
        <v>4.3520000000000003</v>
      </c>
      <c r="H107" s="70">
        <f t="shared" si="46"/>
        <v>0.35200000000000031</v>
      </c>
      <c r="I107" s="71">
        <f t="shared" ref="I107:I110" si="50">(COUTMAX/1000000)*(B107-B106)/H107</f>
        <v>2.5540865384615397E-4</v>
      </c>
      <c r="J107" s="78">
        <f t="shared" si="41"/>
        <v>2.4774639423076904E-2</v>
      </c>
      <c r="K107" s="214">
        <f t="shared" si="37"/>
        <v>24.774639423076906</v>
      </c>
      <c r="L107" s="167">
        <f t="shared" si="38"/>
        <v>8.088235294117653E-2</v>
      </c>
      <c r="M107" s="69">
        <f t="shared" si="47"/>
        <v>33.630681818181813</v>
      </c>
      <c r="N107" s="69">
        <f t="shared" si="39"/>
        <v>3.1796412721893474E-3</v>
      </c>
      <c r="O107" s="69">
        <f t="shared" si="40"/>
        <v>12.449230769230756</v>
      </c>
      <c r="P107" s="69">
        <f t="shared" si="48"/>
        <v>12.826826923076908</v>
      </c>
      <c r="Q107" s="69">
        <f t="shared" si="49"/>
        <v>12.071634615384601</v>
      </c>
    </row>
    <row r="108" spans="1:17" x14ac:dyDescent="0.2">
      <c r="A108" s="69">
        <f t="shared" si="42"/>
        <v>42.5</v>
      </c>
      <c r="B108" s="72">
        <f t="shared" si="43"/>
        <v>40.04807692307692</v>
      </c>
      <c r="C108" s="70">
        <f t="shared" si="44"/>
        <v>4</v>
      </c>
      <c r="D108" s="221">
        <f>B2</f>
        <v>127.00280000000001</v>
      </c>
      <c r="E108" s="68">
        <f t="shared" si="34"/>
        <v>22.797499999999999</v>
      </c>
      <c r="F108" s="70">
        <f t="shared" si="45"/>
        <v>4.3520000000000003</v>
      </c>
      <c r="G108" s="68">
        <f t="shared" si="35"/>
        <v>4.3520000000000003</v>
      </c>
      <c r="H108" s="70">
        <f t="shared" si="46"/>
        <v>0.35200000000000031</v>
      </c>
      <c r="I108" s="71">
        <f t="shared" si="50"/>
        <v>2.5540865384614952E-4</v>
      </c>
      <c r="J108" s="78">
        <f t="shared" si="41"/>
        <v>2.5030048076923054E-2</v>
      </c>
      <c r="K108" s="214">
        <f t="shared" si="37"/>
        <v>25.030048076923055</v>
      </c>
      <c r="L108" s="167">
        <f t="shared" si="38"/>
        <v>8.088235294117653E-2</v>
      </c>
      <c r="M108" s="69">
        <f t="shared" si="47"/>
        <v>33.630681818181813</v>
      </c>
      <c r="N108" s="69">
        <f t="shared" si="39"/>
        <v>2.7254068047336856E-3</v>
      </c>
      <c r="O108" s="69">
        <f t="shared" si="40"/>
        <v>10.670769230769245</v>
      </c>
      <c r="P108" s="69">
        <f t="shared" si="48"/>
        <v>10.994423076923091</v>
      </c>
      <c r="Q108" s="69">
        <f t="shared" si="49"/>
        <v>10.347115384615398</v>
      </c>
    </row>
    <row r="109" spans="1:17" x14ac:dyDescent="0.2">
      <c r="A109" s="69">
        <f t="shared" si="42"/>
        <v>42.5</v>
      </c>
      <c r="B109" s="72">
        <f t="shared" si="43"/>
        <v>40.456730769230766</v>
      </c>
      <c r="C109" s="70">
        <f t="shared" si="44"/>
        <v>4</v>
      </c>
      <c r="D109" s="221">
        <f>B2</f>
        <v>127.00280000000001</v>
      </c>
      <c r="E109" s="68">
        <f t="shared" si="34"/>
        <v>22.797499999999999</v>
      </c>
      <c r="F109" s="70">
        <f t="shared" si="45"/>
        <v>4.3520000000000003</v>
      </c>
      <c r="G109" s="68">
        <f t="shared" si="35"/>
        <v>4.3520000000000003</v>
      </c>
      <c r="H109" s="70">
        <f t="shared" si="46"/>
        <v>0.35200000000000031</v>
      </c>
      <c r="I109" s="71">
        <f t="shared" si="50"/>
        <v>2.5540865384615397E-4</v>
      </c>
      <c r="J109" s="78">
        <f t="shared" si="41"/>
        <v>2.5285456730769207E-2</v>
      </c>
      <c r="K109" s="214">
        <f t="shared" si="37"/>
        <v>25.285456730769205</v>
      </c>
      <c r="L109" s="167">
        <f t="shared" si="38"/>
        <v>8.088235294117653E-2</v>
      </c>
      <c r="M109" s="69">
        <f t="shared" si="47"/>
        <v>33.630681818181813</v>
      </c>
      <c r="N109" s="69">
        <f t="shared" si="39"/>
        <v>2.2711723372781109E-3</v>
      </c>
      <c r="O109" s="69">
        <f t="shared" si="40"/>
        <v>8.8923076923077051</v>
      </c>
      <c r="P109" s="69">
        <f t="shared" si="48"/>
        <v>9.1620192307692427</v>
      </c>
      <c r="Q109" s="69">
        <f t="shared" si="49"/>
        <v>8.6225961538461657</v>
      </c>
    </row>
    <row r="110" spans="1:17" x14ac:dyDescent="0.2">
      <c r="A110" s="69">
        <f t="shared" si="42"/>
        <v>42.5</v>
      </c>
      <c r="B110" s="72">
        <f t="shared" si="43"/>
        <v>40.865384615384613</v>
      </c>
      <c r="C110" s="70">
        <f t="shared" si="44"/>
        <v>4</v>
      </c>
      <c r="D110" s="221">
        <f>B2</f>
        <v>127.00280000000001</v>
      </c>
      <c r="E110" s="68">
        <f t="shared" si="34"/>
        <v>22.797499999999999</v>
      </c>
      <c r="F110" s="70">
        <f t="shared" si="45"/>
        <v>4.3520000000000003</v>
      </c>
      <c r="G110" s="68">
        <f t="shared" si="35"/>
        <v>4.3520000000000003</v>
      </c>
      <c r="H110" s="70">
        <f t="shared" si="46"/>
        <v>0.35200000000000031</v>
      </c>
      <c r="I110" s="71">
        <f t="shared" si="50"/>
        <v>2.5540865384615397E-4</v>
      </c>
      <c r="J110" s="78">
        <f t="shared" si="41"/>
        <v>2.554086538461536E-2</v>
      </c>
      <c r="K110" s="214">
        <f t="shared" si="37"/>
        <v>25.540865384615358</v>
      </c>
      <c r="L110" s="167">
        <f t="shared" si="38"/>
        <v>8.088235294117653E-2</v>
      </c>
      <c r="M110" s="69">
        <f t="shared" si="47"/>
        <v>33.630681818181813</v>
      </c>
      <c r="N110" s="69">
        <f t="shared" si="39"/>
        <v>1.8169378698224888E-3</v>
      </c>
      <c r="O110" s="69">
        <f t="shared" si="40"/>
        <v>7.1138461538461639</v>
      </c>
      <c r="P110" s="69">
        <f t="shared" si="48"/>
        <v>7.3296153846153942</v>
      </c>
      <c r="Q110" s="69">
        <f t="shared" si="49"/>
        <v>6.8980769230769319</v>
      </c>
    </row>
    <row r="111" spans="1:17" x14ac:dyDescent="0.2">
      <c r="A111" s="69">
        <f t="shared" si="42"/>
        <v>42.5</v>
      </c>
      <c r="B111" s="72">
        <f t="shared" si="43"/>
        <v>41.27403846153846</v>
      </c>
      <c r="C111" s="70">
        <f>IF(B111&gt;=$H$2,IF($D$2="CC", $G$2, B111/$G$2), 0)</f>
        <v>4</v>
      </c>
      <c r="D111" s="221">
        <f>B2</f>
        <v>127.00280000000001</v>
      </c>
      <c r="E111" s="68">
        <f>$C$2</f>
        <v>22.797499999999999</v>
      </c>
      <c r="F111" s="70">
        <f>I_Cout_ss+C111</f>
        <v>4.3520000000000003</v>
      </c>
      <c r="G111" s="68">
        <f>IF($F$2="YES", F111, E111)</f>
        <v>4.3520000000000003</v>
      </c>
      <c r="H111" s="70">
        <f>G111-C111</f>
        <v>0.35200000000000031</v>
      </c>
      <c r="I111" s="71">
        <f>(COUTMAX/1000000)*(B111-B110)/H111</f>
        <v>2.5540865384615397E-4</v>
      </c>
      <c r="J111" s="78">
        <f>J110+I111</f>
        <v>2.5796274038461513E-2</v>
      </c>
      <c r="K111" s="214">
        <f t="shared" si="37"/>
        <v>25.796274038461512</v>
      </c>
      <c r="L111" s="167">
        <f>H111/G111</f>
        <v>8.088235294117653E-2</v>
      </c>
      <c r="M111" s="69">
        <f t="shared" si="47"/>
        <v>33.630681818181813</v>
      </c>
      <c r="N111" s="69">
        <f>I111*G111*(A111-B111)</f>
        <v>1.3627034023668664E-3</v>
      </c>
      <c r="O111" s="69">
        <f t="shared" si="40"/>
        <v>5.3353846153846227</v>
      </c>
      <c r="P111" s="69">
        <f t="shared" si="48"/>
        <v>5.4972115384615456</v>
      </c>
      <c r="Q111" s="69">
        <f t="shared" si="49"/>
        <v>5.1735576923076989</v>
      </c>
    </row>
    <row r="112" spans="1:17" x14ac:dyDescent="0.2">
      <c r="A112" s="69">
        <f t="shared" si="42"/>
        <v>42.5</v>
      </c>
      <c r="B112" s="72">
        <f t="shared" si="43"/>
        <v>41.682692307692307</v>
      </c>
      <c r="C112" s="70">
        <f>IF(B112&gt;=$H$2,IF($D$2="CC", $G$2, B112/$G$2), 0)</f>
        <v>4</v>
      </c>
      <c r="D112" s="221">
        <f>B2</f>
        <v>127.00280000000001</v>
      </c>
      <c r="E112" s="68">
        <f>$C$2</f>
        <v>22.797499999999999</v>
      </c>
      <c r="F112" s="70">
        <f t="shared" ref="F112:F113" si="51">I_Cout_ss+C112</f>
        <v>4.3520000000000003</v>
      </c>
      <c r="G112" s="68">
        <f t="shared" ref="G112:G113" si="52">IF($F$2="YES", F112, E112)</f>
        <v>4.3520000000000003</v>
      </c>
      <c r="H112" s="70">
        <f t="shared" ref="H112:H113" si="53">G112-C112</f>
        <v>0.35200000000000031</v>
      </c>
      <c r="I112" s="71">
        <f t="shared" ref="I112:I113" si="54">(COUTMAX/1000000)*(B112-B111)/H112</f>
        <v>2.5540865384615397E-4</v>
      </c>
      <c r="J112" s="78">
        <f t="shared" ref="J112:J113" si="55">J111+I112</f>
        <v>2.6051682692307666E-2</v>
      </c>
      <c r="K112" s="214">
        <f t="shared" si="37"/>
        <v>26.051682692307665</v>
      </c>
      <c r="L112" s="167">
        <f t="shared" ref="L112:L113" si="56">H112/G112</f>
        <v>8.088235294117653E-2</v>
      </c>
      <c r="M112" s="69">
        <f t="shared" si="47"/>
        <v>33.630681818181813</v>
      </c>
      <c r="N112" s="69">
        <f t="shared" ref="N112:N113" si="57">I112*G112*(A112-B112)</f>
        <v>9.084689349112444E-4</v>
      </c>
      <c r="O112" s="69">
        <f t="shared" si="40"/>
        <v>3.556923076923082</v>
      </c>
      <c r="P112" s="69">
        <f t="shared" si="48"/>
        <v>3.6648076923076971</v>
      </c>
      <c r="Q112" s="69">
        <f t="shared" si="49"/>
        <v>3.4490384615384659</v>
      </c>
    </row>
    <row r="113" spans="1:17" x14ac:dyDescent="0.2">
      <c r="A113" s="69">
        <f t="shared" si="42"/>
        <v>42.5</v>
      </c>
      <c r="B113" s="72">
        <f t="shared" si="43"/>
        <v>42.091346153846153</v>
      </c>
      <c r="C113" s="70">
        <f>IF(B113&gt;=$H$2,IF($D$2="CC", $G$2, B113/$G$2), 0)</f>
        <v>4</v>
      </c>
      <c r="D113" s="221">
        <f>B2</f>
        <v>127.00280000000001</v>
      </c>
      <c r="E113" s="68">
        <f>$C$2</f>
        <v>22.797499999999999</v>
      </c>
      <c r="F113" s="70">
        <f t="shared" si="51"/>
        <v>4.3520000000000003</v>
      </c>
      <c r="G113" s="68">
        <f t="shared" si="52"/>
        <v>4.3520000000000003</v>
      </c>
      <c r="H113" s="70">
        <f t="shared" si="53"/>
        <v>0.35200000000000031</v>
      </c>
      <c r="I113" s="71">
        <f t="shared" si="54"/>
        <v>2.5540865384615397E-4</v>
      </c>
      <c r="J113" s="78">
        <f t="shared" si="55"/>
        <v>2.6307091346153819E-2</v>
      </c>
      <c r="K113" s="214">
        <f t="shared" si="37"/>
        <v>26.307091346153818</v>
      </c>
      <c r="L113" s="167">
        <f t="shared" si="56"/>
        <v>8.088235294117653E-2</v>
      </c>
      <c r="M113" s="69">
        <f t="shared" si="47"/>
        <v>33.630681818181813</v>
      </c>
      <c r="N113" s="69">
        <f t="shared" si="57"/>
        <v>4.542344674556222E-4</v>
      </c>
      <c r="O113" s="69">
        <f t="shared" si="40"/>
        <v>1.778461538461541</v>
      </c>
      <c r="P113" s="69">
        <f t="shared" si="48"/>
        <v>1.8324038461538485</v>
      </c>
      <c r="Q113" s="69">
        <f t="shared" si="49"/>
        <v>1.724519230769233</v>
      </c>
    </row>
    <row r="114" spans="1:17" x14ac:dyDescent="0.2">
      <c r="A114" s="69">
        <f t="shared" si="42"/>
        <v>42.5</v>
      </c>
      <c r="B114" s="72">
        <f t="shared" si="43"/>
        <v>42.5</v>
      </c>
      <c r="C114" s="70">
        <f>IF(B114&gt;=$H$2,IF($D$2="CC", $G$2, B114/$G$2), 0)</f>
        <v>4</v>
      </c>
      <c r="D114" s="221">
        <f>B2</f>
        <v>127.00280000000001</v>
      </c>
      <c r="E114" s="68">
        <f>$C$2</f>
        <v>22.797499999999999</v>
      </c>
      <c r="F114" s="70">
        <f t="shared" ref="F114" si="58">I_Cout_ss+C114</f>
        <v>4.3520000000000003</v>
      </c>
      <c r="G114" s="68">
        <f t="shared" ref="G114" si="59">IF($F$2="YES", F114, E114)</f>
        <v>4.3520000000000003</v>
      </c>
      <c r="H114" s="70">
        <f t="shared" ref="H114" si="60">G114-C114</f>
        <v>0.35200000000000031</v>
      </c>
      <c r="I114" s="71">
        <f t="shared" ref="I114" si="61">(COUTMAX/1000000)*(B114-B113)/H114</f>
        <v>2.5540865384615397E-4</v>
      </c>
      <c r="J114" s="78">
        <f t="shared" ref="J114" si="62">J113+I114</f>
        <v>2.6562499999999972E-2</v>
      </c>
      <c r="K114" s="214">
        <f t="shared" si="37"/>
        <v>26.562499999999972</v>
      </c>
      <c r="L114" s="167">
        <f t="shared" ref="L114" si="63">H114/G114</f>
        <v>8.088235294117653E-2</v>
      </c>
      <c r="M114" s="69">
        <f t="shared" si="47"/>
        <v>33.630681818181813</v>
      </c>
      <c r="N114" s="69">
        <f t="shared" ref="N114" si="64">I114*G114*(A114-B114)</f>
        <v>0</v>
      </c>
      <c r="O114" s="69">
        <f t="shared" si="40"/>
        <v>0</v>
      </c>
      <c r="P114" s="69">
        <f t="shared" si="48"/>
        <v>0</v>
      </c>
      <c r="Q114" s="69">
        <f t="shared" si="49"/>
        <v>0</v>
      </c>
    </row>
    <row r="115" spans="1:17" x14ac:dyDescent="0.2">
      <c r="K115" s="215">
        <f>K114+0.5</f>
        <v>27.062499999999972</v>
      </c>
      <c r="N115" s="69">
        <v>0</v>
      </c>
      <c r="O115" s="69">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V70"/>
  <sheetViews>
    <sheetView topLeftCell="A10" zoomScale="85" zoomScaleNormal="85" workbookViewId="0">
      <selection activeCell="R19" sqref="R19"/>
    </sheetView>
  </sheetViews>
  <sheetFormatPr defaultRowHeight="12.75" x14ac:dyDescent="0.2"/>
  <cols>
    <col min="1" max="1" width="19.7109375" customWidth="1"/>
    <col min="2" max="2" width="17.28515625" customWidth="1"/>
    <col min="3" max="3" width="13.140625" customWidth="1"/>
    <col min="4" max="4" width="16" customWidth="1"/>
    <col min="5" max="6" width="17.7109375" customWidth="1"/>
    <col min="7" max="7" width="31.5703125" customWidth="1"/>
    <col min="8" max="8" width="20" customWidth="1"/>
    <col min="13" max="13" width="12.85546875" customWidth="1"/>
    <col min="15" max="15" width="17.28515625" customWidth="1"/>
    <col min="17" max="17" width="13.28515625" customWidth="1"/>
    <col min="18" max="18" width="16.85546875" customWidth="1"/>
    <col min="20" max="20" width="13" customWidth="1"/>
    <col min="21" max="21" width="10.140625" customWidth="1"/>
  </cols>
  <sheetData>
    <row r="1" spans="1:22" x14ac:dyDescent="0.2">
      <c r="C1" s="9"/>
      <c r="D1" s="9"/>
      <c r="E1" s="9"/>
      <c r="F1" s="9"/>
      <c r="G1" s="9"/>
    </row>
    <row r="2" spans="1:22" x14ac:dyDescent="0.2">
      <c r="A2" s="81"/>
      <c r="B2" s="206"/>
      <c r="C2" s="353" t="s">
        <v>171</v>
      </c>
      <c r="D2" s="354"/>
      <c r="E2" s="354"/>
      <c r="F2" s="91"/>
      <c r="G2" s="91"/>
      <c r="H2" s="33" t="s">
        <v>192</v>
      </c>
      <c r="I2" s="9"/>
      <c r="J2" s="9"/>
      <c r="K2" s="9"/>
      <c r="L2" s="9"/>
      <c r="M2" s="9"/>
      <c r="N2" s="9"/>
      <c r="O2" s="82"/>
      <c r="P2" s="82"/>
      <c r="Q2" s="82"/>
      <c r="R2" s="82"/>
      <c r="S2" s="82"/>
      <c r="T2" s="82"/>
      <c r="U2" s="9"/>
      <c r="V2" s="9"/>
    </row>
    <row r="3" spans="1:22" x14ac:dyDescent="0.2">
      <c r="A3" s="81"/>
      <c r="B3" s="83" t="s">
        <v>225</v>
      </c>
      <c r="C3" s="83" t="s">
        <v>172</v>
      </c>
      <c r="D3" s="83" t="s">
        <v>173</v>
      </c>
      <c r="E3" s="83" t="s">
        <v>174</v>
      </c>
      <c r="F3" s="207" t="s">
        <v>365</v>
      </c>
      <c r="G3" s="88"/>
      <c r="H3" s="33" t="s">
        <v>190</v>
      </c>
      <c r="I3" s="84"/>
      <c r="J3" s="84"/>
      <c r="K3" s="84"/>
      <c r="L3" s="84"/>
      <c r="M3" s="84"/>
      <c r="N3" s="9"/>
      <c r="O3" s="84"/>
      <c r="P3" s="84"/>
      <c r="Q3" s="85"/>
      <c r="R3" s="85"/>
      <c r="S3" s="85"/>
      <c r="T3" s="85"/>
      <c r="U3" s="9"/>
      <c r="V3" s="9"/>
    </row>
    <row r="4" spans="1:22" ht="21.6" customHeight="1" x14ac:dyDescent="0.2">
      <c r="A4" s="83" t="s">
        <v>175</v>
      </c>
      <c r="B4" s="81">
        <f>'Design Calculator'!AN56</f>
        <v>100</v>
      </c>
      <c r="C4" s="86">
        <f>'Design Calculator'!$AN$57</f>
        <v>27</v>
      </c>
      <c r="D4" s="86">
        <f>'Design Calculator'!$AN$58</f>
        <v>6</v>
      </c>
      <c r="E4" s="86">
        <f>IF('Design Calculator'!$AN$59 = "NA", F4, 'Design Calculator'!$AN$59)</f>
        <v>2.1</v>
      </c>
      <c r="F4" s="86">
        <f>'Design Calculator'!AN60</f>
        <v>1.5</v>
      </c>
      <c r="G4" s="92"/>
      <c r="H4" s="33" t="s">
        <v>191</v>
      </c>
      <c r="I4" s="84"/>
      <c r="J4" s="84"/>
      <c r="K4" s="84"/>
      <c r="L4" s="85"/>
      <c r="M4" s="85"/>
      <c r="N4" s="9"/>
      <c r="O4" s="84"/>
      <c r="P4" s="84"/>
      <c r="Q4" s="85"/>
      <c r="R4" s="85"/>
      <c r="S4" s="85"/>
      <c r="T4" s="85"/>
      <c r="U4" s="9"/>
      <c r="V4" s="9"/>
    </row>
    <row r="5" spans="1:22" x14ac:dyDescent="0.2">
      <c r="A5" s="9"/>
      <c r="C5" s="84"/>
      <c r="D5" s="85"/>
      <c r="E5" s="85"/>
      <c r="F5" s="87"/>
      <c r="G5" s="87"/>
      <c r="H5" s="9"/>
      <c r="I5" s="84"/>
      <c r="J5" s="84"/>
      <c r="K5" s="84"/>
      <c r="L5" s="85"/>
      <c r="M5" s="85"/>
      <c r="N5" s="355"/>
      <c r="O5" s="355"/>
      <c r="P5" s="355"/>
      <c r="Q5" s="85"/>
      <c r="R5" s="356"/>
      <c r="S5" s="357"/>
      <c r="T5" s="357"/>
      <c r="U5" s="9"/>
      <c r="V5" s="9"/>
    </row>
    <row r="6" spans="1:22" x14ac:dyDescent="0.2">
      <c r="A6" s="9"/>
      <c r="C6" s="84"/>
      <c r="D6" s="85"/>
      <c r="E6" s="85"/>
      <c r="F6" s="87"/>
      <c r="G6" s="87"/>
      <c r="H6" s="9"/>
      <c r="I6" s="84"/>
      <c r="J6" s="84"/>
      <c r="K6" s="84"/>
      <c r="L6" s="85"/>
      <c r="M6" s="85"/>
      <c r="N6" s="9"/>
      <c r="O6" s="88"/>
      <c r="P6" s="9"/>
      <c r="Q6" s="9"/>
      <c r="R6" s="9"/>
      <c r="S6" s="9"/>
      <c r="T6" s="9"/>
      <c r="U6" s="9"/>
      <c r="V6" s="9"/>
    </row>
    <row r="7" spans="1:22" ht="15" x14ac:dyDescent="0.25">
      <c r="A7" s="9"/>
      <c r="B7" s="89" t="s">
        <v>360</v>
      </c>
      <c r="G7" s="195" t="s">
        <v>347</v>
      </c>
      <c r="H7" s="9"/>
      <c r="J7" s="174"/>
      <c r="K7" s="85"/>
      <c r="L7" s="9"/>
      <c r="M7" s="9"/>
      <c r="N7" s="88"/>
      <c r="O7" s="88"/>
      <c r="P7" s="88"/>
      <c r="Q7" s="9"/>
      <c r="R7" s="9"/>
      <c r="S7" s="9"/>
      <c r="T7" s="90"/>
      <c r="U7" s="84"/>
      <c r="V7" s="9"/>
    </row>
    <row r="8" spans="1:22" ht="15" x14ac:dyDescent="0.25">
      <c r="A8" s="9"/>
      <c r="B8" s="33" t="s">
        <v>176</v>
      </c>
      <c r="C8">
        <f>IF('Design Calculator'!F71="No", 'Design Calculator'!$F$77,'Design Calculator'!F90)</f>
        <v>0.47058823529411764</v>
      </c>
      <c r="D8" s="33" t="s">
        <v>8</v>
      </c>
      <c r="G8" s="33" t="s">
        <v>176</v>
      </c>
      <c r="H8">
        <f>Equations!F69</f>
        <v>9.3582153320312518</v>
      </c>
      <c r="J8" s="95"/>
      <c r="K8" s="85"/>
      <c r="L8" s="9"/>
      <c r="M8" s="9"/>
      <c r="N8" s="88"/>
      <c r="O8" s="9"/>
      <c r="P8" s="90"/>
      <c r="Q8" s="9"/>
      <c r="R8" s="9"/>
      <c r="S8" s="9"/>
      <c r="T8" s="90"/>
      <c r="U8" s="84"/>
      <c r="V8" s="9"/>
    </row>
    <row r="9" spans="1:22" ht="15" x14ac:dyDescent="0.25">
      <c r="A9" s="9"/>
      <c r="B9" s="33" t="s">
        <v>177</v>
      </c>
      <c r="C9">
        <f>VINMAX</f>
        <v>42.5</v>
      </c>
      <c r="D9" t="s">
        <v>86</v>
      </c>
      <c r="G9" s="33" t="s">
        <v>177</v>
      </c>
      <c r="H9">
        <f>VINMAX</f>
        <v>42.5</v>
      </c>
      <c r="K9" s="85"/>
      <c r="L9" s="9"/>
      <c r="M9" s="9"/>
      <c r="N9" s="88"/>
      <c r="O9" s="9"/>
      <c r="P9" s="90"/>
      <c r="Q9" s="9"/>
      <c r="R9" s="9"/>
      <c r="S9" s="9"/>
      <c r="T9" s="90"/>
      <c r="U9" s="9"/>
      <c r="V9" s="9"/>
    </row>
    <row r="10" spans="1:22" ht="15" x14ac:dyDescent="0.25">
      <c r="A10" s="9"/>
      <c r="B10" s="33" t="s">
        <v>178</v>
      </c>
      <c r="C10">
        <f>IF(C8&lt;10, IF(C8&lt;1, 0.1, 1), IF(C8&lt;100, 10, 100))</f>
        <v>0.1</v>
      </c>
      <c r="D10" s="33" t="s">
        <v>8</v>
      </c>
      <c r="G10" s="33" t="s">
        <v>178</v>
      </c>
      <c r="H10">
        <f>IF(H8&lt;10, IF(H8&lt;1, 0.1, 1), IF(H8&lt;100, 10, 100))</f>
        <v>1</v>
      </c>
      <c r="K10" s="85"/>
      <c r="L10" s="9"/>
      <c r="M10" s="9"/>
      <c r="N10" s="88"/>
      <c r="O10" s="9"/>
      <c r="P10" s="90"/>
      <c r="Q10" s="9"/>
      <c r="R10" s="9"/>
      <c r="S10" s="9"/>
      <c r="T10" s="90"/>
      <c r="U10" s="9"/>
      <c r="V10" s="9"/>
    </row>
    <row r="11" spans="1:22" ht="15" x14ac:dyDescent="0.25">
      <c r="A11" s="9"/>
      <c r="B11" s="33" t="s">
        <v>439</v>
      </c>
      <c r="C11">
        <f>IF('Design Calculator'!F59="NA", MIN(SOA!C10,1),SOA!C10)</f>
        <v>0.1</v>
      </c>
      <c r="D11" s="33"/>
      <c r="G11" s="33" t="s">
        <v>439</v>
      </c>
      <c r="H11">
        <f>IF('Design Calculator'!F59="NA", MIN(SOA!H10,1),SOA!H10)</f>
        <v>1</v>
      </c>
      <c r="K11" s="85"/>
      <c r="L11" s="9"/>
      <c r="M11" s="9"/>
      <c r="N11" s="9"/>
      <c r="O11" s="9"/>
      <c r="P11" s="90"/>
      <c r="Q11" s="9"/>
      <c r="R11" s="9"/>
      <c r="S11" s="9"/>
      <c r="T11" s="9"/>
      <c r="U11" s="9"/>
      <c r="V11" s="9"/>
    </row>
    <row r="12" spans="1:22" x14ac:dyDescent="0.2">
      <c r="A12" s="9"/>
      <c r="B12" s="33" t="s">
        <v>179</v>
      </c>
      <c r="C12">
        <f>C10*10</f>
        <v>1</v>
      </c>
      <c r="D12" s="33" t="s">
        <v>8</v>
      </c>
      <c r="G12" s="33" t="s">
        <v>429</v>
      </c>
      <c r="H12">
        <f>H10*10</f>
        <v>10</v>
      </c>
      <c r="K12" s="85"/>
      <c r="L12" s="9"/>
      <c r="M12" s="9"/>
      <c r="N12" s="9"/>
      <c r="O12" s="9"/>
      <c r="P12" s="9"/>
      <c r="Q12" s="9"/>
      <c r="R12" s="9"/>
      <c r="S12" s="9"/>
      <c r="T12" s="9"/>
      <c r="U12" s="9"/>
      <c r="V12" s="9"/>
    </row>
    <row r="13" spans="1:22" x14ac:dyDescent="0.2">
      <c r="A13" s="9"/>
      <c r="B13" s="33" t="s">
        <v>440</v>
      </c>
      <c r="C13">
        <f>IF('Design Calculator'!F60="NA", MIN(SOA!C12,10),SOA!C12)</f>
        <v>1</v>
      </c>
      <c r="D13" s="33"/>
      <c r="G13" s="33" t="s">
        <v>440</v>
      </c>
      <c r="H13">
        <f>IF('Design Calculator'!F60="NA", MIN(SOA!H12,10),SOA!H12)</f>
        <v>10</v>
      </c>
      <c r="K13" s="85"/>
      <c r="L13" s="9"/>
      <c r="M13" s="9"/>
      <c r="N13" s="9"/>
      <c r="O13" s="9"/>
      <c r="P13" s="9"/>
      <c r="Q13" s="9"/>
      <c r="R13" s="9"/>
      <c r="S13" s="9"/>
      <c r="T13" s="9"/>
      <c r="U13" s="9"/>
      <c r="V13" s="9"/>
    </row>
    <row r="14" spans="1:22" x14ac:dyDescent="0.2">
      <c r="A14" s="9"/>
      <c r="B14" s="33" t="s">
        <v>180</v>
      </c>
      <c r="C14">
        <f>IF(C11=0.1, B4, IF(C11=1, C4, IF(C11=10, D4, E4)))</f>
        <v>100</v>
      </c>
      <c r="D14" s="33" t="s">
        <v>25</v>
      </c>
      <c r="G14" s="33" t="s">
        <v>180</v>
      </c>
      <c r="H14">
        <f>IF(H11=0.1, B4, IF(H11=1, C4, IF(H11=10, D4, E4)))</f>
        <v>27</v>
      </c>
      <c r="K14" s="85"/>
      <c r="L14" s="9"/>
      <c r="M14" s="9"/>
      <c r="N14" s="9"/>
      <c r="O14" s="9"/>
      <c r="P14" s="9"/>
      <c r="Q14" s="9"/>
      <c r="R14" s="9"/>
      <c r="S14" s="9"/>
      <c r="T14" s="9"/>
      <c r="U14" s="9"/>
      <c r="V14" s="9"/>
    </row>
    <row r="15" spans="1:22" x14ac:dyDescent="0.2">
      <c r="A15" s="9"/>
      <c r="B15" s="33" t="s">
        <v>181</v>
      </c>
      <c r="C15">
        <f>IF(C13=1000, F4, IF(C13=1, C4, IF(C13=10, D4, E4)))</f>
        <v>27</v>
      </c>
      <c r="D15" s="33" t="s">
        <v>25</v>
      </c>
      <c r="G15" s="33" t="s">
        <v>181</v>
      </c>
      <c r="H15">
        <f>IF(H13=1000, F4, IF(H13=1, C4, IF(H13=10, D4, E4)))</f>
        <v>6</v>
      </c>
      <c r="K15" s="85"/>
      <c r="L15" s="9"/>
      <c r="M15" s="9"/>
      <c r="N15" s="9"/>
      <c r="O15" s="9"/>
      <c r="P15" s="9"/>
      <c r="Q15" s="9"/>
      <c r="R15" s="9"/>
      <c r="S15" s="9"/>
      <c r="T15" s="9"/>
      <c r="U15" s="9"/>
      <c r="V15" s="9"/>
    </row>
    <row r="16" spans="1:22" x14ac:dyDescent="0.2">
      <c r="A16" s="9"/>
      <c r="K16" s="85"/>
      <c r="L16" s="9"/>
      <c r="M16" s="9"/>
      <c r="N16" s="9"/>
      <c r="O16" s="9"/>
      <c r="P16" s="9"/>
      <c r="Q16" s="9"/>
      <c r="R16" s="9"/>
      <c r="S16" s="9"/>
      <c r="T16" s="9"/>
      <c r="U16" s="9"/>
      <c r="V16" s="9"/>
    </row>
    <row r="17" spans="1:22" x14ac:dyDescent="0.2">
      <c r="A17" s="9"/>
      <c r="B17" s="33" t="s">
        <v>185</v>
      </c>
      <c r="G17" s="33" t="s">
        <v>185</v>
      </c>
      <c r="K17" s="85"/>
      <c r="L17" s="9"/>
      <c r="M17" s="9"/>
      <c r="N17" s="9"/>
      <c r="O17" s="9"/>
      <c r="P17" s="9"/>
      <c r="Q17" s="9"/>
      <c r="R17" s="9"/>
      <c r="S17" s="9"/>
      <c r="T17" s="9"/>
      <c r="U17" s="9"/>
      <c r="V17" s="9"/>
    </row>
    <row r="18" spans="1:22" x14ac:dyDescent="0.2">
      <c r="A18" s="9"/>
      <c r="B18" s="33" t="s">
        <v>182</v>
      </c>
      <c r="C18">
        <f>C14/C11^C19</f>
        <v>27.000000000000007</v>
      </c>
      <c r="F18" s="33"/>
      <c r="G18" s="33" t="s">
        <v>182</v>
      </c>
      <c r="H18">
        <f>H14/H11^H19</f>
        <v>27</v>
      </c>
      <c r="O18" s="236"/>
      <c r="P18" s="236"/>
      <c r="Q18" s="9"/>
      <c r="R18" s="9"/>
      <c r="S18" s="9"/>
      <c r="T18" s="9"/>
      <c r="U18" s="9"/>
      <c r="V18" s="9"/>
    </row>
    <row r="19" spans="1:22" x14ac:dyDescent="0.2">
      <c r="A19" s="9"/>
      <c r="B19" s="33" t="s">
        <v>183</v>
      </c>
      <c r="C19">
        <f>LOG(C14/C15)/LOG(C11/C13)</f>
        <v>-0.56863623584101264</v>
      </c>
      <c r="F19" s="33"/>
      <c r="G19" s="33" t="s">
        <v>183</v>
      </c>
      <c r="H19">
        <f>IF(H14=H15,0.000000000001,LOG(H14/H15)/LOG(H11/H13))</f>
        <v>-0.65321251377534373</v>
      </c>
      <c r="I19" s="33" t="s">
        <v>434</v>
      </c>
      <c r="K19" s="85"/>
      <c r="L19" s="9"/>
      <c r="M19" s="236"/>
      <c r="N19" s="236"/>
      <c r="O19" s="9"/>
      <c r="P19" s="9"/>
      <c r="Q19" s="9"/>
      <c r="R19" s="9"/>
      <c r="S19" s="9"/>
      <c r="T19" s="9"/>
      <c r="U19" s="9"/>
      <c r="V19" s="9"/>
    </row>
    <row r="20" spans="1:22" x14ac:dyDescent="0.2">
      <c r="A20" s="9"/>
      <c r="B20" s="33" t="s">
        <v>184</v>
      </c>
      <c r="C20">
        <f>C18*C8^C19</f>
        <v>41.448795679846668</v>
      </c>
      <c r="D20" s="33" t="s">
        <v>25</v>
      </c>
      <c r="G20" s="33" t="s">
        <v>184</v>
      </c>
      <c r="H20">
        <f>H18*H8^H19</f>
        <v>6.2656815889714697</v>
      </c>
      <c r="K20" s="85"/>
      <c r="L20" s="9"/>
      <c r="M20" s="88"/>
      <c r="N20" s="9"/>
      <c r="O20" s="9"/>
      <c r="P20" s="9"/>
      <c r="Q20" s="9"/>
      <c r="R20" s="9"/>
      <c r="S20" s="9"/>
      <c r="T20" s="9"/>
      <c r="U20" s="9"/>
      <c r="V20" s="9"/>
    </row>
    <row r="21" spans="1:22" x14ac:dyDescent="0.2">
      <c r="A21" s="9"/>
      <c r="K21" s="85"/>
      <c r="L21" s="9"/>
      <c r="M21" s="9"/>
      <c r="N21" s="84"/>
      <c r="O21" s="9"/>
      <c r="P21" s="9"/>
      <c r="Q21" s="9"/>
      <c r="R21" s="9"/>
      <c r="S21" s="9"/>
      <c r="T21" s="9"/>
      <c r="U21" s="9"/>
      <c r="V21" s="9"/>
    </row>
    <row r="22" spans="1:22" x14ac:dyDescent="0.2">
      <c r="A22" s="9"/>
      <c r="B22" s="34" t="s">
        <v>187</v>
      </c>
      <c r="C22">
        <f xml:space="preserve"> C20*C9</f>
        <v>1761.5738163934834</v>
      </c>
      <c r="D22" s="33"/>
      <c r="G22" s="34" t="s">
        <v>187</v>
      </c>
      <c r="H22">
        <f>IF(H8&lt;1, H14, H20)*H9</f>
        <v>266.29146753128748</v>
      </c>
      <c r="K22" s="85"/>
      <c r="L22" s="9"/>
      <c r="M22" s="9"/>
      <c r="N22" s="9"/>
      <c r="O22" s="9"/>
      <c r="P22" s="9"/>
      <c r="Q22" s="9"/>
      <c r="R22" s="9"/>
      <c r="S22" s="9"/>
      <c r="T22" s="9"/>
      <c r="U22" s="9"/>
      <c r="V22" s="9"/>
    </row>
    <row r="23" spans="1:22" x14ac:dyDescent="0.2">
      <c r="A23" s="9"/>
      <c r="K23" s="85"/>
      <c r="L23" s="9"/>
      <c r="M23" s="9"/>
      <c r="N23" s="9"/>
      <c r="O23" s="9"/>
      <c r="P23" s="9"/>
      <c r="Q23" s="9"/>
      <c r="R23" s="9"/>
      <c r="S23" s="9"/>
      <c r="T23" s="9"/>
      <c r="U23" s="9"/>
      <c r="V23" s="9"/>
    </row>
    <row r="24" spans="1:22" x14ac:dyDescent="0.2">
      <c r="A24" s="9"/>
      <c r="G24" s="33" t="s">
        <v>368</v>
      </c>
      <c r="H24" t="str">
        <f>'Design Calculator'!F79</f>
        <v>No</v>
      </c>
      <c r="K24" s="85"/>
      <c r="L24" s="9"/>
      <c r="M24" s="9"/>
      <c r="N24" s="9"/>
      <c r="O24" s="84"/>
      <c r="P24" s="9"/>
      <c r="Q24" s="9"/>
      <c r="R24" s="9"/>
      <c r="S24" s="9"/>
      <c r="T24" s="9"/>
      <c r="U24" s="9"/>
      <c r="V24" s="9"/>
    </row>
    <row r="25" spans="1:22" x14ac:dyDescent="0.2">
      <c r="A25" s="9"/>
      <c r="B25" s="95" t="s">
        <v>193</v>
      </c>
      <c r="C25">
        <f>(TJMAX-TJ)/(TJMAX-25)</f>
        <v>0.68047786666666665</v>
      </c>
      <c r="D25" s="85"/>
      <c r="E25" s="85"/>
      <c r="F25" s="87"/>
      <c r="G25" s="33" t="s">
        <v>367</v>
      </c>
      <c r="H25">
        <f>IF(H24="Yes", TJ,TAMB)</f>
        <v>60</v>
      </c>
      <c r="K25" s="85"/>
      <c r="L25" s="9"/>
      <c r="M25" s="9"/>
      <c r="N25" s="9"/>
      <c r="O25" s="84"/>
      <c r="P25" s="9"/>
      <c r="Q25" s="9"/>
      <c r="R25" s="9"/>
      <c r="S25" s="9"/>
      <c r="T25" s="9"/>
      <c r="U25" s="9"/>
      <c r="V25" s="9"/>
    </row>
    <row r="26" spans="1:22" x14ac:dyDescent="0.2">
      <c r="A26" s="9"/>
      <c r="B26" s="93" t="s">
        <v>188</v>
      </c>
      <c r="C26">
        <f>IF((C22*C25)&lt;0,0.000000001,C22*C25)</f>
        <v>1198.7119925552959</v>
      </c>
      <c r="D26" s="94" t="s">
        <v>87</v>
      </c>
      <c r="E26" s="85"/>
      <c r="F26" s="87"/>
      <c r="K26" s="85"/>
      <c r="L26" s="9"/>
      <c r="M26" s="9"/>
      <c r="N26" s="9"/>
      <c r="O26" s="9"/>
      <c r="P26" s="9"/>
      <c r="Q26" s="9"/>
      <c r="R26" s="9"/>
      <c r="S26" s="9"/>
      <c r="T26" s="9"/>
      <c r="U26" s="9"/>
      <c r="V26" s="9"/>
    </row>
    <row r="27" spans="1:22" x14ac:dyDescent="0.2">
      <c r="A27" s="9"/>
      <c r="B27" s="84"/>
      <c r="C27" s="84"/>
      <c r="D27" s="85"/>
      <c r="E27" s="85"/>
      <c r="F27" s="87"/>
      <c r="G27" s="95" t="s">
        <v>193</v>
      </c>
      <c r="H27">
        <f>(TJMAX-H25)/(TJMAX-25)</f>
        <v>0.76666666666666672</v>
      </c>
      <c r="K27" s="85"/>
      <c r="L27" s="9"/>
      <c r="M27" s="9"/>
      <c r="N27" s="9"/>
      <c r="O27" s="9"/>
      <c r="P27" s="9"/>
      <c r="Q27" s="9"/>
      <c r="R27" s="9"/>
      <c r="S27" s="9"/>
      <c r="T27" s="9"/>
      <c r="U27" s="9"/>
      <c r="V27" s="9"/>
    </row>
    <row r="28" spans="1:22" x14ac:dyDescent="0.2">
      <c r="A28" s="9"/>
      <c r="B28" s="84"/>
      <c r="D28" s="85"/>
      <c r="E28" s="85"/>
      <c r="F28" s="87"/>
      <c r="G28" s="93" t="s">
        <v>188</v>
      </c>
      <c r="H28">
        <f>IF((H22*H27)&lt;0,0.000000001,H22*H27)</f>
        <v>204.15679177398709</v>
      </c>
      <c r="K28" s="85"/>
      <c r="L28" s="9"/>
      <c r="M28" s="9"/>
      <c r="N28" s="9"/>
      <c r="O28" s="9"/>
      <c r="P28" s="9"/>
      <c r="Q28" s="9"/>
      <c r="R28" s="9"/>
      <c r="S28" s="9"/>
      <c r="T28" s="9"/>
      <c r="U28" s="9"/>
      <c r="V28" s="9"/>
    </row>
    <row r="29" spans="1:22" x14ac:dyDescent="0.2">
      <c r="A29" s="9"/>
      <c r="B29" s="95" t="s">
        <v>397</v>
      </c>
      <c r="D29" s="85"/>
      <c r="E29" s="85"/>
      <c r="F29" s="87"/>
      <c r="H29" s="9"/>
      <c r="I29" s="92"/>
      <c r="J29" s="92"/>
      <c r="K29" s="92"/>
      <c r="L29" s="9"/>
      <c r="M29" s="9"/>
      <c r="N29" s="9"/>
      <c r="O29" s="9"/>
      <c r="P29" s="9"/>
      <c r="Q29" s="9"/>
      <c r="R29" s="9"/>
      <c r="S29" s="9"/>
      <c r="T29" s="9"/>
      <c r="U29" s="9"/>
      <c r="V29" s="9"/>
    </row>
    <row r="30" spans="1:22" x14ac:dyDescent="0.2">
      <c r="A30" s="9"/>
      <c r="C30" s="89" t="s">
        <v>398</v>
      </c>
      <c r="D30" s="217" t="s">
        <v>399</v>
      </c>
      <c r="E30" s="217" t="s">
        <v>400</v>
      </c>
      <c r="F30" s="217" t="s">
        <v>401</v>
      </c>
      <c r="G30" s="87"/>
      <c r="H30" s="9"/>
      <c r="I30" s="92"/>
      <c r="J30" s="92"/>
      <c r="K30" s="92"/>
      <c r="L30" s="9"/>
      <c r="M30" s="9"/>
      <c r="N30" s="9"/>
      <c r="O30" s="9"/>
      <c r="P30" s="9"/>
      <c r="Q30" s="9"/>
      <c r="R30" s="9"/>
      <c r="S30" s="9"/>
      <c r="T30" s="9"/>
      <c r="U30" s="9"/>
      <c r="V30" s="9"/>
    </row>
    <row r="31" spans="1:22" x14ac:dyDescent="0.2">
      <c r="B31" s="95" t="s">
        <v>402</v>
      </c>
      <c r="C31" s="209">
        <v>0.1</v>
      </c>
      <c r="D31" s="210">
        <v>1</v>
      </c>
      <c r="E31" s="211">
        <v>10</v>
      </c>
      <c r="F31" s="212">
        <v>100</v>
      </c>
      <c r="G31" s="195"/>
      <c r="H31" s="9"/>
      <c r="I31" s="9"/>
      <c r="J31" s="9"/>
      <c r="K31" s="9"/>
      <c r="L31" s="9"/>
      <c r="M31" s="9"/>
      <c r="N31" s="9"/>
      <c r="O31" s="9"/>
      <c r="P31" s="9"/>
      <c r="Q31" s="9"/>
      <c r="R31" s="9"/>
      <c r="S31" s="9"/>
      <c r="T31" s="9"/>
      <c r="U31" s="9"/>
      <c r="V31" s="9"/>
    </row>
    <row r="32" spans="1:22" x14ac:dyDescent="0.2">
      <c r="B32" s="209" t="s">
        <v>403</v>
      </c>
      <c r="C32" s="210">
        <v>1</v>
      </c>
      <c r="D32" s="210">
        <v>10</v>
      </c>
      <c r="E32" s="211">
        <v>100</v>
      </c>
      <c r="F32" s="212">
        <v>1000</v>
      </c>
      <c r="G32" s="93"/>
      <c r="H32" s="9"/>
      <c r="I32" s="9"/>
      <c r="J32" s="9"/>
      <c r="K32" s="9"/>
      <c r="L32" s="9"/>
      <c r="M32" s="9"/>
      <c r="N32" s="9"/>
      <c r="O32" s="9"/>
      <c r="P32" s="9"/>
      <c r="Q32" s="9"/>
      <c r="R32" s="9"/>
      <c r="S32" s="9"/>
      <c r="T32" s="9"/>
      <c r="U32" s="9"/>
      <c r="V32" s="9"/>
    </row>
    <row r="33" spans="2:22" x14ac:dyDescent="0.2">
      <c r="B33" s="209" t="s">
        <v>182</v>
      </c>
      <c r="C33" s="210">
        <f>B4/(C31^C34)</f>
        <v>27.000000000000007</v>
      </c>
      <c r="D33" s="210">
        <f>C4/(D31^D34)</f>
        <v>27</v>
      </c>
      <c r="E33" s="210">
        <f>IF('Design Calculator'!F60="NA",D33,D4/(E31^E34))</f>
        <v>17.142857142857146</v>
      </c>
      <c r="F33" s="210">
        <f>IF('Design Calculator'!F60="NA", E33, E4/(F31^F34))</f>
        <v>4.1160000000000005</v>
      </c>
      <c r="G33" s="33"/>
      <c r="H33" s="9"/>
      <c r="I33" s="9"/>
      <c r="J33" s="9"/>
      <c r="K33" s="9"/>
      <c r="L33" s="9"/>
      <c r="M33" s="9"/>
      <c r="N33" s="9"/>
      <c r="O33" s="9"/>
      <c r="P33" s="9"/>
      <c r="Q33" s="9"/>
      <c r="R33" s="9"/>
      <c r="S33" s="9"/>
      <c r="T33" s="9"/>
      <c r="U33" s="9"/>
      <c r="V33" s="9"/>
    </row>
    <row r="34" spans="2:22" x14ac:dyDescent="0.2">
      <c r="B34" s="209" t="s">
        <v>183</v>
      </c>
      <c r="C34" s="18">
        <f>LOG(B4/C4)/LOG(C31/C32)</f>
        <v>-0.56863623584101264</v>
      </c>
      <c r="D34" s="18">
        <f>LOG(C4/D4)/LOG(D31/D32)</f>
        <v>-0.65321251377534373</v>
      </c>
      <c r="E34" s="18">
        <f>IF('Design Calculator'!F60="NA", D34, LOG(D4/E4)/LOG(E31/E32))</f>
        <v>-0.45593195564972439</v>
      </c>
      <c r="F34" s="18">
        <f>IF('Design Calculator'!F60="NA",E34,LOG(E4/F4)/LOG(F31/F32))</f>
        <v>-0.14612803567823807</v>
      </c>
      <c r="G34" s="33"/>
      <c r="H34" s="9"/>
      <c r="I34" s="9"/>
      <c r="J34" s="9"/>
      <c r="K34" s="9"/>
      <c r="L34" s="9"/>
      <c r="M34" s="9"/>
      <c r="N34" s="9"/>
      <c r="O34" s="9"/>
      <c r="P34" s="9"/>
      <c r="Q34" s="9"/>
      <c r="R34" s="9"/>
      <c r="S34" s="9"/>
      <c r="T34" s="9"/>
      <c r="U34" s="9"/>
      <c r="V34" s="9"/>
    </row>
    <row r="35" spans="2:22" x14ac:dyDescent="0.2">
      <c r="E35" s="85"/>
      <c r="F35" s="9"/>
      <c r="G35" s="33"/>
      <c r="H35" s="9"/>
      <c r="I35" s="9"/>
      <c r="J35" s="9"/>
      <c r="K35" s="9"/>
      <c r="L35" s="9"/>
      <c r="M35" s="9"/>
      <c r="N35" s="9"/>
      <c r="O35" s="9"/>
      <c r="P35" s="9"/>
      <c r="Q35" s="9"/>
      <c r="R35" s="9"/>
      <c r="S35" s="9"/>
      <c r="T35" s="9"/>
      <c r="U35" s="9"/>
      <c r="V35" s="9"/>
    </row>
    <row r="36" spans="2:22" x14ac:dyDescent="0.2">
      <c r="E36" s="85"/>
      <c r="F36" s="9"/>
      <c r="G36" s="33"/>
      <c r="H36" s="9"/>
      <c r="I36" s="9"/>
      <c r="J36" s="9"/>
      <c r="K36" s="9"/>
      <c r="L36" s="9"/>
      <c r="M36" s="9"/>
      <c r="N36" s="9"/>
      <c r="O36" s="9"/>
      <c r="P36" s="9"/>
      <c r="Q36" s="9"/>
      <c r="R36" s="9"/>
      <c r="S36" s="9"/>
      <c r="T36" s="9"/>
      <c r="U36" s="9"/>
      <c r="V36" s="9"/>
    </row>
    <row r="37" spans="2:22" x14ac:dyDescent="0.2">
      <c r="E37" s="85"/>
      <c r="F37" s="9"/>
      <c r="G37" s="33"/>
      <c r="H37" s="9"/>
      <c r="I37" s="9"/>
      <c r="J37" s="9"/>
      <c r="K37" s="9"/>
      <c r="L37" s="9"/>
      <c r="M37" s="9"/>
      <c r="N37" s="9"/>
      <c r="O37" s="9"/>
      <c r="P37" s="9"/>
      <c r="Q37" s="9"/>
      <c r="R37" s="9"/>
      <c r="S37" s="9"/>
      <c r="T37" s="9"/>
      <c r="U37" s="9"/>
      <c r="V37" s="9"/>
    </row>
    <row r="38" spans="2:22" x14ac:dyDescent="0.2">
      <c r="E38" s="85"/>
      <c r="F38" s="9"/>
      <c r="G38" s="33"/>
      <c r="H38" s="9"/>
      <c r="I38" s="9"/>
      <c r="J38" s="9"/>
      <c r="K38" s="9"/>
      <c r="L38" s="9"/>
      <c r="M38" s="9"/>
      <c r="N38" s="9"/>
      <c r="O38" s="9"/>
      <c r="P38" s="9"/>
      <c r="Q38" s="9"/>
      <c r="R38" s="9"/>
      <c r="S38" s="9"/>
      <c r="T38" s="9"/>
      <c r="U38" s="9"/>
      <c r="V38" s="9"/>
    </row>
    <row r="39" spans="2:22" x14ac:dyDescent="0.2">
      <c r="E39" s="85"/>
      <c r="F39" s="9"/>
      <c r="H39" s="9"/>
      <c r="I39" s="9"/>
      <c r="J39" s="9"/>
      <c r="K39" s="9"/>
      <c r="L39" s="9"/>
      <c r="M39" s="9"/>
      <c r="N39" s="9"/>
      <c r="O39" s="9"/>
      <c r="P39" s="9"/>
      <c r="Q39" s="9"/>
      <c r="R39" s="9"/>
      <c r="S39" s="9"/>
      <c r="T39" s="9"/>
      <c r="U39" s="9"/>
      <c r="V39" s="9"/>
    </row>
    <row r="40" spans="2:22" x14ac:dyDescent="0.2">
      <c r="E40" s="85"/>
      <c r="F40" s="9"/>
      <c r="G40" s="33"/>
      <c r="H40" s="9"/>
      <c r="I40" s="9"/>
      <c r="J40" s="9"/>
      <c r="K40" s="9"/>
      <c r="L40" s="9"/>
      <c r="M40" s="9"/>
      <c r="N40" s="9"/>
      <c r="O40" s="9"/>
      <c r="P40" s="9"/>
      <c r="Q40" s="9"/>
      <c r="R40" s="9"/>
      <c r="S40" s="9"/>
      <c r="T40" s="9"/>
      <c r="U40" s="9"/>
      <c r="V40" s="9"/>
    </row>
    <row r="41" spans="2:22" x14ac:dyDescent="0.2">
      <c r="E41" s="85"/>
      <c r="F41" s="9"/>
      <c r="H41" s="9"/>
      <c r="I41" s="9"/>
      <c r="J41" s="9"/>
      <c r="K41" s="9"/>
      <c r="L41" s="9"/>
      <c r="M41" s="9"/>
      <c r="N41" s="9"/>
      <c r="O41" s="9"/>
      <c r="P41" s="9"/>
      <c r="Q41" s="9"/>
      <c r="R41" s="9"/>
      <c r="S41" s="9"/>
      <c r="T41" s="9"/>
      <c r="U41" s="9"/>
      <c r="V41" s="9"/>
    </row>
    <row r="42" spans="2:22" x14ac:dyDescent="0.2">
      <c r="E42" s="85"/>
      <c r="F42" s="9"/>
      <c r="G42" s="33"/>
      <c r="H42" s="9"/>
      <c r="I42" s="9"/>
      <c r="J42" s="9"/>
      <c r="K42" s="9"/>
      <c r="L42" s="9"/>
      <c r="M42" s="9"/>
      <c r="N42" s="9"/>
      <c r="O42" s="9"/>
      <c r="P42" s="9"/>
      <c r="Q42" s="9"/>
      <c r="R42" s="9"/>
      <c r="S42" s="9"/>
      <c r="T42" s="9"/>
      <c r="U42" s="9"/>
      <c r="V42" s="9"/>
    </row>
    <row r="43" spans="2:22" x14ac:dyDescent="0.2">
      <c r="E43" s="85"/>
      <c r="F43" s="9"/>
      <c r="G43" s="33"/>
      <c r="H43" s="9"/>
      <c r="I43" s="9"/>
      <c r="J43" s="9"/>
      <c r="K43" s="9"/>
      <c r="L43" s="9"/>
      <c r="M43" s="9"/>
      <c r="N43" s="9"/>
      <c r="O43" s="9"/>
      <c r="P43" s="9"/>
      <c r="Q43" s="9"/>
      <c r="R43" s="9"/>
      <c r="S43" s="9"/>
      <c r="T43" s="9"/>
      <c r="U43" s="9"/>
      <c r="V43" s="9"/>
    </row>
    <row r="44" spans="2:22" x14ac:dyDescent="0.2">
      <c r="E44" s="85"/>
      <c r="F44" s="9"/>
      <c r="G44" s="33"/>
      <c r="H44" s="9"/>
      <c r="I44" s="9"/>
      <c r="J44" s="9"/>
      <c r="K44" s="9"/>
      <c r="L44" s="9"/>
      <c r="M44" s="9"/>
      <c r="N44" s="9"/>
      <c r="O44" s="9"/>
      <c r="P44" s="9"/>
      <c r="Q44" s="9"/>
      <c r="R44" s="9"/>
      <c r="S44" s="9"/>
      <c r="T44" s="9"/>
      <c r="U44" s="9"/>
      <c r="V44" s="9"/>
    </row>
    <row r="45" spans="2:22" x14ac:dyDescent="0.2">
      <c r="E45" s="85"/>
      <c r="F45" s="9"/>
      <c r="H45" s="9"/>
      <c r="I45" s="9"/>
      <c r="J45" s="9"/>
      <c r="K45" s="9"/>
      <c r="L45" s="9"/>
      <c r="M45" s="9"/>
      <c r="N45" s="9"/>
      <c r="O45" s="9"/>
      <c r="P45" s="9"/>
      <c r="Q45" s="9"/>
      <c r="R45" s="9"/>
      <c r="S45" s="9"/>
      <c r="T45" s="9"/>
      <c r="U45" s="9"/>
      <c r="V45" s="9"/>
    </row>
    <row r="46" spans="2:22" x14ac:dyDescent="0.2">
      <c r="E46" s="85"/>
      <c r="F46" s="9"/>
      <c r="G46" s="34"/>
      <c r="H46" s="9"/>
      <c r="I46" s="9"/>
      <c r="J46" s="9"/>
      <c r="K46" s="9"/>
      <c r="L46" s="9"/>
      <c r="M46" s="9"/>
      <c r="N46" s="9"/>
      <c r="O46" s="9"/>
      <c r="P46" s="9"/>
      <c r="Q46" s="9"/>
      <c r="R46" s="9"/>
      <c r="S46" s="9"/>
      <c r="T46" s="9"/>
      <c r="U46" s="9"/>
      <c r="V46" s="9"/>
    </row>
    <row r="47" spans="2:22" x14ac:dyDescent="0.2">
      <c r="E47" s="85"/>
      <c r="F47" s="9"/>
      <c r="H47" s="9"/>
      <c r="I47" s="9"/>
      <c r="J47" s="9"/>
      <c r="K47" s="9"/>
      <c r="L47" s="9"/>
      <c r="M47" s="9"/>
      <c r="N47" s="9"/>
      <c r="O47" s="9"/>
      <c r="P47" s="9"/>
      <c r="Q47" s="9"/>
      <c r="R47" s="9"/>
      <c r="S47" s="9"/>
      <c r="T47" s="9"/>
      <c r="U47" s="9"/>
      <c r="V47" s="9"/>
    </row>
    <row r="48" spans="2:22" x14ac:dyDescent="0.2">
      <c r="E48" s="85"/>
      <c r="F48" s="9"/>
      <c r="H48" s="9"/>
      <c r="I48" s="9"/>
      <c r="J48" s="9"/>
      <c r="K48" s="9"/>
      <c r="L48" s="9"/>
      <c r="M48" s="9"/>
      <c r="N48" s="9"/>
      <c r="O48" s="9"/>
      <c r="P48" s="9"/>
      <c r="Q48" s="9"/>
      <c r="R48" s="9"/>
      <c r="S48" s="9"/>
      <c r="T48" s="9"/>
      <c r="U48" s="9"/>
      <c r="V48" s="9"/>
    </row>
    <row r="49" spans="1:22" x14ac:dyDescent="0.2">
      <c r="E49" s="85"/>
      <c r="F49" s="9"/>
      <c r="G49" s="95"/>
      <c r="H49" s="9"/>
      <c r="I49" s="9"/>
      <c r="J49" s="9"/>
      <c r="K49" s="9"/>
      <c r="L49" s="9"/>
      <c r="M49" s="9"/>
      <c r="N49" s="9"/>
      <c r="O49" s="9"/>
      <c r="P49" s="9"/>
      <c r="Q49" s="9"/>
      <c r="R49" s="9"/>
      <c r="S49" s="9"/>
      <c r="T49" s="9"/>
      <c r="U49" s="9"/>
      <c r="V49" s="9"/>
    </row>
    <row r="50" spans="1:22" x14ac:dyDescent="0.2">
      <c r="E50" s="85"/>
      <c r="F50" s="9"/>
      <c r="G50" s="93"/>
      <c r="H50" s="9"/>
      <c r="I50" s="9"/>
      <c r="J50" s="9"/>
      <c r="K50" s="9"/>
      <c r="L50" s="9"/>
      <c r="M50" s="9"/>
      <c r="N50" s="9"/>
      <c r="O50" s="9"/>
      <c r="P50" s="9"/>
      <c r="Q50" s="9"/>
      <c r="R50" s="9"/>
      <c r="S50" s="9"/>
      <c r="T50" s="9"/>
      <c r="U50" s="9"/>
      <c r="V50" s="9"/>
    </row>
    <row r="51" spans="1:22" x14ac:dyDescent="0.2">
      <c r="E51" s="85"/>
      <c r="F51" s="87"/>
      <c r="G51" s="87"/>
      <c r="H51" s="9"/>
      <c r="I51" s="9"/>
      <c r="J51" s="9"/>
      <c r="K51" s="9"/>
      <c r="L51" s="9"/>
      <c r="M51" s="9"/>
      <c r="N51" s="9"/>
      <c r="O51" s="9"/>
      <c r="P51" s="9"/>
      <c r="Q51" s="9"/>
      <c r="R51" s="9"/>
      <c r="S51" s="9"/>
      <c r="T51" s="9"/>
      <c r="U51" s="9"/>
      <c r="V51" s="9"/>
    </row>
    <row r="52" spans="1:22" x14ac:dyDescent="0.2">
      <c r="E52" s="85"/>
      <c r="F52" s="87"/>
      <c r="G52" s="87"/>
      <c r="H52" s="9"/>
      <c r="I52" s="9"/>
      <c r="J52" s="9"/>
      <c r="K52" s="9"/>
      <c r="L52" s="9"/>
      <c r="M52" s="9"/>
      <c r="N52" s="9"/>
      <c r="O52" s="9"/>
      <c r="P52" s="9"/>
      <c r="Q52" s="9"/>
      <c r="R52" s="9"/>
      <c r="S52" s="9"/>
      <c r="T52" s="9"/>
      <c r="U52" s="9"/>
      <c r="V52" s="9"/>
    </row>
    <row r="53" spans="1:22" x14ac:dyDescent="0.2">
      <c r="A53" s="9"/>
      <c r="B53" s="9"/>
      <c r="C53" s="84"/>
      <c r="D53" s="85"/>
      <c r="E53" s="85"/>
      <c r="F53" s="87"/>
      <c r="G53" s="87"/>
      <c r="H53" s="9"/>
      <c r="I53" s="9"/>
      <c r="J53" s="9"/>
      <c r="K53" s="9"/>
      <c r="L53" s="9"/>
      <c r="M53" s="9"/>
      <c r="N53" s="9"/>
      <c r="O53" s="9"/>
      <c r="P53" s="9"/>
      <c r="Q53" s="9"/>
      <c r="R53" s="9"/>
      <c r="S53" s="9"/>
      <c r="T53" s="9"/>
      <c r="U53" s="9"/>
      <c r="V53" s="9"/>
    </row>
    <row r="54" spans="1:22" x14ac:dyDescent="0.2">
      <c r="A54" s="9"/>
      <c r="B54" s="9"/>
      <c r="C54" s="84"/>
      <c r="D54" s="85"/>
      <c r="E54" s="85"/>
      <c r="F54" s="87"/>
      <c r="G54" s="87"/>
      <c r="H54" s="9"/>
      <c r="I54" s="9"/>
      <c r="J54" s="9"/>
      <c r="K54" s="9"/>
      <c r="L54" s="9"/>
      <c r="M54" s="9"/>
      <c r="N54" s="9"/>
      <c r="O54" s="9"/>
      <c r="P54" s="9"/>
      <c r="Q54" s="9"/>
      <c r="R54" s="9"/>
      <c r="S54" s="9"/>
      <c r="T54" s="9"/>
      <c r="U54" s="9"/>
      <c r="V54" s="9"/>
    </row>
    <row r="55" spans="1:22" x14ac:dyDescent="0.2">
      <c r="A55" s="9"/>
      <c r="B55" s="9"/>
      <c r="C55" s="84"/>
      <c r="D55" s="85"/>
      <c r="E55" s="85"/>
      <c r="F55" s="87"/>
      <c r="G55" s="87"/>
      <c r="H55" s="9"/>
      <c r="I55" s="9"/>
      <c r="J55" s="9"/>
      <c r="K55" s="9"/>
      <c r="L55" s="9"/>
      <c r="M55" s="9"/>
      <c r="N55" s="9"/>
      <c r="O55" s="9"/>
      <c r="P55" s="9"/>
      <c r="Q55" s="9"/>
      <c r="R55" s="9"/>
      <c r="S55" s="9"/>
      <c r="T55" s="9"/>
      <c r="U55" s="9"/>
      <c r="V55" s="9"/>
    </row>
    <row r="56" spans="1:22" x14ac:dyDescent="0.2">
      <c r="A56" s="9"/>
      <c r="B56" s="9"/>
      <c r="C56" s="84"/>
      <c r="D56" s="85"/>
      <c r="E56" s="85"/>
      <c r="F56" s="87"/>
      <c r="G56" s="87"/>
      <c r="H56" s="9"/>
    </row>
    <row r="57" spans="1:22" x14ac:dyDescent="0.2">
      <c r="A57" s="9"/>
      <c r="B57" s="9"/>
      <c r="C57" s="84"/>
      <c r="D57" s="85"/>
      <c r="E57" s="85"/>
      <c r="F57" s="87"/>
      <c r="G57" s="87"/>
    </row>
    <row r="58" spans="1:22" x14ac:dyDescent="0.2">
      <c r="A58" s="9"/>
      <c r="B58" s="9"/>
      <c r="C58" s="84"/>
      <c r="D58" s="85"/>
      <c r="E58" s="85"/>
      <c r="F58" s="87"/>
      <c r="G58" s="87"/>
    </row>
    <row r="59" spans="1:22" x14ac:dyDescent="0.2">
      <c r="A59" s="9"/>
      <c r="B59" s="9"/>
      <c r="C59" s="84"/>
      <c r="D59" s="85"/>
      <c r="E59" s="85"/>
      <c r="F59" s="87"/>
      <c r="G59" s="87"/>
    </row>
    <row r="60" spans="1:22" x14ac:dyDescent="0.2">
      <c r="A60" s="9"/>
      <c r="B60" s="9"/>
      <c r="C60" s="84"/>
      <c r="D60" s="85"/>
      <c r="E60" s="85"/>
      <c r="F60" s="87"/>
      <c r="G60" s="87"/>
    </row>
    <row r="61" spans="1:22" x14ac:dyDescent="0.2">
      <c r="A61" s="9"/>
      <c r="B61" s="9"/>
      <c r="C61" s="84"/>
      <c r="D61" s="85"/>
      <c r="E61" s="85"/>
      <c r="F61" s="87"/>
      <c r="G61" s="87"/>
    </row>
    <row r="62" spans="1:22" x14ac:dyDescent="0.2">
      <c r="A62" s="9"/>
      <c r="B62" s="9"/>
      <c r="C62" s="84"/>
      <c r="D62" s="85"/>
      <c r="E62" s="85"/>
      <c r="F62" s="87"/>
      <c r="G62" s="87"/>
    </row>
    <row r="63" spans="1:22" x14ac:dyDescent="0.2">
      <c r="A63" s="9"/>
      <c r="B63" s="9"/>
      <c r="C63" s="84"/>
      <c r="D63" s="85"/>
      <c r="E63" s="85"/>
      <c r="F63" s="87"/>
      <c r="G63" s="87"/>
    </row>
    <row r="64" spans="1:22" x14ac:dyDescent="0.2">
      <c r="A64" s="9"/>
      <c r="B64" s="9"/>
      <c r="C64" s="84"/>
      <c r="D64" s="85"/>
      <c r="E64" s="85"/>
      <c r="F64" s="87"/>
      <c r="G64" s="87"/>
    </row>
    <row r="65" spans="1:7" x14ac:dyDescent="0.2">
      <c r="A65" s="9"/>
      <c r="B65" s="9"/>
      <c r="C65" s="84"/>
      <c r="D65" s="85"/>
      <c r="E65" s="85"/>
      <c r="F65" s="87"/>
      <c r="G65" s="87"/>
    </row>
    <row r="66" spans="1:7" x14ac:dyDescent="0.2">
      <c r="A66" s="9"/>
      <c r="B66" s="9"/>
      <c r="C66" s="84"/>
      <c r="D66" s="85"/>
      <c r="E66" s="85"/>
      <c r="F66" s="87"/>
      <c r="G66" s="87"/>
    </row>
    <row r="67" spans="1:7" x14ac:dyDescent="0.2">
      <c r="A67" s="9"/>
      <c r="B67" s="9"/>
      <c r="C67" s="84"/>
      <c r="D67" s="85"/>
      <c r="E67" s="85"/>
      <c r="F67" s="87"/>
      <c r="G67" s="87"/>
    </row>
    <row r="68" spans="1:7" x14ac:dyDescent="0.2">
      <c r="A68" s="9"/>
      <c r="B68" s="9"/>
      <c r="C68" s="84"/>
      <c r="D68" s="85"/>
      <c r="E68" s="85"/>
      <c r="F68" s="87"/>
      <c r="G68" s="87"/>
    </row>
    <row r="69" spans="1:7" x14ac:dyDescent="0.2">
      <c r="A69" s="9"/>
      <c r="B69" s="9"/>
      <c r="C69" s="84"/>
      <c r="D69" s="85"/>
      <c r="E69" s="85"/>
      <c r="F69" s="87"/>
      <c r="G69" s="87"/>
    </row>
    <row r="70" spans="1:7" x14ac:dyDescent="0.2">
      <c r="A70" s="9"/>
      <c r="B70" s="9"/>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75" x14ac:dyDescent="0.2"/>
  <cols>
    <col min="4" max="4" width="37.42578125" customWidth="1"/>
    <col min="5" max="5" width="15.7109375" customWidth="1"/>
    <col min="9" max="9" width="13.28515625" customWidth="1"/>
    <col min="10" max="10" width="11.7109375" customWidth="1"/>
    <col min="11" max="11" width="11.42578125" customWidth="1"/>
    <col min="12" max="12" width="15" customWidth="1"/>
    <col min="13" max="13" width="13.7109375" customWidth="1"/>
  </cols>
  <sheetData>
    <row r="5" spans="3:4" x14ac:dyDescent="0.2">
      <c r="C5" s="33" t="s">
        <v>376</v>
      </c>
    </row>
    <row r="7" spans="3:4" x14ac:dyDescent="0.2">
      <c r="C7" s="33" t="s">
        <v>377</v>
      </c>
    </row>
    <row r="8" spans="3:4" x14ac:dyDescent="0.2">
      <c r="C8" s="33" t="s">
        <v>378</v>
      </c>
    </row>
    <row r="10" spans="3:4" x14ac:dyDescent="0.2">
      <c r="C10" s="33" t="s">
        <v>379</v>
      </c>
    </row>
    <row r="11" spans="3:4" x14ac:dyDescent="0.2">
      <c r="C11" s="33" t="s">
        <v>422</v>
      </c>
    </row>
    <row r="12" spans="3:4" x14ac:dyDescent="0.2">
      <c r="C12" s="33" t="s">
        <v>423</v>
      </c>
    </row>
    <row r="13" spans="3:4" x14ac:dyDescent="0.2">
      <c r="C13" s="33" t="s">
        <v>424</v>
      </c>
    </row>
    <row r="14" spans="3:4" x14ac:dyDescent="0.2">
      <c r="C14" s="33" t="s">
        <v>390</v>
      </c>
      <c r="D14" s="33" t="s">
        <v>391</v>
      </c>
    </row>
    <row r="15" spans="3:4" ht="12" customHeight="1" x14ac:dyDescent="0.2">
      <c r="C15" s="33"/>
      <c r="D15" s="33" t="s">
        <v>393</v>
      </c>
    </row>
    <row r="16" spans="3:4" ht="12" customHeight="1" x14ac:dyDescent="0.2">
      <c r="C16" s="33"/>
      <c r="D16" s="33"/>
    </row>
    <row r="17" spans="3:13" ht="12" customHeight="1" x14ac:dyDescent="0.2">
      <c r="C17" s="33"/>
      <c r="D17" s="33"/>
    </row>
    <row r="18" spans="3:13" ht="12" customHeight="1" x14ac:dyDescent="0.2">
      <c r="C18" s="33"/>
      <c r="D18" s="89" t="s">
        <v>408</v>
      </c>
    </row>
    <row r="19" spans="3:13" x14ac:dyDescent="0.2">
      <c r="C19" s="33"/>
      <c r="D19" s="33" t="s">
        <v>406</v>
      </c>
      <c r="E19">
        <f>SOA!H25</f>
        <v>60</v>
      </c>
    </row>
    <row r="20" spans="3:13" x14ac:dyDescent="0.2">
      <c r="D20" s="33" t="s">
        <v>388</v>
      </c>
      <c r="E20">
        <v>1.5</v>
      </c>
      <c r="I20" s="95" t="s">
        <v>397</v>
      </c>
      <c r="K20" s="211"/>
      <c r="L20" s="211"/>
      <c r="M20" s="211"/>
    </row>
    <row r="21" spans="3:13" x14ac:dyDescent="0.2">
      <c r="D21" s="33" t="s">
        <v>380</v>
      </c>
      <c r="E21">
        <f>1/2*COUTMAX*VINMAX^2*0.000001</f>
        <v>0.19868749999999999</v>
      </c>
      <c r="J21" s="89" t="s">
        <v>398</v>
      </c>
      <c r="K21" s="217" t="s">
        <v>399</v>
      </c>
      <c r="L21" s="217" t="s">
        <v>400</v>
      </c>
      <c r="M21" s="217" t="s">
        <v>401</v>
      </c>
    </row>
    <row r="22" spans="3:13" x14ac:dyDescent="0.2">
      <c r="D22" s="33" t="s">
        <v>382</v>
      </c>
      <c r="E22">
        <f>MAX(Equations!F67-E21,0)</f>
        <v>0.86647896634615396</v>
      </c>
      <c r="I22" s="95" t="s">
        <v>402</v>
      </c>
      <c r="J22" s="209">
        <v>0.1</v>
      </c>
      <c r="K22" s="210">
        <v>1</v>
      </c>
      <c r="L22" s="211">
        <v>10</v>
      </c>
      <c r="M22" s="212">
        <v>100</v>
      </c>
    </row>
    <row r="23" spans="3:13" x14ac:dyDescent="0.2">
      <c r="D23" s="33" t="s">
        <v>383</v>
      </c>
      <c r="E23">
        <f>Equations!F66</f>
        <v>26.5625</v>
      </c>
      <c r="I23" s="209" t="s">
        <v>403</v>
      </c>
      <c r="J23" s="210">
        <v>1</v>
      </c>
      <c r="K23" s="210">
        <v>10</v>
      </c>
      <c r="L23" s="211">
        <v>100</v>
      </c>
      <c r="M23" s="212">
        <v>1000</v>
      </c>
    </row>
    <row r="24" spans="3:13" x14ac:dyDescent="0.2">
      <c r="I24" s="209" t="s">
        <v>182</v>
      </c>
      <c r="J24" s="210">
        <f>SOA!C33</f>
        <v>27.000000000000007</v>
      </c>
      <c r="K24" s="210">
        <f>SOA!D33</f>
        <v>27</v>
      </c>
      <c r="L24" s="210">
        <f>SOA!E33</f>
        <v>17.142857142857146</v>
      </c>
      <c r="M24" s="210">
        <f>SOA!F33</f>
        <v>4.1160000000000005</v>
      </c>
    </row>
    <row r="25" spans="3:13" x14ac:dyDescent="0.2">
      <c r="D25" t="s">
        <v>189</v>
      </c>
      <c r="E25">
        <f>'Design Calculator'!F68</f>
        <v>16</v>
      </c>
      <c r="I25" s="209" t="s">
        <v>183</v>
      </c>
      <c r="J25" s="210">
        <f>SOA!C34</f>
        <v>-0.56863623584101264</v>
      </c>
      <c r="K25" s="210">
        <f>SOA!D34</f>
        <v>-0.65321251377534373</v>
      </c>
      <c r="L25" s="210">
        <f>SOA!E34</f>
        <v>-0.45593195564972439</v>
      </c>
      <c r="M25" s="210">
        <f>SOA!F34</f>
        <v>-0.14612803567823807</v>
      </c>
    </row>
    <row r="26" spans="3:13" x14ac:dyDescent="0.2">
      <c r="D26" t="s">
        <v>134</v>
      </c>
      <c r="E26" t="str">
        <f>'Design Calculator'!F69</f>
        <v>Constant Current</v>
      </c>
    </row>
    <row r="27" spans="3:13" x14ac:dyDescent="0.2">
      <c r="D27" t="s">
        <v>135</v>
      </c>
      <c r="E27">
        <f>'Design Calculator'!F70</f>
        <v>4</v>
      </c>
      <c r="I27" s="208" t="s">
        <v>419</v>
      </c>
      <c r="J27" s="89" t="s">
        <v>148</v>
      </c>
    </row>
    <row r="28" spans="3:13" x14ac:dyDescent="0.2">
      <c r="G28" t="s">
        <v>417</v>
      </c>
      <c r="I28" s="4">
        <f>SUM(E58:X58)</f>
        <v>12</v>
      </c>
      <c r="J28" s="4">
        <f>IF(I28=0, "NA", I28/AVERAGE(1, E32))</f>
        <v>13.447186399678067</v>
      </c>
    </row>
    <row r="29" spans="3:13" x14ac:dyDescent="0.2">
      <c r="D29" s="33" t="s">
        <v>436</v>
      </c>
      <c r="E29">
        <f>12/1</f>
        <v>12</v>
      </c>
      <c r="G29" t="s">
        <v>418</v>
      </c>
      <c r="I29" s="4">
        <f>SUM(E59:X59)</f>
        <v>1.0630401484920993</v>
      </c>
      <c r="J29" s="4">
        <f>IF(I29=0, "NA", I29*AVERAGE(1,E32))</f>
        <v>0.94863575195258598</v>
      </c>
    </row>
    <row r="30" spans="3:13" x14ac:dyDescent="0.2">
      <c r="D30" s="33" t="s">
        <v>437</v>
      </c>
      <c r="E30">
        <v>0.12</v>
      </c>
    </row>
    <row r="31" spans="3:13" x14ac:dyDescent="0.2">
      <c r="D31" s="33" t="s">
        <v>409</v>
      </c>
      <c r="E31">
        <v>20</v>
      </c>
    </row>
    <row r="32" spans="3:13" x14ac:dyDescent="0.2">
      <c r="D32" s="33" t="s">
        <v>410</v>
      </c>
      <c r="E32">
        <f>(E30/E29)^(1/(E31-1))</f>
        <v>0.78475997035146128</v>
      </c>
    </row>
    <row r="33" spans="4:24" x14ac:dyDescent="0.2">
      <c r="D33" s="33"/>
    </row>
    <row r="34" spans="4:24" x14ac:dyDescent="0.2">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
      <c r="D35" s="216" t="s">
        <v>381</v>
      </c>
      <c r="E35" s="216">
        <f>E29</f>
        <v>12</v>
      </c>
      <c r="F35" s="216">
        <f>E35*$E$32</f>
        <v>9.4171196442175358</v>
      </c>
      <c r="G35" s="216">
        <f t="shared" ref="G35:X35" si="0">F35*$E$32</f>
        <v>7.3901785327923166</v>
      </c>
      <c r="H35" s="216">
        <f t="shared" si="0"/>
        <v>5.7995162862861038</v>
      </c>
      <c r="I35" s="216">
        <f t="shared" si="0"/>
        <v>4.5512282288787</v>
      </c>
      <c r="J35" s="216">
        <f t="shared" si="0"/>
        <v>3.5716217299575823</v>
      </c>
      <c r="K35" s="216">
        <f t="shared" si="0"/>
        <v>2.802865762908147</v>
      </c>
      <c r="L35" s="216">
        <f t="shared" si="0"/>
        <v>2.1995768529989235</v>
      </c>
      <c r="M35" s="216">
        <f t="shared" si="0"/>
        <v>1.7261398659451956</v>
      </c>
      <c r="N35" s="216">
        <f t="shared" si="0"/>
        <v>1.354605470021627</v>
      </c>
      <c r="O35" s="216">
        <f t="shared" si="0"/>
        <v>1.0630401484920993</v>
      </c>
      <c r="P35" s="216">
        <f t="shared" si="0"/>
        <v>0.83423135541307281</v>
      </c>
      <c r="Q35" s="216">
        <f t="shared" si="0"/>
        <v>0.65467137374022233</v>
      </c>
      <c r="R35" s="216">
        <f t="shared" si="0"/>
        <v>0.51375988784632731</v>
      </c>
      <c r="S35" s="216">
        <f t="shared" si="0"/>
        <v>0.40317819435405389</v>
      </c>
      <c r="T35" s="216">
        <f t="shared" si="0"/>
        <v>0.316398107847643</v>
      </c>
      <c r="U35" s="216">
        <f t="shared" si="0"/>
        <v>0.24829656973377476</v>
      </c>
      <c r="V35" s="216">
        <f t="shared" si="0"/>
        <v>0.19485320870264661</v>
      </c>
      <c r="W35" s="216">
        <f t="shared" si="0"/>
        <v>0.15291299828437604</v>
      </c>
      <c r="X35" s="216">
        <f t="shared" si="0"/>
        <v>0.12</v>
      </c>
    </row>
    <row r="36" spans="4:24" x14ac:dyDescent="0.2">
      <c r="D36" s="33" t="s">
        <v>384</v>
      </c>
      <c r="E36">
        <f t="shared" ref="E36:X36" si="1">VINMAX/E35</f>
        <v>3.5416666666666665</v>
      </c>
      <c r="F36">
        <f t="shared" si="1"/>
        <v>4.5130572410319321</v>
      </c>
      <c r="G36">
        <f t="shared" si="1"/>
        <v>5.7508759512933896</v>
      </c>
      <c r="H36">
        <f t="shared" si="1"/>
        <v>7.3281973706148804</v>
      </c>
      <c r="I36">
        <f t="shared" si="1"/>
        <v>9.3381385996700175</v>
      </c>
      <c r="J36">
        <f t="shared" si="1"/>
        <v>11.899356430588394</v>
      </c>
      <c r="K36">
        <f t="shared" si="1"/>
        <v>15.163052245464518</v>
      </c>
      <c r="L36">
        <f t="shared" si="1"/>
        <v>19.321898183305169</v>
      </c>
      <c r="M36">
        <f t="shared" si="1"/>
        <v>24.621411531288601</v>
      </c>
      <c r="N36">
        <f t="shared" si="1"/>
        <v>31.374448827023755</v>
      </c>
      <c r="O36">
        <f t="shared" si="1"/>
        <v>39.979675330499397</v>
      </c>
      <c r="P36">
        <f t="shared" si="1"/>
        <v>50.945100210188052</v>
      </c>
      <c r="Q36">
        <f t="shared" si="1"/>
        <v>64.918066841982096</v>
      </c>
      <c r="R36">
        <f t="shared" si="1"/>
        <v>82.723468696941822</v>
      </c>
      <c r="S36">
        <f t="shared" si="1"/>
        <v>105.41244689110918</v>
      </c>
      <c r="T36">
        <f t="shared" si="1"/>
        <v>134.3244442551005</v>
      </c>
      <c r="U36">
        <f t="shared" si="1"/>
        <v>171.1662792827496</v>
      </c>
      <c r="V36">
        <f t="shared" si="1"/>
        <v>218.11290808588436</v>
      </c>
      <c r="W36">
        <f t="shared" si="1"/>
        <v>277.93582283280921</v>
      </c>
      <c r="X36">
        <f t="shared" si="1"/>
        <v>354.16666666666669</v>
      </c>
    </row>
    <row r="37" spans="4:24" x14ac:dyDescent="0.2">
      <c r="D37" s="33" t="s">
        <v>385</v>
      </c>
      <c r="E37">
        <f t="shared" ref="E37:X37" si="2">E35*COUTMAX/1000</f>
        <v>2.64</v>
      </c>
      <c r="F37">
        <f t="shared" si="2"/>
        <v>2.0717663217278579</v>
      </c>
      <c r="G37">
        <f t="shared" si="2"/>
        <v>1.6258392772143098</v>
      </c>
      <c r="H37">
        <f t="shared" si="2"/>
        <v>1.275893582982943</v>
      </c>
      <c r="I37">
        <f t="shared" si="2"/>
        <v>1.001270210353314</v>
      </c>
      <c r="J37">
        <f t="shared" si="2"/>
        <v>0.78575678059066811</v>
      </c>
      <c r="K37">
        <f t="shared" si="2"/>
        <v>0.61663046783979236</v>
      </c>
      <c r="L37">
        <f t="shared" si="2"/>
        <v>0.48390690765976319</v>
      </c>
      <c r="M37">
        <f t="shared" si="2"/>
        <v>0.37975077050794304</v>
      </c>
      <c r="N37">
        <f t="shared" si="2"/>
        <v>0.2980132034047579</v>
      </c>
      <c r="O37">
        <f t="shared" si="2"/>
        <v>0.23386883266826183</v>
      </c>
      <c r="P37">
        <f t="shared" si="2"/>
        <v>0.18353089819087604</v>
      </c>
      <c r="Q37">
        <f t="shared" si="2"/>
        <v>0.14402770222284891</v>
      </c>
      <c r="R37">
        <f t="shared" si="2"/>
        <v>0.11302717532619201</v>
      </c>
      <c r="S37">
        <f t="shared" si="2"/>
        <v>8.8699202757891851E-2</v>
      </c>
      <c r="T37">
        <f t="shared" si="2"/>
        <v>6.9607583726481459E-2</v>
      </c>
      <c r="U37">
        <f t="shared" si="2"/>
        <v>5.4625245341430449E-2</v>
      </c>
      <c r="V37">
        <f t="shared" si="2"/>
        <v>4.2867705914582249E-2</v>
      </c>
      <c r="W37">
        <f t="shared" si="2"/>
        <v>3.3640859622562733E-2</v>
      </c>
      <c r="X37">
        <f t="shared" si="2"/>
        <v>2.64E-2</v>
      </c>
    </row>
    <row r="38" spans="4:24" x14ac:dyDescent="0.2">
      <c r="D38" s="33" t="s">
        <v>386</v>
      </c>
      <c r="E38">
        <f>$E$21+$E$22*E36/$E$23</f>
        <v>0.31421802884615385</v>
      </c>
      <c r="F38">
        <f>$E$21+$E$22*F36/$E$23</f>
        <v>0.34590516299370822</v>
      </c>
      <c r="G38">
        <f>$E$21+$E$22*G36/$E$23</f>
        <v>0.38628328540655626</v>
      </c>
      <c r="H38">
        <f t="shared" ref="H38:J38" si="3">$E$21+$E$22*H36/$E$23</f>
        <v>0.43773611676690766</v>
      </c>
      <c r="I38">
        <f t="shared" si="3"/>
        <v>0.50330117271300512</v>
      </c>
      <c r="J38">
        <f t="shared" si="3"/>
        <v>0.58684908344134368</v>
      </c>
      <c r="K38">
        <f>$E$21+$E$22*K36/$E$23</f>
        <v>0.69331209619022394</v>
      </c>
      <c r="L38">
        <f t="shared" ref="L38:R38" si="4">$E$21+$E$22*L36/$E$23</f>
        <v>0.82897525023871599</v>
      </c>
      <c r="M38">
        <f t="shared" si="4"/>
        <v>1.0018474139243001</v>
      </c>
      <c r="N38">
        <f t="shared" si="4"/>
        <v>1.2221340878332176</v>
      </c>
      <c r="O38">
        <f t="shared" si="4"/>
        <v>1.5028398860790946</v>
      </c>
      <c r="P38">
        <f t="shared" si="4"/>
        <v>1.8605362631256461</v>
      </c>
      <c r="Q38">
        <f t="shared" si="4"/>
        <v>2.3163398088727032</v>
      </c>
      <c r="R38">
        <f t="shared" si="4"/>
        <v>2.8971588656129725</v>
      </c>
      <c r="S38">
        <f t="shared" ref="S38:X38" si="5">$E$21+$E$22*S36/$E$23</f>
        <v>3.6372820608367862</v>
      </c>
      <c r="T38">
        <f t="shared" si="5"/>
        <v>4.5804025348491697</v>
      </c>
      <c r="U38">
        <f t="shared" si="5"/>
        <v>5.7821973633876329</v>
      </c>
      <c r="V38">
        <f t="shared" si="5"/>
        <v>7.3136144513415813</v>
      </c>
      <c r="W38">
        <f>$E$21+$E$22*W36/$E$23</f>
        <v>9.2650609391996355</v>
      </c>
      <c r="X38">
        <f t="shared" si="5"/>
        <v>11.751740384615387</v>
      </c>
    </row>
    <row r="39" spans="4:24" x14ac:dyDescent="0.2">
      <c r="D39" s="33" t="s">
        <v>389</v>
      </c>
      <c r="E39">
        <f t="shared" ref="E39:X39" si="6">(E37+IF($E$26="Resistive",0,IF($E$25=0,$E$27,0)))*VINMAX</f>
        <v>112.2</v>
      </c>
      <c r="F39">
        <f t="shared" si="6"/>
        <v>88.050068673433955</v>
      </c>
      <c r="G39">
        <f t="shared" si="6"/>
        <v>69.098169281608165</v>
      </c>
      <c r="H39">
        <f t="shared" si="6"/>
        <v>54.225477276775074</v>
      </c>
      <c r="I39">
        <f t="shared" si="6"/>
        <v>42.553983940015847</v>
      </c>
      <c r="J39">
        <f t="shared" si="6"/>
        <v>33.394663175103396</v>
      </c>
      <c r="K39">
        <f t="shared" si="6"/>
        <v>26.206794883191176</v>
      </c>
      <c r="L39">
        <f t="shared" si="6"/>
        <v>20.566043575539936</v>
      </c>
      <c r="M39">
        <f t="shared" si="6"/>
        <v>16.13940774658758</v>
      </c>
      <c r="N39">
        <f t="shared" si="6"/>
        <v>12.665561144702211</v>
      </c>
      <c r="O39">
        <f t="shared" si="6"/>
        <v>9.9394253884011281</v>
      </c>
      <c r="P39">
        <f t="shared" si="6"/>
        <v>7.8000631731122319</v>
      </c>
      <c r="Q39">
        <f t="shared" si="6"/>
        <v>6.1211773444710786</v>
      </c>
      <c r="R39">
        <f t="shared" si="6"/>
        <v>4.8036549513631606</v>
      </c>
      <c r="S39">
        <f t="shared" si="6"/>
        <v>3.7697161172104039</v>
      </c>
      <c r="T39">
        <f t="shared" si="6"/>
        <v>2.958322308375462</v>
      </c>
      <c r="U39">
        <f t="shared" si="6"/>
        <v>2.3215729270107941</v>
      </c>
      <c r="V39">
        <f t="shared" si="6"/>
        <v>1.8218775013697457</v>
      </c>
      <c r="W39">
        <f t="shared" si="6"/>
        <v>1.4297365339589161</v>
      </c>
      <c r="X39">
        <f t="shared" si="6"/>
        <v>1.1219999999999999</v>
      </c>
    </row>
    <row r="40" spans="4:24" x14ac:dyDescent="0.2">
      <c r="D40" s="33" t="s">
        <v>387</v>
      </c>
      <c r="E40">
        <f t="shared" ref="E40:X40" si="7">(E37+IF($E$26="Resistive", $E$25/$E$27,$E$27)) *(VINMAX-$E$25)</f>
        <v>175.96</v>
      </c>
      <c r="F40">
        <f t="shared" si="7"/>
        <v>160.90180752578823</v>
      </c>
      <c r="G40">
        <f t="shared" si="7"/>
        <v>149.08474084617919</v>
      </c>
      <c r="H40">
        <f t="shared" si="7"/>
        <v>139.81117994904798</v>
      </c>
      <c r="I40">
        <f t="shared" si="7"/>
        <v>132.53366057436281</v>
      </c>
      <c r="J40">
        <f t="shared" si="7"/>
        <v>126.82255468565269</v>
      </c>
      <c r="K40">
        <f t="shared" si="7"/>
        <v>122.3407073977545</v>
      </c>
      <c r="L40">
        <f t="shared" si="7"/>
        <v>118.82353305298373</v>
      </c>
      <c r="M40">
        <f t="shared" si="7"/>
        <v>116.0633954184605</v>
      </c>
      <c r="N40">
        <f t="shared" si="7"/>
        <v>113.89734989022608</v>
      </c>
      <c r="O40">
        <f t="shared" si="7"/>
        <v>112.19752406570893</v>
      </c>
      <c r="P40">
        <f t="shared" si="7"/>
        <v>110.86356880205821</v>
      </c>
      <c r="Q40">
        <f t="shared" si="7"/>
        <v>109.81673410890551</v>
      </c>
      <c r="R40">
        <f t="shared" si="7"/>
        <v>108.99522014614411</v>
      </c>
      <c r="S40">
        <f t="shared" si="7"/>
        <v>108.35052887308413</v>
      </c>
      <c r="T40">
        <f t="shared" si="7"/>
        <v>107.84460096875176</v>
      </c>
      <c r="U40">
        <f t="shared" si="7"/>
        <v>107.4475690015479</v>
      </c>
      <c r="V40">
        <f t="shared" si="7"/>
        <v>107.13599420673643</v>
      </c>
      <c r="W40">
        <f t="shared" si="7"/>
        <v>106.89148277999792</v>
      </c>
      <c r="X40">
        <f t="shared" si="7"/>
        <v>106.69959999999999</v>
      </c>
    </row>
    <row r="41" spans="4:24" x14ac:dyDescent="0.2">
      <c r="D41" s="33"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
      <c r="D42" s="33"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
      <c r="D44" s="33" t="s">
        <v>395</v>
      </c>
      <c r="E44">
        <f>MAX(E39,E40,E42)</f>
        <v>175.96</v>
      </c>
      <c r="F44">
        <f>MAX(F39,F40,F42)</f>
        <v>160.90180752578823</v>
      </c>
      <c r="G44">
        <f>MAX(G39,G40,G42)</f>
        <v>149.08474084617919</v>
      </c>
      <c r="H44">
        <f t="shared" ref="H44:J44" si="10">MAX(H39,H40,H42)</f>
        <v>139.81117994904798</v>
      </c>
      <c r="I44">
        <f t="shared" si="10"/>
        <v>132.53366057436281</v>
      </c>
      <c r="J44">
        <f t="shared" si="10"/>
        <v>126.82255468565269</v>
      </c>
      <c r="K44">
        <f>MAX(K39,K40,K42)</f>
        <v>122.3407073977545</v>
      </c>
      <c r="L44">
        <f t="shared" ref="L44:R44" si="11">MAX(L39,L40,L42)</f>
        <v>118.82353305298373</v>
      </c>
      <c r="M44">
        <f t="shared" si="11"/>
        <v>116.0633954184605</v>
      </c>
      <c r="N44">
        <f t="shared" si="11"/>
        <v>113.89734989022608</v>
      </c>
      <c r="O44">
        <f t="shared" si="11"/>
        <v>112.19752406570893</v>
      </c>
      <c r="P44">
        <f t="shared" si="11"/>
        <v>110.86356880205821</v>
      </c>
      <c r="Q44">
        <f t="shared" si="11"/>
        <v>109.81673410890551</v>
      </c>
      <c r="R44">
        <f t="shared" si="11"/>
        <v>108.99522014614411</v>
      </c>
      <c r="S44">
        <f t="shared" ref="S44:X44" si="12">MAX(S39,S40,S42)</f>
        <v>108.35052887308413</v>
      </c>
      <c r="T44">
        <f t="shared" si="12"/>
        <v>107.84460096875176</v>
      </c>
      <c r="U44">
        <f t="shared" si="12"/>
        <v>107.4475690015479</v>
      </c>
      <c r="V44">
        <f t="shared" si="12"/>
        <v>107.13599420673643</v>
      </c>
      <c r="W44">
        <f t="shared" si="12"/>
        <v>106.89148277999792</v>
      </c>
      <c r="X44">
        <f t="shared" si="12"/>
        <v>106.69959999999999</v>
      </c>
    </row>
    <row r="45" spans="4:24" x14ac:dyDescent="0.2">
      <c r="D45" s="33" t="s">
        <v>396</v>
      </c>
      <c r="E45">
        <f>E38/E44*1000</f>
        <v>1.7857355583436796</v>
      </c>
      <c r="F45">
        <f>F38/F44*1000</f>
        <v>2.1497904113865776</v>
      </c>
      <c r="G45">
        <f>G38/G44*1000</f>
        <v>2.5910316724171714</v>
      </c>
      <c r="H45">
        <f t="shared" ref="H45:J45" si="13">H38/H44*1000</f>
        <v>3.1309092515093129</v>
      </c>
      <c r="I45">
        <f t="shared" si="13"/>
        <v>3.7975346831276102</v>
      </c>
      <c r="J45">
        <f t="shared" si="13"/>
        <v>4.6273242554995893</v>
      </c>
      <c r="K45">
        <f>K38/K44*1000</f>
        <v>5.6670597296460397</v>
      </c>
      <c r="L45">
        <f t="shared" ref="L45" si="14">L38/L44*1000</f>
        <v>6.976524169409049</v>
      </c>
      <c r="M45">
        <f t="shared" ref="M45:N45" si="15">M38/M44*1000</f>
        <v>8.6318981993607178</v>
      </c>
      <c r="N45">
        <f t="shared" si="15"/>
        <v>10.730136293874324</v>
      </c>
      <c r="O45">
        <f t="shared" ref="O45" si="16">O38/O44*1000</f>
        <v>13.39459046528469</v>
      </c>
      <c r="P45">
        <f t="shared" ref="P45" si="17">P38/P44*1000</f>
        <v>16.78221514271787</v>
      </c>
      <c r="Q45">
        <f t="shared" ref="Q45:R45" si="18">Q38/Q44*1000</f>
        <v>21.092776321098601</v>
      </c>
      <c r="R45">
        <f t="shared" si="18"/>
        <v>26.580604743294007</v>
      </c>
      <c r="S45">
        <f t="shared" ref="S45" si="19">S38/S44*1000</f>
        <v>33.569582896058577</v>
      </c>
      <c r="T45">
        <f t="shared" ref="T45:U45" si="20">T38/T44*1000</f>
        <v>42.472247045323599</v>
      </c>
      <c r="U45">
        <f t="shared" si="20"/>
        <v>53.814129227105489</v>
      </c>
      <c r="V45">
        <f t="shared" ref="V45" si="21">V38/V44*1000</f>
        <v>68.264774182510195</v>
      </c>
      <c r="W45">
        <f t="shared" ref="W45" si="22">W38/W44*1000</f>
        <v>86.677260884001512</v>
      </c>
      <c r="X45">
        <f t="shared" ref="X45" si="23">X38/X44*1000</f>
        <v>110.1385608251145</v>
      </c>
    </row>
    <row r="47" spans="4:24" x14ac:dyDescent="0.2">
      <c r="D47" s="33" t="s">
        <v>182</v>
      </c>
      <c r="E47">
        <f>IF(E45&lt;$J$23,$J$24,IF(E45&lt;$K$23,$K$24,IF(E45&lt;$L$23,$L$24,$M$24)))</f>
        <v>27</v>
      </c>
      <c r="F47">
        <f>IF(F45&lt;$J$23,$J$24,IF(F45&lt;$K$23,$K$24,IF(F45&lt;$L$23,$L$24,$M$24)))</f>
        <v>27</v>
      </c>
      <c r="G47">
        <f>IF(G45&lt;$J$23,$J$24,IF(G45&lt;$K$23,$K$24,IF(G45&lt;$L$23,$L$24,$M$24)))</f>
        <v>27</v>
      </c>
      <c r="H47">
        <f t="shared" ref="H47:I47" si="24">IF(H45&lt;$J$23,$J$24,IF(H45&lt;$K$23,$K$24,IF(H45&lt;$L$23,$L$24,$M$24)))</f>
        <v>27</v>
      </c>
      <c r="I47">
        <f t="shared" si="24"/>
        <v>27</v>
      </c>
      <c r="J47">
        <f>IF(J45&lt;$J$23,$J$24,IF(J45&lt;$K$23,$K$24,IF(J45&lt;$L$23,$L$24,$M$24)))</f>
        <v>27</v>
      </c>
      <c r="K47">
        <f>IF(K45&lt;$J$23,$J$24,IF(K45&lt;$K$23,$K$24,IF(K45&lt;$L$23,$L$24,$M$24)))</f>
        <v>27</v>
      </c>
      <c r="L47">
        <f t="shared" ref="L47:R47" si="25">IF(L45&lt;$J$23,$J$24,IF(L45&lt;$K$23,$K$24,IF(L45&lt;$L$23,$L$24,$M$24)))</f>
        <v>27</v>
      </c>
      <c r="M47">
        <f t="shared" si="25"/>
        <v>27</v>
      </c>
      <c r="N47">
        <f t="shared" si="25"/>
        <v>17.142857142857146</v>
      </c>
      <c r="O47">
        <f t="shared" si="25"/>
        <v>17.142857142857146</v>
      </c>
      <c r="P47">
        <f t="shared" si="25"/>
        <v>17.142857142857146</v>
      </c>
      <c r="Q47">
        <f t="shared" si="25"/>
        <v>17.142857142857146</v>
      </c>
      <c r="R47">
        <f t="shared" si="25"/>
        <v>17.142857142857146</v>
      </c>
      <c r="S47">
        <f t="shared" ref="S47:X47" si="26">IF(S45&lt;$J$23,$J$24,IF(S45&lt;$K$23,$K$24,IF(S45&lt;$L$23,$L$24,$M$24)))</f>
        <v>17.142857142857146</v>
      </c>
      <c r="T47">
        <f t="shared" si="26"/>
        <v>17.142857142857146</v>
      </c>
      <c r="U47">
        <f t="shared" si="26"/>
        <v>17.142857142857146</v>
      </c>
      <c r="V47">
        <f t="shared" si="26"/>
        <v>17.142857142857146</v>
      </c>
      <c r="W47">
        <f t="shared" si="26"/>
        <v>17.142857142857146</v>
      </c>
      <c r="X47">
        <f t="shared" si="26"/>
        <v>4.1160000000000005</v>
      </c>
    </row>
    <row r="48" spans="4:24" x14ac:dyDescent="0.2">
      <c r="D48" s="33" t="s">
        <v>183</v>
      </c>
      <c r="E48">
        <f>IF(E45&lt;$J$23,$J$25,IF(E45&lt;$K$23,$K$25,IF(E45&lt;$L$23,$L$25,$M$25)))</f>
        <v>-0.65321251377534373</v>
      </c>
      <c r="F48">
        <f>IF(F45&lt;$J$23,$J$25,IF(F45&lt;$K$23,$K$25,IF(F45&lt;$L$23,$L$25,$M$25)))</f>
        <v>-0.65321251377534373</v>
      </c>
      <c r="G48">
        <f>IF(G45&lt;$J$23,$J$25,IF(G45&lt;$K$23,$K$25,IF(G45&lt;$L$23,$L$25,$M$25)))</f>
        <v>-0.65321251377534373</v>
      </c>
      <c r="H48">
        <f t="shared" ref="H48:J48" si="27">IF(H45&lt;$J$23,$J$25,IF(H45&lt;$K$23,$K$25,IF(H45&lt;$L$23,$L$25,$M$25)))</f>
        <v>-0.65321251377534373</v>
      </c>
      <c r="I48">
        <f t="shared" si="27"/>
        <v>-0.65321251377534373</v>
      </c>
      <c r="J48">
        <f t="shared" si="27"/>
        <v>-0.65321251377534373</v>
      </c>
      <c r="K48">
        <f>IF(K45&lt;$J$23,$J$25,IF(K45&lt;$K$23,$K$25,IF(K45&lt;$L$23,$L$25,$M$25)))</f>
        <v>-0.65321251377534373</v>
      </c>
      <c r="L48">
        <f t="shared" ref="L48:R48" si="28">IF(L45&lt;$J$23,$J$25,IF(L45&lt;$K$23,$K$25,IF(L45&lt;$L$23,$L$25,$M$25)))</f>
        <v>-0.65321251377534373</v>
      </c>
      <c r="M48">
        <f t="shared" si="28"/>
        <v>-0.65321251377534373</v>
      </c>
      <c r="N48">
        <f t="shared" si="28"/>
        <v>-0.45593195564972439</v>
      </c>
      <c r="O48">
        <f t="shared" si="28"/>
        <v>-0.45593195564972439</v>
      </c>
      <c r="P48">
        <f t="shared" si="28"/>
        <v>-0.45593195564972439</v>
      </c>
      <c r="Q48">
        <f t="shared" si="28"/>
        <v>-0.45593195564972439</v>
      </c>
      <c r="R48">
        <f t="shared" si="28"/>
        <v>-0.45593195564972439</v>
      </c>
      <c r="S48">
        <f t="shared" ref="S48:X48" si="29">IF(S45&lt;$J$23,$J$25,IF(S45&lt;$K$23,$K$25,IF(S45&lt;$L$23,$L$25,$M$25)))</f>
        <v>-0.45593195564972439</v>
      </c>
      <c r="T48">
        <f t="shared" si="29"/>
        <v>-0.45593195564972439</v>
      </c>
      <c r="U48">
        <f t="shared" si="29"/>
        <v>-0.45593195564972439</v>
      </c>
      <c r="V48">
        <f t="shared" si="29"/>
        <v>-0.45593195564972439</v>
      </c>
      <c r="W48">
        <f t="shared" si="29"/>
        <v>-0.45593195564972439</v>
      </c>
      <c r="X48">
        <f t="shared" si="29"/>
        <v>-0.14612803567823807</v>
      </c>
    </row>
    <row r="50" spans="4:25" x14ac:dyDescent="0.2">
      <c r="D50" s="33" t="s">
        <v>404</v>
      </c>
      <c r="E50">
        <f t="shared" ref="E50:X50" si="30">E47*E45^E48*VINMAX</f>
        <v>785.7105468950466</v>
      </c>
      <c r="F50">
        <f t="shared" si="30"/>
        <v>696.02908539755992</v>
      </c>
      <c r="G50">
        <f t="shared" si="30"/>
        <v>616.12259829046195</v>
      </c>
      <c r="H50">
        <f t="shared" si="30"/>
        <v>544.47072546897209</v>
      </c>
      <c r="I50">
        <f t="shared" si="30"/>
        <v>479.97089175359196</v>
      </c>
      <c r="J50">
        <f>J47*J45^J48*VINMAX</f>
        <v>421.84300880857342</v>
      </c>
      <c r="K50">
        <f t="shared" si="30"/>
        <v>369.53021815540069</v>
      </c>
      <c r="L50">
        <f t="shared" si="30"/>
        <v>322.60944269840371</v>
      </c>
      <c r="M50">
        <f t="shared" si="30"/>
        <v>280.72192828813365</v>
      </c>
      <c r="N50">
        <f t="shared" si="30"/>
        <v>246.93706059793578</v>
      </c>
      <c r="O50">
        <f t="shared" si="30"/>
        <v>223.18705043431157</v>
      </c>
      <c r="P50">
        <f t="shared" si="30"/>
        <v>201.38364930552981</v>
      </c>
      <c r="Q50">
        <f t="shared" si="30"/>
        <v>181.45011474907761</v>
      </c>
      <c r="R50">
        <f t="shared" si="30"/>
        <v>163.29297245600745</v>
      </c>
      <c r="S50">
        <f t="shared" si="30"/>
        <v>146.80627428840708</v>
      </c>
      <c r="T50">
        <f t="shared" si="30"/>
        <v>131.8763537128192</v>
      </c>
      <c r="U50">
        <f t="shared" si="30"/>
        <v>118.38623065519423</v>
      </c>
      <c r="V50">
        <f t="shared" si="30"/>
        <v>106.21925885070502</v>
      </c>
      <c r="W50">
        <f>W47*W45^W48*VINMAX</f>
        <v>95.261899753425865</v>
      </c>
      <c r="X50">
        <f t="shared" si="30"/>
        <v>87.999398379197871</v>
      </c>
    </row>
    <row r="51" spans="4:25" x14ac:dyDescent="0.2">
      <c r="D51" s="33" t="s">
        <v>405</v>
      </c>
      <c r="E51">
        <f t="shared" ref="E51:X51" si="31">E50*(TJMAX-$E$19)/(TJMAX - 25)</f>
        <v>602.37808595286901</v>
      </c>
      <c r="F51">
        <f t="shared" si="31"/>
        <v>533.62229880479595</v>
      </c>
      <c r="G51">
        <f t="shared" si="31"/>
        <v>472.36065868935412</v>
      </c>
      <c r="H51">
        <f t="shared" si="31"/>
        <v>417.42755619287857</v>
      </c>
      <c r="I51">
        <f t="shared" si="31"/>
        <v>367.97768367775382</v>
      </c>
      <c r="J51">
        <f t="shared" si="31"/>
        <v>323.41297341990628</v>
      </c>
      <c r="K51">
        <f t="shared" si="31"/>
        <v>283.30650058580716</v>
      </c>
      <c r="L51">
        <f t="shared" si="31"/>
        <v>247.33390606877617</v>
      </c>
      <c r="M51">
        <f t="shared" si="31"/>
        <v>215.22014502090246</v>
      </c>
      <c r="N51">
        <f t="shared" si="31"/>
        <v>189.31841312508411</v>
      </c>
      <c r="O51">
        <f t="shared" si="31"/>
        <v>171.11007199963888</v>
      </c>
      <c r="P51">
        <f t="shared" si="31"/>
        <v>154.39413113423953</v>
      </c>
      <c r="Q51">
        <f t="shared" si="31"/>
        <v>139.1117546409595</v>
      </c>
      <c r="R51">
        <f t="shared" si="31"/>
        <v>125.19127888293906</v>
      </c>
      <c r="S51">
        <f t="shared" si="31"/>
        <v>112.55147695444543</v>
      </c>
      <c r="T51">
        <f t="shared" si="31"/>
        <v>101.10520451316138</v>
      </c>
      <c r="U51">
        <f t="shared" si="31"/>
        <v>90.762776835648907</v>
      </c>
      <c r="V51">
        <f t="shared" si="31"/>
        <v>81.434765118873855</v>
      </c>
      <c r="W51">
        <f t="shared" si="31"/>
        <v>73.034123144293162</v>
      </c>
      <c r="X51">
        <f t="shared" si="31"/>
        <v>67.466205424051694</v>
      </c>
    </row>
    <row r="52" spans="4:25" x14ac:dyDescent="0.2">
      <c r="D52" s="33" t="s">
        <v>407</v>
      </c>
      <c r="E52">
        <f>E51/E44</f>
        <v>3.4233808021872525</v>
      </c>
      <c r="F52">
        <f>F51/F44</f>
        <v>3.3164468877658235</v>
      </c>
      <c r="G52">
        <f>G51/G44</f>
        <v>3.1684037951055002</v>
      </c>
      <c r="H52">
        <f t="shared" ref="H52:J52" si="32">H51/H44</f>
        <v>2.9856521942308447</v>
      </c>
      <c r="I52">
        <f t="shared" si="32"/>
        <v>2.776484721564652</v>
      </c>
      <c r="J52">
        <f t="shared" si="32"/>
        <v>2.5501218944968445</v>
      </c>
      <c r="K52">
        <f>K51/K44</f>
        <v>2.3157173651507521</v>
      </c>
      <c r="L52">
        <f t="shared" ref="L52" si="33">L51/L44</f>
        <v>2.0815229080799114</v>
      </c>
      <c r="M52">
        <f t="shared" ref="M52:N52" si="34">M51/M44</f>
        <v>1.8543326622914786</v>
      </c>
      <c r="N52">
        <f t="shared" si="34"/>
        <v>1.662184531137455</v>
      </c>
      <c r="O52">
        <f t="shared" ref="O52" si="35">O51/O44</f>
        <v>1.5250788591326452</v>
      </c>
      <c r="P52">
        <f t="shared" ref="P52" si="36">P51/P44</f>
        <v>1.3926498380176009</v>
      </c>
      <c r="Q52">
        <f t="shared" ref="Q52:R52" si="37">Q51/Q44</f>
        <v>1.2667628096006029</v>
      </c>
      <c r="R52">
        <f t="shared" si="37"/>
        <v>1.1485942109670386</v>
      </c>
      <c r="S52">
        <f t="shared" ref="S52" si="38">S51/S44</f>
        <v>1.0387718281124596</v>
      </c>
      <c r="T52">
        <f t="shared" ref="T52:U52" si="39">T51/T44</f>
        <v>0.93750826286108535</v>
      </c>
      <c r="U52">
        <f t="shared" si="39"/>
        <v>0.84471689475209411</v>
      </c>
      <c r="V52">
        <f t="shared" ref="V52" si="40">V51/V44</f>
        <v>0.76010649569118804</v>
      </c>
      <c r="W52">
        <f t="shared" ref="W52" si="41">W51/W44</f>
        <v>0.68325484168472661</v>
      </c>
      <c r="X52">
        <f t="shared" ref="X52" si="42">X51/X44</f>
        <v>0.63230045308559446</v>
      </c>
    </row>
    <row r="54" spans="4:25" x14ac:dyDescent="0.2">
      <c r="D54" s="33" t="s">
        <v>411</v>
      </c>
      <c r="E54" t="str">
        <f>IF(E52&gt;$E$20, "Y", "N")</f>
        <v>Y</v>
      </c>
      <c r="F54" t="str">
        <f t="shared" ref="F54:X54" si="43">IF(F52&gt;$E$20, "Y", "N")</f>
        <v>Y</v>
      </c>
      <c r="G54" t="str">
        <f t="shared" si="43"/>
        <v>Y</v>
      </c>
      <c r="H54" t="str">
        <f t="shared" si="43"/>
        <v>Y</v>
      </c>
      <c r="I54" t="str">
        <f t="shared" si="43"/>
        <v>Y</v>
      </c>
      <c r="J54" t="str">
        <f t="shared" si="43"/>
        <v>Y</v>
      </c>
      <c r="K54" t="str">
        <f t="shared" si="43"/>
        <v>Y</v>
      </c>
      <c r="L54" t="str">
        <f t="shared" si="43"/>
        <v>Y</v>
      </c>
      <c r="M54" t="str">
        <f t="shared" si="43"/>
        <v>Y</v>
      </c>
      <c r="N54" t="str">
        <f t="shared" si="43"/>
        <v>Y</v>
      </c>
      <c r="O54" t="str">
        <f t="shared" si="43"/>
        <v>Y</v>
      </c>
      <c r="P54" t="str">
        <f t="shared" si="43"/>
        <v>N</v>
      </c>
      <c r="Q54" t="str">
        <f t="shared" si="43"/>
        <v>N</v>
      </c>
      <c r="R54" t="str">
        <f t="shared" si="43"/>
        <v>N</v>
      </c>
      <c r="S54" t="str">
        <f t="shared" si="43"/>
        <v>N</v>
      </c>
      <c r="T54" t="str">
        <f t="shared" si="43"/>
        <v>N</v>
      </c>
      <c r="U54" t="str">
        <f t="shared" si="43"/>
        <v>N</v>
      </c>
      <c r="V54" t="str">
        <f t="shared" si="43"/>
        <v>N</v>
      </c>
      <c r="W54" t="str">
        <f t="shared" si="43"/>
        <v>N</v>
      </c>
      <c r="X54" t="str">
        <f t="shared" si="43"/>
        <v>N</v>
      </c>
      <c r="Y54" t="s">
        <v>414</v>
      </c>
    </row>
    <row r="55" spans="4:25" x14ac:dyDescent="0.2">
      <c r="D55" s="33" t="s">
        <v>412</v>
      </c>
      <c r="E55">
        <f>IF(E54="Y", 1, 0)</f>
        <v>1</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0</v>
      </c>
      <c r="W55">
        <f t="shared" si="44"/>
        <v>0</v>
      </c>
      <c r="X55">
        <f t="shared" si="44"/>
        <v>0</v>
      </c>
    </row>
    <row r="56" spans="4:25" x14ac:dyDescent="0.2">
      <c r="D56" s="33"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1</v>
      </c>
      <c r="P56">
        <f t="shared" si="45"/>
        <v>0</v>
      </c>
      <c r="Q56">
        <f t="shared" si="45"/>
        <v>0</v>
      </c>
      <c r="R56">
        <f t="shared" si="45"/>
        <v>0</v>
      </c>
      <c r="S56">
        <f t="shared" si="45"/>
        <v>0</v>
      </c>
      <c r="T56">
        <f t="shared" si="45"/>
        <v>0</v>
      </c>
      <c r="U56">
        <f t="shared" si="45"/>
        <v>0</v>
      </c>
      <c r="V56">
        <f t="shared" si="45"/>
        <v>0</v>
      </c>
      <c r="W56">
        <f t="shared" si="45"/>
        <v>0</v>
      </c>
      <c r="X56">
        <f t="shared" si="45"/>
        <v>0</v>
      </c>
    </row>
    <row r="58" spans="4:25" x14ac:dyDescent="0.2">
      <c r="D58" t="s">
        <v>415</v>
      </c>
      <c r="E58">
        <f>E55*E35</f>
        <v>12</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v>
      </c>
      <c r="W58">
        <f t="shared" si="46"/>
        <v>0</v>
      </c>
      <c r="X58">
        <f t="shared" si="46"/>
        <v>0</v>
      </c>
    </row>
    <row r="59" spans="4:25" x14ac:dyDescent="0.2">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1.0630401484920993</v>
      </c>
      <c r="P59">
        <f t="shared" si="47"/>
        <v>0</v>
      </c>
      <c r="Q59">
        <f t="shared" si="47"/>
        <v>0</v>
      </c>
      <c r="R59">
        <f t="shared" si="47"/>
        <v>0</v>
      </c>
      <c r="S59">
        <f t="shared" si="47"/>
        <v>0</v>
      </c>
      <c r="T59">
        <f t="shared" si="47"/>
        <v>0</v>
      </c>
      <c r="U59">
        <f t="shared" si="47"/>
        <v>0</v>
      </c>
      <c r="V59">
        <f t="shared" si="47"/>
        <v>0</v>
      </c>
      <c r="W59">
        <f t="shared" si="47"/>
        <v>0</v>
      </c>
      <c r="X59">
        <f t="shared" si="47"/>
        <v>0</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C792D54-93DE-44B5-8029-9C9ACFC0E2BA}">
  <ds:schemaRefs>
    <ds:schemaRef ds:uri="http://schemas.microsoft.com/sharepoint/v3/contenttype/forms"/>
  </ds:schemaRefs>
</ds:datastoreItem>
</file>

<file path=customXml/itemProps3.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Eddie Tian</cp:lastModifiedBy>
  <cp:lastPrinted>2013-08-26T22:42:43Z</cp:lastPrinted>
  <dcterms:created xsi:type="dcterms:W3CDTF">2009-04-21T16:00:33Z</dcterms:created>
  <dcterms:modified xsi:type="dcterms:W3CDTF">2021-11-16T23:42:09Z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