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eç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 do produto</t>
        </is>
      </c>
      <c r="B1" s="1" t="inlineStr">
        <is>
          <t>nome</t>
        </is>
      </c>
      <c r="C1" s="1" t="inlineStr">
        <is>
          <t>valor_amazon</t>
        </is>
      </c>
      <c r="D1" s="1" t="inlineStr">
        <is>
          <t>valor_epoca</t>
        </is>
      </c>
      <c r="E1" s="1" t="inlineStr">
        <is>
          <t>valor_mercadolivre</t>
        </is>
      </c>
      <c r="F1" s="1" t="inlineStr">
        <is>
          <t>valor_pacheco</t>
        </is>
      </c>
      <c r="G1" s="1" t="inlineStr">
        <is>
          <t>valor_raia</t>
        </is>
      </c>
      <c r="H1" s="1" t="inlineStr">
        <is>
          <t>média</t>
        </is>
      </c>
    </row>
    <row r="2">
      <c r="A2" t="n">
        <v>1</v>
      </c>
      <c r="B2" t="inlineStr">
        <is>
          <t>Carga para Aparelho de Barbear Gillette Mach3 com 2 unidades</t>
        </is>
      </c>
      <c r="C2">
        <f>HYPERLINK("https://www.amazon.com.br/dp/B00RVUIRN4", "22.49")</f>
        <v/>
      </c>
      <c r="D2">
        <f>HYPERLINK("https://www.epocacosmeticos.com.br/carga-para-aparelho-de-barbear-mach3-gillette-/p", "45.90")</f>
        <v/>
      </c>
      <c r="E2">
        <f>HYPERLINK("https://www.mercadolivre.com.br/carga-para-lmina-de-barbear-gillette-mach3-2-unidades/p/MLB17355357", "19.00")</f>
        <v/>
      </c>
      <c r="F2">
        <f>HYPERLINK("https://www.drogariaspacheco.com.br/carga-gillette-mach3-com-2-unidades/p", "22.89")</f>
        <v/>
      </c>
      <c r="G2">
        <f>HYPERLINK("https://www.drogaraia.com.br/mach-3-laminas-refil-2-unidades.html", "22.89")</f>
        <v/>
      </c>
      <c r="H2" t="n">
        <v>26.634</v>
      </c>
    </row>
    <row r="3">
      <c r="A3" t="n">
        <v>2</v>
      </c>
      <c r="B3" t="inlineStr">
        <is>
          <t>Carga para Aparelho de Barbear Gillette Fusion 5 - 4 unidades</t>
        </is>
      </c>
      <c r="C3">
        <f>HYPERLINK("https://www.amazon.com.br/dp/B07Y36PSZW", "76.98")</f>
        <v/>
      </c>
      <c r="D3" t="inlineStr">
        <is>
          <t>indisp.</t>
        </is>
      </c>
      <c r="E3">
        <f>HYPERLINK("https://www.mercadolivre.com.br/4-cartuchos-refil-para-aparelho-fusion-5-gillette/p/MLB16088319", "114.00")</f>
        <v/>
      </c>
      <c r="F3">
        <f>HYPERLINK("https://www.drogariaspacheco.com.br/carga-gillette-fusion-5-com-4-unidades/p", "79.20")</f>
        <v/>
      </c>
      <c r="G3">
        <f>HYPERLINK("https://www.drogaraia.com.br/gillette-fusion5-carga-com-4-unidades.html", "79.20")</f>
        <v/>
      </c>
      <c r="H3" t="n">
        <v>87.345</v>
      </c>
    </row>
    <row r="4">
      <c r="A4" t="n">
        <v>3</v>
      </c>
      <c r="B4" t="inlineStr">
        <is>
          <t>Aparelho de Barbear Gillette Mach3 com 1 Unidade</t>
        </is>
      </c>
      <c r="C4">
        <f>HYPERLINK("https://www.amazon.com.br/dp/B0BZCJBV8J", "25.99")</f>
        <v/>
      </c>
      <c r="D4">
        <f>HYPERLINK("https://www.epocacosmeticos.com.br/aparelho-de-barbear-mach3-gillette/p", "47.90")</f>
        <v/>
      </c>
      <c r="E4">
        <f>HYPERLINK("https://www.mercadolivre.com.br/aparelho-de-barbear-mach3-carbono-reutilizavel/p/MLB23207098", "21.98")</f>
        <v/>
      </c>
      <c r="F4">
        <f>HYPERLINK("https://www.drogariaspacheco.com.br/aparelho-de-barbear-gillette-mach3-carbono-recarregavel-1-unidade/p", "28.61")</f>
        <v/>
      </c>
      <c r="G4">
        <f>HYPERLINK("https://www.drogaraia.com.br/mach-3-carbono-aparelho-para-barbear-1-unidade.html", "28.61")</f>
        <v/>
      </c>
      <c r="H4" t="n">
        <v>30.618</v>
      </c>
    </row>
    <row r="5">
      <c r="A5" t="n">
        <v>4</v>
      </c>
      <c r="B5" t="inlineStr">
        <is>
          <t>Carga para Aparelho de Barbear Gillette Mach3 Sensitive com 2 unidades</t>
        </is>
      </c>
      <c r="C5">
        <f>HYPERLINK("https://www.amazon.com.br/dp/B0101APJZ4", "26.59")</f>
        <v/>
      </c>
      <c r="D5">
        <f>HYPERLINK("https://www.epocacosmeticos.com.br/carga-para-aparelho-de-barbear-gillette-mach3-sensitive-100421/p", "46.90")</f>
        <v/>
      </c>
      <c r="E5">
        <f>HYPERLINK("https://www.mercadolivre.com.br/carga-para-lmina-de-barbear-gillette-mach3-sensitive-2unid/p/MLB17355368", "29.99")</f>
        <v/>
      </c>
      <c r="F5">
        <f>HYPERLINK("https://www.drogariaspacheco.com.br/carga-gillette-mach3-sensitive-c-2-unidades/p", "26.59")</f>
        <v/>
      </c>
      <c r="G5">
        <f>HYPERLINK("https://www.drogaraia.com.br/mach-3-sensitive-carca-com-2-unidades.html", "27.39")</f>
        <v/>
      </c>
      <c r="H5" t="n">
        <v>31.492</v>
      </c>
    </row>
    <row r="6">
      <c r="A6" t="n">
        <v>5</v>
      </c>
      <c r="B6" t="inlineStr">
        <is>
          <t>Shampoo para Barba King C. Gillette 241ml</t>
        </is>
      </c>
      <c r="C6">
        <f>HYPERLINK("https://www.amazon.com.br/dp/B0CD2XTDSW", "37.79")</f>
        <v/>
      </c>
      <c r="D6" t="inlineStr">
        <is>
          <t>indisp.</t>
        </is>
      </c>
      <c r="E6">
        <f>HYPERLINK("https://www.mercadolivre.com.br/shampoo-para-barba-241ml-king-c-gillette/p/MLB34076176", "34.90")</f>
        <v/>
      </c>
      <c r="F6">
        <f>HYPERLINK("https://www.drogariaspacheco.com.br/shampoo-para-barba-kingcgillette-mentol-241ml/p", "39.99")</f>
        <v/>
      </c>
      <c r="G6">
        <f>HYPERLINK("https://www.drogaraia.com.br/king-c-gillette-shampoo-para-barba-241ml.html", "40.63")</f>
        <v/>
      </c>
      <c r="H6" t="n">
        <v>38.3275</v>
      </c>
    </row>
    <row r="7">
      <c r="A7" t="n">
        <v>6</v>
      </c>
      <c r="B7" t="inlineStr">
        <is>
          <t>Aparelho de Barbear Gillette Mach3 Sensitive com 1 unidade</t>
        </is>
      </c>
      <c r="C7">
        <f>HYPERLINK("https://www.amazon.com.br/dp/B00WQSEYZ6", "18.90")</f>
        <v/>
      </c>
      <c r="D7">
        <f>HYPERLINK("https://www.epocacosmeticos.com.br/aparelho-de-barbear-mach3-sensitive-gillette/p", "55.90")</f>
        <v/>
      </c>
      <c r="E7">
        <f>HYPERLINK("https://www.mercadolivre.com.br/aparelho-de-barbear-mach3-sensitive-1-carga-gillette/p/MLB16525020", "18.95")</f>
        <v/>
      </c>
      <c r="F7">
        <f>HYPERLINK("https://www.drogariaspacheco.com.br/aparelho-de-barbear-gillette-mach3-sensitive-c-1-unidade/p", "25.69")</f>
        <v/>
      </c>
      <c r="G7">
        <f>HYPERLINK("https://www.drogaraia.com.br/mach-3-aparelho-sensitive.html", "25.69")</f>
        <v/>
      </c>
      <c r="H7" t="n">
        <v>29.026</v>
      </c>
    </row>
    <row r="8">
      <c r="A8" t="n">
        <v>7</v>
      </c>
      <c r="B8" t="inlineStr">
        <is>
          <t>Espuma de Barbear Gillette Prestobarba Sensitive Pele Sensível com 150g</t>
        </is>
      </c>
      <c r="C8">
        <f>HYPERLINK("https://www.amazon.com.br/dp/B07GMCX7QY", "24.99")</f>
        <v/>
      </c>
      <c r="D8">
        <f>HYPERLINK("https://www.epocacosmeticos.com.br/espuma-de-barbear-gillette-mach3-sensitive/p", "32.90")</f>
        <v/>
      </c>
      <c r="E8">
        <f>HYPERLINK("https://www.mercadolivre.com.br/espuma-de-barbear-gillette-prestobarba-sensitive-frasco-150g/p/MLB18311795", "26.99")</f>
        <v/>
      </c>
      <c r="F8">
        <f>HYPERLINK("https://www.drogariaspacheco.com.br/espuma-de-barbear-gillette-prestobarba-pele-sensivel-175g/p", "20.99")</f>
        <v/>
      </c>
      <c r="G8">
        <f>HYPERLINK("https://www.drogaraia.com.br/prestobarba-espuma-de-barbear-pele-sensivel-150gr.html", "22.19")</f>
        <v/>
      </c>
      <c r="H8" t="n">
        <v>25.612</v>
      </c>
    </row>
    <row r="9">
      <c r="A9" t="n">
        <v>8</v>
      </c>
      <c r="B9" t="inlineStr">
        <is>
          <t>Espuma de Barbear Bozzano Pele Sensível com 193g</t>
        </is>
      </c>
      <c r="C9">
        <f>HYPERLINK("https://www.amazon.com.br/dp/B07F27F2Y9", "20.39")</f>
        <v/>
      </c>
      <c r="D9">
        <f>HYPERLINK("https://www.epocacosmeticos.com.br/espuma-de-barbear-bozzano-pele-sensivel/p", "24.90")</f>
        <v/>
      </c>
      <c r="E9">
        <f>HYPERLINK("https://www.mercadolivre.com.br/espuma-de-barbear-bozzano-200ml-pele-sensivel/p/MLB35999266", "34.99")</f>
        <v/>
      </c>
      <c r="F9">
        <f>HYPERLINK("https://www.drogariaspacheco.com.br/espuma-de-barbear-bozzano-pele-sensivel-190g196ml/p", "20.39")</f>
        <v/>
      </c>
      <c r="G9">
        <f>HYPERLINK("https://www.drogaraia.com.br/bozzano-protection-espuma-de-barbear-para-pele-sensivel-com-multivitaminas-e-emolientes-com-190g.html", "21.89")</f>
        <v/>
      </c>
      <c r="H9" t="n">
        <v>24.512</v>
      </c>
    </row>
    <row r="10">
      <c r="A10" t="n">
        <v>9</v>
      </c>
      <c r="B10" t="inlineStr">
        <is>
          <t>Clareador e Hidratante Sun in para Cabelo Spray 120ml</t>
        </is>
      </c>
      <c r="C10">
        <f>HYPERLINK("https://www.amazon.com.br/dp/B09N9YX2DZ", "18.48")</f>
        <v/>
      </c>
      <c r="D10">
        <f>HYPERLINK("https://www.epocacosmeticos.com.br/phytoervas-sun-in-spray-clareador-e-hidratante/p", "14.90")</f>
        <v/>
      </c>
      <c r="E10">
        <f>HYPERLINK("https://www.mercadolivre.com.br/clareador-hidratante-capilar-cabelos-sun-in-phytoervas-120ml/p/MLB19558902", "14.37")</f>
        <v/>
      </c>
      <c r="F10">
        <f>HYPERLINK("https://www.drogariaspacheco.com.br/spray-clareador-de-cabelo-phytoervas-sun-in-120ml/p", "16.79")</f>
        <v/>
      </c>
      <c r="G10">
        <f>HYPERLINK("https://www.drogaraia.com.br/sun-in-spray-clareador-e-hidratante-phytoervas-cabelo-120ml.html", "17.98")</f>
        <v/>
      </c>
      <c r="H10" t="n">
        <v>16.504</v>
      </c>
    </row>
    <row r="11">
      <c r="A11" t="n">
        <v>10</v>
      </c>
      <c r="B11" t="inlineStr">
        <is>
          <t>Retoque Instantâneo Koleston Louro Escuro 100ml</t>
        </is>
      </c>
      <c r="C11" t="inlineStr">
        <is>
          <t>indisp.</t>
        </is>
      </c>
      <c r="D11">
        <f>HYPERLINK("https://www.epocacosmeticos.com.br/retoque-instantaneo-spray-koleston/p", "37.59")</f>
        <v/>
      </c>
      <c r="E11">
        <f>HYPERLINK("https://www.mercadolivre.com.br/retoque-instantneo-spray-koleston-preto-100ml/p/MLB20680049", "44.91")</f>
        <v/>
      </c>
      <c r="F11">
        <f>HYPERLINK("https://www.drogariaspacheco.com.br/spray-retoque-de-raiz-koleston-louro-escuro-100ml-/p", "38.79")</f>
        <v/>
      </c>
      <c r="G11">
        <f>HYPERLINK("https://www.drogaraia.com.br/koleston-retoque-instantaneo-louro-escuro-100ml-57g.html", "38.79")</f>
        <v/>
      </c>
      <c r="H11" t="n">
        <v>40.02</v>
      </c>
    </row>
    <row r="12">
      <c r="A12" t="n">
        <v>11</v>
      </c>
      <c r="B12" t="inlineStr">
        <is>
          <t>Tinta de Cabelo Casting Creme Gloss L'Oréal Paris - 535 Chocolate</t>
        </is>
      </c>
      <c r="C12">
        <f>HYPERLINK("https://www.amazon.com.br/dp/B07G5VZRYZ", "37.99")</f>
        <v/>
      </c>
      <c r="D12">
        <f>HYPERLINK("https://www.epocacosmeticos.com.br/coloracao-casting-creme-gloss-loreal-paris-chocolate/p", "32.31")</f>
        <v/>
      </c>
      <c r="E12">
        <f>HYPERLINK("https://www.mercadolivre.com.br/tinte-loreal-paris-tintura-tom-chocolate-para-cabelo/p/MLB21823946", "51.45")</f>
        <v/>
      </c>
      <c r="F12">
        <f>HYPERLINK("https://www.drogariaspacheco.com.br/casting-creme-gloss---coloracao-nutri-brilho-sem-amonia---chocolate-535-935322421/p", "37.07")</f>
        <v/>
      </c>
      <c r="G12">
        <f>HYPERLINK("https://www.drogaraia.com.br/casting-creme-gloss-coloracao-permanente-535-chocolate-45-g.html", "29.79")</f>
        <v/>
      </c>
      <c r="H12" t="n">
        <v>37.722</v>
      </c>
    </row>
    <row r="13">
      <c r="A13" t="n">
        <v>12</v>
      </c>
      <c r="B13" t="inlineStr">
        <is>
          <t>Tinta de Cabelo Permanente Imédia Excellence L'Oréal Paris Creme - 6.66 Vermelho Acintinado</t>
        </is>
      </c>
      <c r="C13">
        <f>HYPERLINK("https://www.amazon.com.br/dp/B00BEIB4JI", "28.50")</f>
        <v/>
      </c>
      <c r="D13">
        <f>HYPERLINK("https://www.epocacosmeticos.com.br/coloracao-imedia-excellence-loreal-paris-tons-vermelhos/p", "29.55")</f>
        <v/>
      </c>
      <c r="E13">
        <f>HYPERLINK("https://www.mercadolivre.com.br/coloraco-imedia-excellence-666-vermelho-cereja-tom-666-vermelho-acetinado/p/MLB21476781", "36.76")</f>
        <v/>
      </c>
      <c r="F13">
        <f>HYPERLINK("https://www.drogariaspacheco.com.br/kit-coloracao-imedia-excellence-l-oreal-chocolate-puro-6-7-935308689/p", "31.92")</f>
        <v/>
      </c>
      <c r="G13">
        <f>HYPERLINK("https://www.drogaraia.com.br/imedia-coloracao-permanente-6-66-vermelho-acetinado-47g.html", "30.19")</f>
        <v/>
      </c>
      <c r="H13" t="n">
        <v>31.384</v>
      </c>
    </row>
    <row r="14">
      <c r="A14" t="n">
        <v>13</v>
      </c>
      <c r="B14" t="inlineStr">
        <is>
          <t>Tinta de Cabelo Permanente Imédia Excellence L'Oréal Paris Sem Amônia - 2U Preto Universal</t>
        </is>
      </c>
      <c r="C14">
        <f>HYPERLINK("https://www.amazon.com.br/dp/B0C2RC7BLT", "36.99")</f>
        <v/>
      </c>
      <c r="D14" t="inlineStr">
        <is>
          <t>indisp.</t>
        </is>
      </c>
      <c r="E14">
        <f>HYPERLINK("https://www.mercadolivre.com.br/tintura-imedia-excellence-loreal-paris-sem-amnia-2u-preto/p/MLB33404767", "44.46")</f>
        <v/>
      </c>
      <c r="F14">
        <f>HYPERLINK("https://www.drogariaspacheco.com.br/tintura-l--oreal-paris-imedia-excellence-permanente-sem-amonia-2u-1-unidade/p", "28.69")</f>
        <v/>
      </c>
      <c r="G14">
        <f>HYPERLINK("https://www.drogaraia.com.br/imedia-coloracao-permanente-sem-amonia-2u-preto-universal-1-unidade.html", "30.19")</f>
        <v/>
      </c>
      <c r="H14" t="n">
        <v>35.0825</v>
      </c>
    </row>
    <row r="15">
      <c r="A15" t="n">
        <v>14</v>
      </c>
      <c r="B15" t="inlineStr">
        <is>
          <t>Tinta de Cabelo Permanente Nutrisse Creme - 666 Pimenta Malagueta</t>
        </is>
      </c>
      <c r="C15">
        <f>HYPERLINK("https://www.amazon.com.br/dp/B07G844YQ3", "25.99")</f>
        <v/>
      </c>
      <c r="D15">
        <f>HYPERLINK("https://www.epocacosmeticos.com.br/coloracao-nutrisse-garnier-666-pimenta-malagueta/p", "22.94")</f>
        <v/>
      </c>
      <c r="E15">
        <f>HYPERLINK("https://www.mercadolivre.com.br/garnier-nutrisse-kit-coloraco-permanente-nutritiva-tom-666-pimenta-malagueta-louro-escuro-vermelho-intenso/p/MLB29814843", "32.99")</f>
        <v/>
      </c>
      <c r="F15">
        <f>HYPERLINK("https://www.drogariaspacheco.com.br/tintura-garnier-nutrisse-10-preto-onix/p", "18.79")</f>
        <v/>
      </c>
      <c r="G15">
        <f>HYPERLINK("https://www.drogaraia.com.br/nutrisse-tintura-permanente-666-pimenta-malagueta.html", "19.79")</f>
        <v/>
      </c>
      <c r="H15" t="n">
        <v>24.1</v>
      </c>
    </row>
    <row r="16">
      <c r="A16" t="n">
        <v>15</v>
      </c>
      <c r="B16" t="inlineStr">
        <is>
          <t>Tinta de Cabelo Semi-Permanente Henna Creme Surya Brasil - Castanho Escuro</t>
        </is>
      </c>
      <c r="C16">
        <f>HYPERLINK("https://www.amazon.com.br/dp/B07LFGQSJX", "41.99")</f>
        <v/>
      </c>
      <c r="D16" t="inlineStr">
        <is>
          <t>indisp.</t>
        </is>
      </c>
      <c r="E16">
        <f>HYPERLINK("https://www.mercadolivre.com.br/surya-brasil-henna-creme-castanho-claro-70ml/p/MLB19145364", "47.99")</f>
        <v/>
      </c>
      <c r="F16">
        <f>HYPERLINK("https://www.drogariaspacheco.com.br/tintura-creme-henna-surya-castanho-escuro-70ml/p", "42.99")</f>
        <v/>
      </c>
      <c r="G16">
        <f>HYPERLINK("https://www.drogaraia.com.br/surya-brasil-henna-creme-castanho-escuro-70ml.html", "44.00")</f>
        <v/>
      </c>
      <c r="H16" t="n">
        <v>44.2425</v>
      </c>
    </row>
    <row r="17">
      <c r="A17" t="n">
        <v>16</v>
      </c>
      <c r="B17" t="inlineStr">
        <is>
          <t>Tinta de Cabelo Semi-Permanente Soft Color - 50 Castanho Claro</t>
        </is>
      </c>
      <c r="C17">
        <f>HYPERLINK("https://www.amazon.com.br/dp/B07FHH8GRD", "19.36")</f>
        <v/>
      </c>
      <c r="D17">
        <f>HYPERLINK("https://www.epocacosmeticos.com.br/kit-duo-soft-color-coloracao-castanho-claro-50-76908/p", "55.80")</f>
        <v/>
      </c>
      <c r="E17">
        <f>HYPERLINK("https://www.mercadolivre.com.br/tintura-semi-permanente-soft-color-50-castanho-claro/p/MLB25571493", "32.99")</f>
        <v/>
      </c>
      <c r="F17">
        <f>HYPERLINK("https://www.drogariaspacheco.com.br/tintura-soft-color-castanho-claro-50/p", "23.69")</f>
        <v/>
      </c>
      <c r="G17">
        <f>HYPERLINK("https://www.drogaraia.com.br/soft-color-castanho-claro-n50.html", "23.69")</f>
        <v/>
      </c>
      <c r="H17" t="n">
        <v>31.106</v>
      </c>
    </row>
    <row r="18">
      <c r="A18" t="n">
        <v>17</v>
      </c>
      <c r="B18" t="inlineStr">
        <is>
          <t>Kit Descolorante Banho de Lua com 1 óleo protetor corporal + 1 pó descolorante + 1 água oxigenada</t>
        </is>
      </c>
      <c r="C18">
        <f>HYPERLINK("https://www.amazon.com.br/dp/B077C2XYS6", "16.48")</f>
        <v/>
      </c>
      <c r="D18">
        <f>HYPERLINK("https://www.epocacosmeticos.com.br/corpo-dourado-banho-de-lua---kit-pratico-pelos-dourados-tradicional--6-itens--87798/p", "39.90")</f>
        <v/>
      </c>
      <c r="E18">
        <f>HYPERLINK("https://www.mercadolivre.com.br/kit-clareador-de-pelos-descolorante-lightner-banho-de-lua/p/MLB21207894", "30.89")</f>
        <v/>
      </c>
      <c r="F18">
        <f>HYPERLINK("https://www.drogariaspacheco.com.br/lightner-kit-descolorante-para-pelos-banho-de-lua-935343480/p", "27.12")</f>
        <v/>
      </c>
      <c r="G18">
        <f>HYPERLINK("https://www.drogaraia.com.br/lightner-descolorante-kit-banho-de-lua.html", "31.59")</f>
        <v/>
      </c>
      <c r="H18" t="n">
        <v>29.196</v>
      </c>
    </row>
    <row r="19">
      <c r="A19" t="n">
        <v>18</v>
      </c>
      <c r="B19" t="inlineStr">
        <is>
          <t>Kit Clareador de Pelos Biocolor Pêssego e Camomila com 1 água oxigenada 12 volumes + 1 sachê de pó descolorante + 1 vasilha de preparo</t>
        </is>
      </c>
      <c r="C19">
        <f>HYPERLINK("https://www.amazon.com.br/dp/B07F26PL92", "15.95")</f>
        <v/>
      </c>
      <c r="D19" t="inlineStr">
        <is>
          <t>indisp.</t>
        </is>
      </c>
      <c r="E19" t="inlineStr">
        <is>
          <t>indisp.</t>
        </is>
      </c>
      <c r="F19">
        <f>HYPERLINK("https://www.drogariaspacheco.com.br/kit-clareador-biocolor-com-quitosana/p", "16.48")</f>
        <v/>
      </c>
      <c r="G19">
        <f>HYPERLINK("https://www.drogaraia.com.br/biocolor-descolorante-com-quitosan-kit.html", "16.48")</f>
        <v/>
      </c>
      <c r="H19" t="n">
        <v>16.30333333333333</v>
      </c>
    </row>
    <row r="20">
      <c r="A20" t="n">
        <v>19</v>
      </c>
      <c r="B20" t="inlineStr">
        <is>
          <t>Óleo Extraordinário Tratamento Reconstrutor L'Oréal Paris Elseve 100ml</t>
        </is>
      </c>
      <c r="C20">
        <f>HYPERLINK("https://www.amazon.com.br/dp/B07H113TPQ", "36.40")</f>
        <v/>
      </c>
      <c r="D20">
        <f>HYPERLINK("https://www.epocacosmeticos.com.br/oleo-extraordinario-elseve-l-oreal-paris-tratamento-reconstrutor/p", "36.90")</f>
        <v/>
      </c>
      <c r="E20">
        <f>HYPERLINK("https://www.mercadolivre.com.br/oleo-finalizador-extraordinario-tratamento-sublime-nutrico-100ml-elseve/p/MLB26080271", "24.02")</f>
        <v/>
      </c>
      <c r="F20">
        <f>HYPERLINK("https://www.drogariaspacheco.com.br/oleo-capilar-extraordinario-elseve-loreal-paris-feminino-100ml/p", "38.24")</f>
        <v/>
      </c>
      <c r="G20">
        <f>HYPERLINK("https://www.drogaraia.com.br/elseve-oleo-para-tratamento-capilar-extraordinario-100ml.html", "53.99")</f>
        <v/>
      </c>
      <c r="H20" t="n">
        <v>37.91</v>
      </c>
    </row>
    <row r="21">
      <c r="A21" t="n">
        <v>20</v>
      </c>
      <c r="B21" t="inlineStr">
        <is>
          <t>Spray Fixador para Cabelo Charming Extra Forte com 400ml</t>
        </is>
      </c>
      <c r="C21">
        <f>HYPERLINK("https://www.amazon.com.br/dp/B077C3VFR5", "35.89")</f>
        <v/>
      </c>
      <c r="D21">
        <f>HYPERLINK("https://www.epocacosmeticos.com.br/cless-charming-hair-spray-extra-forte-sem-perfume-400ml-97643/p", "60.90")</f>
        <v/>
      </c>
      <c r="E21" t="inlineStr">
        <is>
          <t>indisp.</t>
        </is>
      </c>
      <c r="F21">
        <f>HYPERLINK("https://www.drogariaspacheco.com.br/spray-fixador-charming-extra-forte-400ml/p", "40.19")</f>
        <v/>
      </c>
      <c r="G21">
        <f>HYPERLINK("https://www.drogaraia.com.br/charming-laque-spray-jato-seco-ifxacao-extra-forte-com-400ml.html", "63.11")</f>
        <v/>
      </c>
      <c r="H21" t="n">
        <v>50.02249999999999</v>
      </c>
    </row>
    <row r="22">
      <c r="A22" t="n">
        <v>21</v>
      </c>
      <c r="B22" t="inlineStr">
        <is>
          <t>Shampoo Anticaspa Clear Men Ice Cool Menthol 400ml</t>
        </is>
      </c>
      <c r="C22">
        <f>HYPERLINK("https://www.amazon.com.br/dp/B07LFGWRC7", "28.59")</f>
        <v/>
      </c>
      <c r="D22">
        <f>HYPERLINK("https://www.epocacosmeticos.com.br/shampoo-anticaspa-clear-men-ice-cool-menthol-400ml-83846/p", "28.99")</f>
        <v/>
      </c>
      <c r="E22">
        <f>HYPERLINK("https://www.mercadolivre.com.br/shampoo-ice-cool-mentol-clear-400ml/p/MLB23738145", "30.72")</f>
        <v/>
      </c>
      <c r="F22">
        <f>HYPERLINK("https://www.drogariaspacheco.com.br/shampoo-clear-men-anticaspa-ice-cool-menthol-400ml-com-70ml-unilever/p", "19.73")</f>
        <v/>
      </c>
      <c r="G22">
        <f>HYPERLINK("https://www.drogaraia.com.br/clear-men-shampoo-anti-caspa-ice-400ml-leve-mais-pague-menos.html", "24.90")</f>
        <v/>
      </c>
      <c r="H22" t="n">
        <v>26.586</v>
      </c>
    </row>
    <row r="23">
      <c r="A23" t="n">
        <v>22</v>
      </c>
      <c r="B23" t="inlineStr">
        <is>
          <t>Creme para Pentear Cabelo Cacheado Widi Care Encaracolando a Juba 500ml</t>
        </is>
      </c>
      <c r="C23">
        <f>HYPERLINK("https://www.amazon.com.br/dp/B0BGJ5RB67", "53.90")</f>
        <v/>
      </c>
      <c r="D23">
        <f>HYPERLINK("https://www.epocacosmeticos.com.br/widi-care-encaracolando-a-juba-creme-de-pentear-500ml-82348/p", "62.90")</f>
        <v/>
      </c>
      <c r="E23">
        <f>HYPERLINK("https://www.mercadolivre.com.br/encaracolando-a-juba-creme-de-pentear-500ml-widi-care/p/MLB19314306", "41.08")</f>
        <v/>
      </c>
      <c r="F23">
        <f>HYPERLINK("https://www.drogariaspacheco.com.br/creme-para-pentear-widi-care-encaracolando-a-juba-500ml/p", "43.79")</f>
        <v/>
      </c>
      <c r="G23">
        <f>HYPERLINK("https://www.drogaraia.com.br/widi-care-creme-de-pentear-encaracolando-a-juba-500ml.html", "64.62")</f>
        <v/>
      </c>
      <c r="H23" t="n">
        <v>53.258</v>
      </c>
    </row>
    <row r="24">
      <c r="A24" t="n">
        <v>23</v>
      </c>
      <c r="B24" t="inlineStr">
        <is>
          <t>Protetor Térmico Antifrizz Tresemmé 110ml</t>
        </is>
      </c>
      <c r="C24">
        <f>HYPERLINK("https://www.amazon.com.br/dp/B0DXGT3WQX", "22.30")</f>
        <v/>
      </c>
      <c r="D24">
        <f>HYPERLINK("https://www.epocacosmeticos.com.br/protetor-termico-tresemme-antifrizz-120ml/p", "24.90")</f>
        <v/>
      </c>
      <c r="E24">
        <f>HYPERLINK("https://www.mercadolivre.com.br/protetor-termico-tresemme-110ml/p/MLB47684864", "42.22")</f>
        <v/>
      </c>
      <c r="F24">
        <f>HYPERLINK("https://www.drogariaspacheco.com.br/protetor-termico-capilar-tresemme-110ml-spray/p", "34.59")</f>
        <v/>
      </c>
      <c r="G24">
        <f>HYPERLINK("https://www.drogaraia.com.br/tresemme-protetor-termico-frasco-spray-110-ml-1228909.html", "29.49")</f>
        <v/>
      </c>
      <c r="H24" t="n">
        <v>30.7</v>
      </c>
    </row>
    <row r="25">
      <c r="A25" t="n">
        <v>24</v>
      </c>
      <c r="B25" t="inlineStr">
        <is>
          <t>Shampoo Anticaspa Ducray Kelual DS 100ml</t>
        </is>
      </c>
      <c r="C25">
        <f>HYPERLINK("https://www.amazon.com.br/dp/B0B4358Z89", "82.78")</f>
        <v/>
      </c>
      <c r="D25">
        <f>HYPERLINK("https://www.epocacosmeticos.com.br/ducray-kelual-ds-shampoo-100ml-99792/p", "95.50")</f>
        <v/>
      </c>
      <c r="E25">
        <f>HYPERLINK("https://www.mercadolivre.com.br/shampoo-anticaspa-ducray-kelual-ds-com-100ml/p/MLB19505727", "99.00")</f>
        <v/>
      </c>
      <c r="F25">
        <f>HYPERLINK("https://www.drogariaspacheco.com.br/shampoo-anticaspa-ducray-kelual-ds-100ml/p", "77.99")</f>
        <v/>
      </c>
      <c r="G25">
        <f>HYPERLINK("https://www.drogaraia.com.br/ducray-kelual-ds-shampoo-anticaspa-100ml.html", "89.99")</f>
        <v/>
      </c>
      <c r="H25" t="n">
        <v>89.05199999999999</v>
      </c>
    </row>
    <row r="26">
      <c r="A26" t="n">
        <v>25</v>
      </c>
      <c r="B26" t="inlineStr">
        <is>
          <t>Creme para Pentear Cabelo Cacheado L'Oréal Paris Elseve Cachos Longos dos Sonhos 250ml</t>
        </is>
      </c>
      <c r="C26">
        <f>HYPERLINK("https://www.amazon.com.br/dp/B0B193JL4B", "13.94")</f>
        <v/>
      </c>
      <c r="D26">
        <f>HYPERLINK("https://www.epocacosmeticos.com.br/elseve-cachos-longos-dos-sonhos-creme-de-pentear/p", "20.21")</f>
        <v/>
      </c>
      <c r="E26">
        <f>HYPERLINK("https://www.mercadolivre.com.br/creme-de-pentear-elseve-cachos-dos-sonhos-250ml/p/MLB19792948", "17.99")</f>
        <v/>
      </c>
      <c r="F26">
        <f>HYPERLINK("https://www.drogariaspacheco.com.br/creme-de-pentear-elseve-cachos-dos-sonhos-250ml/p", "25.49")</f>
        <v/>
      </c>
      <c r="G26">
        <f>HYPERLINK("https://www.drogaraia.com.br/elseve-creme-para-pentear-cachos-longos-dos-sonhos-250ml.html", "25.99")</f>
        <v/>
      </c>
      <c r="H26" t="n">
        <v>20.724</v>
      </c>
    </row>
    <row r="27">
      <c r="A27" t="n">
        <v>26</v>
      </c>
      <c r="B27" t="inlineStr">
        <is>
          <t>Shampoo Vichy Dercos Anticaspa DS Cabelos Normais e Oleosos 300g</t>
        </is>
      </c>
      <c r="C27">
        <f>HYPERLINK("https://www.amazon.com.br/dp/B0CZ4BTRYR", "99.90")</f>
        <v/>
      </c>
      <c r="D27">
        <f>HYPERLINK("https://www.epocacosmeticos.com.br/shampoo-vichy-dercos-anticaspa-oily-300ml-86972/p", "105.90")</f>
        <v/>
      </c>
      <c r="E27" t="inlineStr">
        <is>
          <t>indisp.</t>
        </is>
      </c>
      <c r="F27">
        <f>HYPERLINK("https://www.drogariaspacheco.com.br/shampoo-anticaspa-vichy-dercos-ds-300g/p", "99.90")</f>
        <v/>
      </c>
      <c r="G27">
        <f>HYPERLINK("https://www.drogaraia.com.br/vichy-dercos-anticaspa-oily-shampoo-300ml-1111343.html", "95.90")</f>
        <v/>
      </c>
      <c r="H27" t="n">
        <v>100.4</v>
      </c>
    </row>
    <row r="28">
      <c r="A28" t="n">
        <v>27</v>
      </c>
      <c r="B28" t="inlineStr">
        <is>
          <t>Shampoo Tio Nacho Engrossador 415ml</t>
        </is>
      </c>
      <c r="C28">
        <f>HYPERLINK("https://www.amazon.com.br/dp/B07FLKGK54", "36.60")</f>
        <v/>
      </c>
      <c r="D28">
        <f>HYPERLINK("https://www.epocacosmeticos.com.br/tio-nacho-shampoo-antiqueda-engrossador-shampoo/p", "38.53")</f>
        <v/>
      </c>
      <c r="E28" t="inlineStr">
        <is>
          <t>indisp.</t>
        </is>
      </c>
      <c r="F28">
        <f>HYPERLINK("https://www.drogariaspacheco.com.br/shampoo-tio-nacho-antiqueda-engrossador-415ml-genomma/p", "39.59")</f>
        <v/>
      </c>
      <c r="G28">
        <f>HYPERLINK("https://www.drogaraia.com.br/shampoo-tio-nacho-antiqueda-engrossador.html", "43.99")</f>
        <v/>
      </c>
      <c r="H28" t="n">
        <v>39.6775</v>
      </c>
    </row>
    <row r="29">
      <c r="A29" t="n">
        <v>28</v>
      </c>
      <c r="B29" t="inlineStr">
        <is>
          <t>Shampoo a Seco Ricca Shakeberry 150ml</t>
        </is>
      </c>
      <c r="C29">
        <f>HYPERLINK("https://www.amazon.com.br/dp/B09N9ZC7HF", "24.99")</f>
        <v/>
      </c>
      <c r="D29">
        <f>HYPERLINK("https://www.epocacosmeticos.com.br/ricca-shakeberry-shampoo-a-seco/p", "26.04")</f>
        <v/>
      </c>
      <c r="E29">
        <f>HYPERLINK("https://www.mercadolivre.com.br/ricca-shampoo-a-seco-150ml-berries/p/MLB21089156", "26.99")</f>
        <v/>
      </c>
      <c r="F29">
        <f>HYPERLINK("https://www.drogariaspacheco.com.br/shampoo-a-seco-ricca-shakeberry-fruit-berries-150ml/p", "27.90")</f>
        <v/>
      </c>
      <c r="G29">
        <f>HYPERLINK("https://www.drogaraia.com.br/ricca-shampoo-a-seco-shakeberry-150ml.html", "27.90")</f>
        <v/>
      </c>
      <c r="H29" t="n">
        <v>26.764</v>
      </c>
    </row>
    <row r="30">
      <c r="A30" t="n">
        <v>29</v>
      </c>
      <c r="B30" t="inlineStr">
        <is>
          <t>Shampoo Anticaspa Darrow Doctor Plus Intensivo 240ml</t>
        </is>
      </c>
      <c r="C30">
        <f>HYPERLINK("https://www.amazon.com.br/dp/B09CZZWKZL", "85.80")</f>
        <v/>
      </c>
      <c r="D30">
        <f>HYPERLINK("https://www.epocacosmeticos.com.br/shampoo-anticaspa-intensivo-darrow---doctar-plus---240ml-93235/p", "185.90")</f>
        <v/>
      </c>
      <c r="E30" t="inlineStr">
        <is>
          <t>indisp.</t>
        </is>
      </c>
      <c r="F30">
        <f>HYPERLINK("https://www.drogariaspacheco.com.br/kit-darrow-shampoo-anticaspa-intensivo-doctar-plus-240ml-agua-micelar-dermatologica-peles-oleosas-100ml/p", "95.78")</f>
        <v/>
      </c>
      <c r="G30">
        <f>HYPERLINK("https://www.drogaraia.com.br/darrow-shampoo-doctar-plus-240ml.html", "114.99")</f>
        <v/>
      </c>
      <c r="H30" t="n">
        <v>120.6175</v>
      </c>
    </row>
    <row r="31">
      <c r="A31" t="n">
        <v>30</v>
      </c>
      <c r="B31" t="inlineStr">
        <is>
          <t>Máscara Capilar Lola Cosmetics Dream Cream 200g</t>
        </is>
      </c>
      <c r="C31">
        <f>HYPERLINK("https://www.amazon.com.br/dp/B07GTLKMF5", "27.74")</f>
        <v/>
      </c>
      <c r="D31">
        <f>HYPERLINK("https://www.epocacosmeticos.com.br/mascara-super-hidratante-lola-cosmetics-dream-cream-200g-102612/p", "29.99")</f>
        <v/>
      </c>
      <c r="E31">
        <f>HYPERLINK("https://www.mercadolivre.com.br/mascara-capilar-dream-cream-200g-lola-cosmetics/p/MLB19485453", "23.95")</f>
        <v/>
      </c>
      <c r="F31">
        <f>HYPERLINK("https://www.drogariaspacheco.com.br/mascara-capilar-lola-dream-cream-200g/p", "41.99")</f>
        <v/>
      </c>
      <c r="G31">
        <f>HYPERLINK("https://www.drogaraia.com.br/mascara-lola-hidro-reconstrutora-dream-cream-200g-938411.html", "49.90")</f>
        <v/>
      </c>
      <c r="H31" t="n">
        <v>34.714</v>
      </c>
    </row>
    <row r="32">
      <c r="A32" t="n">
        <v>31</v>
      </c>
      <c r="B32" t="inlineStr">
        <is>
          <t>Fluido Modelador Cabelo Ondulado Cadiveu Professional Maxi Waves 200ml</t>
        </is>
      </c>
      <c r="C32">
        <f>HYPERLINK("https://www.amazon.com.br/dp/B0DFMMGFWK", "48.90")</f>
        <v/>
      </c>
      <c r="D32">
        <f>HYPERLINK("https://www.epocacosmeticos.com.br/maxi-ondas-bossa-nova-200ml---cadiveu-professional-78365/p", "38.99")</f>
        <v/>
      </c>
      <c r="E32">
        <f>HYPERLINK("https://www.mercadolivre.com.br/cadiveu-maxi-ondas-ativador-de-cachos-200ml-waves/p/MLB25477625", "37.46")</f>
        <v/>
      </c>
      <c r="F32">
        <f>HYPERLINK("https://www.drogariaspacheco.com.br/fluido-modelador-condicionante-professional-cadiveu-essentials-maxi-waves-200ml/p", "59.99")</f>
        <v/>
      </c>
      <c r="G32">
        <f>HYPERLINK("https://www.drogaraia.com.br/cadiveu-professional-fluido-modelador-condicionante-maxi-waves-200ml.html", "59.99")</f>
        <v/>
      </c>
      <c r="H32" t="n">
        <v>49.066</v>
      </c>
    </row>
    <row r="33">
      <c r="A33" t="n">
        <v>32</v>
      </c>
      <c r="B33" t="inlineStr">
        <is>
          <t>Shampoo Anticaspa Head &amp; Shoulders Anticoceira 400ml</t>
        </is>
      </c>
      <c r="C33">
        <f>HYPERLINK("https://www.amazon.com.br/dp/B0101A62JG", "26.99")</f>
        <v/>
      </c>
      <c r="D33" t="inlineStr">
        <is>
          <t>indisp.</t>
        </is>
      </c>
      <c r="E33">
        <f>HYPERLINK("https://www.mercadolivre.com.br/shampoo-head-shoulders-anticoceira-400-ml/p/MLB19176023", "21.60")</f>
        <v/>
      </c>
      <c r="F33">
        <f>HYPERLINK("https://www.drogariaspacheco.com.br/shampoo-feminino-head-shoulders-anticaspa-anticoceira-400ml/p", "24.99")</f>
        <v/>
      </c>
      <c r="G33">
        <f>HYPERLINK("https://www.drogaraia.com.br/head-shampoo-anti-coceira-400-ml.html", "29.90")</f>
        <v/>
      </c>
      <c r="H33" t="n">
        <v>25.87</v>
      </c>
    </row>
    <row r="34">
      <c r="A34" t="n">
        <v>33</v>
      </c>
      <c r="B34" t="inlineStr">
        <is>
          <t>LOÇÃO HIDRATANTE LA LUNA 240 ML - CICLO</t>
        </is>
      </c>
      <c r="C34">
        <f>HYPERLINK("https://www.amazon.com.br/dp/B07S45ZJ47", "29.90")</f>
        <v/>
      </c>
      <c r="D34">
        <f>HYPERLINK("https://www.epocacosmeticos.com.br/locao-hidratante-ciclo-cosmeticos-a-la-luna/p", "33.00")</f>
        <v/>
      </c>
      <c r="E34">
        <f>HYPERLINK("https://www.mercadolivre.com.br/loco-hidratante-la-luna-240-ml-ciclo/p/MLB26243828", "26.91")</f>
        <v/>
      </c>
      <c r="F34">
        <f>HYPERLINK("https://www.drogariaspacheco.com.br/ciclo-cosmeticos-la-luna---locao-hidratante-corporal-240ml-935176487/p", "38.00")</f>
        <v/>
      </c>
      <c r="G34">
        <f>HYPERLINK("https://www.drogaraia.com.br/locao-hidratante-la-luna-240-ml-ciclo-839251.html", "43.95")</f>
        <v/>
      </c>
      <c r="H34" t="n">
        <v>34.352</v>
      </c>
    </row>
    <row r="35">
      <c r="A35" t="n">
        <v>34</v>
      </c>
      <c r="B35" t="inlineStr">
        <is>
          <t>VARICELL MATERNA CREME PARA PERNAS E PÉS PARA GESTANTES 200G</t>
        </is>
      </c>
      <c r="C35">
        <f>HYPERLINK("https://www.amazon.com.br/dp/B0BMQLJNRH", "36.44")</f>
        <v/>
      </c>
      <c r="D35">
        <f>HYPERLINK("https://www.epocacosmeticos.com.br/varicell-creme-materna-200g---creme-para-gestantes-com-pernas-cansadas-84930/p", "41.69")</f>
        <v/>
      </c>
      <c r="E35">
        <f>HYPERLINK("https://www.mercadolivre.com.br/varicell-materna-creme-para-pernas-e-pes-200g/p/MLB20994511", "41.31")</f>
        <v/>
      </c>
      <c r="F35">
        <f>HYPERLINK("https://www.drogariaspacheco.com.br/creme-para-pernas-e-pes-varicell-materna-gestantes-200g/p", "31.34")</f>
        <v/>
      </c>
      <c r="G35">
        <f>HYPERLINK("https://www.drogaraia.com.br/varicell-materna-creme-para-pernas-e-pes-200g.html", "44.03")</f>
        <v/>
      </c>
      <c r="H35" t="n">
        <v>38.962</v>
      </c>
    </row>
    <row r="36">
      <c r="A36" t="n">
        <v>35</v>
      </c>
      <c r="B36" t="inlineStr">
        <is>
          <t>CREME HIDRATANTE CORP. SECA HIDRALURONIC REPARAÇÃO 150ML VULT</t>
        </is>
      </c>
      <c r="C36" t="inlineStr">
        <is>
          <t>indisp.</t>
        </is>
      </c>
      <c r="D36" t="inlineStr">
        <is>
          <t>indisp.</t>
        </is>
      </c>
      <c r="E36">
        <f>HYPERLINK("https://www.mercadolivre.com.br/creme-hidratante-desodorante-antiacinzentamento-areas-secas/p/MLB37444623", "24.02")</f>
        <v/>
      </c>
      <c r="F36">
        <f>HYPERLINK("https://www.drogariaspacheco.com.br/desodorante-hidratante-corporal-reparacao-imediata-vult-cor-/p", "17.99")</f>
        <v/>
      </c>
      <c r="G36">
        <f>HYPERLINK("https://www.drogaraia.com.br/vult-corpo-hidratante-desodorante-corporal-hidratacao-intensiva-150ml.html", "18.79")</f>
        <v/>
      </c>
      <c r="H36" t="n">
        <v>20.26666666666667</v>
      </c>
    </row>
    <row r="37">
      <c r="A37" t="n">
        <v>36</v>
      </c>
      <c r="B37" t="inlineStr">
        <is>
          <t>LEAVE-IN AMEND MARULA FABULOUS NUTRITION - 180G</t>
        </is>
      </c>
      <c r="C37">
        <f>HYPERLINK("https://www.amazon.com.br/dp/B0789TCPYG", "32.79")</f>
        <v/>
      </c>
      <c r="D37">
        <f>HYPERLINK("https://www.epocacosmeticos.com.br/creme-amend-expertise-nutritivo-marula-fabulous-180g-77715/p", "43.99")</f>
        <v/>
      </c>
      <c r="E37">
        <f>HYPERLINK("https://www.mercadolivre.com.br/creme-de-pentear-disciplinante-amend-marula180g/p/MLB19793646", "39.97")</f>
        <v/>
      </c>
      <c r="F37">
        <f>HYPERLINK("https://www.drogariaspacheco.com.br/condicionador-amend-marula-fabulous-nuttirion-250ml/p", "38.99")</f>
        <v/>
      </c>
      <c r="G37">
        <f>HYPERLINK("https://www.drogaraia.com.br/creme-disciplinante-amend-expertise-marula-fabulous-nutrition-180g-1237866.html", "35.92")</f>
        <v/>
      </c>
      <c r="H37" t="n">
        <v>38.33200000000001</v>
      </c>
    </row>
    <row r="38">
      <c r="A38" t="n">
        <v>37</v>
      </c>
      <c r="B38" t="inlineStr">
        <is>
          <t>EUCERIN GEL CREME PH5 PELE SECA E SENSÍVEL 200ML</t>
        </is>
      </c>
      <c r="C38">
        <f>HYPERLINK("https://www.amazon.com.br/dp/B0C2F53DZB", "56.61")</f>
        <v/>
      </c>
      <c r="D38">
        <f>HYPERLINK("https://www.epocacosmeticos.com.br/eucerin-gel-creme-facial-ph5-200ml-96029/p", "89.90")</f>
        <v/>
      </c>
      <c r="E38">
        <f>HYPERLINK("https://www.mercadolivre.com.br/gel-creme-corporal-ph5-200-ml-eucerin/p/MLB25646727", "73.40")</f>
        <v/>
      </c>
      <c r="F38">
        <f>HYPERLINK("https://www.drogariaspacheco.com.br/gel-de-limpeza-eucerin-ph5-syndet-250ml/p", "63.99")</f>
        <v/>
      </c>
      <c r="G38">
        <f>HYPERLINK("https://www.drogaraia.com.br/eucerin-ph5-gel-creme-200ml.html", "45.49")</f>
        <v/>
      </c>
      <c r="H38" t="n">
        <v>65.878</v>
      </c>
    </row>
    <row r="39">
      <c r="A39" t="n">
        <v>38</v>
      </c>
      <c r="B39" t="inlineStr">
        <is>
          <t>HIDRATANTE PARA OS PÉS ISDIN FOOT CARE UREADIN PODOS GEL 80,25G</t>
        </is>
      </c>
      <c r="C39">
        <f>HYPERLINK("https://www.amazon.com.br/dp/B00D3HZR2S", "68.38")</f>
        <v/>
      </c>
      <c r="D39">
        <f>HYPERLINK("https://www.epocacosmeticos.com.br/creme-hidratante-para-os-pes-isdin-ureadin-podos-8025-g-8025-g-70537/p", "67.90")</f>
        <v/>
      </c>
      <c r="E39" t="inlineStr">
        <is>
          <t>indisp.</t>
        </is>
      </c>
      <c r="F39">
        <f>HYPERLINK("https://www.drogariaspacheco.com.br/gel-hidratante-para-os-pes-isdin-ureadin-podos-75ml/p", "71.98")</f>
        <v/>
      </c>
      <c r="G39">
        <f>HYPERLINK("https://www.drogaraia.com.br/ureadin-podos-gel-oil-sem-perfume-75ml.html", "70.98")</f>
        <v/>
      </c>
      <c r="H39" t="n">
        <v>69.81</v>
      </c>
    </row>
    <row r="40">
      <c r="A40" t="n">
        <v>39</v>
      </c>
      <c r="B40" t="inlineStr">
        <is>
          <t>La Roche-Posay Lipikar Loção 400Ml</t>
        </is>
      </c>
      <c r="C40">
        <f>HYPERLINK("https://www.amazon.com.br/dp/B09V542XVS", "168.99")</f>
        <v/>
      </c>
      <c r="D40">
        <f>HYPERLINK("https://www.epocacosmeticos.com.br/hidratante-corporal-likipar-baume-light-ap-m-la-roche-posay/p", "213.75")</f>
        <v/>
      </c>
      <c r="E40">
        <f>HYPERLINK("https://www.mercadolivre.com.br/hidratante-intensivo-absorco-rapida-anti-coceira-lipikar-baume-ap-m-light-400ml-la-roche-posay/p/MLB39089951", "199.99")</f>
        <v/>
      </c>
      <c r="F40">
        <f>HYPERLINK("https://www.drogariaspacheco.com.br/creme-hidratante-la-roche-posay-lipikar-baume-apm-400ml/p", "204.99")</f>
        <v/>
      </c>
      <c r="G40">
        <f>HYPERLINK("https://www.drogaraia.com.br/la-roche-posay-lipikar-baume-ap-m-400ml.html", "249.90")</f>
        <v/>
      </c>
      <c r="H40" t="n">
        <v>207.524</v>
      </c>
    </row>
    <row r="41">
      <c r="A41" t="n">
        <v>40</v>
      </c>
      <c r="B41" t="inlineStr">
        <is>
          <t>DARROW NUTRIOL HIDRATANTE CORPORAL INTENSIVO 400G</t>
        </is>
      </c>
      <c r="C41">
        <f>HYPERLINK("https://www.amazon.com.br/dp/B0D6SGVZSV", "78.00")</f>
        <v/>
      </c>
      <c r="D41">
        <f>HYPERLINK("https://www.epocacosmeticos.com.br/creme-hidratante-intensivo-corporal-nutriol-400-g-400-g-76975/p", "91.90")</f>
        <v/>
      </c>
      <c r="E41">
        <f>HYPERLINK("https://www.mercadolivre.com.br/creme-nutritivo-dermatologico-peles-extra-secas-darrow/p/MLB38422402", "88.44")</f>
        <v/>
      </c>
      <c r="F41">
        <f>HYPERLINK("https://www.drogariaspacheco.com.br/creme-corporal-nutritivo-darrow-nutriol-intensivo-400g/p", "93.99")</f>
        <v/>
      </c>
      <c r="G41">
        <f>HYPERLINK("https://www.drogaraia.com.br/nutriol-intensivo-creme-nutritivo-pele-extra-seca-400g-1002590.html", "99.99")</f>
        <v/>
      </c>
      <c r="H41" t="n">
        <v>90.46400000000001</v>
      </c>
    </row>
    <row r="42">
      <c r="A42" t="n">
        <v>41</v>
      </c>
      <c r="B42" t="inlineStr">
        <is>
          <t>AMBER ROMANCE BODY LOTION - HIDRATANTE CORPORAL PERFUMADO 236ML</t>
        </is>
      </c>
      <c r="C42">
        <f>HYPERLINK("https://www.amazon.com.br/dp/B07T4L651X", "169.90")</f>
        <v/>
      </c>
      <c r="D42">
        <f>HYPERLINK("https://www.epocacosmeticos.com.br/amber-romance-body-lotion---hidratante-corporal-perfumado-236ml-92222/p", "209.90")</f>
        <v/>
      </c>
      <c r="E42">
        <f>HYPERLINK("https://www.mercadolivre.com.br/victoria-secret-creme-hidratante-amber-romance-creme-236ml/p/MLB20994271", "149.97")</f>
        <v/>
      </c>
      <c r="F42">
        <f>HYPERLINK("https://www.drogariaspacheco.com.br/victoria-s-secret-amber-romance---body-lotion-236ml-935340069/p", "149.00")</f>
        <v/>
      </c>
      <c r="G42">
        <f>HYPERLINK("https://www.drogaraia.com.br/victoria-s-secret-amber-romance-body-lotion-236ml-1128965.html", "167.00")</f>
        <v/>
      </c>
      <c r="H42" t="n">
        <v>169.154</v>
      </c>
    </row>
    <row r="43">
      <c r="A43" t="n">
        <v>42</v>
      </c>
      <c r="B43" t="inlineStr">
        <is>
          <t>LOCAO HIDRATANTE CORPORAL PRINCIPIA LH-01 200ML</t>
        </is>
      </c>
      <c r="C43">
        <f>HYPERLINK("https://www.amazon.com.br/dp/B0CCC3XN27", "37.04")</f>
        <v/>
      </c>
      <c r="D43">
        <f>HYPERLINK("https://www.epocacosmeticos.com.br/locao-hidrante-principia-lh-01/p", "39.00")</f>
        <v/>
      </c>
      <c r="E43">
        <f>HYPERLINK("https://www.mercadolivre.com.br/loco-hidratante-principia-c-10-ureia-lh-01-200ml/p/MLB24764615", "39.00")</f>
        <v/>
      </c>
      <c r="F43">
        <f>HYPERLINK("https://www.drogariaspacheco.com.br/locao-hidratante-corporal-principia-lh-01-200ml/p", "39.00")</f>
        <v/>
      </c>
      <c r="G43">
        <f>HYPERLINK("https://www.drogaraia.com.br/principia-locao-hidratante-10-ureia-5-glicerina-5-oleo-de-semente-de-girassol-lh-01-200ml-924796.html", "39.00")</f>
        <v/>
      </c>
      <c r="H43" t="n">
        <v>38.608</v>
      </c>
    </row>
    <row r="44">
      <c r="A44" t="n">
        <v>43</v>
      </c>
      <c r="B44" t="inlineStr">
        <is>
          <t>Cicatricure Gel Para Cicatrizes E Estrias 60G</t>
        </is>
      </c>
      <c r="C44">
        <f>HYPERLINK("https://www.amazon.com.br/dp/B07MJD5B96", "47.24")</f>
        <v/>
      </c>
      <c r="D44">
        <f>HYPERLINK("https://www.epocacosmeticos.com.br/cicatricure-gel-para-cicatrizes-e-estrias-30g-69472/p", "27.45")</f>
        <v/>
      </c>
      <c r="E44" t="inlineStr">
        <is>
          <t>indisp.</t>
        </is>
      </c>
      <c r="F44">
        <f>HYPERLINK("https://www.drogariaspacheco.com.br/gel-cicatricure-para-cicatrizes-e-estrias-60g/p", "54.99")</f>
        <v/>
      </c>
      <c r="G44">
        <f>HYPERLINK("https://www.drogaraia.com.br/cicatricure-gel-cicatrizante-60g-com-50-de-desconto.html", "59.99")</f>
        <v/>
      </c>
      <c r="H44" t="n">
        <v>47.4175</v>
      </c>
    </row>
    <row r="45">
      <c r="A45" t="n">
        <v>44</v>
      </c>
      <c r="B45" t="inlineStr">
        <is>
          <t>La Roche-Posay Lipikar Cleansing Oil Ap+ 400Ml</t>
        </is>
      </c>
      <c r="C45">
        <f>HYPERLINK("https://www.amazon.com.br/dp/B07Q6FG1T6", "155.35")</f>
        <v/>
      </c>
      <c r="D45">
        <f>HYPERLINK("https://www.epocacosmeticos.com.br/oleo-de-limpeza-la-roche-posay-lipikar-cleasing-oil-ap---400-ml-400-ml-70165/p", "156.90")</f>
        <v/>
      </c>
      <c r="E45">
        <f>HYPERLINK("https://www.mercadolivre.com.br/oleo-de-limpeza-hidratante-cleansing-oil-lipikar-ap-400ml-la-roche-posay/p/MLB25735475", "140.90")</f>
        <v/>
      </c>
      <c r="F45" t="inlineStr">
        <is>
          <t>indisp.</t>
        </is>
      </c>
      <c r="G45">
        <f>HYPERLINK("https://www.drogaraia.com.br/la-roche-posay-lipikar-cleansing-oil-ap-400ml.html", "169.90")</f>
        <v/>
      </c>
      <c r="H45" t="n">
        <v>155.7625</v>
      </c>
    </row>
    <row r="46">
      <c r="A46" t="n">
        <v>45</v>
      </c>
      <c r="B46" t="inlineStr">
        <is>
          <t>Sabonete Facial em Barra Vichy Normaderm Pele Oleosa a Acneica com 80g</t>
        </is>
      </c>
      <c r="C46">
        <f>HYPERLINK("https://www.amazon.com.br/dp/B079VQJNZX", "37.19")</f>
        <v/>
      </c>
      <c r="D46">
        <f>HYPERLINK("https://www.epocacosmeticos.com.br/sabonete-dermatologico-facial-vichy-normaderm/p", "59.28")</f>
        <v/>
      </c>
      <c r="E46" t="inlineStr">
        <is>
          <t>indisp.</t>
        </is>
      </c>
      <c r="F46">
        <f>HYPERLINK("https://www.drogariaspacheco.com.br/vichy-normaderm-sabonete-70g-loreal-brasil/p", "44.39")</f>
        <v/>
      </c>
      <c r="G46">
        <f>HYPERLINK("https://www.drogaraia.com.br/vichy-sabonete-normaderm-facial-limpeza-profunda-70g.html", "64.90")</f>
        <v/>
      </c>
      <c r="H46" t="n">
        <v>51.44</v>
      </c>
    </row>
    <row r="47">
      <c r="A47" t="n">
        <v>46</v>
      </c>
      <c r="B47" t="inlineStr">
        <is>
          <t>Limpador Enzimático Salive em Pó 36g</t>
        </is>
      </c>
      <c r="C47">
        <f>HYPERLINK("https://www.amazon.com.br/dp/B0BM55YQLM", "20.90")</f>
        <v/>
      </c>
      <c r="D47">
        <f>HYPERLINK("https://www.epocacosmeticos.com.br/limpador-enzimatico-em-po-sallve/p", "74.24")</f>
        <v/>
      </c>
      <c r="E47">
        <f>HYPERLINK("https://www.mercadolivre.com.br/limpador-enzimatico-em-po-sallve-30g-papaina-argila-branca/p/MLB26645940", "70.53")</f>
        <v/>
      </c>
      <c r="F47">
        <f>HYPERLINK("https://www.drogariaspacheco.com.br/limpador-facial-sallve-po-enzimatico-sem-fragrancia/p", "74.48")</f>
        <v/>
      </c>
      <c r="G47">
        <f>HYPERLINK("https://www.drogaraia.com.br/sallve-limpador-enzimatico-em-po-30g.html", "74.48")</f>
        <v/>
      </c>
      <c r="H47" t="n">
        <v>62.926</v>
      </c>
    </row>
    <row r="48">
      <c r="A48" t="n">
        <v>47</v>
      </c>
      <c r="B48" t="inlineStr">
        <is>
          <t>Gel de Limpeza Facial Avène Cleanance Intense 300g</t>
        </is>
      </c>
      <c r="C48">
        <f>HYPERLINK("https://www.amazon.com.br/dp/B09323P3RV", "81.90")</f>
        <v/>
      </c>
      <c r="D48">
        <f>HYPERLINK("https://www.epocacosmeticos.com.br/gel-de-limpeza-facial-avene-cleanance-intense/p", "52.99")</f>
        <v/>
      </c>
      <c r="E48">
        <f>HYPERLINK("https://www.mercadolivre.com.br/gel-de-limpeza-profunda-avene-cleanance-intense-300g/p/MLB21003418", "73.40")</f>
        <v/>
      </c>
      <c r="F48">
        <f>HYPERLINK("https://www.drogariaspacheco.com.br/gel-de-limpeza-profunda-avene-cleanance-intense-300g/p", "78.59")</f>
        <v/>
      </c>
      <c r="G48">
        <f>HYPERLINK("https://www.drogaraia.com.br/avene-cleanance-intense-gel-de-limpeza-300g-20-de-desconto-1067670.html", "79.99")</f>
        <v/>
      </c>
      <c r="H48" t="n">
        <v>73.374</v>
      </c>
    </row>
    <row r="49">
      <c r="A49" t="n">
        <v>48</v>
      </c>
      <c r="B49" t="inlineStr">
        <is>
          <t>TREE HUT MOROCCAN ROSE SHEA SUGAR SCRUB - ESFOLIANTE CORPORAL 510G - ORIGINAL</t>
        </is>
      </c>
      <c r="C49">
        <f>HYPERLINK("https://www.amazon.com.br/dp/B01EXDOQZY", "170.00")</f>
        <v/>
      </c>
      <c r="D49">
        <f>HYPERLINK("https://www.epocacosmeticos.com.br/cotton-candy-esfoliante-tree-hut-unissex-510-g-105274/p", "187.00")</f>
        <v/>
      </c>
      <c r="E49">
        <f>HYPERLINK("https://www.mercadolivre.com.br/tree-hut-esfoliante-corporal-moroccan-rose-510g/p/MLB24170728", "128.00")</f>
        <v/>
      </c>
      <c r="F49">
        <f>HYPERLINK("https://www.drogariaspacheco.com.br/tree-hut-shea-sugar-scrub-moroccan-rose---esfoliante-510g-935303090/p", "149.00")</f>
        <v/>
      </c>
      <c r="G49">
        <f>HYPERLINK("https://www.drogaraia.com.br/tree-hut-shea-sugar-scrub-moroccan-rose-esfoliante-510g-898713.html", "178.00")</f>
        <v/>
      </c>
      <c r="H49" t="n">
        <v>162.4</v>
      </c>
    </row>
    <row r="50">
      <c r="A50" t="n">
        <v>49</v>
      </c>
      <c r="B50" t="inlineStr">
        <is>
          <t>ESFOLIANTE LOLA SOL CARIOCA 500G</t>
        </is>
      </c>
      <c r="C50">
        <f>HYPERLINK("https://www.amazon.com.br/dp/B0C4M1R47G", "121.51")</f>
        <v/>
      </c>
      <c r="D50">
        <f>HYPERLINK("https://www.epocacosmeticos.com.br/esfoliante-corporal-lola-cosmetics-sol-carioca-500-g-500-g-70598/p", "114.90")</f>
        <v/>
      </c>
      <c r="E50">
        <f>HYPERLINK("https://www.mercadolivre.com.br/esfoliante-corporal-sol-carioca-500g-lola-cosmetics/p/MLB28046639", "121.50")</f>
        <v/>
      </c>
      <c r="F50">
        <f>HYPERLINK("https://www.drogariaspacheco.com.br/esfoliante-corporal-lola-cosmetics-sol-carioca-500-g-935313762/p", "99.90")</f>
        <v/>
      </c>
      <c r="G50">
        <f>HYPERLINK("https://www.drogaraia.com.br/esfoliante-lola-sol-carioca-500g-1014225.html", "157.99")</f>
        <v/>
      </c>
      <c r="H50" t="n">
        <v>123.16</v>
      </c>
    </row>
    <row r="51">
      <c r="A51" t="n">
        <v>50</v>
      </c>
      <c r="B51" t="inlineStr">
        <is>
          <t>Reparador e Hidratante Labial Profuse Nutrel com 7,5g</t>
        </is>
      </c>
      <c r="C51">
        <f>HYPERLINK("https://www.amazon.com.br/dp/B08BLTZ9YB", "53.90")</f>
        <v/>
      </c>
      <c r="D51">
        <f>HYPERLINK("https://www.epocacosmeticos.com.br/profuse-nutrel-lip-repair-hidratante-labial-75g-96917/p", "80.90")</f>
        <v/>
      </c>
      <c r="E51">
        <f>HYPERLINK("https://www.mercadolivre.com.br/profuse-nutrel-lip-repair-multirreparador-labial-75g/p/MLB19774138", "62.18")</f>
        <v/>
      </c>
      <c r="F51">
        <f>HYPERLINK("https://www.drogariaspacheco.com.br/hidratante-labial-profuse-nutrel-reparador-7--5g/p", "49.59")</f>
        <v/>
      </c>
      <c r="G51">
        <f>HYPERLINK("https://www.drogaraia.com.br/profuse-nutrel-lip-repair-7-5g.html", "52.19")</f>
        <v/>
      </c>
      <c r="H51" t="n">
        <v>59.752</v>
      </c>
    </row>
    <row r="52">
      <c r="A52" t="n">
        <v>51</v>
      </c>
      <c r="B52" t="inlineStr">
        <is>
          <t>Hidratante Labial Epidrat Lábios Mantecorp FPS 30 com 5,5g</t>
        </is>
      </c>
      <c r="C52">
        <f>HYPERLINK("https://www.amazon.com.br/dp/B079VQKKL9", "82.99")</f>
        <v/>
      </c>
      <c r="D52">
        <f>HYPERLINK("https://www.epocacosmeticos.com.br/hidratante-labial-epidrat-labios-fps-30/p", "64.78")</f>
        <v/>
      </c>
      <c r="E52">
        <f>HYPERLINK("https://www.mercadolivre.com.br/hidratante-labial-epidrat-labios-mantecorp-fps-30-com-55g/p/MLB41206752", "228.00")</f>
        <v/>
      </c>
      <c r="F52">
        <f>HYPERLINK("https://www.drogariaspacheco.com.br/hidratante-labial-epidrat-fps-30-55g/p", "68.19")</f>
        <v/>
      </c>
      <c r="G52">
        <f>HYPERLINK("https://www.drogaraia.com.br/epidrat-labios-tubo-5-5-gramas.html", "68.39")</f>
        <v/>
      </c>
      <c r="H52" t="n">
        <v>102.47</v>
      </c>
    </row>
    <row r="53">
      <c r="A53" t="n">
        <v>52</v>
      </c>
      <c r="B53" t="inlineStr">
        <is>
          <t>Loção Facial Noturna Bepantol Derma Hidratante Restaurador Pele Sensível e Seca 50ml</t>
        </is>
      </c>
      <c r="C53">
        <f>HYPERLINK("https://www.amazon.com.br/dp/B091DZ1J6K", "62.88")</f>
        <v/>
      </c>
      <c r="D53">
        <f>HYPERLINK("https://www.epocacosmeticos.com.br/hidratante-facial-noturno-bepantol-derma-restaurador/p", "58.00")</f>
        <v/>
      </c>
      <c r="E53">
        <f>HYPERLINK("https://www.mercadolivre.com.br/loco-facial-hidratante-derma-revitalizante-fps25-bepantol/p/MLB20581350", "58.71")</f>
        <v/>
      </c>
      <c r="F53">
        <f>HYPERLINK("https://www.drogariaspacheco.com.br/locao-facial-noturna-bepantol-derma-hidratante-restaurador-50ml/p", "53.89")</f>
        <v/>
      </c>
      <c r="G53">
        <f>HYPERLINK("https://www.drogaraia.com.br/bepantol-derma-noturno-locao-facial-50ml.html", "58.99")</f>
        <v/>
      </c>
      <c r="H53" t="n">
        <v>58.49400000000001</v>
      </c>
    </row>
    <row r="54">
      <c r="A54" t="n">
        <v>53</v>
      </c>
      <c r="B54" t="inlineStr">
        <is>
          <t>Gel de Limpeza Facial Actine Oil Control Peles Mistas a Oleosas 400g</t>
        </is>
      </c>
      <c r="C54">
        <f>HYPERLINK("https://www.amazon.com.br/dp/B0C9F439MR", "80.90")</f>
        <v/>
      </c>
      <c r="D54">
        <f>HYPERLINK("https://www.epocacosmeticos.com.br/gel-de-limpeza-facial-darrow-actine-oil-control-400-g-400-g-74732/p", "102.90")</f>
        <v/>
      </c>
      <c r="E54">
        <f>HYPERLINK("https://www.mercadolivre.com.br/gel-de-limpeza-facial-actine-oil-control-antioleosidade-com-acido-glicolico-e-vitamina-b5-400g-darrow/p/MLB29886328", "89.99")</f>
        <v/>
      </c>
      <c r="F54">
        <f>HYPERLINK("https://www.drogariaspacheco.com.br/gel-de-limpeza-dermatologico-facial-darrow-actine-oil-control-400g/p", "62.93")</f>
        <v/>
      </c>
      <c r="G54">
        <f>HYPERLINK("https://www.drogaraia.com.br/actine-gel-de-limpeza-oil-control-400g.html", "89.99")</f>
        <v/>
      </c>
      <c r="H54" t="n">
        <v>85.34200000000001</v>
      </c>
    </row>
    <row r="55">
      <c r="A55" t="n">
        <v>54</v>
      </c>
      <c r="B55" t="inlineStr">
        <is>
          <t>Gel de Limpeza Facial Concentrado La Roche-Posay Effaclar para Pele Oleosa 300g</t>
        </is>
      </c>
      <c r="C55">
        <f>HYPERLINK("https://www.amazon.com.br/dp/B07KYVSKWR", "74.06")</f>
        <v/>
      </c>
      <c r="D55">
        <f>HYPERLINK("https://www.epocacosmeticos.com.br/gel-de-limpeza-la-roche-posay-refil-effaclar-concentrado/p", "72.17")</f>
        <v/>
      </c>
      <c r="E55">
        <f>HYPERLINK("https://www.mercadolivre.com.br/gel-de-limpeza-facial-effaclar-concentrado-300g-la-roche-posay/p/MLB19620491", "74.06")</f>
        <v/>
      </c>
      <c r="F55">
        <f>HYPERLINK("https://www.drogariaspacheco.com.br/effaclar-gel-concentrado-300gr-loreal-brasil/p", "84.90")</f>
        <v/>
      </c>
      <c r="G55">
        <f>HYPERLINK("https://www.drogaraia.com.br/la-roche-posay-gel-de-limpeza-profunda-effaclar-concentrado-300g-com-20-desconto.html", "87.90")</f>
        <v/>
      </c>
      <c r="H55" t="n">
        <v>78.61800000000001</v>
      </c>
    </row>
    <row r="56">
      <c r="A56" t="n">
        <v>55</v>
      </c>
      <c r="B56" t="inlineStr">
        <is>
          <t>Creme Hidratante Facial Cetaphil Pro AR Calm Control com 50ml</t>
        </is>
      </c>
      <c r="C56">
        <f>HYPERLINK("https://www.amazon.com.br/dp/B09S6P7ZV7", "101.69")</f>
        <v/>
      </c>
      <c r="D56">
        <f>HYPERLINK("https://www.epocacosmeticos.com.br/hidratante-facial-calm-control-cetaphil-pro-ar/p", "119.92")</f>
        <v/>
      </c>
      <c r="E56">
        <f>HYPERLINK("https://www.mercadolivre.com.br/creme-hidratante-facial-pro-ar-calm-control-sem-cor-para-pele-sensivel-50ml-cetaphil/p/MLB19895620", "112.99")</f>
        <v/>
      </c>
      <c r="F56">
        <f>HYPERLINK("https://www.drogariaspacheco.com.br/creme-hidratante-facial-cetaphil-pro-ar-calm-control-50ml/p", "118.64")</f>
        <v/>
      </c>
      <c r="G56">
        <f>HYPERLINK("https://www.drogaraia.com.br/cetaphil-pro-ar-calm-creme-hidratante-facial-noite-50g.html", "124.99")</f>
        <v/>
      </c>
      <c r="H56" t="n">
        <v>115.646</v>
      </c>
    </row>
    <row r="57">
      <c r="A57" t="n">
        <v>56</v>
      </c>
      <c r="B57" t="inlineStr">
        <is>
          <t>Óleo de Limpeza para Banho Eucerin pH5 Pele Sensível e Seca com 200ml</t>
        </is>
      </c>
      <c r="C57">
        <f>HYPERLINK("https://www.amazon.com.br/dp/B07R3DVL7H", "78.75")</f>
        <v/>
      </c>
      <c r="D57">
        <f>HYPERLINK("https://www.epocacosmeticos.com.br/eucerin-ph5-oleo-de-banho-200ml-96884/p", "149.90")</f>
        <v/>
      </c>
      <c r="E57">
        <f>HYPERLINK("https://www.mercadolivre.com.br/oleo-de-banho-eucerin-ph5-200-ml/p/MLB16135214", "82.90")</f>
        <v/>
      </c>
      <c r="F57">
        <f>HYPERLINK("https://www.drogariaspacheco.com.br/oleo-de-banho-eucerin-ph5-200ml-bdf-nivea/p", "65.90")</f>
        <v/>
      </c>
      <c r="G57">
        <f>HYPERLINK("https://www.drogaraia.com.br/eucerin-ph5-oleo-de-limpeza-para-banho-200ml.html", "85.99")</f>
        <v/>
      </c>
      <c r="H57" t="n">
        <v>92.68800000000002</v>
      </c>
    </row>
    <row r="58">
      <c r="A58" t="n">
        <v>57</v>
      </c>
      <c r="B58" t="inlineStr">
        <is>
          <t>Zeolita ZeoMask Gold 200</t>
        </is>
      </c>
      <c r="C58">
        <f>HYPERLINK("https://www.amazon.com.br/dp/B0CXHR3RBQ", "115.00")</f>
        <v/>
      </c>
      <c r="D58" t="inlineStr">
        <is>
          <t>indisp.</t>
        </is>
      </c>
      <c r="E58">
        <f>HYPERLINK("https://www.mercadolivre.com.br/zeomask-gold-200g-tipo-de-pele-mista/p/MLB33302723", "113.20")</f>
        <v/>
      </c>
      <c r="F58" t="inlineStr">
        <is>
          <t>indisp.</t>
        </is>
      </c>
      <c r="G58">
        <f>HYPERLINK("https://www.drogaraia.com.br/zeomask-gold-1085919.html", "115.00")</f>
        <v/>
      </c>
      <c r="H58" t="n">
        <v>114.4</v>
      </c>
    </row>
    <row r="59">
      <c r="A59" t="n">
        <v>58</v>
      </c>
      <c r="B59" t="inlineStr">
        <is>
          <t>Gel Antiacne Cerave Acne Control Pele Oleosa a Acneica 40g</t>
        </is>
      </c>
      <c r="C59">
        <f>HYPERLINK("https://www.amazon.com.br/dp/B0B7RQC9N4", "72.48")</f>
        <v/>
      </c>
      <c r="D59">
        <f>HYPERLINK("https://www.epocacosmeticos.com.br/gel-antiacne-cerave-acne-control-cuidado-diario/p", "95.10")</f>
        <v/>
      </c>
      <c r="E59">
        <f>HYPERLINK("https://www.mercadolivre.com.br/gel-acne-control-cuidado-diario-40g-cerave/p/MLB21667802", "61.25")</f>
        <v/>
      </c>
      <c r="F59">
        <f>HYPERLINK("https://www.drogariaspacheco.com.br/gel-antiacne-cerave-acne-control-40g/p", "72.48")</f>
        <v/>
      </c>
      <c r="G59">
        <f>HYPERLINK("https://www.drogaraia.com.br/cerave-gel-de-limpeza-acne-control-40ml.html", "109.90")</f>
        <v/>
      </c>
      <c r="H59" t="n">
        <v>82.242</v>
      </c>
    </row>
    <row r="60">
      <c r="A60" t="n">
        <v>59</v>
      </c>
      <c r="B60" t="inlineStr">
        <is>
          <t>Desodorante Antitranspirante Aerosol Dove Men +Care Proteção Total 72h 250ml</t>
        </is>
      </c>
      <c r="C60">
        <f>HYPERLINK("https://www.amazon.com.br/dp/B09K2N9GS7", "21.49")</f>
        <v/>
      </c>
      <c r="D60">
        <f>HYPERLINK("https://www.epocacosmeticos.com.br/desodorante-antitranspirante-aerossol-dove-men-care-protecao-total-masculino-72-horas-150ml-100400/p", "16.99")</f>
        <v/>
      </c>
      <c r="E60" t="inlineStr">
        <is>
          <t>indisp.</t>
        </is>
      </c>
      <c r="F60">
        <f>HYPERLINK("https://www.drogariaspacheco.com.br/desodorante-dove-men-care-antitranspirante-aerosol-250ml/p", "21.49")</f>
        <v/>
      </c>
      <c r="G60">
        <f>HYPERLINK("https://www.drogaraia.com.br/dove-desodorante-antitranspirante-aerosol-men-care-cuidado-total-250ml.html", "22.90")</f>
        <v/>
      </c>
      <c r="H60" t="n">
        <v>20.7175</v>
      </c>
    </row>
    <row r="61">
      <c r="A61" t="n">
        <v>60</v>
      </c>
      <c r="B61" t="inlineStr">
        <is>
          <t>Desodorante Antitranspirante Aerosol Dove Men +Care Invisible Dry 48h 250ml</t>
        </is>
      </c>
      <c r="C61">
        <f>HYPERLINK("https://www.amazon.com.br/dp/B09K2RWWVX", "21.49")</f>
        <v/>
      </c>
      <c r="D61">
        <f>HYPERLINK("https://www.epocacosmeticos.com.br/desodorante-aerossol-antitranspirante-dove-men-care-invisible-dry-masculino-72-horas-150ml-101068/p", "16.19")</f>
        <v/>
      </c>
      <c r="E61">
        <f>HYPERLINK("https://www.mercadolivre.com.br/dove-mencare-invisible-dry-antitranspirante-250-ml/p/MLB19485019", "21.49")</f>
        <v/>
      </c>
      <c r="F61">
        <f>HYPERLINK("https://www.drogariaspacheco.com.br/desodorante-aerosol-dove-men-care-invisble-dry-250ml/p", "21.49")</f>
        <v/>
      </c>
      <c r="G61">
        <f>HYPERLINK("https://www.drogaraia.com.br/dove-desodorante-antitranspirante-aerossol-men-care-invisible-dry-250ml.html", "22.90")</f>
        <v/>
      </c>
      <c r="H61" t="n">
        <v>20.712</v>
      </c>
    </row>
    <row r="62">
      <c r="A62" t="n">
        <v>61</v>
      </c>
      <c r="B62" t="inlineStr">
        <is>
          <t>Desodorante Antitranspirante Roll-On Perspirex Sem Perfume 20ml</t>
        </is>
      </c>
      <c r="C62">
        <f>HYPERLINK("https://www.amazon.com.br/dp/B07Y29P296", "78.90")</f>
        <v/>
      </c>
      <c r="D62">
        <f>HYPERLINK("https://www.epocacosmeticos.com.br/antiperspirante-roll-on-perspirex-tratamento-para-transpiracao-e-odores/p", "103.27")</f>
        <v/>
      </c>
      <c r="E62">
        <f>HYPERLINK("https://www.mercadolivre.com.br/antitranspirante-roll-on-perspirex-original-20ml/p/MLB21826357", "78.00")</f>
        <v/>
      </c>
      <c r="F62">
        <f>HYPERLINK("https://www.drogariaspacheco.com.br/desodorante-roll-on-perspirex-20ml-daudt/p", "97.49")</f>
        <v/>
      </c>
      <c r="G62">
        <f>HYPERLINK("https://www.drogaraia.com.br/perspirex-antiperspirante-roll-on-20ml.html", "102.99")</f>
        <v/>
      </c>
      <c r="H62" t="n">
        <v>92.13000000000001</v>
      </c>
    </row>
    <row r="63">
      <c r="A63" t="n">
        <v>62</v>
      </c>
      <c r="B63" t="inlineStr">
        <is>
          <t>Desodorante Twist Stick Gel Secret Powder Protect Cotton 48h 45g</t>
        </is>
      </c>
      <c r="C63">
        <f>HYPERLINK("https://www.amazon.com.br/dp/B0862Y7HNY", "17.90")</f>
        <v/>
      </c>
      <c r="D63" t="inlineStr">
        <is>
          <t>indisp.</t>
        </is>
      </c>
      <c r="E63">
        <f>HYPERLINK("https://www.mercadolivre.com.br/desodorante-antitranspirante-secret-powder-protect-cotton-45g/p/MLB24526645", "23.59")</f>
        <v/>
      </c>
      <c r="F63">
        <f>HYPERLINK("https://www.drogariaspacheco.com.br/antitranspirante-gel-invisible-berry-secret-45g/p", "20.99")</f>
        <v/>
      </c>
      <c r="G63">
        <f>HYPERLINK("https://www.drogaraia.com.br/secret-desodorante-gel-cotton-45g.html", "29.90")</f>
        <v/>
      </c>
      <c r="H63" t="n">
        <v>23.095</v>
      </c>
    </row>
    <row r="64">
      <c r="A64" t="n">
        <v>63</v>
      </c>
      <c r="B64" t="inlineStr">
        <is>
          <t>Desodorante Antitranspirante Roll-On Perspirex Comfort Sem Perfume 20ml</t>
        </is>
      </c>
      <c r="C64">
        <f>HYPERLINK("https://www.amazon.com.br/dp/B07Y29P296", "78.90")</f>
        <v/>
      </c>
      <c r="D64">
        <f>HYPERLINK("https://www.epocacosmeticos.com.br/desodorante-roll-on-perspirex-comfort-roll-on/p", "108.90")</f>
        <v/>
      </c>
      <c r="E64" t="inlineStr">
        <is>
          <t>indisp.</t>
        </is>
      </c>
      <c r="F64">
        <f>HYPERLINK("https://www.drogariaspacheco.com.br/desodorante-antitranspirante-roll-on-perspirex-comfort-20ml/p", "96.99")</f>
        <v/>
      </c>
      <c r="G64">
        <f>HYPERLINK("https://www.drogaraia.com.br/perspirex-comfort-roll-on-20ml.html", "101.99")</f>
        <v/>
      </c>
      <c r="H64" t="n">
        <v>96.69500000000001</v>
      </c>
    </row>
    <row r="65">
      <c r="A65" t="n">
        <v>64</v>
      </c>
      <c r="B65" t="inlineStr">
        <is>
          <t>Desodorante Antitranspirante Roll-On Ban Sem Perfume 24h 103ml</t>
        </is>
      </c>
      <c r="C65">
        <f>HYPERLINK("https://www.amazon.com.br/dp/B077C274PD", "78.40")</f>
        <v/>
      </c>
      <c r="D65">
        <f>HYPERLINK("https://www.epocacosmeticos.com.br/desodorante-roll-on-ban-regular-/p", "29.00")</f>
        <v/>
      </c>
      <c r="E65">
        <f>HYPERLINK("https://www.mercadolivre.com.br/ban-desodorante-roll-on-103ml-unscented/p/MLB23519591", "74.85")</f>
        <v/>
      </c>
      <c r="F65">
        <f>HYPERLINK("https://www.drogariaspacheco.com.br/desodorante-roll-on-symple-clean-sem-perfume-ban-103ml-mcd-miami/p", "65.98")</f>
        <v/>
      </c>
      <c r="G65">
        <f>HYPERLINK("https://www.drogaraia.com.br/ban-desodorante-roll-on-sem-perfume-103-ml.html", "67.19")</f>
        <v/>
      </c>
      <c r="H65" t="n">
        <v>63.084</v>
      </c>
    </row>
    <row r="66">
      <c r="A66" t="n">
        <v>65</v>
      </c>
      <c r="B66" t="inlineStr">
        <is>
          <t>Desodorante Antitranspirante Twist Stick Barra Ban Unscented 24h Sem Perfume 73g</t>
        </is>
      </c>
      <c r="C66" t="inlineStr">
        <is>
          <t>indisp.</t>
        </is>
      </c>
      <c r="D66">
        <f>HYPERLINK("https://www.epocacosmeticos.com.br/desodorante-solido-ban-sem-perfume/p", "59.90")</f>
        <v/>
      </c>
      <c r="E66">
        <f>HYPERLINK("https://www.mercadolivre.com.br/ban-desodorante-solido-73g-unscented-fragrncia-lavanda/p/MLB19765454", "47.94")</f>
        <v/>
      </c>
      <c r="F66">
        <f>HYPERLINK("https://www.drogariaspacheco.com.br/desodorante-ban-stick-unscented-sem-perfume-73g/p", "41.59")</f>
        <v/>
      </c>
      <c r="G66">
        <f>HYPERLINK("https://www.drogaraia.com.br/ban-desodorante-solido-unscented-sem-perfume-73g.html", "44.39")</f>
        <v/>
      </c>
      <c r="H66" t="n">
        <v>48.455</v>
      </c>
    </row>
    <row r="67">
      <c r="A67" t="n">
        <v>66</v>
      </c>
      <c r="B67" t="inlineStr">
        <is>
          <t>Desodorante Antitranspirante Twist Stick Barra Ban Powder Fresh 24h 73g</t>
        </is>
      </c>
      <c r="C67">
        <f>HYPERLINK("https://www.amazon.com.br/dp/B00KOCZC7K", "63.60")</f>
        <v/>
      </c>
      <c r="D67">
        <f>HYPERLINK("https://www.epocacosmeticos.com.br/desodorante-solido-ban-powder-fresh-/p", "59.90")</f>
        <v/>
      </c>
      <c r="E67">
        <f>HYPERLINK("https://www.mercadolivre.com.br/ban-desodorante-antitranspirante-solido-73g-shower-fresh/p/MLB20689589", "47.77")</f>
        <v/>
      </c>
      <c r="F67">
        <f>HYPERLINK("https://www.drogariaspacheco.com.br/desodorante-ban-stick-powder-fresh-73g/p", "41.79")</f>
        <v/>
      </c>
      <c r="G67">
        <f>HYPERLINK("https://www.drogaraia.com.br/ban-classic-invisible-desodorante-solido-powder-fresh-73g.html", "44.79")</f>
        <v/>
      </c>
      <c r="H67" t="n">
        <v>51.57000000000001</v>
      </c>
    </row>
    <row r="68">
      <c r="A68" t="n">
        <v>67</v>
      </c>
      <c r="B68" t="inlineStr">
        <is>
          <t>Desodorante Sem Alumínio Twist Stick Barra Giovanna Baby Neutral 48h Sem Perfume 50g</t>
        </is>
      </c>
      <c r="C68">
        <f>HYPERLINK("https://www.amazon.com.br/dp/B0CVYMBHFB", "31.01")</f>
        <v/>
      </c>
      <c r="D68" t="inlineStr">
        <is>
          <t>indisp.</t>
        </is>
      </c>
      <c r="E68">
        <f>HYPERLINK("https://www.mercadolivre.com.br/desodorante-antiperspirante-stick-0-aluminio-neutral-50g-giovanna-baby/p/MLB32161844", "21.97")</f>
        <v/>
      </c>
      <c r="F68" t="inlineStr">
        <is>
          <t>indisp.</t>
        </is>
      </c>
      <c r="G68">
        <f>HYPERLINK("https://www.drogaraia.com.br/desodorante-giovanna-baby-stick-neutral-sem-aluminio-50g-1209137.html", "23.90")</f>
        <v/>
      </c>
      <c r="H68" t="n">
        <v>25.62666666666667</v>
      </c>
    </row>
    <row r="69">
      <c r="A69" t="n">
        <v>68</v>
      </c>
      <c r="B69" t="inlineStr">
        <is>
          <t>Desodorante Vegano Sem Alumínio Stick Cristal Alva Personal Care Cristal Natural 12h Sem Perfume 60g</t>
        </is>
      </c>
      <c r="C69">
        <f>HYPERLINK("https://www.amazon.com.br/dp/B081FJH9F5", "65.79")</f>
        <v/>
      </c>
      <c r="D69">
        <f>HYPERLINK("https://www.epocacosmeticos.com.br/alva-personal-care-cristal-natural-sem-cheiro---desodorante-stick-vegano-60g-87916/p", "77.00")</f>
        <v/>
      </c>
      <c r="E69" t="inlineStr">
        <is>
          <t>indisp.</t>
        </is>
      </c>
      <c r="F69">
        <f>HYPERLINK("https://www.drogariaspacheco.com.br/desodorante-alva-kristall-deo-stick-sensitive-vegano-60g/p", "65.39")</f>
        <v/>
      </c>
      <c r="G69">
        <f>HYPERLINK("https://www.drogaraia.com.br/desodorante-stick-kristall-sensitive-alva-vegano-60g-1274364.html", "67.50")</f>
        <v/>
      </c>
      <c r="H69" t="n">
        <v>68.92</v>
      </c>
    </row>
    <row r="70">
      <c r="A70" t="n">
        <v>69</v>
      </c>
      <c r="B70" t="inlineStr">
        <is>
          <t>Escova de Dente Curaprox 5460 Ultra Soft Cor Variada - 1 unidade</t>
        </is>
      </c>
      <c r="C70">
        <f>HYPERLINK("https://www.amazon.com.br/dp/B004J71OSC", "40.99")</f>
        <v/>
      </c>
      <c r="D70">
        <f>HYPERLINK("https://www.epocacosmeticos.com.br/escova-de-dente-curaprox-5460-ultra-soft-103355/p", "45.90")</f>
        <v/>
      </c>
      <c r="E70">
        <f>HYPERLINK("https://www.mercadolivre.com.br/escova-dental-curaprox-5460-extra-macia-importada/p/MLB20565707", "42.90")</f>
        <v/>
      </c>
      <c r="F70">
        <f>HYPERLINK("https://www.drogariaspacheco.com.br/escova-dental-curaprox-ultra-soft/p", "38.49")</f>
        <v/>
      </c>
      <c r="G70">
        <f>HYPERLINK("https://www.drogaraia.com.br/curaprox-escova-dental-com-cerdas-super-soft-com-1-unidade-cod-5460.html", "38.90")</f>
        <v/>
      </c>
      <c r="H70" t="n">
        <v>41.436</v>
      </c>
    </row>
    <row r="71">
      <c r="A71" t="n">
        <v>70</v>
      </c>
      <c r="B71" t="inlineStr">
        <is>
          <t>Escova de Dente Oral-B Complete 5 Ações de Limpeza Macia N°40 com 2 unidades</t>
        </is>
      </c>
      <c r="C71">
        <f>HYPERLINK("https://www.amazon.com.br/dp/B01KLNZSUM", "18.99")</f>
        <v/>
      </c>
      <c r="D71" t="inlineStr">
        <is>
          <t>indisp.</t>
        </is>
      </c>
      <c r="E71" t="inlineStr">
        <is>
          <t>indisp.</t>
        </is>
      </c>
      <c r="F71">
        <f>HYPERLINK("https://www.drogariaspacheco.com.br/escova-dental-oral-b-complete-2-unidades/p", "17.99")</f>
        <v/>
      </c>
      <c r="G71">
        <f>HYPERLINK("https://www.drogaraia.com.br/oral-b-escova-dental-complete-5x-mais-refrescancia-leve-2-pague-1.html", "19.90")</f>
        <v/>
      </c>
      <c r="H71" t="n">
        <v>18.96</v>
      </c>
    </row>
    <row r="72">
      <c r="A72" t="n">
        <v>71</v>
      </c>
      <c r="B72" t="inlineStr">
        <is>
          <t>Palito Interdental G.U.M. Soft Picks Original com 40 unidades</t>
        </is>
      </c>
      <c r="C72">
        <f>HYPERLINK("https://www.amazon.com.br/dp/B01M36HZHI", "24.69")</f>
        <v/>
      </c>
      <c r="D72" t="inlineStr">
        <is>
          <t>indisp.</t>
        </is>
      </c>
      <c r="E72" t="inlineStr">
        <is>
          <t>indisp.</t>
        </is>
      </c>
      <c r="F72">
        <f>HYPERLINK("https://www.drogariaspacheco.com.br/escova-interdental-gum-soft-picks-original-40-unidades/p", "24.69")</f>
        <v/>
      </c>
      <c r="G72">
        <f>HYPERLINK("https://www.drogaraia.com.br/gum-soft-picks-40-unidades.html", "27.90")</f>
        <v/>
      </c>
      <c r="H72" t="n">
        <v>25.76</v>
      </c>
    </row>
    <row r="73">
      <c r="A73" t="n">
        <v>72</v>
      </c>
      <c r="B73" t="inlineStr">
        <is>
          <t>Creme Dental Sensodyne Rápido Alívio Original 90g 3 unidades</t>
        </is>
      </c>
      <c r="C73">
        <f>HYPERLINK("https://www.amazon.com.br/dp/B08937VBT7", "19.33")</f>
        <v/>
      </c>
      <c r="D73" t="inlineStr">
        <is>
          <t>indisp.</t>
        </is>
      </c>
      <c r="E73">
        <f>HYPERLINK("https://www.mercadolivre.com.br/creme-dental-rapido-alivio-sensodyne-proteco-duradoura-para-dentes-e-gengivais-sensiveis-leve-3-unidades-e-pague-2-90g-cada/p/MLB17823992", "24.73")</f>
        <v/>
      </c>
      <c r="F73">
        <f>HYPERLINK("https://www.drogariaspacheco.com.br/kit-creme-dental-sensodyne-rapido-alivio/p", "29.90")</f>
        <v/>
      </c>
      <c r="G73">
        <f>HYPERLINK("https://www.drogaraia.com.br/sensodyne-creme-dental-medicinl-kit-rapido-alivio-90g-l3p2.html", "29.90")</f>
        <v/>
      </c>
      <c r="H73" t="n">
        <v>25.965</v>
      </c>
    </row>
    <row r="74">
      <c r="A74" t="n">
        <v>73</v>
      </c>
      <c r="B74" t="inlineStr">
        <is>
          <t>Creme Dental Oral-B 3D White Brilliant Fresh 70g 3 unidades</t>
        </is>
      </c>
      <c r="C74">
        <f>HYPERLINK("https://www.amazon.com.br/dp/B07GMDZX9M", "16.12")</f>
        <v/>
      </c>
      <c r="D74" t="inlineStr">
        <is>
          <t>indisp.</t>
        </is>
      </c>
      <c r="E74">
        <f>HYPERLINK("https://www.mercadolivre.com.br/pasta-de-dentes-oral-b-3d-white-brilliant-fresh-em-creme-pacote-x-3-70-g/p/MLB17823753", "23.54")</f>
        <v/>
      </c>
      <c r="F74">
        <f>HYPERLINK("https://www.drogariaspacheco.com.br/creme-dental-oral-b-3d-white-70g-3-unidades/p", "21.99")</f>
        <v/>
      </c>
      <c r="G74">
        <f>HYPERLINK("https://www.drogaraia.com.br/oral-b-kit-creme-dental-3d-white-leve-3-pague-2.html", "24.90")</f>
        <v/>
      </c>
      <c r="H74" t="n">
        <v>21.6375</v>
      </c>
    </row>
    <row r="75">
      <c r="A75" t="n">
        <v>74</v>
      </c>
      <c r="B75" t="inlineStr">
        <is>
          <t>Enxaguante Antisséptico Bucal Listerine Cool Mint Zero Álcool Menta Suave com 1,5L</t>
        </is>
      </c>
      <c r="C75">
        <f>HYPERLINK("https://www.amazon.com.br/dp/B07FRKJRRP", "39.90")</f>
        <v/>
      </c>
      <c r="D75" t="inlineStr">
        <is>
          <t>indisp.</t>
        </is>
      </c>
      <c r="E75">
        <f>HYPERLINK("https://www.mercadolivre.com.br/enxaguante-bucal-antisseptico-cool-mint-zero-alcool-refrescncia-suave-15l-listerine/p/MLB18393072", "39.90")</f>
        <v/>
      </c>
      <c r="F75">
        <f>HYPERLINK("https://www.drogariaspacheco.com.br/antisseptico-bucal-listerine-cool-mint-1-5-litros/p", "41.99")</f>
        <v/>
      </c>
      <c r="G75">
        <f>HYPERLINK("https://www.drogaraia.com.br/listerine-antiseptico-bucal-zero-alcool-1-5-l.html", "49.99")</f>
        <v/>
      </c>
      <c r="H75" t="n">
        <v>42.945</v>
      </c>
    </row>
    <row r="76">
      <c r="A76" t="n">
        <v>75</v>
      </c>
      <c r="B76" t="inlineStr">
        <is>
          <t>Solução Antisséptica Bucal Periostat Sem Álcool com 250ml</t>
        </is>
      </c>
      <c r="C76">
        <f>HYPERLINK("https://www.amazon.com.br/dp/B0DJ5SHWDV", "24.90")</f>
        <v/>
      </c>
      <c r="D76" t="inlineStr">
        <is>
          <t>indisp.</t>
        </is>
      </c>
      <c r="E76">
        <f>HYPERLINK("https://www.mercadolivre.com.br/periotrat-enxaguante-bucal-sem-alcool-250ml-menta-forte/p/MLB19912843", "19.25")</f>
        <v/>
      </c>
      <c r="F76">
        <f>HYPERLINK("https://www.drogariaspacheco.com.br/enxaguatorio-bucal-periotrat-menta-sem-alcool-250ml/p", "19.90")</f>
        <v/>
      </c>
      <c r="G76">
        <f>HYPERLINK("https://www.drogaraia.com.br/solucao-bucal-periotrat-sem-alcool-sabor-menta-forte.html", "31.60")</f>
        <v/>
      </c>
      <c r="H76" t="n">
        <v>23.9125</v>
      </c>
    </row>
    <row r="77">
      <c r="A77" t="n">
        <v>76</v>
      </c>
      <c r="B77" t="inlineStr">
        <is>
          <t>Enxaguante Antisséptico Bucal Listerine Cool Mint Hortelã com 500ml</t>
        </is>
      </c>
      <c r="C77">
        <f>HYPERLINK("https://www.amazon.com.br/dp/B0DTW1LFTS", "18.04")</f>
        <v/>
      </c>
      <c r="D77">
        <f>HYPERLINK("https://www.epocacosmeticos.com.br/enxaguatorio-bucal-listerine-cool-mint/p", "11.90")</f>
        <v/>
      </c>
      <c r="E77">
        <f>HYPERLINK("https://www.mercadolivre.com.br/enxaguante-bucal-cool-mint-500ml-listerine/p/MLB44975986", "26.15")</f>
        <v/>
      </c>
      <c r="F77">
        <f>HYPERLINK("https://www.drogariaspacheco.com.br/antisseptico-bucal-listerine-cool-mint-500ml/p", "18.99")</f>
        <v/>
      </c>
      <c r="G77">
        <f>HYPERLINK("https://www.drogaraia.com.br/listerine-antiseptico-bucal-cool-mint-leve-500-pague-350-ml.html", "25.09")</f>
        <v/>
      </c>
      <c r="H77" t="n">
        <v>20.034</v>
      </c>
    </row>
    <row r="78">
      <c r="A78" t="n">
        <v>77</v>
      </c>
      <c r="B78" t="inlineStr">
        <is>
          <t>Sabonete Líquido Nivea Creme Care 250ml</t>
        </is>
      </c>
      <c r="C78">
        <f>HYPERLINK("https://www.amazon.com.br/dp/B079VW31SF", "9.89")</f>
        <v/>
      </c>
      <c r="D78">
        <f>HYPERLINK("https://www.epocacosmeticos.com.br/sabonete-liquido-nivea-creme-care/p", "12.24")</f>
        <v/>
      </c>
      <c r="E78">
        <f>HYPERLINK("https://www.mercadolivre.com.br/sabonete-liquido-creme-care-250ml-nivea/p/MLB17876114", "15.55")</f>
        <v/>
      </c>
      <c r="F78">
        <f>HYPERLINK("https://www.drogariaspacheco.com.br/sabonete-liquido-nivea-creme-care-250ml/p", "12.90")</f>
        <v/>
      </c>
      <c r="G78">
        <f>HYPERLINK("https://www.drogaraia.com.br/sabonete-liquido-nivea-creme-care-250ml-895594.html", "14.66")</f>
        <v/>
      </c>
      <c r="H78" t="n">
        <v>13.048</v>
      </c>
    </row>
    <row r="79">
      <c r="A79" t="n">
        <v>78</v>
      </c>
      <c r="B79" t="inlineStr">
        <is>
          <t>Sabonete Líquido Orgânica Chá Branco &amp; Gengibre</t>
        </is>
      </c>
      <c r="C79">
        <f>HYPERLINK("https://www.amazon.com.br/dp/B0B8LZW39J", "22.59")</f>
        <v/>
      </c>
      <c r="D79">
        <f>HYPERLINK("https://www.epocacosmeticos.com.br/organica-cha-branco-e-gengibre-shampoo/p", "54.90")</f>
        <v/>
      </c>
      <c r="E79" t="inlineStr">
        <is>
          <t>indisp.</t>
        </is>
      </c>
      <c r="F79">
        <f>HYPERLINK("https://www.drogariaspacheco.com.br/sabonete-liquido-organica-puro-vegetal-cha-branco-e-gengibre-250ml/p", "25.99")</f>
        <v/>
      </c>
      <c r="G79">
        <f>HYPERLINK("https://www.drogaraia.com.br/organica-sabonete-liquido-puro-vegetal-ch-branco-gengibre-250ml.html", "25.99")</f>
        <v/>
      </c>
      <c r="H79" t="n">
        <v>32.3675</v>
      </c>
    </row>
    <row r="80">
      <c r="A80" t="n">
        <v>79</v>
      </c>
      <c r="B80" t="inlineStr">
        <is>
          <t>Kit Sabonete Dove Original em Barra - 6 unidades</t>
        </is>
      </c>
      <c r="C80">
        <f>HYPERLINK("https://www.amazon.com.br/dp/B07LFFGZ93", "18.99")</f>
        <v/>
      </c>
      <c r="D80">
        <f>HYPERLINK("https://www.epocacosmeticos.com.br/dove-sabonete-branco-kit/p", "26.90")</f>
        <v/>
      </c>
      <c r="E80" t="inlineStr">
        <is>
          <t>indisp.</t>
        </is>
      </c>
      <c r="F80">
        <f>HYPERLINK("https://www.drogariaspacheco.com.br/kit-sabonete-em-barra-dove-original-90g-6-unidades/p", "19.79")</f>
        <v/>
      </c>
      <c r="G80">
        <f>HYPERLINK("https://www.drogaraia.com.br/dove-sabonete-em-barra-regular-leve-6-pague-5.html", "22.90")</f>
        <v/>
      </c>
      <c r="H80" t="n">
        <v>22.145</v>
      </c>
    </row>
    <row r="81">
      <c r="A81" t="n">
        <v>80</v>
      </c>
      <c r="B81" t="inlineStr">
        <is>
          <t>Sabonete em Barra Lux Botanicals Lavanda com 85g</t>
        </is>
      </c>
      <c r="C81">
        <f>HYPERLINK("https://www.amazon.com.br/dp/B07GZRVDXV", "60.77")</f>
        <v/>
      </c>
      <c r="D81">
        <f>HYPERLINK("https://www.epocacosmeticos.com.br/sabonete-em-barra-lux-buque-de-jasmim/p", "7.92")</f>
        <v/>
      </c>
      <c r="E81" t="inlineStr">
        <is>
          <t>indisp.</t>
        </is>
      </c>
      <c r="F81">
        <f>HYPERLINK("https://www.drogariaspacheco.com.br/sabonete-barra-lux-botanicals-lavanda-85gr-unilever/p", "1.99")</f>
        <v/>
      </c>
      <c r="G81">
        <f>HYPERLINK("https://www.drogaraia.com.br/lux-sabonete-barra-lavanda-85g.html", "1.99")</f>
        <v/>
      </c>
      <c r="H81" t="n">
        <v>18.1675</v>
      </c>
    </row>
    <row r="82">
      <c r="A82" t="n">
        <v>81</v>
      </c>
      <c r="B82" t="inlineStr">
        <is>
          <t>Sabonete Líquido Nivea Frangipani &amp; Oil com 250ml</t>
        </is>
      </c>
      <c r="C82">
        <f>HYPERLINK("https://www.amazon.com.br/dp/B079VPDDBF", "15.09")</f>
        <v/>
      </c>
      <c r="D82">
        <f>HYPERLINK("https://www.epocacosmeticos.com.br/sabonete-liquido-nivea-frangipan-oil/p", "18.90")</f>
        <v/>
      </c>
      <c r="E82">
        <f>HYPERLINK("https://www.mercadolivre.com.br/nivea-sabonete-liquido-frangipani-oil-250ml/p/MLB17875868", "15.78")</f>
        <v/>
      </c>
      <c r="F82">
        <f>HYPERLINK("https://www.drogariaspacheco.com.br/sabonete-liquido-nivea-frangipani-oil-250ml/p", "15.90")</f>
        <v/>
      </c>
      <c r="G82">
        <f>HYPERLINK("https://www.drogaraia.com.br/nivea-sabonete-liquido-frangipani-oil-250ml.html", "20.50")</f>
        <v/>
      </c>
      <c r="H82" t="n">
        <v>17.234</v>
      </c>
    </row>
    <row r="83">
      <c r="A83" t="n">
        <v>82</v>
      </c>
      <c r="B83" t="inlineStr">
        <is>
          <t>Sabonete em Barra Phebo Odor de Rosas 90g</t>
        </is>
      </c>
      <c r="C83">
        <f>HYPERLINK("https://www.amazon.com.br/dp/B0078FQCC0", "14.90")</f>
        <v/>
      </c>
      <c r="D83">
        <f>HYPERLINK("https://www.epocacosmeticos.com.br/sabonete-em-barra-phebo-odor-de-rosas/p", "5.81")</f>
        <v/>
      </c>
      <c r="E83">
        <f>HYPERLINK("https://www.mercadolivre.com.br/sabonete-em-barra-odor-de-rosas-90g-phebo/p/MLB18342439", "6.02")</f>
        <v/>
      </c>
      <c r="F83" t="inlineStr">
        <is>
          <t>indisp.</t>
        </is>
      </c>
      <c r="G83">
        <f>HYPERLINK("https://www.drogaraia.com.br/phebo-sabonete-glicerina-odor-de-rosas-90-g.html", "6.39")</f>
        <v/>
      </c>
      <c r="H83" t="n">
        <v>8.279999999999999</v>
      </c>
    </row>
    <row r="84">
      <c r="A84" t="n">
        <v>83</v>
      </c>
      <c r="B84" t="inlineStr">
        <is>
          <t>Sabonete Líquido Lux Botanicals Gardênia e Óleo de Amêndoas 12h Glicerinado 250ml</t>
        </is>
      </c>
      <c r="C84">
        <f>HYPERLINK("https://www.amazon.com.br/dp/B0DHWBZ7QS", "6.99")</f>
        <v/>
      </c>
      <c r="D84" t="inlineStr">
        <is>
          <t>indisp.</t>
        </is>
      </c>
      <c r="E84" t="inlineStr">
        <is>
          <t>indisp.</t>
        </is>
      </c>
      <c r="F84">
        <f>HYPERLINK("https://www.drogariaspacheco.com.br/sabonete-liquido-lux-botanicals-gardenia-e-oleo-de-amendoas-250ml/p", "9.99")</f>
        <v/>
      </c>
      <c r="G84">
        <f>HYPERLINK("https://www.drogaraia.com.br/lux-sabonete-liquido-gardenia-e-oleo-de-amendoas-250ml-1022096.html", "9.90")</f>
        <v/>
      </c>
      <c r="H84" t="n">
        <v>8.960000000000001</v>
      </c>
    </row>
    <row r="85">
      <c r="A85" t="n">
        <v>84</v>
      </c>
      <c r="B85" t="inlineStr">
        <is>
          <t>Sabonete Líquido Monange Detox com 240ml</t>
        </is>
      </c>
      <c r="C85">
        <f>HYPERLINK("https://www.amazon.com.br/dp/B092G8V53J", "7.83")</f>
        <v/>
      </c>
      <c r="D85">
        <f>HYPERLINK("https://www.epocacosmeticos.com.br/sabonete-liquido-corporal-monange-detox-capim-limao-e-gengibre/p", "10.09")</f>
        <v/>
      </c>
      <c r="E85">
        <f>HYPERLINK("https://www.mercadolivre.com.br/sabonete-liquido-monange-detox-capim-limo-gengibre-240-ml/p/MLB19562151", "11.56")</f>
        <v/>
      </c>
      <c r="F85">
        <f>HYPERLINK("https://www.drogariaspacheco.com.br/sabonete-liquido-monange-detox-com-limao-e-gengibre-240ml/p", "8.99")</f>
        <v/>
      </c>
      <c r="G85">
        <f>HYPERLINK("https://www.drogaraia.com.br/monange-sabonete-liquido-detox-240ml.html", "8.99")</f>
        <v/>
      </c>
      <c r="H85" t="n">
        <v>9.492000000000001</v>
      </c>
    </row>
    <row r="86">
      <c r="A86" t="n">
        <v>85</v>
      </c>
      <c r="B86" t="inlineStr">
        <is>
          <t>Gel de Banho Hidratante Ureadin Isdin com 424g</t>
        </is>
      </c>
      <c r="C86">
        <f>HYPERLINK("https://www.amazon.com.br/dp/B079VTG76B", "71.15")</f>
        <v/>
      </c>
      <c r="D86">
        <f>HYPERLINK("https://www.epocacosmeticos.com.br/gel-de-banho-isdin-ureadin-bath-gel/p", "83.93")</f>
        <v/>
      </c>
      <c r="E86" t="inlineStr">
        <is>
          <t>indisp.</t>
        </is>
      </c>
      <c r="F86">
        <f>HYPERLINK("https://www.drogariaspacheco.com.br/gel-de-banho-hidratante-isdin-ureadin-5--ureia-424g/p", "85.90")</f>
        <v/>
      </c>
      <c r="G86">
        <f>HYPERLINK("https://www.drogaraia.com.br/ureadin-bath-gel-de-banho-hidratante-424g.html", "85.90")</f>
        <v/>
      </c>
      <c r="H86" t="n">
        <v>81.72</v>
      </c>
    </row>
    <row r="87">
      <c r="A87" t="n">
        <v>86</v>
      </c>
      <c r="B87" t="inlineStr">
        <is>
          <t>Sérum Elseve Glycolic Gloss 100ml</t>
        </is>
      </c>
      <c r="C87">
        <f>HYPERLINK("https://www.amazon.com.br/dp/B0CQKB4VMG", "34.11")</f>
        <v/>
      </c>
      <c r="D87">
        <f>HYPERLINK("https://www.epocacosmeticos.com.br/serum-elixir-prolongador-de-gloss-loreal-paris-elseve-glycolic-gloss/p", "35.90")</f>
        <v/>
      </c>
      <c r="E87">
        <f>HYPERLINK("https://www.mercadolivre.com.br/loreal-paris-elseve-serum-capilar-elixir-prolongador-de-gloss-glycolic-gloss-72-horas-de-duraco-100ml/p/MLB32018868", "34.11")</f>
        <v/>
      </c>
      <c r="F87">
        <f>HYPERLINK("https://www.drogariaspacheco.com.br/elixir-capilar-prolongador-l-oreal-paris-elseve-glycolic-gloss-100ml/p", "39.19")</f>
        <v/>
      </c>
      <c r="G87">
        <f>HYPERLINK("https://www.drogaraia.com.br/elseve-serum-capilar-glycoli-gloss-100ml.html", "53.99")</f>
        <v/>
      </c>
      <c r="H87" t="n">
        <v>39.46</v>
      </c>
    </row>
    <row r="88">
      <c r="A88" t="n">
        <v>87</v>
      </c>
      <c r="B88" t="inlineStr">
        <is>
          <t>Creme Reparador Hidratante Mustela Bebê Cicastela Pele Sensibilizada com 40ml</t>
        </is>
      </c>
      <c r="C88">
        <f>HYPERLINK("https://www.amazon.com.br/dp/B07ZQVVP87", "62.60")</f>
        <v/>
      </c>
      <c r="D88">
        <f>HYPERLINK("https://www.epocacosmeticos.com.br/cicastela-creme-reparador-hidratante-mustela-40ml-92287/p", "95.50")</f>
        <v/>
      </c>
      <c r="E88">
        <f>HYPERLINK("https://www.mercadolivre.com.br/mustela-cicastela-creme-reparador-hidratante-40ml/p/MLB38713737", "65.90")</f>
        <v/>
      </c>
      <c r="F88">
        <f>HYPERLINK("https://www.drogariaspacheco.com.br/creme-reparador-hidratante-mustela-cicastela-40ml/p", "82.73")</f>
        <v/>
      </c>
      <c r="G88">
        <f>HYPERLINK("https://www.drogaraia.com.br/creme-reparador-hidratante-mustela-cicastela.html", "82.73")</f>
        <v/>
      </c>
      <c r="H88" t="n">
        <v>77.89200000000001</v>
      </c>
    </row>
    <row r="89">
      <c r="A89" t="n">
        <v>88</v>
      </c>
      <c r="B89" t="inlineStr">
        <is>
          <t>Fralda Calça Huggies Natural Care Roupinha Disney Baby G 60 unidades</t>
        </is>
      </c>
      <c r="C89">
        <f>HYPERLINK("https://www.amazon.com.br/dp/B0BKLPZ4BH", "78.84")</f>
        <v/>
      </c>
      <c r="D89" t="inlineStr">
        <is>
          <t>indisp.</t>
        </is>
      </c>
      <c r="E89">
        <f>HYPERLINK("https://www.mercadolivre.com.br/huggies-fralda-pants-roupinha-premium-natural-care-g-60-unidades/p/MLB31034060", "94.90")</f>
        <v/>
      </c>
      <c r="F89">
        <f>HYPERLINK("https://www.drogariaspacheco.com.br/fralda-huggies-natural-care-roupinha-tamanho-g-60-unidades/p", "82.99")</f>
        <v/>
      </c>
      <c r="G89">
        <f>HYPERLINK("https://www.drogaraia.com.br/huggies-fralda-pants-natural-care-tamanho-g-hiper-60-unidades.html", "88.90")</f>
        <v/>
      </c>
      <c r="H89" t="n">
        <v>86.4075</v>
      </c>
    </row>
    <row r="90">
      <c r="A90" t="n">
        <v>89</v>
      </c>
      <c r="B90" t="inlineStr">
        <is>
          <t>Shampoo Infantil Johnson's Baby Regular 400ml</t>
        </is>
      </c>
      <c r="C90">
        <f>HYPERLINK("https://www.amazon.com.br/dp/B07F1Z7ZM2", "24.69")</f>
        <v/>
      </c>
      <c r="D90">
        <f>HYPERLINK("https://www.epocacosmeticos.com.br/johnsonss-baby-shampoo-regular/p", "16.90")</f>
        <v/>
      </c>
      <c r="E90">
        <f>HYPERLINK("https://www.mercadolivre.com.br/shampoo-baby-regular-400ml-johnsons-baby/p/MLB19160770", "23.99")</f>
        <v/>
      </c>
      <c r="F90">
        <f>HYPERLINK("https://www.drogariaspacheco.com.br/shampoo-johnsons-baby-400ml/p", "21.90")</f>
        <v/>
      </c>
      <c r="G90">
        <f>HYPERLINK("https://www.drogaraia.com.br/johnson-baby-shampoo-neutro-400-ml.html", "23.19")</f>
        <v/>
      </c>
      <c r="H90" t="n">
        <v>22.134</v>
      </c>
    </row>
    <row r="91">
      <c r="A91" t="n">
        <v>90</v>
      </c>
      <c r="B91" t="inlineStr">
        <is>
          <t>Fralda Pampers Comfort Sec G 98 unidades</t>
        </is>
      </c>
      <c r="C91">
        <f>HYPERLINK("https://www.amazon.com.br/dp/B0C5CC6MYW", "119.90")</f>
        <v/>
      </c>
      <c r="D91">
        <f>HYPERLINK("https://www.epocacosmeticos.com.br/fralda-pampers-confortsec-tam--g-9-a-13kg-83426/p", "159.99")</f>
        <v/>
      </c>
      <c r="E91" t="inlineStr">
        <is>
          <t>indisp.</t>
        </is>
      </c>
      <c r="F91">
        <f>HYPERLINK("https://www.drogariaspacheco.com.br/fralda-pampers-confort-sec-tamanho-g-98-unidades/p", "117.06")</f>
        <v/>
      </c>
      <c r="G91">
        <f>HYPERLINK("https://www.drogaraia.com.br/pampers-confort-sec-fralda-g-98-unidades.html", "154.90")</f>
        <v/>
      </c>
      <c r="H91" t="n">
        <v>137.9625</v>
      </c>
    </row>
    <row r="92">
      <c r="A92" t="n">
        <v>91</v>
      </c>
      <c r="B92" t="inlineStr">
        <is>
          <t>Creme para Assaduras Bepantol Baby 30g</t>
        </is>
      </c>
      <c r="C92">
        <f>HYPERLINK("https://www.amazon.com.br/dp/B0C2B7LBKF", "18.90")</f>
        <v/>
      </c>
      <c r="D92">
        <f>HYPERLINK("https://www.epocacosmeticos.com.br/bepantol-baby-creme-preventivo-de-assaduras/p", "19.90")</f>
        <v/>
      </c>
      <c r="E92">
        <f>HYPERLINK("https://www.mercadolivre.com.br/pomada-assadura-bepantol-baby-hipoalergnica-30g/p/MLB18397498", "19.17")</f>
        <v/>
      </c>
      <c r="F92">
        <f>HYPERLINK("https://www.drogariaspacheco.com.br/creme-preventivo-de-assaduras-bepantol-baby-30g/p", "19.59")</f>
        <v/>
      </c>
      <c r="G92">
        <f>HYPERLINK("https://www.drogaraia.com.br/bepantol-baby-30g-pomada-de-assadura-1157483.html", "15.99")</f>
        <v/>
      </c>
      <c r="H92" t="n">
        <v>18.71</v>
      </c>
    </row>
    <row r="93">
      <c r="A93" t="n">
        <v>92</v>
      </c>
      <c r="B93" t="inlineStr">
        <is>
          <t>Sabonete Líquido Granado Bebê Tradicional 500ml</t>
        </is>
      </c>
      <c r="C93">
        <f>HYPERLINK("https://www.amazon.com.br/dp/B08LK15F8N", "39.17")</f>
        <v/>
      </c>
      <c r="D93">
        <f>HYPERLINK("https://www.epocacosmeticos.com.br/sabonete-liquido-de-glicerina-bebe-granado/p", "23.90")</f>
        <v/>
      </c>
      <c r="E93">
        <f>HYPERLINK("https://www.mercadolivre.com.br/sabonete-liquido-de-glicerina-beb-tradicional-500ml-granado/p/MLB17875892", "30.81")</f>
        <v/>
      </c>
      <c r="F93">
        <f>HYPERLINK("https://www.drogariaspacheco.com.br/sabonete-liquido-granado-bebe-tradicional--500ml/p", "29.49")</f>
        <v/>
      </c>
      <c r="G93">
        <f>HYPERLINK("https://www.drogaraia.com.br/sabonete-liquido-granado-bebe-tradicional-500ml.html", "47.89")</f>
        <v/>
      </c>
      <c r="H93" t="n">
        <v>34.252</v>
      </c>
    </row>
    <row r="94">
      <c r="A94" t="n">
        <v>93</v>
      </c>
      <c r="B94" t="inlineStr">
        <is>
          <t>Repelente Infantil SBP Baby Icaridina Sem Fragrância Loção 100ml</t>
        </is>
      </c>
      <c r="C94">
        <f>HYPERLINK("https://www.amazon.com.br/dp/B08T6JZC6D", "24.69")</f>
        <v/>
      </c>
      <c r="D94">
        <f>HYPERLINK("https://www.epocacosmeticos.com.br/locao-repelente-de-insetos-sbp-baby-100ml-102026/p", "44.90")</f>
        <v/>
      </c>
      <c r="E94">
        <f>HYPERLINK("https://www.mercadolivre.com.br/repelente-para-beb-sbp-baby-loco-corporal-com-icaridina-100ml/p/MLB36001909", "26.70")</f>
        <v/>
      </c>
      <c r="F94">
        <f>HYPERLINK("https://www.drogariaspacheco.com.br/repelente-baby-sbp-100ml-/p", "25.79")</f>
        <v/>
      </c>
      <c r="G94">
        <f>HYPERLINK("https://www.drogaraia.com.br/sbp-repelente-baby-contra-mosquito-locao-100ml.html", "25.59")</f>
        <v/>
      </c>
      <c r="H94" t="n">
        <v>29.534</v>
      </c>
    </row>
    <row r="95">
      <c r="A95" t="n">
        <v>94</v>
      </c>
      <c r="B95" t="inlineStr">
        <is>
          <t>Hidratante Desodorante Nivea Soft Milk Pele Seca com 400ml</t>
        </is>
      </c>
      <c r="C95">
        <f>HYPERLINK("https://www.amazon.com.br/dp/B079VV8KVC", "17.99")</f>
        <v/>
      </c>
      <c r="D95">
        <f>HYPERLINK("https://www.epocacosmeticos.com.br/hidratante-desodorante-nivea-soft-milk-/p", "18.90")</f>
        <v/>
      </c>
      <c r="E95">
        <f>HYPERLINK("https://www.mercadolivre.com.br/loco-deo-hidratante-soft-milk-frasco-400ml-nivea/p/MLB18391180", "21.29")</f>
        <v/>
      </c>
      <c r="F95">
        <f>HYPERLINK("https://www.drogariaspacheco.com.br/locao-hidratante-nivea-soft-milk-400ml/p", "19.90")</f>
        <v/>
      </c>
      <c r="G95">
        <f>HYPERLINK("https://www.drogaraia.com.br/nivea-hidratante-corporal-soft-milk-400ml.html", "22.32")</f>
        <v/>
      </c>
      <c r="H95" t="n">
        <v>20.08</v>
      </c>
    </row>
    <row r="96">
      <c r="A96" t="n">
        <v>95</v>
      </c>
      <c r="B96" t="inlineStr">
        <is>
          <t>Absorvente para Seios Amamente com 30 unidades</t>
        </is>
      </c>
      <c r="C96">
        <f>HYPERLINK("https://www.amazon.com.br/dp/B07M7Q36ZS", "17.00")</f>
        <v/>
      </c>
      <c r="D96" t="inlineStr">
        <is>
          <t>indisp.</t>
        </is>
      </c>
      <c r="E96">
        <f>HYPERLINK("https://www.mercadolivre.com.br/absorvente-seios-amamente-diurno-30un-premium-anti-vazamento/p/MLB19541738", "24.37")</f>
        <v/>
      </c>
      <c r="F96">
        <f>HYPERLINK("https://www.drogariaspacheco.com.br/absorvente-para-seios-amamente-30-unidades/p", "18.89")</f>
        <v/>
      </c>
      <c r="G96">
        <f>HYPERLINK("https://www.drogaraia.com.br/semina-protetores-absorventes-para-seios-leve-30-pague-24.html", "21.90")</f>
        <v/>
      </c>
      <c r="H96" t="n">
        <v>20.54</v>
      </c>
    </row>
    <row r="97">
      <c r="A97" t="n">
        <v>96</v>
      </c>
      <c r="B97" t="inlineStr">
        <is>
          <t>Absorvente para Incontinência Urinária DryMan Masculino Absorção Leve a Moderada 10 unidades</t>
        </is>
      </c>
      <c r="C97">
        <f>HYPERLINK("https://www.amazon.com.br/dp/B07D3SD2JJ", "25.35")</f>
        <v/>
      </c>
      <c r="D97" t="inlineStr">
        <is>
          <t>indisp.</t>
        </is>
      </c>
      <c r="E97">
        <f>HYPERLINK("https://www.mercadolivre.com.br/absorvente-masculino-dryman/p/MLB20659966", "27.00")</f>
        <v/>
      </c>
      <c r="F97">
        <f>HYPERLINK("https://www.drogariaspacheco.com.br/absorvente-dryman-masculino-c-10-unidades/p", "15.09")</f>
        <v/>
      </c>
      <c r="G97">
        <f>HYPERLINK("https://www.drogaraia.com.br/dry-man-absorvente-geriatrico-masculino-c-10.html", "15.09")</f>
        <v/>
      </c>
      <c r="H97" t="n">
        <v>20.6325</v>
      </c>
    </row>
    <row r="98">
      <c r="A98" t="n">
        <v>97</v>
      </c>
      <c r="B98" t="inlineStr">
        <is>
          <t>Absorvente Feminino Plenitud Femme Noturno Intenso 8 unidades</t>
        </is>
      </c>
      <c r="C98">
        <f>HYPERLINK("https://www.amazon.com.br/dp/B08DZYTPKR", "23.79")</f>
        <v/>
      </c>
      <c r="D98" t="inlineStr">
        <is>
          <t>indisp.</t>
        </is>
      </c>
      <c r="E98">
        <f>HYPERLINK("https://www.mercadolivre.com.br/absorvente-noturno-plenitud-femme-8-unidades/p/MLB18459888", "29.69")</f>
        <v/>
      </c>
      <c r="F98">
        <f>HYPERLINK("https://www.drogariaspacheco.com.br/absorvente-para-incontinencia-plenitud-femme-noturno-8-unidades/p", "23.79")</f>
        <v/>
      </c>
      <c r="G98">
        <f>HYPERLINK("https://www.drogaraia.com.br/plenitud-absorvente-femme-noturno-8-unidades.html", "23.89")</f>
        <v/>
      </c>
      <c r="H98" t="n">
        <v>25.29</v>
      </c>
    </row>
    <row r="99">
      <c r="A99" t="n">
        <v>98</v>
      </c>
      <c r="B99" t="inlineStr">
        <is>
          <t>Creme Facial Antirugas Eucerin Hy-fi 3x Effect Noite 50g</t>
        </is>
      </c>
      <c r="C99">
        <f>HYPERLINK("https://www.amazon.com.br/dp/B0B7GRKN7G", "208.04")</f>
        <v/>
      </c>
      <c r="D99">
        <f>HYPERLINK("https://www.epocacosmeticos.com.br/rejuvenescedor-facial-eucerin-hyaluron-filler-noite/p", "233.87")</f>
        <v/>
      </c>
      <c r="E99">
        <f>HYPERLINK("https://www.mercadolivre.com.br/creme-facial-antirrugas-hyaluron-filler-noite-pele-seca-mista-50g-eucerin/p/MLB10287039", "195.34")</f>
        <v/>
      </c>
      <c r="F99">
        <f>HYPERLINK("https://www.drogariaspacheco.com.br/creme-facial-anti--idade-eucerin-hyaluron--filler-noite-50g/p", "218.99")</f>
        <v/>
      </c>
      <c r="G99">
        <f>HYPERLINK("https://www.drogaraia.com.br/plenitud-absorvente-femme-ultra-8-unidades.html", "12.09")</f>
        <v/>
      </c>
      <c r="H99" t="n">
        <v>173.666</v>
      </c>
    </row>
    <row r="100">
      <c r="A100" t="n">
        <v>99</v>
      </c>
      <c r="B100" t="inlineStr">
        <is>
          <t>Absorvente para Incontinência Urinária Tena Lady Discreet Noturno Feminino Absorção Intensa 6 unidades</t>
        </is>
      </c>
      <c r="C100">
        <f>HYPERLINK("https://www.amazon.com.br/dp/B07D2GB16M", "20.99")</f>
        <v/>
      </c>
      <c r="D100" t="inlineStr">
        <is>
          <t>indisp.</t>
        </is>
      </c>
      <c r="E100">
        <f>HYPERLINK("https://www.mercadolivre.com.br/absorvente-tena-lady-discreet-maxi-night-6-unidades/p/MLB19483600", "21.15")</f>
        <v/>
      </c>
      <c r="F100">
        <f>HYPERLINK("https://www.drogariaspacheco.com.br/absorvente-para-incontinencia-urinaria-tena-lady-discreet-maxi-night-6-unidades/p", "20.99")</f>
        <v/>
      </c>
      <c r="G100">
        <f>HYPERLINK("https://www.drogaraia.com.br/absorvente-tena-lady-duscreet-maxi-night-6-unidades-666287.html", "20.99")</f>
        <v/>
      </c>
      <c r="H100" t="n">
        <v>21.03</v>
      </c>
    </row>
    <row r="101">
      <c r="A101" t="n">
        <v>100</v>
      </c>
      <c r="B101" t="inlineStr">
        <is>
          <t>Absorvente para Escape de Urina Poise Protector Maxi Absorção Intensa 8 unidades</t>
        </is>
      </c>
      <c r="C101">
        <f>HYPERLINK("https://www.amazon.com.br/dp/B0DBS1CHJL", "21.84")</f>
        <v/>
      </c>
      <c r="D101" t="inlineStr">
        <is>
          <t>indisp.</t>
        </is>
      </c>
      <c r="E101">
        <f>HYPERLINK("https://www.mercadolivre.com.br/poise-absorvente-noturno-para-escapes-de-urina-maxi-8-unidades/p/MLB39308051", "22.99")</f>
        <v/>
      </c>
      <c r="F101">
        <f>HYPERLINK("https://www.drogariaspacheco.com.br/absorvente-para-escapes-de-urina-poise-noturno-max-em-abas-8-unidades/p", "21.65")</f>
        <v/>
      </c>
      <c r="G101">
        <f>HYPERLINK("https://www.drogaraia.com.br/poise-absorvente-noturno-maxx-8-unidades-978196.html", "22.79")</f>
        <v/>
      </c>
      <c r="H101" t="n">
        <v>22.3175</v>
      </c>
    </row>
    <row r="102">
      <c r="A102" t="n">
        <v>101</v>
      </c>
      <c r="B102" t="inlineStr">
        <is>
          <t>Absorvente para Incontinência Urinária Tena Lady Discreet Extra Duo 20 unidades</t>
        </is>
      </c>
      <c r="C102">
        <f>HYPERLINK("https://www.amazon.com.br/dp/B018OSFKHW", "58.35")</f>
        <v/>
      </c>
      <c r="D102" t="inlineStr">
        <is>
          <t>indisp.</t>
        </is>
      </c>
      <c r="E102">
        <f>HYPERLINK("https://www.mercadolivre.com.br/absorvente-para-incontinncia-urinaria-lady-discreet-extra-20-unidades/p/MLB19483599", "54.44")</f>
        <v/>
      </c>
      <c r="F102">
        <f>HYPERLINK("https://www.drogariaspacheco.com.br/absorvente-tena-lady-discreet-extra-20-unidades/p", "42.99")</f>
        <v/>
      </c>
      <c r="G102">
        <f>HYPERLINK("https://www.drogaraia.com.br/tena-confort-fralda-geriatrica-p-30-unidades.html", "63.99")</f>
        <v/>
      </c>
      <c r="H102" t="n">
        <v>54.9425</v>
      </c>
    </row>
    <row r="103">
      <c r="A103" t="n">
        <v>102</v>
      </c>
      <c r="B103" t="inlineStr">
        <is>
          <t>Absorvente para Incontinência Urinária Adultcare Premium Unissex Absorção Intensa 20 unidades</t>
        </is>
      </c>
      <c r="C103">
        <f>HYPERLINK("https://www.amazon.com.br/dp/B07D3SVDRT", "20.49")</f>
        <v/>
      </c>
      <c r="D103" t="inlineStr">
        <is>
          <t>indisp.</t>
        </is>
      </c>
      <c r="E103">
        <f>HYPERLINK("https://www.mercadolivre.com.br/adultcare-premium-20-unidades/p/MLB19537843", "27.80")</f>
        <v/>
      </c>
      <c r="F103">
        <f>HYPERLINK("https://www.drogariaspacheco.com.br/absorvente-adultcare-premium-unissex-20-unidades/p", "22.49")</f>
        <v/>
      </c>
      <c r="G103">
        <f>HYPERLINK("https://www.drogaraia.com.br/adultcare-absorvente-premium-com-20-unidades.html", "29.99")</f>
        <v/>
      </c>
      <c r="H103" t="n">
        <v>25.1925</v>
      </c>
    </row>
    <row r="104">
      <c r="A104" t="n">
        <v>103</v>
      </c>
      <c r="B104" t="inlineStr">
        <is>
          <t>Renovador Antiacne Darrow Actine Renov Concentrado 30g</t>
        </is>
      </c>
      <c r="C104">
        <f>HYPERLINK("https://www.amazon.com.br/dp/B0D6T7FZKJ", "103.30")</f>
        <v/>
      </c>
      <c r="D104">
        <f>HYPERLINK("https://www.epocacosmeticos.com.br/concentrado-renovador-facial-antiacne-darrow-actine-renov/p", "100.90")</f>
        <v/>
      </c>
      <c r="E104">
        <f>HYPERLINK("https://www.mercadolivre.com.br/renovador-antiacne-actine-darrow-30g-gel-dianoite-tipo-de-pele-todo-tipo-de-pele/p/MLB37939210", "92.72")</f>
        <v/>
      </c>
      <c r="F104">
        <f>HYPERLINK("https://www.drogariaspacheco.com.br/concentrado-renovador-facial-antiacne-darrow-actine-renov-30ml/p", "119.99")</f>
        <v/>
      </c>
      <c r="G104">
        <f>HYPERLINK("https://www.drogaraia.com.br/darrow-actine-renov-concentrado-creme-facial-renovador-antiacne-30g-1133605.html", "102.90")</f>
        <v/>
      </c>
      <c r="H104" t="n">
        <v>103.962</v>
      </c>
    </row>
    <row r="105">
      <c r="A105" t="n">
        <v>104</v>
      </c>
      <c r="B105" t="inlineStr">
        <is>
          <t>Demaquilante Bioré Make Up Remover 150ml</t>
        </is>
      </c>
      <c r="C105">
        <f>HYPERLINK("https://www.amazon.com.br/dp/B00T5L2HX8", "59.00")</f>
        <v/>
      </c>
      <c r="D105">
        <f>HYPERLINK("https://www.epocacosmeticos.com.br/oleo-demaquilante-facial-biore-make-up-remover/p", "68.90")</f>
        <v/>
      </c>
      <c r="E105" t="inlineStr">
        <is>
          <t>indisp.</t>
        </is>
      </c>
      <c r="F105">
        <f>HYPERLINK("https://www.drogariaspacheco.com.br/oleo-biore-make-up-demaquilante-removedor-150ml/p", "66.92")</f>
        <v/>
      </c>
      <c r="G105">
        <f>HYPERLINK("https://www.drogaraia.com.br/biore-oleo-de-limpeza-demaquilante-150ml.html", "66.92")</f>
        <v/>
      </c>
      <c r="H105" t="n">
        <v>65.435</v>
      </c>
    </row>
    <row r="106">
      <c r="A106" t="n">
        <v>105</v>
      </c>
      <c r="B106" t="inlineStr">
        <is>
          <t>Máscara de Cílios Vult Volume Up 10g</t>
        </is>
      </c>
      <c r="C106">
        <f>HYPERLINK("https://www.amazon.com.br/dp/B0C2ZQ2KXY", "40.99")</f>
        <v/>
      </c>
      <c r="D106">
        <f>HYPERLINK("https://www.epocacosmeticos.com.br/mascara-de-cilios-vult-volume-up/p", "31.90")</f>
        <v/>
      </c>
      <c r="E106" t="inlineStr">
        <is>
          <t>indisp.</t>
        </is>
      </c>
      <c r="F106">
        <f>HYPERLINK("https://www.drogariaspacheco.com.br/mascara-para-cilios-vult-volume-up-10g/p", "31.59")</f>
        <v/>
      </c>
      <c r="G106">
        <f>HYPERLINK("https://www.drogaraia.com.br/vult-mascara-para-cilios-volume-up-10g.html", "33.94")</f>
        <v/>
      </c>
      <c r="H106" t="n">
        <v>34.605</v>
      </c>
    </row>
    <row r="107">
      <c r="A107" t="n">
        <v>106</v>
      </c>
      <c r="B107" t="inlineStr">
        <is>
          <t>Pó Compacto Vult Cor 04 com 9g</t>
        </is>
      </c>
      <c r="C107">
        <f>HYPERLINK("https://www.amazon.com.br/dp/B077C2V98D", "28.79")</f>
        <v/>
      </c>
      <c r="D107" t="inlineStr">
        <is>
          <t>indisp.</t>
        </is>
      </c>
      <c r="E107">
        <f>HYPERLINK("https://www.mercadolivre.com.br/po-compacto-vult-make-up-cor-04/p/MLB24523008", "41.90")</f>
        <v/>
      </c>
      <c r="F107" t="inlineStr">
        <is>
          <t>indisp.</t>
        </is>
      </c>
      <c r="G107">
        <f>HYPERLINK("https://www.drogaraia.com.br/vult-po-compacto-05.html", "30.99")</f>
        <v/>
      </c>
      <c r="H107" t="n">
        <v>33.89333333333333</v>
      </c>
    </row>
    <row r="108">
      <c r="A108" t="n">
        <v>107</v>
      </c>
      <c r="B108" t="inlineStr">
        <is>
          <t>Lenço Umedecido Demaquilante Adogial Bioré Cotton com 10 unidades</t>
        </is>
      </c>
      <c r="C108">
        <f>HYPERLINK("https://www.amazon.com.br/dp/B0015X50N8", "29.97")</f>
        <v/>
      </c>
      <c r="D108">
        <f>HYPERLINK("https://www.epocacosmeticos.com.br/lenco-demaquilante-facial-biore-make-up-remover/p", "31.90")</f>
        <v/>
      </c>
      <c r="E108">
        <f>HYPERLINK("https://www.mercadolivre.com.br/biore-lenco-demaquilante-cleansing-cotton-rich-moisture-10un/p/MLB21454662", "35.06")</f>
        <v/>
      </c>
      <c r="F108">
        <f>HYPERLINK("https://www.drogariaspacheco.com.br/lenco-demaquilante-biore-make-up-remover-10-unidades/p", "33.99")</f>
        <v/>
      </c>
      <c r="G108">
        <f>HYPERLINK("https://www.drogaraia.com.br/biore-lenco-umedecido-demaquilante-10-folhas.html", "36.99")</f>
        <v/>
      </c>
      <c r="H108" t="n">
        <v>33.58200000000001</v>
      </c>
    </row>
    <row r="109">
      <c r="A109" t="n">
        <v>108</v>
      </c>
      <c r="B109" t="inlineStr">
        <is>
          <t>Corretivo Líquido Maybelline Eraser Instant Age Rewind 5.9ml - 130 Medium</t>
        </is>
      </c>
      <c r="C109">
        <f>HYPERLINK("https://www.amazon.com.br/dp/B004Y9GV60", "67.98")</f>
        <v/>
      </c>
      <c r="D109">
        <f>HYPERLINK("https://www.epocacosmeticos.com.br/corretivo-para-area-dos-olhos-maybelline-instant-age-eraser-dark-circles/p", "81.45")</f>
        <v/>
      </c>
      <c r="E109">
        <f>HYPERLINK("https://www.mercadolivre.com.br/corretivo-liquido-eraser-light-maybelline-ny/p/MLB28616933", "80.69")</f>
        <v/>
      </c>
      <c r="F109">
        <f>HYPERLINK("https://www.drogariaspacheco.com.br/corretivo-maybelline-age-eraser-dark-circles-light/p", "69.19")</f>
        <v/>
      </c>
      <c r="G109">
        <f>HYPERLINK("https://www.drogaraia.com.br/maybelline-corretivo-com-esponja-dark-circles-medium.html", "67.98")</f>
        <v/>
      </c>
      <c r="H109" t="n">
        <v>73.458</v>
      </c>
    </row>
    <row r="110">
      <c r="A110" t="n">
        <v>109</v>
      </c>
      <c r="B110" t="inlineStr">
        <is>
          <t>Máscara de Cílios Maybelline The Colossal Volum' Express à Prova D'água Preto 9,2ml</t>
        </is>
      </c>
      <c r="C110">
        <f>HYPERLINK("https://www.amazon.com.br/dp/B077BY4FMF", "35.90")</f>
        <v/>
      </c>
      <c r="D110">
        <f>HYPERLINK("https://www.epocacosmeticos.com.br/the-colossal-volum--express-waterproof-maybelline-mascara-para-cilios/p", "43.68")</f>
        <v/>
      </c>
      <c r="E110">
        <f>HYPERLINK("https://www.mercadolivre.com.br/mascara-de-cilios-maybelline-the-colossal-volum-express-prova-dagua-preto/p/MLB22234771", "26.00")</f>
        <v/>
      </c>
      <c r="F110">
        <f>HYPERLINK("https://www.drogariaspacheco.com.br/mascara-para-cilios-maybelline-the-colossal-a-prova-dagua-9-2ml/p", "40.79")</f>
        <v/>
      </c>
      <c r="G110">
        <f>HYPERLINK("https://www.drogaraia.com.br/maybelline-volume-express-colossal-mascara-para-cilos-prova-d-agua.html", "40.79")</f>
        <v/>
      </c>
      <c r="H110" t="n">
        <v>37.432</v>
      </c>
    </row>
    <row r="111">
      <c r="A111" t="n">
        <v>110</v>
      </c>
      <c r="B111" t="inlineStr">
        <is>
          <t>Batom Eudora Glam Micro Plastia Nude Rosado 3,3g</t>
        </is>
      </c>
      <c r="C111">
        <f>HYPERLINK("https://www.amazon.com.br/dp/B0BHJJ8X84", "35.99")</f>
        <v/>
      </c>
      <c r="D111">
        <f>HYPERLINK("https://www.epocacosmeticos.com.br/batom-eudora-glam-micro-plastia/p", "59.99")</f>
        <v/>
      </c>
      <c r="E111">
        <f>HYPERLINK("https://www.mercadolivre.com.br/batom-eudora-glam-microplastia-nude-rosado-33g/p/MLB24559682", "72.99")</f>
        <v/>
      </c>
      <c r="F111" t="inlineStr">
        <is>
          <t>indisp.</t>
        </is>
      </c>
      <c r="G111">
        <f>HYPERLINK("https://www.drogaraia.com.br/eudora-glam-batom-micro-plastia-nude-rosado-3-3g.html", "51.99")</f>
        <v/>
      </c>
      <c r="H111" t="n">
        <v>55.24</v>
      </c>
    </row>
    <row r="112">
      <c r="A112" t="n">
        <v>111</v>
      </c>
      <c r="B112" t="inlineStr">
        <is>
          <t>Demaquilante Bifásico Nivea com 125ml</t>
        </is>
      </c>
      <c r="C112">
        <f>HYPERLINK("https://www.amazon.com.br/dp/B077C2VVJ7", "27.90")</f>
        <v/>
      </c>
      <c r="D112">
        <f>HYPERLINK("https://www.epocacosmeticos.com.br/nivea-demaquilante-bifasico/p", "32.90")</f>
        <v/>
      </c>
      <c r="E112">
        <f>HYPERLINK("https://www.mercadolivre.com.br/demaquilante-bifasico-facial-125ml-nivea/p/MLB24154306", "36.99")</f>
        <v/>
      </c>
      <c r="F112">
        <f>HYPERLINK("https://www.drogariaspacheco.com.br/locao-demaquilante-nivea-visage-double-effect-bifasico-125ml/p", "32.30")</f>
        <v/>
      </c>
      <c r="G112">
        <f>HYPERLINK("https://www.drogaraia.com.br/nivea-visage-locao-demaquilante-olhos-125-ml.html", "33.90")</f>
        <v/>
      </c>
      <c r="H112" t="n">
        <v>32.79799999999999</v>
      </c>
    </row>
    <row r="113">
      <c r="A113" t="n">
        <v>112</v>
      </c>
      <c r="B113" t="inlineStr">
        <is>
          <t>Shiseido Bb For Sports - Base Fps 50 50g</t>
        </is>
      </c>
      <c r="C113">
        <f>HYPERLINK("https://www.amazon.com.br/dp/B07Q9HT1P2", "298.85")</f>
        <v/>
      </c>
      <c r="D113">
        <f>HYPERLINK("https://www.epocacosmeticos.com.br/base-solar-liquida-shiseido-bb-for-sports-fps-50/p", "269.63")</f>
        <v/>
      </c>
      <c r="E113">
        <f>HYPERLINK("https://www.mercadolivre.com.br/shiseido-bb-for-sports-fps-50-light-base-liquida-30ml/p/MLB20313151", "276.00")</f>
        <v/>
      </c>
      <c r="F113">
        <f>HYPERLINK("https://www.drogariaspacheco.com.br/shiseido-bb-for-sports-fps-50-light---base-liquida-30ml-935247384/p", "349.00")</f>
        <v/>
      </c>
      <c r="G113">
        <f>HYPERLINK("https://www.drogaraia.com.br/shiseido-bb-sports-50-light-758581.html", "280.33")</f>
        <v/>
      </c>
      <c r="H113" t="n">
        <v>294.762</v>
      </c>
    </row>
    <row r="114">
      <c r="A114" t="n">
        <v>113</v>
      </c>
      <c r="B114" t="inlineStr">
        <is>
          <t>Lapiseira Labial Vult 0,35g - Rose</t>
        </is>
      </c>
      <c r="C114" t="inlineStr">
        <is>
          <t>indisp.</t>
        </is>
      </c>
      <c r="D114">
        <f>HYPERLINK("https://www.epocacosmeticos.com.br/lapiseira-labial-vult-malva-com-oleo-de-ricino-035g-100856/p", "27.90")</f>
        <v/>
      </c>
      <c r="E114" t="inlineStr">
        <is>
          <t>indisp.</t>
        </is>
      </c>
      <c r="F114">
        <f>HYPERLINK("https://www.drogariaspacheco.com.br/lapiseira-labial-vult-rose-0-35g/p", "15.59")</f>
        <v/>
      </c>
      <c r="G114">
        <f>HYPERLINK("https://www.drogaraia.com.br/vult-lapiseira-labial-rose-0-35g.html", "19.48")</f>
        <v/>
      </c>
      <c r="H114" t="n">
        <v>20.99</v>
      </c>
    </row>
    <row r="115">
      <c r="A115" t="n">
        <v>114</v>
      </c>
      <c r="B115" t="inlineStr">
        <is>
          <t>Blush Compacto Vult Meu Blush 3g - Malva Matte</t>
        </is>
      </c>
      <c r="C115">
        <f>HYPERLINK("https://www.amazon.com.br/dp/B0C2ZBXYKK", "33.99")</f>
        <v/>
      </c>
      <c r="D115">
        <f>HYPERLINK("https://www.epocacosmeticos.com.br/blush-compacto-vult-meu-blush/p", "34.72")</f>
        <v/>
      </c>
      <c r="E115">
        <f>HYPERLINK("https://www.mercadolivre.com.br/meu-blush-vult-blush-compacto-3g-cor-a-tom-da-maquiagem-malva-matte/p/MLB40051039", "34.65")</f>
        <v/>
      </c>
      <c r="F115">
        <f>HYPERLINK("https://www.drogariaspacheco.com.br/blush-em-po-compacto-vult-meu-blush-rosa-matte-3g/p", "25.59")</f>
        <v/>
      </c>
      <c r="G115">
        <f>HYPERLINK("https://www.drogaraia.com.br/vult-blush-compacto-malva-matte-3g.html", "31.19")</f>
        <v/>
      </c>
      <c r="H115" t="n">
        <v>32.02800000000001</v>
      </c>
    </row>
    <row r="116">
      <c r="A116" t="n">
        <v>115</v>
      </c>
      <c r="B116" t="inlineStr">
        <is>
          <t>Base Longa Duração Maybelline NY SuperStay Active Wear 30h 30ml</t>
        </is>
      </c>
      <c r="C116">
        <f>HYPERLINK("https://www.amazon.com.br/dp/B074VFYJTC", "88.11")</f>
        <v/>
      </c>
      <c r="D116">
        <f>HYPERLINK("https://www.epocacosmeticos.com.br/base-matte-maybelline-ny-superstay-24h/p", "106.90")</f>
        <v/>
      </c>
      <c r="E116">
        <f>HYPERLINK("https://www.mercadolivre.com.br/base-de-maquiagem-liquida-maybelline-super-stay-active-wear-base-de-maquiagem-tom-112-natural-ivory-30ml-30g/p/MLB29046435", "85.72")</f>
        <v/>
      </c>
      <c r="F116">
        <f>HYPERLINK("https://www.drogariaspacheco.com.br/base-liquida-maybelline-superstay-220-natural-beige-30ml/p", "100.99")</f>
        <v/>
      </c>
      <c r="G116">
        <f>HYPERLINK("https://www.drogaraia.com.br/maybelline-base-superstay-24horas-full-coverage-golden-30ml.html", "76.48")</f>
        <v/>
      </c>
      <c r="H116" t="n">
        <v>91.64000000000001</v>
      </c>
    </row>
    <row r="117">
      <c r="A117" t="n">
        <v>116</v>
      </c>
      <c r="B117" t="inlineStr">
        <is>
          <t>OCÉANE 4YOU ROSE SPARKLE - PALETA DE SOMBRAS 4,6G</t>
        </is>
      </c>
      <c r="C117">
        <f>HYPERLINK("https://www.amazon.com.br/dp/B0D24526NH", "42.90")</f>
        <v/>
      </c>
      <c r="D117">
        <f>HYPERLINK("https://www.epocacosmeticos.com.br/trio-de-sombras-oceane-4-you/p", "53.14")</f>
        <v/>
      </c>
      <c r="E117">
        <f>HYPERLINK("https://www.mercadolivre.com.br/oceane-4-you-rose-sparkle-paleta-de-sombras-46g/p/MLB37751488", "49.90")</f>
        <v/>
      </c>
      <c r="F117">
        <f>HYPERLINK("https://www.drogariaspacheco.com.br/trio-de-sombras---rose-sparkle-palette-4you-46g-935327802/p", "42.90")</f>
        <v/>
      </c>
      <c r="G117">
        <f>HYPERLINK("https://www.drogaraia.com.br/oceane-4you-rose-sparkle-paleta-de-sombras-4-6g-1033939.html", "58.90")</f>
        <v/>
      </c>
      <c r="H117" t="n">
        <v>49.548</v>
      </c>
    </row>
    <row r="118">
      <c r="A118" t="n">
        <v>117</v>
      </c>
      <c r="B118" t="inlineStr">
        <is>
          <t>OCÉANE EDITION MARROM MÉDIO - CONTORNO EM BASTÃO 13,5G</t>
        </is>
      </c>
      <c r="C118">
        <f>HYPERLINK("https://www.amazon.com.br/dp/B0CTNR9ZD9", "50.90")</f>
        <v/>
      </c>
      <c r="D118">
        <f>HYPERLINK("https://www.epocacosmeticos.com.br/contorno-oceane-stick-edition/p", "52.90")</f>
        <v/>
      </c>
      <c r="E118">
        <f>HYPERLINK("https://www.mercadolivre.com.br/contorno-em-basto-marrom-medio-contour-stick-medium-oceane/p/MLB35291556", "54.52")</f>
        <v/>
      </c>
      <c r="F118">
        <f>HYPERLINK("https://www.drogariaspacheco.com.br/contorno-em-bastao-marrom-medio---contour-stick-medium-oceane-edition-135g-935313566/p", "69.90")</f>
        <v/>
      </c>
      <c r="G118">
        <f>HYPERLINK("https://www.drogaraia.com.br/oceane-edition-marrom-medio-contorno-em-bastao-13-5g-1089792.html", "50.90")</f>
        <v/>
      </c>
      <c r="H118" t="n">
        <v>55.824</v>
      </c>
    </row>
    <row r="119">
      <c r="A119" t="n">
        <v>118</v>
      </c>
      <c r="B119" t="inlineStr">
        <is>
          <t>Creme Calmante Multirreparador Principia Skincare CM-01 17,5% Mix de Ativos 40g</t>
        </is>
      </c>
      <c r="C119">
        <f>HYPERLINK("https://www.amazon.com.br/dp/B0CNBKPTG1", "43.99")</f>
        <v/>
      </c>
      <c r="D119">
        <f>HYPERLINK("https://www.epocacosmeticos.com.br/creme-calmante-multirreparador-principia-cm01/p", "44.00")</f>
        <v/>
      </c>
      <c r="E119">
        <f>HYPERLINK("https://www.mercadolivre.com.br/creme-calmante-multirreparador-cm-01/p/MLB28364235", "48.90")</f>
        <v/>
      </c>
      <c r="F119">
        <f>HYPERLINK("https://www.drogariaspacheco.com.br/creme-facial-multirreparador-principia-cm-01-40g/p", "44.00")</f>
        <v/>
      </c>
      <c r="G119">
        <f>HYPERLINK("https://www.drogaraia.com.br/principia-creme-calmante-multirreparador-cm-01-40g-1051317.html", "44.00")</f>
        <v/>
      </c>
      <c r="H119" t="n">
        <v>44.978</v>
      </c>
    </row>
    <row r="120">
      <c r="A120" t="n">
        <v>119</v>
      </c>
      <c r="B120" t="inlineStr">
        <is>
          <t>Hidratante Antiatrito Sallve 75g</t>
        </is>
      </c>
      <c r="C120">
        <f>HYPERLINK("https://www.amazon.com.br/dp/B0BLT2VT1B", "64.39")</f>
        <v/>
      </c>
      <c r="D120">
        <f>HYPERLINK("https://www.epocacosmeticos.com.br/creme-hidratante-corporal-antiatrito-sallve/p", "67.90")</f>
        <v/>
      </c>
      <c r="E120">
        <f>HYPERLINK("https://www.mercadolivre.com.br/sallve-hidratante-antiatrito-75g-niacinamida-y-alantoina/p/MLB30961821", "51.98")</f>
        <v/>
      </c>
      <c r="F120">
        <f>HYPERLINK("https://www.drogariaspacheco.com.br/hidratante-sallve-antiatrito-75g/p", "64.39")</f>
        <v/>
      </c>
      <c r="G120">
        <f>HYPERLINK("https://www.drogaraia.com.br/sallve-hidratante-antiatrito-75g.html", "64.39")</f>
        <v/>
      </c>
      <c r="H120" t="n">
        <v>62.61</v>
      </c>
    </row>
    <row r="121">
      <c r="A121" t="n">
        <v>120</v>
      </c>
      <c r="B121" t="inlineStr">
        <is>
          <t>Clindoxyl Control 10% gel - 45g</t>
        </is>
      </c>
      <c r="C121" t="inlineStr">
        <is>
          <t>indisp.</t>
        </is>
      </c>
      <c r="D121" t="inlineStr">
        <is>
          <t>indisp.</t>
        </is>
      </c>
      <c r="E121">
        <f>HYPERLINK("https://www.mercadolivre.com.br/clindoxyl-control-10-45g/p/MLB20612796", "78.89")</f>
        <v/>
      </c>
      <c r="F121">
        <f>HYPERLINK("https://www.drogariaspacheco.com.br/clindoxyl-control-10-45g/p", "55.99")</f>
        <v/>
      </c>
      <c r="G121">
        <f>HYPERLINK("https://www.drogaraia.com.br/clindoxyl-control-gel-10-45g.html", "55.99")</f>
        <v/>
      </c>
      <c r="H121" t="n">
        <v>63.62333333333333</v>
      </c>
    </row>
    <row r="122">
      <c r="A122" t="n">
        <v>121</v>
      </c>
      <c r="B122" t="inlineStr">
        <is>
          <t>Creme Hidratante Corporal Fisiogel Hipoalergênico 450g</t>
        </is>
      </c>
      <c r="C122">
        <f>HYPERLINK("https://www.amazon.com.br/dp/B0D2V2K78X", "70.90")</f>
        <v/>
      </c>
      <c r="D122">
        <f>HYPERLINK("https://www.epocacosmeticos.com.br/fisiogel-creme-hidratante-corporal-450g-95915/p", "109.90")</f>
        <v/>
      </c>
      <c r="E122">
        <f>HYPERLINK("https://www.mercadolivre.com.br/fisiogel-creme-hidratante-corporal-450g/p/MLB23391103", "65.21")</f>
        <v/>
      </c>
      <c r="F122">
        <f>HYPERLINK("https://www.drogariaspacheco.com.br/creme-hidratante-fisiogel-450g/p", "66.19")</f>
        <v/>
      </c>
      <c r="G122">
        <f>HYPERLINK("https://www.drogaraia.com.br/fisiogel-creme-pote-450g.html", "69.59")</f>
        <v/>
      </c>
      <c r="H122" t="n">
        <v>76.35799999999999</v>
      </c>
    </row>
    <row r="123">
      <c r="A123" t="n">
        <v>122</v>
      </c>
      <c r="B123" t="inlineStr">
        <is>
          <t>Hidratante Facial Nivea Acne Control 50g</t>
        </is>
      </c>
      <c r="C123">
        <f>HYPERLINK("https://www.amazon.com.br/dp/B0B94S7FMR", "37.79")</f>
        <v/>
      </c>
      <c r="D123">
        <f>HYPERLINK("https://www.epocacosmeticos.com.br/hidratante-facial-nivea-acne-control/p", "49.90")</f>
        <v/>
      </c>
      <c r="E123">
        <f>HYPERLINK("https://www.mercadolivre.com.br/nivea-hidratante-facial-acne-control-50g/p/MLB22835162", "47.53")</f>
        <v/>
      </c>
      <c r="F123">
        <f>HYPERLINK("https://www.drogariaspacheco.com.br/hidratante-facial-nivea-acne-control-50g/p", "41.99")</f>
        <v/>
      </c>
      <c r="G123">
        <f>HYPERLINK("https://www.drogaraia.com.br/nivea-hidratante-diario-acne-control-50ml.html", "57.90")</f>
        <v/>
      </c>
      <c r="H123" t="n">
        <v>47.02200000000001</v>
      </c>
    </row>
    <row r="124">
      <c r="A124" t="n">
        <v>123</v>
      </c>
      <c r="B124" t="inlineStr">
        <is>
          <t>Creme Clareador para Mãos FPS 30 Eucerin Anti-Pigment com 75ml</t>
        </is>
      </c>
      <c r="C124">
        <f>HYPERLINK("https://www.amazon.com.br/dp/B0B3SHR3XY", "122.99")</f>
        <v/>
      </c>
      <c r="D124">
        <f>HYPERLINK("https://www.epocacosmeticos.com.br/creme-clareador-para-as-maos-eucerin-anti-pigment-fps-30-75-ml-75-ml-81523/p", "142.90")</f>
        <v/>
      </c>
      <c r="E124">
        <f>HYPERLINK("https://www.mercadolivre.com.br/eucerin-anti-pigment-creme-para-as-mos-75ml/p/MLB32447732", "232.88")</f>
        <v/>
      </c>
      <c r="F124">
        <f>HYPERLINK("https://www.drogariaspacheco.com.br/creme-clareador-para-maos-eucerin-anti-pigment-75ml/p", "133.99")</f>
        <v/>
      </c>
      <c r="G124">
        <f>HYPERLINK("https://www.drogaraia.com.br/eucerin-anti-pigment-maos-75ml.html", "133.99")</f>
        <v/>
      </c>
      <c r="H124" t="n">
        <v>153.35</v>
      </c>
    </row>
    <row r="125">
      <c r="A125" t="n">
        <v>124</v>
      </c>
      <c r="B125" t="inlineStr">
        <is>
          <t>Gel Corporal Nivea Bye Bye Cellulite Firmador 200g</t>
        </is>
      </c>
      <c r="C125">
        <f>HYPERLINK("https://www.amazon.com.br/dp/B000SQIHJM", "41.57")</f>
        <v/>
      </c>
      <c r="D125">
        <f>HYPERLINK("https://www.epocacosmeticos.com.br/gel-anti-celulite-nivea-bye-bye-celulite/p", "47.90")</f>
        <v/>
      </c>
      <c r="E125">
        <f>HYPERLINK("https://www.mercadolivre.com.br/gel-corporal-bye-bye-celulite-firmador-200g-nivea/p/MLB16151511", "41.57")</f>
        <v/>
      </c>
      <c r="F125">
        <f>HYPERLINK("https://www.drogariaspacheco.com.br/gel-anti-celulite-nivea-bye-bye-celulite-200g/p", "46.39")</f>
        <v/>
      </c>
      <c r="G125">
        <f>HYPERLINK("https://www.drogaraia.com.br/gel-corporal-nivea-bye-bye-celulite-q10-plus-200g-nivea-913013.html", "31.50")</f>
        <v/>
      </c>
      <c r="H125" t="n">
        <v>41.786</v>
      </c>
    </row>
    <row r="126">
      <c r="A126" t="n">
        <v>125</v>
      </c>
      <c r="B126" t="inlineStr">
        <is>
          <t>Hidratante Creme Nutritivo Vult Facial 100g</t>
        </is>
      </c>
      <c r="C126">
        <f>HYPERLINK("https://www.amazon.com.br/dp/B0BBDYV3ZJ", "18.19")</f>
        <v/>
      </c>
      <c r="D126">
        <f>HYPERLINK("https://www.epocacosmeticos.com.br/hidratante-creme-facial-nutritivo-7-em-1-vult/p", "23.90")</f>
        <v/>
      </c>
      <c r="E126">
        <f>HYPERLINK("https://www.mercadolivre.com.br/creme-hidratante-facial-nutritivo-vult-100g-momento-de-aplicaco-dia-tipo-de-pele-todo-tipo-de-pele/p/MLB34741971", "24.29")</f>
        <v/>
      </c>
      <c r="F126">
        <f>HYPERLINK("https://www.drogariaspacheco.com.br/creme-hidratante-vult-antissinais-7-em-1-100g/p", "19.59")</f>
        <v/>
      </c>
      <c r="G126">
        <f>HYPERLINK("https://www.drogaraia.com.br/vult-facial-hidratante-creme-antissinais-100g.html", "23.79")</f>
        <v/>
      </c>
      <c r="H126" t="n">
        <v>21.952</v>
      </c>
    </row>
    <row r="127">
      <c r="A127" t="n">
        <v>126</v>
      </c>
      <c r="B127" t="inlineStr">
        <is>
          <t>Bepantriz Derma Creme com 20g</t>
        </is>
      </c>
      <c r="C127">
        <f>HYPERLINK("https://www.amazon.com.br/dp/B07MBC1XYG", "12.34")</f>
        <v/>
      </c>
      <c r="D127">
        <f>HYPERLINK("https://www.epocacosmeticos.com.br/bepantol-derma-creme-cuidado-para-areas-especificas/p", "30.16")</f>
        <v/>
      </c>
      <c r="E127" t="inlineStr">
        <is>
          <t>indisp.</t>
        </is>
      </c>
      <c r="F127">
        <f>HYPERLINK("https://www.drogariaspacheco.com.br/bepantriz-derma-creme-20gr-cimed/p", "13.09")</f>
        <v/>
      </c>
      <c r="G127">
        <f>HYPERLINK("https://www.drogaraia.com.br/bepantriz-derma-crem-20g.html", "13.09")</f>
        <v/>
      </c>
      <c r="H127" t="n">
        <v>17.17</v>
      </c>
    </row>
    <row r="128">
      <c r="A128" t="n">
        <v>127</v>
      </c>
      <c r="B128" t="inlineStr">
        <is>
          <t>Óleo Corporal Bio-Oil Antiestrias e Cicatrizante 200ml</t>
        </is>
      </c>
      <c r="C128">
        <f>HYPERLINK("https://www.amazon.com.br/dp/B07BTPCPP9", "55.90")</f>
        <v/>
      </c>
      <c r="D128">
        <f>HYPERLINK("https://www.epocacosmeticos.com.br/oleo-corporal-hidratante-bio-oil-200-ml-200-ml-74935/p", "83.90")</f>
        <v/>
      </c>
      <c r="E128">
        <f>HYPERLINK("https://www.mercadolivre.com.br/oleo-para-corpo-bio-oil-oleo-corporal-bio-oil-antiestrias-e-cicatrizante-200ml-en-tubo-200ml/p/MLB19149299", "86.05")</f>
        <v/>
      </c>
      <c r="F128">
        <f>HYPERLINK("https://www.drogariaspacheco.com.br/bio-oil-oleo-corporal-200ml-frajo/p", "78.98")</f>
        <v/>
      </c>
      <c r="G128">
        <f>HYPERLINK("https://www.drogaraia.com.br/bio-oil-oleo-corporal-200ml.html", "78.98")</f>
        <v/>
      </c>
      <c r="H128" t="n">
        <v>76.76200000000001</v>
      </c>
    </row>
    <row r="129">
      <c r="A129" t="n">
        <v>128</v>
      </c>
      <c r="B129" t="inlineStr">
        <is>
          <t>Creme Hidratante para Mãos Isdin Ureadin Manos Plus com 51,5g</t>
        </is>
      </c>
      <c r="C129">
        <f>HYPERLINK("https://www.amazon.com.br/dp/B079VWT54Z", "51.39")</f>
        <v/>
      </c>
      <c r="D129">
        <f>HYPERLINK("https://www.epocacosmeticos.com.br/creme-hidratante-para-maos--isdin-ureadin-hand-cream-plus/p", "69.50")</f>
        <v/>
      </c>
      <c r="E129">
        <f>HYPERLINK("https://www.mercadolivre.com.br/creme-hidratante-reparador-para-as-mos-ureadin-manos-515g-isdin/p/MLB18390837", "60.97")</f>
        <v/>
      </c>
      <c r="F129">
        <f>HYPERLINK("https://www.drogariaspacheco.com.br/creme-hidratante-para--maos-isdin-ureadin-manos-plus-51--5g/p", "51.39")</f>
        <v/>
      </c>
      <c r="G129">
        <f>HYPERLINK("https://www.drogaraia.com.br/ureadin-creme-para-as-maos-51-5-g.html", "51.39")</f>
        <v/>
      </c>
      <c r="H129" t="n">
        <v>56.928</v>
      </c>
    </row>
    <row r="130">
      <c r="A130" t="n">
        <v>129</v>
      </c>
      <c r="B130" t="inlineStr">
        <is>
          <t>Creme Hidratante para Mãos Fisiogel A.I. Ação Calmante 50g</t>
        </is>
      </c>
      <c r="C130">
        <f>HYPERLINK("https://www.amazon.com.br/dp/B07MNL24T5", "39.90")</f>
        <v/>
      </c>
      <c r="D130">
        <f>HYPERLINK("https://www.epocacosmeticos.com.br/fisiogel-a-i--creme-para-as-maos-50g-95916/p", "119.90")</f>
        <v/>
      </c>
      <c r="E130" t="inlineStr">
        <is>
          <t>indisp.</t>
        </is>
      </c>
      <c r="F130">
        <f>HYPERLINK("https://www.drogariaspacheco.com.br/creme-maos-e-pes-hidratante-fisiogel-50g/p", "23.59")</f>
        <v/>
      </c>
      <c r="G130">
        <f>HYPERLINK("https://www.drogaraia.com.br/fisiogel-creme-para-as-maos-calm-ai-50g.html", "51.99")</f>
        <v/>
      </c>
      <c r="H130" t="n">
        <v>58.84500000000001</v>
      </c>
    </row>
    <row r="131">
      <c r="A131" t="n">
        <v>130</v>
      </c>
      <c r="B131" t="inlineStr">
        <is>
          <t>Hidratante Labial Nivea Ultra Hialurônico 5,2g</t>
        </is>
      </c>
      <c r="C131">
        <f>HYPERLINK("https://www.amazon.com.br/dp/B0C3MNJBZX", "23.39")</f>
        <v/>
      </c>
      <c r="D131">
        <f>HYPERLINK("https://www.epocacosmeticos.com.br/hidratante-labial-nivea-ultra-hialuronico/p", "34.90")</f>
        <v/>
      </c>
      <c r="E131">
        <f>HYPERLINK("https://www.mercadolivre.com.br/nivea-hidratante-labial-ultra-hialurnico-52g/p/MLB29527654", "30.99")</f>
        <v/>
      </c>
      <c r="F131">
        <f>HYPERLINK("https://www.drogariaspacheco.com.br/hidratante-labial-ultra-hialuronico-nivea-5-2g/p", "27.90")</f>
        <v/>
      </c>
      <c r="G131">
        <f>HYPERLINK("https://www.drogaraia.com.br/nivea-hidratante-labial-ultra-hialuronico-5-2g.html", "36.90")</f>
        <v/>
      </c>
      <c r="H131" t="n">
        <v>30.816</v>
      </c>
    </row>
    <row r="132">
      <c r="A132" t="n">
        <v>131</v>
      </c>
      <c r="B132" t="inlineStr">
        <is>
          <t>Hidratante Labial Carmed Doce de Leite Efeito Gloss com Cor 10g</t>
        </is>
      </c>
      <c r="C132">
        <f>HYPERLINK("https://www.amazon.com.br/dp/B0D96H26XL", "26.69")</f>
        <v/>
      </c>
      <c r="D132">
        <f>HYPERLINK("https://www.epocacosmeticos.com.br/carmed-doce-de-leite---hidratante-labial-10g-105686/p", "30.99")</f>
        <v/>
      </c>
      <c r="E132" t="inlineStr">
        <is>
          <t>indisp.</t>
        </is>
      </c>
      <c r="F132">
        <f>HYPERLINK("https://www.drogariaspacheco.com.br/hidratante-labial-carmed-ana-castela-docinhos-doce-de-leite-10g/p", "19.94")</f>
        <v/>
      </c>
      <c r="G132">
        <f>HYPERLINK("https://www.drogaraia.com.br/carmed-hidratante-labial-com-cor-doce-de-leite-10g-1050722.html", "27.89")</f>
        <v/>
      </c>
      <c r="H132" t="n">
        <v>26.3775</v>
      </c>
    </row>
    <row r="133">
      <c r="A133" t="n">
        <v>132</v>
      </c>
      <c r="B133" t="inlineStr">
        <is>
          <t>Klassis Specialle 50g Sérum Clareador de Pele Multifuncional</t>
        </is>
      </c>
      <c r="C133">
        <f>HYPERLINK("https://www.amazon.com.br/dp/B091QCMJQ7", "141.99")</f>
        <v/>
      </c>
      <c r="D133">
        <f>HYPERLINK("https://www.epocacosmeticos.com.br/serum-clareador-facial-theraskin-klassis-specialle/p", "187.05")</f>
        <v/>
      </c>
      <c r="E133">
        <f>HYPERLINK("https://www.mercadolivre.com.br/serum-dermo-clareador-theraskin-klassis-specialle-50g-tipo-de-pele-pele-sensivel/p/MLB24379463", "143.04")</f>
        <v/>
      </c>
      <c r="F133">
        <f>HYPERLINK("https://www.drogariaspacheco.com.br/serum-clareador-theraskin-klassis-specialle-50g/p", "164.99")</f>
        <v/>
      </c>
      <c r="G133">
        <f>HYPERLINK("https://www.drogaraia.com.br/theraskin-klassis-specialle-serum-complexo-clareador-para-pele-sensivel-50g-7897129304583-1006145.html", "132.88")</f>
        <v/>
      </c>
      <c r="H133" t="n">
        <v>153.99</v>
      </c>
    </row>
    <row r="134">
      <c r="A134" t="n">
        <v>133</v>
      </c>
      <c r="B134" t="inlineStr">
        <is>
          <t>Sérum Facial Clareador Eucerin Anti-Pigment Dual 30ml</t>
        </is>
      </c>
      <c r="C134">
        <f>HYPERLINK("https://www.amazon.com.br/dp/B07SJSZHD7", "229.90")</f>
        <v/>
      </c>
      <c r="D134">
        <f>HYPERLINK("https://www.epocacosmeticos.com.br/serum-facial-eucerin-anti-pigment-dual-serum/p", "246.44")</f>
        <v/>
      </c>
      <c r="E134">
        <f>HYPERLINK("https://www.mercadolivre.com.br/eucerin-anti-pigment-dual-serum-clareador-de-manchas-30ml/p/MLB41450182", "206.00")</f>
        <v/>
      </c>
      <c r="F134">
        <f>HYPERLINK("https://www.drogariaspacheco.com.br/serum-eurecin-anti-pigmentacao-pele-oleosa-30ml/p", "215.90")</f>
        <v/>
      </c>
      <c r="G134">
        <f>HYPERLINK("https://www.drogaraia.com.br/eucerin-anti-pigment-dual-serum-facial.html", "237.99")</f>
        <v/>
      </c>
      <c r="H134" t="n">
        <v>227.246</v>
      </c>
    </row>
    <row r="135">
      <c r="A135" t="n">
        <v>134</v>
      </c>
      <c r="B135" t="inlineStr">
        <is>
          <t>Geleia de Vaselina Vasenol Original 100g</t>
        </is>
      </c>
      <c r="C135">
        <f>HYPERLINK("https://www.amazon.com.br/dp/B07JR55K68", "49.99")</f>
        <v/>
      </c>
      <c r="D135">
        <f>HYPERLINK("https://www.epocacosmeticos.com.br/locao-hidratante-corporal-vasenol-geleia-de-vaselina-original/p", "32.28")</f>
        <v/>
      </c>
      <c r="E135">
        <f>HYPERLINK("https://www.mercadolivre.com.br/geleia-de-vaselina-100-pura-original-vasenol-pote-100g-tipo-de-embalagem-pote/p/MLB19510482", "35.88")</f>
        <v/>
      </c>
      <c r="F135">
        <f>HYPERLINK("https://www.drogariaspacheco.com.br/geleia-de-vaselina-vasenol-recuperacao-intensiva-100g/p", "19.99")</f>
        <v/>
      </c>
      <c r="G135">
        <f>HYPERLINK("https://www.drogaraia.com.br/geleia-de-vaselina-100-pura-original-100g.html", "24.09")</f>
        <v/>
      </c>
      <c r="H135" t="n">
        <v>32.44600000000001</v>
      </c>
    </row>
    <row r="136">
      <c r="A136" t="n">
        <v>135</v>
      </c>
      <c r="B136" t="inlineStr">
        <is>
          <t>Body Splash Desodorante Corporal Giovanna Baby Classic com 260ml</t>
        </is>
      </c>
      <c r="C136">
        <f>HYPERLINK("https://www.amazon.com.br/dp/B09B2LLKNM", "32.79")</f>
        <v/>
      </c>
      <c r="D136">
        <f>HYPERLINK("https://www.epocacosmeticos.com.br/classic-giovanna-baby-body-spray/p", "28.00")</f>
        <v/>
      </c>
      <c r="E136">
        <f>HYPERLINK("https://www.mercadolivre.com.br/body-splash-giovanna-baby-classic-260ml/p/MLB20532761", "34.36")</f>
        <v/>
      </c>
      <c r="F136">
        <f>HYPERLINK("https://www.drogariaspacheco.com.br/body-splash-giovanna-baby-classic-260ml/p", "32.79")</f>
        <v/>
      </c>
      <c r="G136">
        <f>HYPERLINK("https://www.drogaraia.com.br/giovanna-baby-body-splash-desodorante-corporal-classic-260ml.html", "34.99")</f>
        <v/>
      </c>
      <c r="H136" t="n">
        <v>32.586</v>
      </c>
    </row>
    <row r="137">
      <c r="A137" t="n">
        <v>136</v>
      </c>
      <c r="B137" t="inlineStr">
        <is>
          <t>Deo Colônia Desodorante Giovanna Baby Blue com 50ml</t>
        </is>
      </c>
      <c r="C137">
        <f>HYPERLINK("https://www.amazon.com.br/dp/B00EWFGH9M", "14.90")</f>
        <v/>
      </c>
      <c r="D137">
        <f>HYPERLINK("https://www.epocacosmeticos.com.br/blue-giovanna-baby-perfume-infantil-deo-colonia/p", "63.00")</f>
        <v/>
      </c>
      <c r="E137">
        <f>HYPERLINK("https://www.mercadolivre.com.br/deo-colnia-giovanna-baby-blue-50ml/p/MLB22835709", "58.63")</f>
        <v/>
      </c>
      <c r="F137">
        <f>HYPERLINK("https://www.drogariaspacheco.com.br/deo-colonia-giovanna-baby-blueberry-50ml-935259170/p", "66.90")</f>
        <v/>
      </c>
      <c r="G137">
        <f>HYPERLINK("https://www.drogaraia.com.br/giovanna-baby-deo-colonia-desodorante-blue-50ml.html", "69.39")</f>
        <v/>
      </c>
      <c r="H137" t="n">
        <v>54.564</v>
      </c>
    </row>
    <row r="138">
      <c r="A138" t="n">
        <v>137</v>
      </c>
      <c r="B138" t="inlineStr">
        <is>
          <t>Deo Colônia Desodorante Giovanna Baby Classic com 50ml</t>
        </is>
      </c>
      <c r="C138">
        <f>HYPERLINK("https://www.amazon.com.br/dp/B00EWGJ324", "58.85")</f>
        <v/>
      </c>
      <c r="D138">
        <f>HYPERLINK("https://www.epocacosmeticos.com.br/classic-giovanna-baby-perfume-feminino-deo-colonia/p", "74.00")</f>
        <v/>
      </c>
      <c r="E138" t="inlineStr">
        <is>
          <t>indisp.</t>
        </is>
      </c>
      <c r="F138">
        <f>HYPERLINK("https://www.drogariaspacheco.com.br/deo-colonia-giovanna-baby-rosa-50ml/p", "65.59")</f>
        <v/>
      </c>
      <c r="G138">
        <f>HYPERLINK("https://www.drogaraia.com.br/giovanna-baby-deo-colonia-classic-com-50ml.html", "70.48")</f>
        <v/>
      </c>
      <c r="H138" t="n">
        <v>67.23</v>
      </c>
    </row>
    <row r="139">
      <c r="A139" t="n">
        <v>138</v>
      </c>
      <c r="B139" t="inlineStr">
        <is>
          <t>Body Splash Desodorante Corporal Giovanna Baby Peach 260ml</t>
        </is>
      </c>
      <c r="C139">
        <f>HYPERLINK("https://www.amazon.com.br/dp/B08MWS4HXS", "29.90")</f>
        <v/>
      </c>
      <c r="D139">
        <f>HYPERLINK("https://www.epocacosmeticos.com.br/cherry-giovanna-baby-body-spray/p", "30.44")</f>
        <v/>
      </c>
      <c r="E139">
        <f>HYPERLINK("https://www.mercadolivre.com.br/body-splash-peach-sweet-collection-260ml-giovanna-baby/p/MLB22758160", "38.90")</f>
        <v/>
      </c>
      <c r="F139">
        <f>HYPERLINK("https://www.drogariaspacheco.com.br/body-splash-peach-giovanna-baby-sweet-collection-260ml-spray/p", "36.79")</f>
        <v/>
      </c>
      <c r="G139">
        <f>HYPERLINK("https://www.drogaraia.com.br/giovanna-baby-body-splash-desodorante-corporal-peach-260ml.html", "36.79")</f>
        <v/>
      </c>
      <c r="H139" t="n">
        <v>34.564</v>
      </c>
    </row>
    <row r="140">
      <c r="A140" t="n">
        <v>139</v>
      </c>
      <c r="B140" t="inlineStr">
        <is>
          <t>Body Splash Desodorante Corporal Giovanna Baby Beauty 260ml</t>
        </is>
      </c>
      <c r="C140" t="inlineStr">
        <is>
          <t>indisp.</t>
        </is>
      </c>
      <c r="D140">
        <f>HYPERLINK("https://www.epocacosmeticos.com.br/body-splash-giovanna-baby-blueberry/p", "28.00")</f>
        <v/>
      </c>
      <c r="E140">
        <f>HYPERLINK("https://www.mercadolivre.com.br/body-splash-giovanna-baby-beauty-260ml-volume-da-unidade-260-ml/p/MLB22309033", "28.53")</f>
        <v/>
      </c>
      <c r="F140" t="inlineStr">
        <is>
          <t>indisp.</t>
        </is>
      </c>
      <c r="G140">
        <f>HYPERLINK("https://www.drogaraia.com.br/giovanna-baby-body-splash-desodorante-corporal-beauty-260ml.html", "36.79")</f>
        <v/>
      </c>
      <c r="H140" t="n">
        <v>31.10666666666667</v>
      </c>
    </row>
    <row r="141">
      <c r="A141" t="n">
        <v>140</v>
      </c>
      <c r="B141" t="inlineStr">
        <is>
          <t>Colônia Seiva de Alfazema Lavanda Extra com 118ml</t>
        </is>
      </c>
      <c r="C141">
        <f>HYPERLINK("https://www.amazon.com.br/dp/B07F3RH7DD", "31.99")</f>
        <v/>
      </c>
      <c r="D141" t="inlineStr">
        <is>
          <t>indisp.</t>
        </is>
      </c>
      <c r="E141" t="inlineStr">
        <is>
          <t>indisp.</t>
        </is>
      </c>
      <c r="F141">
        <f>HYPERLINK("https://www.drogariaspacheco.com.br/colonia-seiva-alfazema-118ml/p", "18.98")</f>
        <v/>
      </c>
      <c r="G141">
        <f>HYPERLINK("https://www.drogaraia.com.br/alfazema-colonia-lavanda-118-ml.html", "19.59")</f>
        <v/>
      </c>
      <c r="H141" t="n">
        <v>23.52</v>
      </c>
    </row>
    <row r="142">
      <c r="A142" t="n">
        <v>141</v>
      </c>
      <c r="B142" t="inlineStr">
        <is>
          <t>Protetor Solar Facial FPS 50 Bioré UV Perfect Milk 40ml</t>
        </is>
      </c>
      <c r="C142">
        <f>HYPERLINK("https://www.amazon.com.br/dp/B0CQZ4W2HV", "91.07")</f>
        <v/>
      </c>
      <c r="D142">
        <f>HYPERLINK("https://www.epocacosmeticos.com.br/protetor-solar-facial-biore-perfect-milk-50-fps/p", "74.90")</f>
        <v/>
      </c>
      <c r="E142">
        <f>HYPERLINK("https://www.mercadolivre.com.br/biore-protetor-solar-facialcorporal-uv-perfect-milk-fps-50/p/MLB30414457", "63.13")</f>
        <v/>
      </c>
      <c r="F142">
        <f>HYPERLINK("https://www.drogariaspacheco.com.br/protetor-solar-facial-biore-perfect-milk-uv-fps50-40ml/p", "60.99")</f>
        <v/>
      </c>
      <c r="G142">
        <f>HYPERLINK("https://www.drogaraia.com.br/biore-uv-perfect-milk-40ml.html", "70.48")</f>
        <v/>
      </c>
      <c r="H142" t="n">
        <v>72.114</v>
      </c>
    </row>
    <row r="143">
      <c r="A143" t="n">
        <v>142</v>
      </c>
      <c r="B143" t="inlineStr">
        <is>
          <t>Protetor Solar Facial La Roche-Posay Anthelios Ultra Cover FPS 60 Cor 3.0 30g</t>
        </is>
      </c>
      <c r="C143">
        <f>HYPERLINK("https://www.amazon.com.br/dp/B0BLZVD5S5", "69.99")</f>
        <v/>
      </c>
      <c r="D143">
        <f>HYPERLINK("https://www.epocacosmeticos.com.br/protetor-solar-facial-com-cor-la-roche-posay-anthelios-ultra-cover-fps60/p", "83.10")</f>
        <v/>
      </c>
      <c r="E143">
        <f>HYPERLINK("https://www.mercadolivre.com.br/protetor-solar-facial-la-roche-posay-anthelios-ultra-cover-fps60-cor-30-30g/p/MLB19767143", "69.99")</f>
        <v/>
      </c>
      <c r="F143">
        <f>HYPERLINK("https://www.drogariaspacheco.com.br/protetor-solar-la-roche-posay-anthelios-60-fps-30g/p", "69.99")</f>
        <v/>
      </c>
      <c r="G143">
        <f>HYPERLINK("https://www.drogaraia.com.br/anthelios-protetor-solar-facial-lrp-ultra-cover-pele-clara-fps60-30g.html", "96.90")</f>
        <v/>
      </c>
      <c r="H143" t="n">
        <v>77.994</v>
      </c>
    </row>
    <row r="144">
      <c r="A144" t="n">
        <v>143</v>
      </c>
      <c r="B144" t="inlineStr">
        <is>
          <t>Protetor Solar Facial Avene Mat Perfect FPS 70 Fluido Clareador Médio 40g</t>
        </is>
      </c>
      <c r="C144">
        <f>HYPERLINK("https://www.amazon.com.br/dp/B084GXLKRM", "64.90")</f>
        <v/>
      </c>
      <c r="D144">
        <f>HYPERLINK("https://www.epocacosmeticos.com.br/protetor-solar-clareador-avene-mat-perfect-fps-70/p", "89.30")</f>
        <v/>
      </c>
      <c r="E144">
        <f>HYPERLINK("https://www.mercadolivre.com.br/protetor-solar-avene-mat-perfect-clareador-media-fps70-40g/p/MLB19766902", "86.65")</f>
        <v/>
      </c>
      <c r="F144">
        <f>HYPERLINK("https://www.drogariaspacheco.com.br/protetor-solar-facial-avene-fluido-clareador-70-fps-40g/p", "80.99")</f>
        <v/>
      </c>
      <c r="G144">
        <f>HYPERLINK("https://www.drogaraia.com.br/avene-eau-thermale-mat-perfect-fps70-media-protetor-solar-facial-clareador-40g-925850.html", "96.90")</f>
        <v/>
      </c>
      <c r="H144" t="n">
        <v>83.748</v>
      </c>
    </row>
    <row r="145">
      <c r="A145" t="n">
        <v>144</v>
      </c>
      <c r="B145" t="inlineStr">
        <is>
          <t>Protetor Solar Facial Dermage FPS 50 Photage Water 40g</t>
        </is>
      </c>
      <c r="C145">
        <f>HYPERLINK("https://www.amazon.com.br/dp/B08STYKTB1", "66.29")</f>
        <v/>
      </c>
      <c r="D145">
        <f>HYPERLINK("https://www.epocacosmeticos.com.br/protetor-solar-facial-dermage-photoage-water-fps50/p", "76.03")</f>
        <v/>
      </c>
      <c r="E145" t="inlineStr">
        <is>
          <t>indisp.</t>
        </is>
      </c>
      <c r="F145">
        <f>HYPERLINK("https://www.drogariaspacheco.com.br/protetor--solar--facial--dermage--photoage--water--fps50--40g/p", "109.90")</f>
        <v/>
      </c>
      <c r="G145">
        <f>HYPERLINK("https://www.drogaraia.com.br/dermage-photoage-water-fps50-40g.html", "68.59")</f>
        <v/>
      </c>
      <c r="H145" t="n">
        <v>80.2025</v>
      </c>
    </row>
    <row r="146">
      <c r="A146" t="n">
        <v>145</v>
      </c>
      <c r="B146" t="inlineStr">
        <is>
          <t>ISDIN Protetor Solar Facial Fusion Fluid Mineral FPS 50-50ml</t>
        </is>
      </c>
      <c r="C146">
        <f>HYPERLINK("https://www.amazon.com.br/dp/B0CGK9632T", "78.74")</f>
        <v/>
      </c>
      <c r="D146">
        <f>HYPERLINK("https://www.epocacosmeticos.com.br/protetor-solar-facial-isdin-fusion-fluid-mineral-fps-50/p", "111.40")</f>
        <v/>
      </c>
      <c r="E146">
        <f>HYPERLINK("https://www.mercadolivre.com.br/protetor-solar-facial-com-filtros-fisicos-fusion-fluid-mineral-fps-50-50ml-isdin/p/MLB26579614", "75.92")</f>
        <v/>
      </c>
      <c r="F146">
        <f>HYPERLINK("https://www.drogariaspacheco.com.br/protetor-solar-facial-isdin-fotoprotector-fusion-fluid-mineral-fps50/p", "85.49")</f>
        <v/>
      </c>
      <c r="G146">
        <f>HYPERLINK("https://www.drogaraia.com.br/isdin-protetor-solar-fusion-fluid-mineral-fps50-50ml.html", "90.49")</f>
        <v/>
      </c>
      <c r="H146" t="n">
        <v>88.408</v>
      </c>
    </row>
    <row r="147">
      <c r="A147" t="n">
        <v>146</v>
      </c>
      <c r="B147" t="inlineStr">
        <is>
          <t>Protetor Solar Corporal FPS 50 Helioderm Suncare 200g</t>
        </is>
      </c>
      <c r="C147">
        <f>HYPERLINK("https://www.amazon.com.br/dp/B07MHJVWMY", "82.49")</f>
        <v/>
      </c>
      <c r="D147" t="inlineStr">
        <is>
          <t>indisp.</t>
        </is>
      </c>
      <c r="E147">
        <f>HYPERLINK("https://www.mercadolivre.com.br/protetor-solar-helioderm-proteccion-solar-fps-70-70fps-en-creme-200ml/p/MLB30176403", "44.19")</f>
        <v/>
      </c>
      <c r="F147">
        <f>HYPERLINK("https://www.drogariaspacheco.com.br/protetor-solar-facial-helioderm-fps-50-200gr-/p", "32.39")</f>
        <v/>
      </c>
      <c r="G147">
        <f>HYPERLINK("https://www.drogaraia.com.br/helioderm-suncare-protetor-solar-fps50-200g.html", "32.39")</f>
        <v/>
      </c>
      <c r="H147" t="n">
        <v>47.86499999999999</v>
      </c>
    </row>
    <row r="148">
      <c r="A148" t="n">
        <v>147</v>
      </c>
      <c r="B148" t="inlineStr">
        <is>
          <t>Protetor Solar Corporal Loção FPS 70 Sundown 200ml</t>
        </is>
      </c>
      <c r="C148">
        <f>HYPERLINK("https://www.amazon.com.br/dp/B07G3BVVZW", "55.95")</f>
        <v/>
      </c>
      <c r="D148">
        <f>HYPERLINK("https://www.epocacosmeticos.com.br/protetor-solar-sundown-praia-e-piscina-fps70/p", "71.90")</f>
        <v/>
      </c>
      <c r="E148">
        <f>HYPERLINK("https://www.mercadolivre.com.br/protetor-solar-sundown-praia-e-piscina-fps-70-200ml/p/MLB16139135", "60.79")</f>
        <v/>
      </c>
      <c r="F148">
        <f>HYPERLINK("https://www.drogariaspacheco.com.br/protetor-solar-sundown-fps-70-200ml/p", "60.79")</f>
        <v/>
      </c>
      <c r="G148">
        <f>HYPERLINK("https://www.drogaraia.com.br/protetor-solar-sundown-praia-e-piscina-fps70-200ml-1274966.html", "283.13")</f>
        <v/>
      </c>
      <c r="H148" t="n">
        <v>106.512</v>
      </c>
    </row>
    <row r="149">
      <c r="A149" t="n">
        <v>148</v>
      </c>
      <c r="B149" t="inlineStr">
        <is>
          <t>Protetor Solar FPS 60 Nivea Sun Kids &amp; Babies Pele Sensível 125ml</t>
        </is>
      </c>
      <c r="C149">
        <f>HYPERLINK("https://www.amazon.com.br/dp/B077BY8HQV", "47.71")</f>
        <v/>
      </c>
      <c r="D149">
        <f>HYPERLINK("https://www.epocacosmeticos.com.br/protetor-solar-nivea-sun-kids-sensitive-fps60/p", "77.90")</f>
        <v/>
      </c>
      <c r="E149">
        <f>HYPERLINK("https://www.mercadolivre.com.br/nivea-sun-protetor-solar-kids-babies-pele-sensivel-fps-60-125ml/p/MLB17476579", "43.64")</f>
        <v/>
      </c>
      <c r="F149">
        <f>HYPERLINK("https://www.drogariaspacheco.com.br/protetor-nivea-sun-kids-sensitive-pure-fps-60-125ml/p", "48.90")</f>
        <v/>
      </c>
      <c r="G149">
        <f>HYPERLINK("https://www.drogaraia.com.br/nivea-sun-kids-sensitive-fps-60-125ml.html", "88.80")</f>
        <v/>
      </c>
      <c r="H149" t="n">
        <v>61.39</v>
      </c>
    </row>
    <row r="150">
      <c r="A150" t="n">
        <v>149</v>
      </c>
      <c r="B150" t="inlineStr">
        <is>
          <t>Protetor Solar Facial La Roche-Posay Anthelios Airlicium FPS 50 Claro 40ml</t>
        </is>
      </c>
      <c r="C150">
        <f>HYPERLINK("https://www.amazon.com.br/dp/B0BJ35H6HK", "88.49")</f>
        <v/>
      </c>
      <c r="D150">
        <f>HYPERLINK("https://www.epocacosmeticos.com.br/protetor-solar-facial-com-cor-la-roche-posay-anthelios-airlicium-fluido-fps50/p", "106.00")</f>
        <v/>
      </c>
      <c r="E150">
        <f>HYPERLINK("https://www.mercadolivre.com.br/protetor-solar-facial-antioleosidade-anthelios-airlicium-fps-50-sem-cor-40ml-la-roche-posay/p/MLB19951193", "84.16")</f>
        <v/>
      </c>
      <c r="F150">
        <f>HYPERLINK("https://www.drogariaspacheco.com.br/protetor-solar-la-roche-posay-anthelios-airlicium-fluido-com-cor-2-0-fps50-40ml/p", "82.49")</f>
        <v/>
      </c>
      <c r="G150">
        <f>HYPERLINK("https://www.drogaraia.com.br/la-roche-posay-protetor-solar-facial-anthelios-airlicium-fps50-cor-2-0-40ml.html", "119.90")</f>
        <v/>
      </c>
      <c r="H150" t="n">
        <v>96.208</v>
      </c>
    </row>
    <row r="151">
      <c r="A151" t="n">
        <v>150</v>
      </c>
      <c r="B151" t="inlineStr">
        <is>
          <t>Protetor Solar Facial FPS 70 Neutrogena Sun Fresh 40g</t>
        </is>
      </c>
      <c r="C151">
        <f>HYPERLINK("https://www.amazon.com.br/dp/B08NVML21R", "52.24")</f>
        <v/>
      </c>
      <c r="D151">
        <f>HYPERLINK("https://www.epocacosmeticos.com.br/protetor-solar-facial-neutrogena-sun-fresh-fps-70/p", "61.90")</f>
        <v/>
      </c>
      <c r="E151">
        <f>HYPERLINK("https://www.mercadolivre.com.br/protetor-solar-facial-sun-fresh-fps-70-40g-neutrogena/p/MLB17476594", "48.21")</f>
        <v/>
      </c>
      <c r="F151">
        <f>HYPERLINK("https://www.drogariaspacheco.com.br/protetor-solar-facial-neutrogena-sun-fresh-fps70-40g/p", "54.99")</f>
        <v/>
      </c>
      <c r="G151">
        <f>HYPERLINK("https://www.drogaraia.com.br/neutrogena-protetor-solar-sun-fresh-facial-fps-70-40g.html", "59.99")</f>
        <v/>
      </c>
      <c r="H151" t="n">
        <v>55.46599999999999</v>
      </c>
    </row>
    <row r="152">
      <c r="A152" t="n">
        <v>151</v>
      </c>
      <c r="B152" t="inlineStr">
        <is>
          <t>Protetor Solar Spray FPS 50 Nivea Sun Protect &amp; Toque Seco 200ml</t>
        </is>
      </c>
      <c r="C152">
        <f>HYPERLINK("https://www.amazon.com.br/dp/B09954B54J", "49.43")</f>
        <v/>
      </c>
      <c r="D152">
        <f>HYPERLINK("https://www.epocacosmeticos.com.br/protetor-solar-nivea-protect-e-hidrata-fps50/p", "42.90")</f>
        <v/>
      </c>
      <c r="E152">
        <f>HYPERLINK("https://www.mercadolivre.com.br/protetor-solar-spray-protect-toque-seco-fps-30-nivea-sun-frasco-200ml/p/MLB18407874", "33.90")</f>
        <v/>
      </c>
      <c r="F152">
        <f>HYPERLINK("https://www.drogariaspacheco.com.br/protetor-solar-corporal-nivea-sun-protect-toque-seco-fps30-spray-200ml/p", "57.99")</f>
        <v/>
      </c>
      <c r="G152">
        <f>HYPERLINK("https://www.drogaraia.com.br/nivea-sun-protetor-solar-protect-fresh-aerosol-fps50-200ml.html", "99.90")</f>
        <v/>
      </c>
      <c r="H152" t="n">
        <v>56.824</v>
      </c>
    </row>
    <row r="153">
      <c r="A153" t="n">
        <v>152</v>
      </c>
      <c r="B153" t="inlineStr">
        <is>
          <t>Protetor Solar Facial e Corporal FPS 70 Granado Bebê 120ml</t>
        </is>
      </c>
      <c r="C153">
        <f>HYPERLINK("https://www.amazon.com.br/dp/B0C2VYDJ3Q", "76.98")</f>
        <v/>
      </c>
      <c r="D153">
        <f>HYPERLINK("https://www.epocacosmeticos.com.br/protetor-solar-granado-bebe-fps70/p", "88.90")</f>
        <v/>
      </c>
      <c r="E153">
        <f>HYPERLINK("https://www.mercadolivre.com.br/protetor-solar-beb-granado-sem-perfume-fps70/p/MLB19837164", "64.99")</f>
        <v/>
      </c>
      <c r="F153">
        <f>HYPERLINK("https://www.drogariaspacheco.com.br/protetor-solar-granado-bebe-fps70-120ml/p", "76.98")</f>
        <v/>
      </c>
      <c r="G153">
        <f>HYPERLINK("https://www.drogaraia.com.br/granado-bebe-protetor-solar-infantil-fps70-120ml.html", "76.98")</f>
        <v/>
      </c>
      <c r="H153" t="n">
        <v>76.96600000000001</v>
      </c>
    </row>
    <row r="154">
      <c r="A154" t="n">
        <v>153</v>
      </c>
      <c r="B154" t="inlineStr">
        <is>
          <t>Repelente de Insetos Xô Inseto SPF Family Care 200ml</t>
        </is>
      </c>
      <c r="C154">
        <f>HYPERLINK("https://www.amazon.com.br/dp/B099NCTCX8", "14.24")</f>
        <v/>
      </c>
      <c r="D154" t="inlineStr">
        <is>
          <t>indisp.</t>
        </is>
      </c>
      <c r="E154">
        <f>HYPERLINK("https://www.mercadolivre.com.br/repelente-spray-x-inseto-frasco-200ml/p/MLB33975990", "22.71")</f>
        <v/>
      </c>
      <c r="F154">
        <f>HYPERLINK("https://www.drogariaspacheco.com.br/locao-repelente-200ml-xo-inseto-15-desconto-cimed/p", "13.99")</f>
        <v/>
      </c>
      <c r="G154">
        <f>HYPERLINK("https://www.drogaraia.com.br/xo-inseto-15-spray-frasco-200ml.html", "14.89")</f>
        <v/>
      </c>
      <c r="H154" t="n">
        <v>16.4575</v>
      </c>
    </row>
    <row r="155">
      <c r="A155" t="n">
        <v>154</v>
      </c>
      <c r="B155" t="inlineStr">
        <is>
          <t>Repelente Off! Kids com DEET Loção 200ml</t>
        </is>
      </c>
      <c r="C155">
        <f>HYPERLINK("https://www.amazon.com.br/dp/B07D2FT1G6", "12.29")</f>
        <v/>
      </c>
      <c r="D155" t="inlineStr">
        <is>
          <t>indisp.</t>
        </is>
      </c>
      <c r="E155">
        <f>HYPERLINK("https://www.mercadolivre.com.br/repelente-infantil-off-kids-proteco-contra-mosquito-por-ate-4h-loco-200ml/p/MLB23888872", "12.29")</f>
        <v/>
      </c>
      <c r="F155">
        <f>HYPERLINK("https://www.drogariaspacheco.com.br/repelente-off-kids-johnson-200ml/p", "18.98")</f>
        <v/>
      </c>
      <c r="G155">
        <f>HYPERLINK("https://www.drogaraia.com.br/off-kids-repelente-de-insetos-uso-infantil-locao-leve-200ml-pague-117ml.html", "18.98")</f>
        <v/>
      </c>
      <c r="H155" t="n">
        <v>15.635</v>
      </c>
    </row>
    <row r="156">
      <c r="A156" t="n">
        <v>155</v>
      </c>
      <c r="B156" t="inlineStr">
        <is>
          <t>Repelente Infantil SBP Baby Icaridina Sem Fragrância Loção 100ml</t>
        </is>
      </c>
      <c r="C156">
        <f>HYPERLINK("https://www.amazon.com.br/dp/B08T6JZC6D", "25.79")</f>
        <v/>
      </c>
      <c r="D156">
        <f>HYPERLINK("https://www.epocacosmeticos.com.br/locao-repelente-de-insetos-sbp-baby-100ml-102026/p", "44.90")</f>
        <v/>
      </c>
      <c r="E156">
        <f>HYPERLINK("https://www.mercadolivre.com.br/repelente-para-beb-sbp-baby-loco-corporal-com-icaridina-100ml/p/MLB36001909", "26.70")</f>
        <v/>
      </c>
      <c r="F156">
        <f>HYPERLINK("https://www.drogariaspacheco.com.br/repelente-baby-sbp-100ml-/p", "25.79")</f>
        <v/>
      </c>
      <c r="G156">
        <f>HYPERLINK("https://www.drogaraia.com.br/sbp-repelente-baby-contra-mosquito-locao-100ml.html", "25.59")</f>
        <v/>
      </c>
      <c r="H156" t="n">
        <v>29.754</v>
      </c>
    </row>
    <row r="157">
      <c r="A157" t="n">
        <v>156</v>
      </c>
      <c r="B157" t="inlineStr">
        <is>
          <t>Repelente de Tomada SBP 45 Noites Cheiro Suave + Refil 35ml</t>
        </is>
      </c>
      <c r="C157">
        <f>HYPERLINK("https://www.amazon.com.br/dp/B07VLJCJSW", "15.00")</f>
        <v/>
      </c>
      <c r="D157" t="inlineStr">
        <is>
          <t>indisp.</t>
        </is>
      </c>
      <c r="E157">
        <f>HYPERLINK("https://www.mercadolivre.com.br/sbp-repelente-eletrico-liquido-aparelho-refil-cheiro-suave/p/MLB19762792", "13.61")</f>
        <v/>
      </c>
      <c r="F157">
        <f>HYPERLINK("https://www.drogariaspacheco.com.br/repelente-eletrico-liquido-sbp-45-noites-cheiro-suave--refil-35ml/p", "15.79")</f>
        <v/>
      </c>
      <c r="G157">
        <f>HYPERLINK("https://www.drogaraia.com.br/sbp-repelente-cheiro-suave-aparelho-refil.html", "15.79")</f>
        <v/>
      </c>
      <c r="H157" t="n">
        <v>15.0475</v>
      </c>
    </row>
    <row r="158">
      <c r="A158" t="n">
        <v>157</v>
      </c>
      <c r="B158" t="inlineStr">
        <is>
          <t>Leave-In Finalizador Lola Danos Vorazes com 200ml</t>
        </is>
      </c>
      <c r="C158">
        <f>HYPERLINK("https://www.amazon.com.br/dp/B08PPKQTFB", "29.69")</f>
        <v/>
      </c>
      <c r="D158">
        <f>HYPERLINK("https://www.epocacosmeticos.com.br/lola-cosmetics-danos-vorazes-leave-in-finalizador-200ml/p", "33.00")</f>
        <v/>
      </c>
      <c r="E158">
        <f>HYPERLINK("https://www.mercadolivre.com.br/finalizador-leave-in-danos-vorazes-200ml-lola-cosmetics/p/MLB19002418", "23.17")</f>
        <v/>
      </c>
      <c r="F158">
        <f>HYPERLINK("https://www.drogariaspacheco.com.br/leave-in-lola-danos-vorazes-200ml/p", "43.92")</f>
        <v/>
      </c>
      <c r="G158">
        <f>HYPERLINK("https://www.drogaraia.com.br/lola-danos-vorazes-leave-in-200ml-7899572811731-1301144.html", "33.90")</f>
        <v/>
      </c>
      <c r="H158" t="n">
        <v>32.736</v>
      </c>
    </row>
    <row r="159">
      <c r="A159" t="n">
        <v>158</v>
      </c>
      <c r="B159" t="inlineStr">
        <is>
          <t>Máscara de Hidratação Aussie Non Stop Hydratation 270ml</t>
        </is>
      </c>
      <c r="C159">
        <f>HYPERLINK("https://www.amazon.com.br/dp/B0C6RF38MJ", "32.90")</f>
        <v/>
      </c>
      <c r="D159">
        <f>HYPERLINK("https://www.epocacosmeticos.com.br/mascara-de-hidratacao-aussie-non-stop-hydration-83887/p", "33.23")</f>
        <v/>
      </c>
      <c r="E159">
        <f>HYPERLINK("https://www.mercadolivre.com.br/mascara-de-tratamento-aussie-non-stop-hydration-270ml/p/MLB22429896", "34.51")</f>
        <v/>
      </c>
      <c r="F159">
        <f>HYPERLINK("https://www.drogariaspacheco.com.br/mascara-capilar-aussie-non-stop-hydratation-tratamento-intensivo-270ml/p", "39.90")</f>
        <v/>
      </c>
      <c r="G159">
        <f>HYPERLINK("https://www.drogaraia.com.br/aussie-mascara-de-tratamento-hidratacao-270ml.html", "61.90")</f>
        <v/>
      </c>
      <c r="H159" t="n">
        <v>40.488</v>
      </c>
    </row>
    <row r="160">
      <c r="A160" t="n">
        <v>159</v>
      </c>
      <c r="B160" t="inlineStr">
        <is>
          <t>Repelente de Insetos Inset Moskitoff com DEET Loção 200ml</t>
        </is>
      </c>
      <c r="C160">
        <f>HYPERLINK("https://www.amazon.com.br/dp/B08TTJ4Y8W", "28.23")</f>
        <v/>
      </c>
      <c r="D160">
        <f>HYPERLINK("https://www.epocacosmeticos.com.br/locao-repelente-moskit-off-adulto-200ml-101923/p", "39.90")</f>
        <v/>
      </c>
      <c r="E160">
        <f>HYPERLINK("https://www.mercadolivre.com.br/repelente-loco-100ml-moskitoff/p/MLB24132406", "8.00")</f>
        <v/>
      </c>
      <c r="F160" t="inlineStr">
        <is>
          <t>indisp.</t>
        </is>
      </c>
      <c r="G160">
        <f>HYPERLINK("https://www.drogaraia.com.br/moskitoff-repelente-adulto-frasco-200ml.html", "20.59")</f>
        <v/>
      </c>
      <c r="H160" t="n">
        <v>24.18</v>
      </c>
    </row>
    <row r="161">
      <c r="A161" t="n">
        <v>160</v>
      </c>
      <c r="B161" t="inlineStr">
        <is>
          <t>Repelente Infantil Off! Baby Gel Icaridina 117g</t>
        </is>
      </c>
      <c r="C161">
        <f>HYPERLINK("https://www.amazon.com.br/dp/B08BWYTR6F", "19.19")</f>
        <v/>
      </c>
      <c r="D161">
        <f>HYPERLINK("https://www.epocacosmeticos.com.br/gel-repelente-de-insetos-johnson-off--baby-117g-101936/p", "70.90")</f>
        <v/>
      </c>
      <c r="E161">
        <f>HYPERLINK("https://www.mercadolivre.com.br/repelente-baby-off-com-icaridina-proteco-por-ate-6h-loco-em-gel-117g/p/MLB24153836", "24.76")</f>
        <v/>
      </c>
      <c r="F161" t="inlineStr">
        <is>
          <t>indisp.</t>
        </is>
      </c>
      <c r="G161">
        <f>HYPERLINK("https://www.drogaraia.com.br/off-baby-117ml.html", "28.99")</f>
        <v/>
      </c>
      <c r="H161" t="n">
        <v>35.96</v>
      </c>
    </row>
    <row r="162">
      <c r="A162" t="n">
        <v>161</v>
      </c>
      <c r="B162" t="inlineStr">
        <is>
          <t>Gel Hidratante para Região Íntima Hot Flowers Blow Girl Aveludado e Beijável Morango com Creme 320ml</t>
        </is>
      </c>
      <c r="C162">
        <f>HYPERLINK("https://www.amazon.com.br/dp/B0DCPY4VD4", "32.50")</f>
        <v/>
      </c>
      <c r="D162" t="inlineStr">
        <is>
          <t>indisp.</t>
        </is>
      </c>
      <c r="E162" t="inlineStr">
        <is>
          <t>indisp.</t>
        </is>
      </c>
      <c r="F162">
        <f>HYPERLINK("https://www.drogariaspacheco.com.br/hot-flowers-blow-girl-morango-com-creme---gel-aromatizante-320ml-935344314/p", "66.00")</f>
        <v/>
      </c>
      <c r="G162">
        <f>HYPERLINK("https://www.drogaraia.com.br/blow-girl-hidratante-aveludado-beijavel-para-regiao-pelvica-e-virilha-morango-com-creme-320ml-1056306.html", "39.90")</f>
        <v/>
      </c>
      <c r="H162" t="n">
        <v>46.13333333333333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2025-06-12T15:08:17Z</dcterms:created>
  <dcterms:modified xmlns:dcterms="http://purl.org/dc/terms/" xmlns:xsi="http://www.w3.org/2001/XMLSchema-instance" xsi:type="dcterms:W3CDTF">2025-06-12T15:08:17Z</dcterms:modified>
</cp:coreProperties>
</file>