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 Castro\Downloads\"/>
    </mc:Choice>
  </mc:AlternateContent>
  <xr:revisionPtr revIDLastSave="0" documentId="13_ncr:1_{F61CA333-68ED-49B6-BEAD-BAD5BA7263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o Basico" sheetId="4" r:id="rId1"/>
    <sheet name="Modelo 2 Balance inicial" sheetId="2" r:id="rId2"/>
    <sheet name="Balance óptimo" sheetId="1" r:id="rId3"/>
    <sheet name="Modelo 2 Balance inicial + PFB" sheetId="3" r:id="rId4"/>
  </sheets>
  <definedNames>
    <definedName name="solver_adj" localSheetId="2" hidden="1">'Balance óptimo'!$D$3:$D$9,'Balance óptimo'!$D$13:$D$16,'Balance óptimo'!$D$18:$D$19</definedName>
    <definedName name="solver_adj" localSheetId="1" hidden="1">'Modelo 2 Balance inicial'!#REF!,'Modelo 2 Balance inicial'!#REF!,'Modelo 2 Balance inicial'!#REF!</definedName>
    <definedName name="solver_adj" localSheetId="3" hidden="1">'Modelo 2 Balance inicial + PFB'!#REF!,'Modelo 2 Balance inicial + PFB'!#REF!,'Modelo 2 Balance inicial + PFB'!#REF!</definedName>
    <definedName name="solver_adj" localSheetId="0" hidden="1">'Modelo Basico'!$B$3:$B$4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2" hidden="1">2</definedName>
    <definedName name="solver_drv" localSheetId="1" hidden="1">2</definedName>
    <definedName name="solver_drv" localSheetId="3" hidden="1">2</definedName>
    <definedName name="solver_drv" localSheetId="0" hidden="1">1</definedName>
    <definedName name="solver_eng" localSheetId="2" hidden="1">1</definedName>
    <definedName name="solver_eng" localSheetId="1" hidden="1">1</definedName>
    <definedName name="solver_eng" localSheetId="3" hidden="1">1</definedName>
    <definedName name="solver_eng" localSheetId="0" hidden="1">2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0" hidden="1">1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0" hidden="1">2147483647</definedName>
    <definedName name="solver_lhs1" localSheetId="2" hidden="1">'Balance óptimo'!$K$10</definedName>
    <definedName name="solver_lhs1" localSheetId="1" hidden="1">'Modelo 2 Balance inicial'!#REF!</definedName>
    <definedName name="solver_lhs1" localSheetId="3" hidden="1">'Modelo 2 Balance inicial + PFB'!#REF!</definedName>
    <definedName name="solver_lhs1" localSheetId="0" hidden="1">'Modelo Basico'!$F$10</definedName>
    <definedName name="solver_lhs2" localSheetId="2" hidden="1">'Balance óptimo'!$K$11</definedName>
    <definedName name="solver_lhs2" localSheetId="1" hidden="1">'Modelo 2 Balance inicial'!#REF!</definedName>
    <definedName name="solver_lhs2" localSheetId="3" hidden="1">'Modelo 2 Balance inicial + PFB'!#REF!</definedName>
    <definedName name="solver_lhs2" localSheetId="0" hidden="1">'Modelo Basico'!$F$11</definedName>
    <definedName name="solver_lhs3" localSheetId="2" hidden="1">'Balance óptimo'!$K$6</definedName>
    <definedName name="solver_lhs3" localSheetId="1" hidden="1">'Modelo 2 Balance inicial'!#REF!</definedName>
    <definedName name="solver_lhs3" localSheetId="3" hidden="1">'Modelo 2 Balance inicial + PFB'!#REF!</definedName>
    <definedName name="solver_lhs3" localSheetId="0" hidden="1">'Modelo Basico'!$F$6</definedName>
    <definedName name="solver_lhs4" localSheetId="2" hidden="1">'Balance óptimo'!$K$7</definedName>
    <definedName name="solver_lhs4" localSheetId="1" hidden="1">'Modelo 2 Balance inicial'!#REF!</definedName>
    <definedName name="solver_lhs4" localSheetId="3" hidden="1">'Modelo 2 Balance inicial + PFB'!#REF!</definedName>
    <definedName name="solver_lhs4" localSheetId="0" hidden="1">'Modelo Basico'!$F$7</definedName>
    <definedName name="solver_lhs5" localSheetId="2" hidden="1">'Balance óptimo'!$K$8</definedName>
    <definedName name="solver_lhs5" localSheetId="1" hidden="1">'Modelo 2 Balance inicial'!#REF!</definedName>
    <definedName name="solver_lhs5" localSheetId="3" hidden="1">'Modelo 2 Balance inicial + PFB'!#REF!</definedName>
    <definedName name="solver_lhs5" localSheetId="0" hidden="1">'Modelo Basico'!$F$8</definedName>
    <definedName name="solver_lhs6" localSheetId="2" hidden="1">'Balance óptimo'!$K$9</definedName>
    <definedName name="solver_lhs6" localSheetId="1" hidden="1">'Modelo 2 Balance inicial'!#REF!</definedName>
    <definedName name="solver_lhs6" localSheetId="3" hidden="1">'Modelo 2 Balance inicial + PFB'!#REF!</definedName>
    <definedName name="solver_lhs6" localSheetId="0" hidden="1">'Modelo Basico'!$F$9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0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0" hidden="1">30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msl" localSheetId="0" hidden="1">2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0" hidden="1">2147483647</definedName>
    <definedName name="solver_num" localSheetId="2" hidden="1">6</definedName>
    <definedName name="solver_num" localSheetId="1" hidden="1">6</definedName>
    <definedName name="solver_num" localSheetId="3" hidden="1">6</definedName>
    <definedName name="solver_num" localSheetId="0" hidden="1">6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0" hidden="1">1</definedName>
    <definedName name="solver_opt" localSheetId="2" hidden="1">'Balance óptimo'!$K$3</definedName>
    <definedName name="solver_opt" localSheetId="1" hidden="1">'Modelo 2 Balance inicial'!#REF!</definedName>
    <definedName name="solver_opt" localSheetId="3" hidden="1">'Modelo 2 Balance inicial + PFB'!#REF!</definedName>
    <definedName name="solver_opt" localSheetId="0" hidden="1">'Modelo Basico'!$E$3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2" hidden="1">2</definedName>
    <definedName name="solver_rbv" localSheetId="1" hidden="1">2</definedName>
    <definedName name="solver_rbv" localSheetId="3" hidden="1">2</definedName>
    <definedName name="solver_rbv" localSheetId="0" hidden="1">1</definedName>
    <definedName name="solver_rel1" localSheetId="2" hidden="1">2</definedName>
    <definedName name="solver_rel1" localSheetId="1" hidden="1">2</definedName>
    <definedName name="solver_rel1" localSheetId="3" hidden="1">2</definedName>
    <definedName name="solver_rel1" localSheetId="0" hidden="1">1</definedName>
    <definedName name="solver_rel2" localSheetId="2" hidden="1">2</definedName>
    <definedName name="solver_rel2" localSheetId="1" hidden="1">3</definedName>
    <definedName name="solver_rel2" localSheetId="3" hidden="1">3</definedName>
    <definedName name="solver_rel2" localSheetId="0" hidden="1">1</definedName>
    <definedName name="solver_rel3" localSheetId="2" hidden="1">3</definedName>
    <definedName name="solver_rel3" localSheetId="1" hidden="1">3</definedName>
    <definedName name="solver_rel3" localSheetId="3" hidden="1">3</definedName>
    <definedName name="solver_rel3" localSheetId="0" hidden="1">1</definedName>
    <definedName name="solver_rel4" localSheetId="2" hidden="1">3</definedName>
    <definedName name="solver_rel4" localSheetId="1" hidden="1">3</definedName>
    <definedName name="solver_rel4" localSheetId="3" hidden="1">3</definedName>
    <definedName name="solver_rel4" localSheetId="0" hidden="1">1</definedName>
    <definedName name="solver_rel5" localSheetId="2" hidden="1">3</definedName>
    <definedName name="solver_rel5" localSheetId="1" hidden="1">3</definedName>
    <definedName name="solver_rel5" localSheetId="3" hidden="1">3</definedName>
    <definedName name="solver_rel5" localSheetId="0" hidden="1">1</definedName>
    <definedName name="solver_rel6" localSheetId="2" hidden="1">3</definedName>
    <definedName name="solver_rel6" localSheetId="1" hidden="1">2</definedName>
    <definedName name="solver_rel6" localSheetId="3" hidden="1">2</definedName>
    <definedName name="solver_rel6" localSheetId="0" hidden="1">1</definedName>
    <definedName name="solver_rhs1" localSheetId="2" hidden="1">'Balance óptimo'!$L$10</definedName>
    <definedName name="solver_rhs1" localSheetId="1" hidden="1">'Modelo 2 Balance inicial'!#REF!</definedName>
    <definedName name="solver_rhs1" localSheetId="3" hidden="1">'Modelo 2 Balance inicial + PFB'!#REF!</definedName>
    <definedName name="solver_rhs1" localSheetId="0" hidden="1">'Modelo Basico'!$H$10</definedName>
    <definedName name="solver_rhs2" localSheetId="2" hidden="1">'Balance óptimo'!$L$11</definedName>
    <definedName name="solver_rhs2" localSheetId="1" hidden="1">'Modelo 2 Balance inicial'!#REF!</definedName>
    <definedName name="solver_rhs2" localSheetId="3" hidden="1">'Modelo 2 Balance inicial + PFB'!#REF!</definedName>
    <definedName name="solver_rhs2" localSheetId="0" hidden="1">'Modelo Basico'!$H$11</definedName>
    <definedName name="solver_rhs3" localSheetId="2" hidden="1">'Balance óptimo'!$L$6</definedName>
    <definedName name="solver_rhs3" localSheetId="1" hidden="1">'Modelo 2 Balance inicial'!#REF!</definedName>
    <definedName name="solver_rhs3" localSheetId="3" hidden="1">'Modelo 2 Balance inicial + PFB'!#REF!</definedName>
    <definedName name="solver_rhs3" localSheetId="0" hidden="1">'Modelo Basico'!$H$6</definedName>
    <definedName name="solver_rhs4" localSheetId="2" hidden="1">'Balance óptimo'!$L$7</definedName>
    <definedName name="solver_rhs4" localSheetId="1" hidden="1">'Modelo 2 Balance inicial'!#REF!</definedName>
    <definedName name="solver_rhs4" localSheetId="3" hidden="1">'Modelo 2 Balance inicial + PFB'!#REF!</definedName>
    <definedName name="solver_rhs4" localSheetId="0" hidden="1">'Modelo Basico'!$H$7</definedName>
    <definedName name="solver_rhs5" localSheetId="2" hidden="1">'Balance óptimo'!$L$8</definedName>
    <definedName name="solver_rhs5" localSheetId="1" hidden="1">'Modelo 2 Balance inicial'!#REF!</definedName>
    <definedName name="solver_rhs5" localSheetId="3" hidden="1">'Modelo 2 Balance inicial + PFB'!#REF!</definedName>
    <definedName name="solver_rhs5" localSheetId="0" hidden="1">'Modelo Basico'!$H$8</definedName>
    <definedName name="solver_rhs6" localSheetId="2" hidden="1">'Balance óptimo'!$L$9</definedName>
    <definedName name="solver_rhs6" localSheetId="1" hidden="1">'Modelo 2 Balance inicial'!#REF!</definedName>
    <definedName name="solver_rhs6" localSheetId="3" hidden="1">'Modelo 2 Balance inicial + PFB'!#REF!</definedName>
    <definedName name="solver_rhs6" localSheetId="0" hidden="1">'Modelo Basico'!$H$9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0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0" hidden="1">0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cl" localSheetId="0" hidden="1">1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ssz" localSheetId="0" hidden="1">100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0" hidden="1">2147483647</definedName>
    <definedName name="solver_tol" localSheetId="2" hidden="1">1</definedName>
    <definedName name="solver_tol" localSheetId="1" hidden="1">1</definedName>
    <definedName name="solver_tol" localSheetId="3" hidden="1">1</definedName>
    <definedName name="solver_tol" localSheetId="0" hidden="1">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typ" localSheetId="0" hidden="1">1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0" hidden="1">0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F6" i="4"/>
  <c r="F7" i="4"/>
  <c r="H7" i="4"/>
  <c r="L7" i="4"/>
  <c r="F8" i="4"/>
  <c r="N8" i="4"/>
  <c r="F9" i="4"/>
  <c r="K9" i="4"/>
  <c r="F10" i="4"/>
  <c r="K10" i="4"/>
  <c r="L10" i="4"/>
  <c r="F11" i="4"/>
  <c r="N9" i="1"/>
  <c r="N8" i="1"/>
  <c r="J5" i="2"/>
  <c r="N7" i="1"/>
  <c r="J3" i="2"/>
  <c r="N6" i="1"/>
  <c r="K8" i="1"/>
  <c r="J6" i="3"/>
  <c r="J5" i="3"/>
  <c r="J4" i="3"/>
  <c r="J3" i="3"/>
  <c r="J6" i="2" l="1"/>
  <c r="J4" i="2"/>
  <c r="I19" i="1"/>
  <c r="I18" i="1"/>
  <c r="I16" i="1"/>
  <c r="I15" i="1"/>
  <c r="K3" i="1" s="1" a="1"/>
  <c r="I14" i="1"/>
  <c r="I13" i="1"/>
  <c r="K11" i="1"/>
  <c r="K10" i="1"/>
  <c r="I9" i="1"/>
  <c r="L9" i="1"/>
  <c r="K9" i="1"/>
  <c r="I8" i="1"/>
  <c r="L8" i="1"/>
  <c r="O8" i="1" s="1"/>
  <c r="I7" i="1"/>
  <c r="L7" i="1"/>
  <c r="K7" i="1"/>
  <c r="I6" i="1"/>
  <c r="L6" i="1"/>
  <c r="K6" i="1"/>
  <c r="I5" i="1"/>
  <c r="I4" i="1"/>
  <c r="I3" i="1"/>
  <c r="O6" i="1" l="1"/>
  <c r="O7" i="1"/>
  <c r="K3" i="1"/>
  <c r="O9" i="1"/>
</calcChain>
</file>

<file path=xl/sharedStrings.xml><?xml version="1.0" encoding="utf-8"?>
<sst xmlns="http://schemas.openxmlformats.org/spreadsheetml/2006/main" count="109" uniqueCount="45">
  <si>
    <t>X inicial</t>
  </si>
  <si>
    <t>X</t>
  </si>
  <si>
    <t>margen</t>
  </si>
  <si>
    <t>PNRC</t>
  </si>
  <si>
    <t>LCR</t>
  </si>
  <si>
    <t>|X - X inicial|</t>
  </si>
  <si>
    <t>Activos</t>
  </si>
  <si>
    <t>Créditos corporativos</t>
  </si>
  <si>
    <t>función objetivo (máx)</t>
  </si>
  <si>
    <t>Créditos minoristas personales</t>
  </si>
  <si>
    <t>Créditos minoristas hipotecarios</t>
  </si>
  <si>
    <t>Solvencia</t>
  </si>
  <si>
    <t>Mercado de capitales</t>
  </si>
  <si>
    <t>Apalancamiento</t>
  </si>
  <si>
    <t>Otros</t>
  </si>
  <si>
    <t>Fondeo estable neto</t>
  </si>
  <si>
    <t>HQLA nivel 1</t>
  </si>
  <si>
    <t>Cobertura de liquidez</t>
  </si>
  <si>
    <t>HQLA nivel 2</t>
  </si>
  <si>
    <t>Pasivos</t>
  </si>
  <si>
    <t>Mercado de capitales / interbancario</t>
  </si>
  <si>
    <t>Depósitos minoristas</t>
  </si>
  <si>
    <t>Costos de ajuste</t>
  </si>
  <si>
    <t>Depósitos mayoristas</t>
  </si>
  <si>
    <t>Patrimonio</t>
  </si>
  <si>
    <t>Patrimonio básico ordinario y adicional</t>
  </si>
  <si>
    <t>Patrimonio adicional</t>
  </si>
  <si>
    <t>Créditos minoristas fuera del balance</t>
  </si>
  <si>
    <t>CFEN</t>
  </si>
  <si>
    <t>Razón de solvencia total</t>
  </si>
  <si>
    <t>Partida FB</t>
  </si>
  <si>
    <t xml:space="preserve"> </t>
  </si>
  <si>
    <t>óptimo</t>
  </si>
  <si>
    <t>inicial</t>
  </si>
  <si>
    <t>&lt;=</t>
  </si>
  <si>
    <t>fer</t>
  </si>
  <si>
    <t>fed</t>
  </si>
  <si>
    <t>c</t>
  </si>
  <si>
    <t>L</t>
  </si>
  <si>
    <t>b</t>
  </si>
  <si>
    <t>A</t>
  </si>
  <si>
    <t>k</t>
  </si>
  <si>
    <t>Depósitos</t>
  </si>
  <si>
    <t>obj (max)</t>
  </si>
  <si>
    <t>Préstamos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</si>
</sst>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0" fontId="0" fillId="0" borderId="0" xfId="0" applyNumberFormat="1"/>
    <xf numFmtId="10" fontId="0" fillId="2" borderId="0" xfId="0" applyNumberFormat="1" applyFill="1"/>
    <xf numFmtId="9" fontId="0" fillId="0" borderId="0" xfId="0" applyNumberFormat="1"/>
    <xf numFmtId="164" fontId="0" fillId="0" borderId="0" xfId="0" applyNumberFormat="1"/>
    <xf numFmtId="10" fontId="2" fillId="0" borderId="0" xfId="1" applyNumberFormat="1" applyFont="1"/>
    <xf numFmtId="10" fontId="0" fillId="0" borderId="0" xfId="1" applyNumberFormat="1" applyFont="1"/>
    <xf numFmtId="10" fontId="0" fillId="3" borderId="0" xfId="0" applyNumberFormat="1" applyFill="1"/>
    <xf numFmtId="0" fontId="0" fillId="0" borderId="0" xfId="0" applyAlignment="1">
      <alignment horizontal="right"/>
    </xf>
    <xf numFmtId="9" fontId="0" fillId="3" borderId="0" xfId="0" applyNumberFormat="1" applyFill="1"/>
    <xf numFmtId="10" fontId="0" fillId="4" borderId="0" xfId="0" applyNumberFormat="1" applyFill="1"/>
    <xf numFmtId="0" fontId="2" fillId="0" borderId="0" xfId="0" applyFont="1"/>
    <xf numFmtId="9" fontId="0" fillId="0" borderId="0" xfId="1" applyFont="1"/>
    <xf numFmtId="0" fontId="2" fillId="0" borderId="0" xfId="0" applyFont="1" applyAlignment="1">
      <alignment horizontal="center"/>
    </xf>
    <xf numFmtId="165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4C58-6EC7-46FD-B177-714635BACACA}">
  <dimension ref="A2:N11"/>
  <sheetViews>
    <sheetView tabSelected="1" workbookViewId="0">
      <selection activeCell="I30" sqref="I30"/>
    </sheetView>
  </sheetViews>
  <sheetFormatPr defaultColWidth="11.42578125" defaultRowHeight="15" x14ac:dyDescent="0.25"/>
  <cols>
    <col min="1" max="1" width="9.5703125" bestFit="1" customWidth="1"/>
    <col min="2" max="2" width="6.42578125" bestFit="1" customWidth="1"/>
    <col min="3" max="3" width="7.140625" bestFit="1" customWidth="1"/>
    <col min="4" max="4" width="4.5703125" customWidth="1"/>
    <col min="5" max="5" width="18.85546875" bestFit="1" customWidth="1"/>
    <col min="6" max="6" width="8.7109375" bestFit="1" customWidth="1"/>
    <col min="7" max="7" width="2.85546875" bestFit="1" customWidth="1"/>
    <col min="8" max="8" width="6.42578125" bestFit="1" customWidth="1"/>
    <col min="10" max="10" width="6.42578125" bestFit="1" customWidth="1"/>
    <col min="11" max="12" width="5.28515625" bestFit="1" customWidth="1"/>
    <col min="13" max="13" width="2.85546875" bestFit="1" customWidth="1"/>
    <col min="14" max="14" width="4.28515625" bestFit="1" customWidth="1"/>
  </cols>
  <sheetData>
    <row r="2" spans="1:14" x14ac:dyDescent="0.25">
      <c r="C2" t="s">
        <v>2</v>
      </c>
    </row>
    <row r="3" spans="1:14" x14ac:dyDescent="0.25">
      <c r="A3" t="s">
        <v>44</v>
      </c>
      <c r="B3" s="16">
        <v>0.84196891191709855</v>
      </c>
      <c r="C3" s="5">
        <v>0.03</v>
      </c>
      <c r="E3">
        <f>SUMPRODUCT(B3:B4,C3:C4)</f>
        <v>4.3911917098445601E-2</v>
      </c>
      <c r="F3" t="s">
        <v>43</v>
      </c>
      <c r="J3" s="16">
        <v>0.93495934959349591</v>
      </c>
    </row>
    <row r="4" spans="1:14" x14ac:dyDescent="0.25">
      <c r="A4" t="s">
        <v>42</v>
      </c>
      <c r="B4" s="16">
        <v>0.93264248704663222</v>
      </c>
      <c r="C4" s="5">
        <v>0.02</v>
      </c>
      <c r="J4" s="16">
        <v>0.81300813008130079</v>
      </c>
    </row>
    <row r="6" spans="1:14" x14ac:dyDescent="0.25">
      <c r="A6" s="10" t="s">
        <v>41</v>
      </c>
      <c r="B6" s="5">
        <v>0.08</v>
      </c>
      <c r="E6" t="s">
        <v>11</v>
      </c>
      <c r="F6" s="16">
        <f>B4+B6*B3</f>
        <v>1</v>
      </c>
      <c r="G6" s="17" t="s">
        <v>34</v>
      </c>
      <c r="H6" s="16">
        <v>1</v>
      </c>
      <c r="K6" s="20" t="s">
        <v>40</v>
      </c>
      <c r="L6" s="20"/>
      <c r="N6" s="19" t="s">
        <v>39</v>
      </c>
    </row>
    <row r="7" spans="1:14" x14ac:dyDescent="0.25">
      <c r="A7" s="10" t="s">
        <v>38</v>
      </c>
      <c r="B7" s="5">
        <v>0.03</v>
      </c>
      <c r="E7" t="s">
        <v>13</v>
      </c>
      <c r="F7" s="16">
        <f>B4</f>
        <v>0.93264248704663222</v>
      </c>
      <c r="G7" s="17" t="s">
        <v>34</v>
      </c>
      <c r="H7" s="16">
        <f>1-B7</f>
        <v>0.97</v>
      </c>
      <c r="K7" s="18">
        <v>1</v>
      </c>
      <c r="L7" s="5">
        <f>B6</f>
        <v>0.08</v>
      </c>
      <c r="M7" s="17" t="s">
        <v>34</v>
      </c>
      <c r="N7">
        <v>1</v>
      </c>
    </row>
    <row r="8" spans="1:14" x14ac:dyDescent="0.25">
      <c r="A8" s="10" t="s">
        <v>37</v>
      </c>
      <c r="B8" s="5">
        <v>0.1</v>
      </c>
      <c r="E8" t="s">
        <v>17</v>
      </c>
      <c r="F8" s="16">
        <f>B8*B4+B3</f>
        <v>0.93523316062176176</v>
      </c>
      <c r="G8" s="17" t="s">
        <v>34</v>
      </c>
      <c r="H8" s="16">
        <v>1</v>
      </c>
      <c r="K8">
        <v>1</v>
      </c>
      <c r="L8">
        <v>0</v>
      </c>
      <c r="M8" s="17" t="s">
        <v>34</v>
      </c>
      <c r="N8" s="5">
        <f>1-B7</f>
        <v>0.97</v>
      </c>
    </row>
    <row r="9" spans="1:14" x14ac:dyDescent="0.25">
      <c r="A9" s="10" t="s">
        <v>36</v>
      </c>
      <c r="B9" s="5">
        <v>0.65</v>
      </c>
      <c r="E9" t="s">
        <v>15</v>
      </c>
      <c r="F9" s="16">
        <f>(1-B9)*B4+B10*B3</f>
        <v>1.0000000000000002</v>
      </c>
      <c r="G9" s="17" t="s">
        <v>34</v>
      </c>
      <c r="H9" s="16">
        <v>1</v>
      </c>
      <c r="K9" s="5">
        <f>B8</f>
        <v>0.1</v>
      </c>
      <c r="L9" s="18">
        <v>1</v>
      </c>
      <c r="M9" s="17" t="s">
        <v>34</v>
      </c>
      <c r="N9">
        <v>1</v>
      </c>
    </row>
    <row r="10" spans="1:14" x14ac:dyDescent="0.25">
      <c r="A10" s="10" t="s">
        <v>35</v>
      </c>
      <c r="B10" s="5">
        <v>0.8</v>
      </c>
      <c r="F10" s="16">
        <f>B4</f>
        <v>0.93264248704663222</v>
      </c>
      <c r="G10" s="17" t="s">
        <v>34</v>
      </c>
      <c r="H10" s="16">
        <v>1</v>
      </c>
      <c r="K10" s="5">
        <f>1-B9</f>
        <v>0.35</v>
      </c>
      <c r="L10" s="5">
        <f>B10</f>
        <v>0.8</v>
      </c>
      <c r="M10" s="17" t="s">
        <v>34</v>
      </c>
      <c r="N10">
        <v>1</v>
      </c>
    </row>
    <row r="11" spans="1:14" x14ac:dyDescent="0.25">
      <c r="F11" s="16">
        <f>B3</f>
        <v>0.84196891191709855</v>
      </c>
      <c r="G11" s="17" t="s">
        <v>34</v>
      </c>
      <c r="H11" s="16">
        <v>1</v>
      </c>
    </row>
  </sheetData>
  <mergeCells count="1">
    <mergeCell ref="K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zoomScaleNormal="100" workbookViewId="0">
      <selection activeCell="J6" sqref="J6"/>
    </sheetView>
  </sheetViews>
  <sheetFormatPr defaultColWidth="11.42578125" defaultRowHeight="15" x14ac:dyDescent="0.25"/>
  <cols>
    <col min="1" max="1" width="10" bestFit="1" customWidth="1"/>
    <col min="2" max="2" width="33.5703125" bestFit="1" customWidth="1"/>
    <col min="3" max="3" width="8" customWidth="1"/>
    <col min="4" max="4" width="7.140625" bestFit="1" customWidth="1"/>
    <col min="5" max="5" width="5.28515625" bestFit="1" customWidth="1"/>
    <col min="6" max="7" width="5.28515625" customWidth="1"/>
    <col min="8" max="8" width="4" customWidth="1"/>
    <col min="9" max="9" width="21.140625" bestFit="1" customWidth="1"/>
    <col min="10" max="10" width="10.140625" customWidth="1"/>
  </cols>
  <sheetData>
    <row r="2" spans="1:10" x14ac:dyDescent="0.25">
      <c r="C2" s="1" t="s">
        <v>0</v>
      </c>
      <c r="D2" s="1" t="s">
        <v>2</v>
      </c>
      <c r="E2" s="1" t="s">
        <v>3</v>
      </c>
      <c r="F2" s="1" t="s">
        <v>28</v>
      </c>
      <c r="G2" s="1" t="s">
        <v>4</v>
      </c>
    </row>
    <row r="3" spans="1:10" x14ac:dyDescent="0.25">
      <c r="A3" t="s">
        <v>6</v>
      </c>
      <c r="B3" t="s">
        <v>7</v>
      </c>
      <c r="C3" s="3">
        <v>0.4</v>
      </c>
      <c r="D3" s="3">
        <v>3.5000000000000003E-2</v>
      </c>
      <c r="E3" s="5">
        <v>1</v>
      </c>
      <c r="F3" s="5">
        <v>0.7</v>
      </c>
      <c r="G3" s="5">
        <v>0.2</v>
      </c>
      <c r="I3" s="13" t="s">
        <v>29</v>
      </c>
      <c r="J3" s="8">
        <f>SUM(C16:C17)/SUMPRODUCT(C3:C9,E3:E9)</f>
        <v>7.3691967575534256E-2</v>
      </c>
    </row>
    <row r="4" spans="1:10" x14ac:dyDescent="0.25">
      <c r="B4" t="s">
        <v>9</v>
      </c>
      <c r="C4" s="3">
        <v>0.27</v>
      </c>
      <c r="D4" s="3">
        <v>2.3E-2</v>
      </c>
      <c r="E4" s="5">
        <v>0.75</v>
      </c>
      <c r="F4" s="5">
        <v>0.8</v>
      </c>
      <c r="G4" s="5">
        <v>0.08</v>
      </c>
      <c r="I4" s="13" t="s">
        <v>13</v>
      </c>
      <c r="J4" s="3">
        <f>C16/SUM(C3:C9)</f>
        <v>3.6999999999999991E-2</v>
      </c>
    </row>
    <row r="5" spans="1:10" x14ac:dyDescent="0.25">
      <c r="B5" t="s">
        <v>10</v>
      </c>
      <c r="C5" s="3">
        <v>0.16</v>
      </c>
      <c r="D5" s="3">
        <v>5.0000000000000001E-3</v>
      </c>
      <c r="E5" s="5">
        <v>0.35</v>
      </c>
      <c r="F5" s="5">
        <v>0.65</v>
      </c>
      <c r="G5" s="5">
        <v>0</v>
      </c>
      <c r="I5" s="13" t="s">
        <v>15</v>
      </c>
      <c r="J5" s="3">
        <f>(SUMPRODUCT(C11:C14,F11:F14)+C16+C17)/SUMPRODUCT(C3:C9,F3:F9)</f>
        <v>0.95031355523396077</v>
      </c>
    </row>
    <row r="6" spans="1:10" x14ac:dyDescent="0.25">
      <c r="B6" t="s">
        <v>20</v>
      </c>
      <c r="C6" s="3">
        <v>0.04</v>
      </c>
      <c r="D6" s="3">
        <v>1.1999999999999999E-3</v>
      </c>
      <c r="E6" s="5">
        <v>0.2</v>
      </c>
      <c r="F6" s="5">
        <v>0.01</v>
      </c>
      <c r="G6" s="5">
        <v>0.1</v>
      </c>
      <c r="I6" s="13" t="s">
        <v>17</v>
      </c>
      <c r="J6" s="3">
        <f>SUMPRODUCT(C3:C9,G3:G9)/SUMPRODUCT(C11:C14,G11:G14)</f>
        <v>1.091666666666667</v>
      </c>
    </row>
    <row r="7" spans="1:10" x14ac:dyDescent="0.25">
      <c r="B7" t="s">
        <v>14</v>
      </c>
      <c r="C7" s="3">
        <v>0.02</v>
      </c>
      <c r="D7" s="3">
        <v>2E-3</v>
      </c>
      <c r="E7" s="5">
        <v>0.2</v>
      </c>
      <c r="F7" s="5">
        <v>0.5</v>
      </c>
      <c r="G7" s="5">
        <v>0</v>
      </c>
    </row>
    <row r="8" spans="1:10" x14ac:dyDescent="0.25">
      <c r="B8" t="s">
        <v>16</v>
      </c>
      <c r="C8" s="3">
        <v>7.0000000000000007E-2</v>
      </c>
      <c r="D8" s="3">
        <v>4.0000000000000002E-4</v>
      </c>
      <c r="E8" s="5">
        <v>0</v>
      </c>
      <c r="F8" s="5">
        <v>0.05</v>
      </c>
      <c r="G8" s="5">
        <v>1</v>
      </c>
    </row>
    <row r="9" spans="1:10" x14ac:dyDescent="0.25">
      <c r="B9" t="s">
        <v>18</v>
      </c>
      <c r="C9" s="3">
        <v>0.04</v>
      </c>
      <c r="D9" s="3">
        <v>3.0000000000000001E-3</v>
      </c>
      <c r="E9" s="5">
        <v>0.2</v>
      </c>
      <c r="F9" s="5">
        <v>0.2</v>
      </c>
      <c r="G9" s="5">
        <v>0.85</v>
      </c>
    </row>
    <row r="11" spans="1:10" x14ac:dyDescent="0.25">
      <c r="A11" t="s">
        <v>19</v>
      </c>
      <c r="B11" t="s">
        <v>20</v>
      </c>
      <c r="C11" s="3">
        <v>0.31</v>
      </c>
      <c r="D11" s="3">
        <v>6.7000000000000002E-3</v>
      </c>
      <c r="F11" s="5">
        <v>0.1</v>
      </c>
      <c r="G11" s="5">
        <v>0.1</v>
      </c>
    </row>
    <row r="12" spans="1:10" x14ac:dyDescent="0.25">
      <c r="B12" t="s">
        <v>21</v>
      </c>
      <c r="C12" s="3">
        <v>0.5</v>
      </c>
      <c r="D12" s="3">
        <v>5.1000000000000004E-3</v>
      </c>
      <c r="F12" s="5">
        <v>0.8</v>
      </c>
      <c r="G12" s="5">
        <v>0.15</v>
      </c>
    </row>
    <row r="13" spans="1:10" x14ac:dyDescent="0.25">
      <c r="B13" t="s">
        <v>23</v>
      </c>
      <c r="C13" s="3">
        <v>0.08</v>
      </c>
      <c r="D13" s="3">
        <v>2.5000000000000001E-3</v>
      </c>
      <c r="F13" s="5">
        <v>0.7</v>
      </c>
      <c r="G13" s="5">
        <v>0.7</v>
      </c>
    </row>
    <row r="14" spans="1:10" x14ac:dyDescent="0.25">
      <c r="B14" t="s">
        <v>14</v>
      </c>
      <c r="C14" s="5">
        <v>0.06</v>
      </c>
      <c r="D14" s="3">
        <v>0</v>
      </c>
      <c r="F14" s="5">
        <v>0.9</v>
      </c>
      <c r="G14" s="5">
        <v>0.5</v>
      </c>
    </row>
    <row r="15" spans="1:10" x14ac:dyDescent="0.25">
      <c r="C15" s="5"/>
      <c r="D15" s="3"/>
    </row>
    <row r="16" spans="1:10" x14ac:dyDescent="0.25">
      <c r="A16" t="s">
        <v>24</v>
      </c>
      <c r="B16" t="s">
        <v>25</v>
      </c>
      <c r="C16" s="3">
        <v>3.6999999999999998E-2</v>
      </c>
      <c r="D16" s="5">
        <v>-7.0000000000000007E-2</v>
      </c>
      <c r="F16" s="5">
        <v>1</v>
      </c>
    </row>
    <row r="17" spans="2:7" x14ac:dyDescent="0.25">
      <c r="B17" t="s">
        <v>26</v>
      </c>
      <c r="C17" s="3">
        <v>1.2999999999999999E-2</v>
      </c>
      <c r="D17" s="5">
        <v>-0.1</v>
      </c>
      <c r="F17" s="5">
        <v>1</v>
      </c>
    </row>
    <row r="19" spans="2:7" x14ac:dyDescent="0.25">
      <c r="C19" s="3"/>
    </row>
    <row r="20" spans="2:7" x14ac:dyDescent="0.25">
      <c r="C20" s="3"/>
      <c r="E20" s="5"/>
      <c r="F20" s="5"/>
      <c r="G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9"/>
  <sheetViews>
    <sheetView topLeftCell="A2" workbookViewId="0">
      <selection activeCell="P18" sqref="P18"/>
    </sheetView>
  </sheetViews>
  <sheetFormatPr defaultColWidth="11.42578125" defaultRowHeight="15" x14ac:dyDescent="0.25"/>
  <cols>
    <col min="1" max="1" width="10" bestFit="1" customWidth="1"/>
    <col min="2" max="2" width="33.5703125" bestFit="1" customWidth="1"/>
    <col min="3" max="3" width="8" customWidth="1"/>
    <col min="4" max="4" width="8.140625" customWidth="1"/>
    <col min="5" max="5" width="7.140625" bestFit="1" customWidth="1"/>
    <col min="6" max="6" width="5.28515625" bestFit="1" customWidth="1"/>
    <col min="7" max="8" width="5.28515625" customWidth="1"/>
    <col min="9" max="9" width="11.5703125" bestFit="1" customWidth="1"/>
    <col min="12" max="12" width="6.85546875" bestFit="1" customWidth="1"/>
    <col min="13" max="13" width="5.28515625" bestFit="1" customWidth="1"/>
    <col min="14" max="14" width="7.85546875" customWidth="1"/>
    <col min="15" max="15" width="6.85546875" bestFit="1" customWidth="1"/>
  </cols>
  <sheetData>
    <row r="2" spans="1:16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28</v>
      </c>
      <c r="H2" s="1" t="s">
        <v>4</v>
      </c>
      <c r="I2" s="2" t="s">
        <v>5</v>
      </c>
    </row>
    <row r="3" spans="1:16" x14ac:dyDescent="0.25">
      <c r="A3" t="s">
        <v>6</v>
      </c>
      <c r="B3" t="s">
        <v>7</v>
      </c>
      <c r="C3" s="3">
        <v>0.4</v>
      </c>
      <c r="D3" s="4">
        <v>0.40000220297577649</v>
      </c>
      <c r="E3" s="3">
        <v>3.5000000000000003E-2</v>
      </c>
      <c r="F3" s="5">
        <v>1</v>
      </c>
      <c r="G3" s="5">
        <v>0.7</v>
      </c>
      <c r="H3" s="5">
        <v>0.2</v>
      </c>
      <c r="I3" s="6">
        <f>ABS(D3-C3)</f>
        <v>2.2029757764663316E-6</v>
      </c>
      <c r="K3" s="7">
        <f t="array" ref="K3">SUMPRODUCT(D3:D9,E3:E9)+SUMPRODUCT(D13:D16,E13:E16)+SUMPRODUCT(D18:D19,E18:E19)-L13*SUM(I3:I9,I13:I16,I18:I19)</f>
        <v>2.232670863871376E-2</v>
      </c>
      <c r="L3" t="s">
        <v>8</v>
      </c>
    </row>
    <row r="4" spans="1:16" x14ac:dyDescent="0.25">
      <c r="B4" t="s">
        <v>9</v>
      </c>
      <c r="C4" s="3">
        <v>0.27</v>
      </c>
      <c r="D4" s="4">
        <v>0.27000028390530761</v>
      </c>
      <c r="E4" s="3">
        <v>2.3E-2</v>
      </c>
      <c r="F4" s="5">
        <v>0.75</v>
      </c>
      <c r="G4" s="5">
        <v>0.8</v>
      </c>
      <c r="H4" s="5">
        <v>0.08</v>
      </c>
      <c r="I4" s="6">
        <f t="shared" ref="I4:I9" si="0">ABS(D4-C4)</f>
        <v>2.8390530759647703E-7</v>
      </c>
    </row>
    <row r="5" spans="1:16" x14ac:dyDescent="0.25">
      <c r="B5" t="s">
        <v>10</v>
      </c>
      <c r="C5" s="3">
        <v>0.16</v>
      </c>
      <c r="D5" s="4">
        <v>0.15998636026945162</v>
      </c>
      <c r="E5" s="3">
        <v>1.4999999999999999E-2</v>
      </c>
      <c r="F5" s="5">
        <v>0.35</v>
      </c>
      <c r="G5" s="5">
        <v>0.65</v>
      </c>
      <c r="H5" s="5">
        <v>0</v>
      </c>
      <c r="I5" s="6">
        <f t="shared" si="0"/>
        <v>1.3639730548381523E-5</v>
      </c>
      <c r="N5" s="15" t="s">
        <v>33</v>
      </c>
      <c r="O5" s="15" t="s">
        <v>32</v>
      </c>
    </row>
    <row r="6" spans="1:16" x14ac:dyDescent="0.25">
      <c r="B6" t="s">
        <v>12</v>
      </c>
      <c r="C6" s="3">
        <v>0.04</v>
      </c>
      <c r="D6" s="4">
        <v>5.2574914125625247E-2</v>
      </c>
      <c r="E6" s="3">
        <v>1.2E-2</v>
      </c>
      <c r="F6" s="5">
        <v>0.2</v>
      </c>
      <c r="G6" s="5">
        <v>0.01</v>
      </c>
      <c r="H6" s="5">
        <v>0.1</v>
      </c>
      <c r="I6" s="6">
        <f t="shared" si="0"/>
        <v>1.2574914125625246E-2</v>
      </c>
      <c r="K6" s="3">
        <f>D18+D19</f>
        <v>6.1066050486402665E-2</v>
      </c>
      <c r="L6">
        <f>(SUMPRODUCT(D3:D9,F3:F9))*M6</f>
        <v>6.1066050815093635E-2</v>
      </c>
      <c r="M6" s="5">
        <v>0.09</v>
      </c>
      <c r="N6" s="3">
        <f>SUM(C18:C19)/SUMPRODUCT(C3:C9,F3:F9)</f>
        <v>7.3691967575534256E-2</v>
      </c>
      <c r="O6" s="8">
        <f>(K6/L6)*M6</f>
        <v>8.9999999515570653E-2</v>
      </c>
      <c r="P6" t="s">
        <v>11</v>
      </c>
    </row>
    <row r="7" spans="1:16" x14ac:dyDescent="0.25">
      <c r="B7" t="s">
        <v>14</v>
      </c>
      <c r="C7" s="3">
        <v>0.02</v>
      </c>
      <c r="D7" s="4">
        <v>1.999911137880004E-2</v>
      </c>
      <c r="E7" s="3">
        <v>8.0000000000000002E-3</v>
      </c>
      <c r="F7" s="5">
        <v>0.2</v>
      </c>
      <c r="G7" s="5">
        <v>0.5</v>
      </c>
      <c r="H7" s="5">
        <v>0</v>
      </c>
      <c r="I7" s="6">
        <f t="shared" si="0"/>
        <v>8.8862119996049871E-7</v>
      </c>
      <c r="K7" s="3">
        <f>D18</f>
        <v>0.03</v>
      </c>
      <c r="L7">
        <f>(SUM(D3:D9))*M7</f>
        <v>2.9999999999999992E-2</v>
      </c>
      <c r="M7" s="5">
        <v>0.03</v>
      </c>
      <c r="N7" s="3">
        <f>C18/SUM(C3:C9)</f>
        <v>3.6999999999999991E-2</v>
      </c>
      <c r="O7" s="8">
        <f>(K7/L7)*M7</f>
        <v>3.0000000000000006E-2</v>
      </c>
      <c r="P7" t="s">
        <v>13</v>
      </c>
    </row>
    <row r="8" spans="1:16" x14ac:dyDescent="0.25">
      <c r="B8" t="s">
        <v>16</v>
      </c>
      <c r="C8" s="3">
        <v>7.0000000000000007E-2</v>
      </c>
      <c r="D8" s="4">
        <v>6.9940984228477526E-2</v>
      </c>
      <c r="E8" s="3">
        <v>4.0000000000000001E-3</v>
      </c>
      <c r="F8" s="5">
        <v>0</v>
      </c>
      <c r="G8" s="5">
        <v>0.05</v>
      </c>
      <c r="H8" s="5">
        <v>1</v>
      </c>
      <c r="I8" s="6">
        <f t="shared" si="0"/>
        <v>5.9015771522480387E-5</v>
      </c>
      <c r="K8" s="8">
        <f>SUMPRODUCT(D13:D16,G13:G16)+D18+D19</f>
        <v>0.61951448714512103</v>
      </c>
      <c r="L8" s="8">
        <f>SUMPRODUCT(D3:D9,G3:G9)</f>
        <v>0.61951448604782566</v>
      </c>
      <c r="M8" s="5"/>
      <c r="N8" s="8">
        <f>(SUMPRODUCT(C13:C16,G13:G16)+SUM(C18:C19))/SUMPRODUCT(C3:C9,G3:G9)</f>
        <v>0.95031355523396077</v>
      </c>
      <c r="O8" s="14">
        <f>K8/L8</f>
        <v>1.0000000017712183</v>
      </c>
      <c r="P8" t="s">
        <v>15</v>
      </c>
    </row>
    <row r="9" spans="1:16" x14ac:dyDescent="0.25">
      <c r="B9" t="s">
        <v>18</v>
      </c>
      <c r="C9" s="3">
        <v>0.04</v>
      </c>
      <c r="D9" s="4">
        <v>2.749614311656132E-2</v>
      </c>
      <c r="E9" s="3">
        <v>3.0000000000000001E-3</v>
      </c>
      <c r="F9" s="5">
        <v>0.2</v>
      </c>
      <c r="G9" s="5">
        <v>0.2</v>
      </c>
      <c r="H9" s="5">
        <v>0.85</v>
      </c>
      <c r="I9" s="6">
        <f t="shared" si="0"/>
        <v>1.2503856883438681E-2</v>
      </c>
      <c r="K9" s="8">
        <f>SUMPRODUCT(D3:D9,H3:H9)</f>
        <v>0.20017066059769709</v>
      </c>
      <c r="L9" s="8">
        <f>SUMPRODUCT(D13:D16,H13:H16)</f>
        <v>0.2001706605172284</v>
      </c>
      <c r="N9" s="8">
        <f>SUMPRODUCT(C3:C9,H3:H9)/SUMPRODUCT(C13:C16,H13:H16)</f>
        <v>1.091666666666667</v>
      </c>
      <c r="O9" s="14">
        <f>K9/L9</f>
        <v>1.0000000004020004</v>
      </c>
      <c r="P9" t="s">
        <v>17</v>
      </c>
    </row>
    <row r="10" spans="1:16" x14ac:dyDescent="0.25">
      <c r="D10" s="8"/>
      <c r="K10">
        <f>SUM(D3:D9)</f>
        <v>0.99999999999999978</v>
      </c>
      <c r="L10">
        <v>1</v>
      </c>
    </row>
    <row r="11" spans="1:16" x14ac:dyDescent="0.25">
      <c r="C11" s="3"/>
      <c r="F11" s="5"/>
      <c r="G11" s="5"/>
      <c r="H11" s="5"/>
      <c r="K11">
        <f>SUM(D13:D16,D18:D19)</f>
        <v>1.0000000000000002</v>
      </c>
      <c r="L11">
        <v>1</v>
      </c>
    </row>
    <row r="12" spans="1:16" x14ac:dyDescent="0.25">
      <c r="L12" t="s">
        <v>31</v>
      </c>
    </row>
    <row r="13" spans="1:16" x14ac:dyDescent="0.25">
      <c r="A13" t="s">
        <v>19</v>
      </c>
      <c r="B13" t="s">
        <v>20</v>
      </c>
      <c r="C13" s="3">
        <v>0.31</v>
      </c>
      <c r="D13" s="9">
        <v>0.27573982669681579</v>
      </c>
      <c r="E13" s="3">
        <v>6.7000000000000002E-3</v>
      </c>
      <c r="G13" s="5">
        <v>0.1</v>
      </c>
      <c r="H13" s="5">
        <v>0.1</v>
      </c>
      <c r="I13" s="6">
        <f>ABS(D13-C13)</f>
        <v>3.4260173303184205E-2</v>
      </c>
      <c r="K13" s="10" t="s">
        <v>22</v>
      </c>
      <c r="L13">
        <v>0.01</v>
      </c>
    </row>
    <row r="14" spans="1:16" x14ac:dyDescent="0.25">
      <c r="B14" t="s">
        <v>21</v>
      </c>
      <c r="C14" s="3">
        <v>0.5</v>
      </c>
      <c r="D14" s="9">
        <v>0.50000142245980173</v>
      </c>
      <c r="E14" s="3">
        <v>5.1000000000000004E-3</v>
      </c>
      <c r="G14" s="5">
        <v>0.8</v>
      </c>
      <c r="H14" s="5">
        <v>0.15</v>
      </c>
      <c r="I14" s="6">
        <f>ABS(D14-C14)</f>
        <v>1.4224598017253953E-6</v>
      </c>
    </row>
    <row r="15" spans="1:16" x14ac:dyDescent="0.25">
      <c r="B15" t="s">
        <v>23</v>
      </c>
      <c r="C15" s="3">
        <v>0.08</v>
      </c>
      <c r="D15" s="9">
        <v>8.0000571500432952E-2</v>
      </c>
      <c r="E15" s="3">
        <v>2.5000000000000001E-3</v>
      </c>
      <c r="G15" s="5">
        <v>0.7</v>
      </c>
      <c r="H15" s="5">
        <v>0.7</v>
      </c>
      <c r="I15" s="6">
        <f>ABS(D15-C15)</f>
        <v>5.7150043294984521E-7</v>
      </c>
    </row>
    <row r="16" spans="1:16" x14ac:dyDescent="0.25">
      <c r="B16" t="s">
        <v>14</v>
      </c>
      <c r="C16" s="5">
        <v>0.06</v>
      </c>
      <c r="D16" s="11">
        <v>8.319212885654699E-2</v>
      </c>
      <c r="E16" s="3">
        <v>3.0000000000000001E-3</v>
      </c>
      <c r="G16" s="5">
        <v>0.9</v>
      </c>
      <c r="H16" s="5">
        <v>0.5</v>
      </c>
      <c r="I16" s="6">
        <f>ABS(D16-C16)</f>
        <v>2.3192128856546992E-2</v>
      </c>
    </row>
    <row r="18" spans="1:9" x14ac:dyDescent="0.25">
      <c r="A18" t="s">
        <v>24</v>
      </c>
      <c r="B18" t="s">
        <v>25</v>
      </c>
      <c r="C18" s="3">
        <v>3.6999999999999998E-2</v>
      </c>
      <c r="D18" s="12">
        <v>0.03</v>
      </c>
      <c r="E18" s="5">
        <v>-7.0000000000000007E-2</v>
      </c>
      <c r="G18" s="5">
        <v>1</v>
      </c>
      <c r="I18" s="6">
        <f>ABS(D18-C18)</f>
        <v>6.9999999999999993E-3</v>
      </c>
    </row>
    <row r="19" spans="1:9" x14ac:dyDescent="0.25">
      <c r="B19" t="s">
        <v>26</v>
      </c>
      <c r="C19" s="3">
        <v>1.2999999999999999E-2</v>
      </c>
      <c r="D19" s="12">
        <v>3.1066050486402669E-2</v>
      </c>
      <c r="E19" s="5">
        <v>-0.1</v>
      </c>
      <c r="G19" s="5">
        <v>1</v>
      </c>
      <c r="I19" s="6">
        <f>ABS(D19-C19)</f>
        <v>1.8066050486402668E-2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0"/>
  <sheetViews>
    <sheetView zoomScaleNormal="100" workbookViewId="0">
      <selection activeCell="K17" sqref="K17"/>
    </sheetView>
  </sheetViews>
  <sheetFormatPr defaultColWidth="11.42578125" defaultRowHeight="15" x14ac:dyDescent="0.25"/>
  <cols>
    <col min="1" max="1" width="10" bestFit="1" customWidth="1"/>
    <col min="2" max="2" width="33.5703125" bestFit="1" customWidth="1"/>
    <col min="3" max="3" width="8" customWidth="1"/>
    <col min="4" max="4" width="7.140625" bestFit="1" customWidth="1"/>
    <col min="5" max="5" width="5.28515625" bestFit="1" customWidth="1"/>
    <col min="6" max="7" width="5.28515625" customWidth="1"/>
    <col min="8" max="8" width="4" customWidth="1"/>
    <col min="9" max="9" width="21.140625" bestFit="1" customWidth="1"/>
    <col min="10" max="10" width="7.85546875" bestFit="1" customWidth="1"/>
  </cols>
  <sheetData>
    <row r="2" spans="1:10" x14ac:dyDescent="0.25">
      <c r="C2" s="1" t="s">
        <v>0</v>
      </c>
      <c r="D2" s="1" t="s">
        <v>2</v>
      </c>
      <c r="E2" s="1" t="s">
        <v>3</v>
      </c>
      <c r="F2" s="1" t="s">
        <v>28</v>
      </c>
      <c r="G2" s="1" t="s">
        <v>4</v>
      </c>
    </row>
    <row r="3" spans="1:10" x14ac:dyDescent="0.25">
      <c r="A3" t="s">
        <v>6</v>
      </c>
      <c r="B3" t="s">
        <v>7</v>
      </c>
      <c r="C3" s="3">
        <v>0.4</v>
      </c>
      <c r="D3" s="3">
        <v>3.3399999999999999E-2</v>
      </c>
      <c r="E3" s="5">
        <v>1</v>
      </c>
      <c r="F3" s="5">
        <v>0.66</v>
      </c>
      <c r="G3" s="5">
        <v>0.19</v>
      </c>
      <c r="I3" s="13" t="s">
        <v>29</v>
      </c>
      <c r="J3" s="3">
        <f>(SUM(C16:C17))/(SUMPRODUCT(C3:C9,E3:E9)+C20*E20)</f>
        <v>7.4028377544725465E-2</v>
      </c>
    </row>
    <row r="4" spans="1:10" x14ac:dyDescent="0.25">
      <c r="B4" t="s">
        <v>9</v>
      </c>
      <c r="C4" s="3">
        <v>0.27</v>
      </c>
      <c r="D4" s="3">
        <v>2.3E-2</v>
      </c>
      <c r="E4" s="5">
        <v>0.75</v>
      </c>
      <c r="F4" s="5">
        <v>0.94</v>
      </c>
      <c r="G4" s="5">
        <v>0.08</v>
      </c>
      <c r="I4" s="13" t="s">
        <v>13</v>
      </c>
      <c r="J4" s="3">
        <f>C16/(SUM(C3:C9)+C20)</f>
        <v>3.2786885245901634E-2</v>
      </c>
    </row>
    <row r="5" spans="1:10" x14ac:dyDescent="0.25">
      <c r="B5" t="s">
        <v>10</v>
      </c>
      <c r="C5" s="3">
        <v>0.16</v>
      </c>
      <c r="D5" s="3">
        <v>5.0000000000000001E-3</v>
      </c>
      <c r="E5" s="5">
        <v>0.35</v>
      </c>
      <c r="F5" s="5">
        <v>0.65</v>
      </c>
      <c r="G5" s="5">
        <v>0</v>
      </c>
      <c r="I5" s="13" t="s">
        <v>15</v>
      </c>
      <c r="J5" s="3">
        <f>(SUMPRODUCT(C11:C14,F11:F14)+C16+C17)/(SUMPRODUCT(C3:C9,F3:F9)+C20*F20)</f>
        <v>0.89820909230062773</v>
      </c>
    </row>
    <row r="6" spans="1:10" x14ac:dyDescent="0.25">
      <c r="B6" t="s">
        <v>12</v>
      </c>
      <c r="C6" s="3">
        <v>0.04</v>
      </c>
      <c r="D6" s="3">
        <v>1.1000000000000001E-3</v>
      </c>
      <c r="E6" s="5">
        <v>0.2</v>
      </c>
      <c r="F6" s="5">
        <v>0.01</v>
      </c>
      <c r="G6" s="5">
        <v>0.1</v>
      </c>
      <c r="I6" s="13" t="s">
        <v>17</v>
      </c>
      <c r="J6" s="3">
        <f>(SUMPRODUCT(C3:C9,G3:G9)+C20*G20)/SUMPRODUCT(C11:C14,G11:G14)</f>
        <v>1.5740479548660087</v>
      </c>
    </row>
    <row r="7" spans="1:10" x14ac:dyDescent="0.25">
      <c r="B7" t="s">
        <v>14</v>
      </c>
      <c r="C7" s="3">
        <v>0.02</v>
      </c>
      <c r="D7" s="3">
        <v>2E-3</v>
      </c>
      <c r="E7" s="5">
        <v>0.2</v>
      </c>
      <c r="F7" s="5">
        <v>0.5</v>
      </c>
      <c r="G7" s="5">
        <v>0</v>
      </c>
    </row>
    <row r="8" spans="1:10" x14ac:dyDescent="0.25">
      <c r="B8" t="s">
        <v>16</v>
      </c>
      <c r="C8" s="5">
        <v>7.0000000000000007E-2</v>
      </c>
      <c r="D8" s="3">
        <v>4.0000000000000002E-4</v>
      </c>
      <c r="E8" s="5">
        <v>0</v>
      </c>
      <c r="F8" s="5">
        <v>0.03</v>
      </c>
      <c r="G8" s="5">
        <v>1</v>
      </c>
    </row>
    <row r="9" spans="1:10" x14ac:dyDescent="0.25">
      <c r="B9" t="s">
        <v>18</v>
      </c>
      <c r="C9" s="3">
        <v>0.04</v>
      </c>
      <c r="D9" s="3">
        <v>3.0000000000000001E-3</v>
      </c>
      <c r="E9" s="5">
        <v>0.2</v>
      </c>
      <c r="F9" s="5">
        <v>0.2</v>
      </c>
      <c r="G9" s="5">
        <v>0.85</v>
      </c>
    </row>
    <row r="11" spans="1:10" x14ac:dyDescent="0.25">
      <c r="A11" t="s">
        <v>19</v>
      </c>
      <c r="B11" t="s">
        <v>20</v>
      </c>
      <c r="C11" s="3">
        <v>0.32</v>
      </c>
      <c r="D11" s="3">
        <v>6.7000000000000002E-3</v>
      </c>
      <c r="F11" s="5">
        <v>0</v>
      </c>
      <c r="G11" s="5">
        <v>0.17</v>
      </c>
    </row>
    <row r="12" spans="1:10" x14ac:dyDescent="0.25">
      <c r="B12" t="s">
        <v>21</v>
      </c>
      <c r="C12" s="3">
        <v>0.54</v>
      </c>
      <c r="D12" s="3">
        <v>5.1000000000000004E-3</v>
      </c>
      <c r="F12" s="5">
        <v>0.92</v>
      </c>
      <c r="G12" s="5">
        <v>0.06</v>
      </c>
    </row>
    <row r="13" spans="1:10" x14ac:dyDescent="0.25">
      <c r="B13" t="s">
        <v>23</v>
      </c>
      <c r="C13" s="3">
        <v>0.06</v>
      </c>
      <c r="D13" s="3">
        <v>2.5000000000000001E-3</v>
      </c>
      <c r="F13" s="5">
        <v>0.5</v>
      </c>
      <c r="G13" s="5">
        <v>0.75</v>
      </c>
    </row>
    <row r="14" spans="1:10" x14ac:dyDescent="0.25">
      <c r="B14" t="s">
        <v>14</v>
      </c>
      <c r="C14" s="5">
        <v>0.02</v>
      </c>
      <c r="D14" s="3">
        <v>0</v>
      </c>
      <c r="F14" s="5">
        <v>0</v>
      </c>
      <c r="G14" s="5">
        <v>0.5</v>
      </c>
    </row>
    <row r="15" spans="1:10" x14ac:dyDescent="0.25">
      <c r="C15" s="5"/>
      <c r="D15" s="3"/>
    </row>
    <row r="16" spans="1:10" x14ac:dyDescent="0.25">
      <c r="A16" t="s">
        <v>24</v>
      </c>
      <c r="B16" t="s">
        <v>25</v>
      </c>
      <c r="C16" s="3">
        <v>0.04</v>
      </c>
      <c r="D16" s="5">
        <v>-7.0000000000000007E-2</v>
      </c>
      <c r="F16" s="5">
        <v>1</v>
      </c>
    </row>
    <row r="17" spans="1:7" x14ac:dyDescent="0.25">
      <c r="B17" t="s">
        <v>26</v>
      </c>
      <c r="C17" s="3">
        <v>0.02</v>
      </c>
      <c r="D17" s="5">
        <v>-0.1</v>
      </c>
      <c r="F17" s="5">
        <v>1</v>
      </c>
    </row>
    <row r="19" spans="1:7" x14ac:dyDescent="0.25">
      <c r="C19" s="3"/>
    </row>
    <row r="20" spans="1:7" x14ac:dyDescent="0.25">
      <c r="A20" t="s">
        <v>30</v>
      </c>
      <c r="B20" t="s">
        <v>27</v>
      </c>
      <c r="C20" s="3">
        <v>0.22</v>
      </c>
      <c r="D20">
        <v>0</v>
      </c>
      <c r="E20" s="5">
        <v>0.6</v>
      </c>
      <c r="F20" s="5">
        <v>0.05</v>
      </c>
      <c r="G20" s="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Modelo Basico</vt:lpstr>
      <vt:lpstr>Modelo 2 Balance inicial</vt:lpstr>
      <vt:lpstr>Balance óptimo</vt:lpstr>
      <vt:lpstr>Modelo 2 Balance inicial + PFB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Serrano Perdomo</dc:creator>
  <cp:lastModifiedBy>Linking data sas nit 901253313 Carlos Castro-Iragorri</cp:lastModifiedBy>
  <dcterms:created xsi:type="dcterms:W3CDTF">2024-07-08T16:46:25Z</dcterms:created>
  <dcterms:modified xsi:type="dcterms:W3CDTF">2024-07-10T13:58:19Z</dcterms:modified>
</cp:coreProperties>
</file>