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s Castro\Dropbox\IRRBB\paginaWeb\"/>
    </mc:Choice>
  </mc:AlternateContent>
  <xr:revisionPtr revIDLastSave="0" documentId="13_ncr:1_{F8870C47-7953-4F59-A04D-BBE30E736B68}" xr6:coauthVersionLast="47" xr6:coauthVersionMax="47" xr10:uidLastSave="{00000000-0000-0000-0000-000000000000}"/>
  <bookViews>
    <workbookView xWindow="-120" yWindow="-120" windowWidth="29040" windowHeight="15840" activeTab="3" xr2:uid="{23219B51-74C4-447F-887E-AF238EC7FD2A}"/>
  </bookViews>
  <sheets>
    <sheet name="curvas y escenarios" sheetId="1" r:id="rId1"/>
    <sheet name="participaciones" sheetId="3" r:id="rId2"/>
    <sheet name="VE" sheetId="4" r:id="rId3"/>
    <sheet name="MNI" sheetId="5" r:id="rId4"/>
  </sheets>
  <definedNames>
    <definedName name="_xlnm.Print_Area" localSheetId="3">MNI!$A$1:$H$30</definedName>
    <definedName name="_xlnm.Print_Area" localSheetId="1">participaciones!$A$1:$U$24</definedName>
    <definedName name="_xlnm.Print_Area" localSheetId="2">VE!$A$1:$U$23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5" l="1"/>
  <c r="D18" i="5"/>
  <c r="D35" i="5" s="1"/>
  <c r="C18" i="5"/>
  <c r="C35" i="5" s="1"/>
  <c r="F22" i="5"/>
  <c r="F38" i="5" s="1"/>
  <c r="B22" i="5"/>
  <c r="H31" i="5"/>
  <c r="G31" i="5"/>
  <c r="F31" i="5"/>
  <c r="E31" i="5"/>
  <c r="D31" i="5"/>
  <c r="C31" i="5"/>
  <c r="H28" i="5"/>
  <c r="G28" i="5"/>
  <c r="F28" i="5"/>
  <c r="E28" i="5"/>
  <c r="D28" i="5"/>
  <c r="C28" i="5"/>
  <c r="H26" i="5"/>
  <c r="G26" i="5"/>
  <c r="F26" i="5"/>
  <c r="E26" i="5"/>
  <c r="D26" i="5"/>
  <c r="D34" i="5" s="1"/>
  <c r="C26" i="5"/>
  <c r="B16" i="5"/>
  <c r="B23" i="5" s="1"/>
  <c r="B15" i="5"/>
  <c r="F15" i="5" s="1"/>
  <c r="B13" i="5"/>
  <c r="B20" i="5" s="1"/>
  <c r="B12" i="5"/>
  <c r="E12" i="5" s="1"/>
  <c r="B11" i="5"/>
  <c r="B18" i="5" s="1"/>
  <c r="B16" i="4"/>
  <c r="B15" i="4"/>
  <c r="B11" i="4"/>
  <c r="C39" i="5" l="1"/>
  <c r="C34" i="5"/>
  <c r="G34" i="5"/>
  <c r="G39" i="5"/>
  <c r="B19" i="5"/>
  <c r="F12" i="5"/>
  <c r="E15" i="5"/>
  <c r="E22" i="5" s="1"/>
  <c r="E38" i="5" s="1"/>
  <c r="C11" i="5"/>
  <c r="G12" i="5"/>
  <c r="G15" i="5"/>
  <c r="G22" i="5" s="1"/>
  <c r="G38" i="5" s="1"/>
  <c r="C16" i="5"/>
  <c r="D11" i="5"/>
  <c r="H12" i="5"/>
  <c r="H19" i="5" s="1"/>
  <c r="H15" i="5"/>
  <c r="H22" i="5" s="1"/>
  <c r="H38" i="5" s="1"/>
  <c r="D16" i="5"/>
  <c r="D23" i="5" s="1"/>
  <c r="D39" i="5" s="1"/>
  <c r="E11" i="5"/>
  <c r="E18" i="5" s="1"/>
  <c r="E35" i="5" s="1"/>
  <c r="E16" i="5"/>
  <c r="E23" i="5" s="1"/>
  <c r="E39" i="5" s="1"/>
  <c r="F11" i="5"/>
  <c r="F18" i="5" s="1"/>
  <c r="F35" i="5" s="1"/>
  <c r="F16" i="5"/>
  <c r="G11" i="5"/>
  <c r="G18" i="5" s="1"/>
  <c r="G35" i="5" s="1"/>
  <c r="C12" i="5"/>
  <c r="C15" i="5"/>
  <c r="C22" i="5" s="1"/>
  <c r="C38" i="5" s="1"/>
  <c r="G16" i="5"/>
  <c r="G23" i="5" s="1"/>
  <c r="H11" i="5"/>
  <c r="H18" i="5" s="1"/>
  <c r="H35" i="5" s="1"/>
  <c r="D12" i="5"/>
  <c r="D15" i="5"/>
  <c r="D22" i="5" s="1"/>
  <c r="D38" i="5" s="1"/>
  <c r="H16" i="5"/>
  <c r="H23" i="5" s="1"/>
  <c r="H39" i="5" s="1"/>
  <c r="G19" i="5" l="1"/>
  <c r="F19" i="5"/>
  <c r="E19" i="5"/>
  <c r="D19" i="5"/>
  <c r="C19" i="5"/>
  <c r="F34" i="5"/>
  <c r="F23" i="5"/>
  <c r="F39" i="5" s="1"/>
  <c r="F42" i="5" s="1"/>
  <c r="E34" i="5"/>
  <c r="H34" i="5"/>
  <c r="H42" i="5"/>
  <c r="D42" i="5"/>
  <c r="E42" i="5"/>
  <c r="C42" i="5"/>
  <c r="G42" i="5"/>
  <c r="D24" i="4" l="1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C24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C21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C19" i="4"/>
  <c r="L16" i="4"/>
  <c r="F16" i="4"/>
  <c r="K15" i="4"/>
  <c r="K31" i="4" s="1"/>
  <c r="D11" i="3"/>
  <c r="D13" i="5" s="1"/>
  <c r="E11" i="3"/>
  <c r="E13" i="5" s="1"/>
  <c r="F11" i="3"/>
  <c r="F13" i="5" s="1"/>
  <c r="G11" i="3"/>
  <c r="G13" i="5" s="1"/>
  <c r="H11" i="3"/>
  <c r="H13" i="5" s="1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C11" i="3"/>
  <c r="C13" i="5" s="1"/>
  <c r="B13" i="4"/>
  <c r="B12" i="4"/>
  <c r="F12" i="4" s="1"/>
  <c r="F28" i="4" s="1"/>
  <c r="H11" i="4"/>
  <c r="I11" i="4"/>
  <c r="V22" i="3"/>
  <c r="V21" i="3"/>
  <c r="V20" i="3"/>
  <c r="V19" i="3"/>
  <c r="V18" i="3"/>
  <c r="V17" i="3"/>
  <c r="V16" i="3"/>
  <c r="V15" i="3"/>
  <c r="V14" i="3"/>
  <c r="V13" i="3"/>
  <c r="V12" i="3"/>
  <c r="V10" i="3"/>
  <c r="V9" i="3"/>
  <c r="V8" i="3"/>
  <c r="H20" i="5" l="1"/>
  <c r="H36" i="5" s="1"/>
  <c r="H41" i="5" s="1"/>
  <c r="H43" i="5" s="1"/>
  <c r="G20" i="5"/>
  <c r="G36" i="5" s="1"/>
  <c r="G41" i="5" s="1"/>
  <c r="G43" i="5" s="1"/>
  <c r="F20" i="5"/>
  <c r="F36" i="5" s="1"/>
  <c r="F41" i="5" s="1"/>
  <c r="F43" i="5" s="1"/>
  <c r="E20" i="5"/>
  <c r="D20" i="5" s="1"/>
  <c r="D36" i="5" s="1"/>
  <c r="D41" i="5" s="1"/>
  <c r="D43" i="5" s="1"/>
  <c r="L32" i="4"/>
  <c r="R15" i="4"/>
  <c r="R31" i="4" s="1"/>
  <c r="Q15" i="4"/>
  <c r="Q31" i="4" s="1"/>
  <c r="C15" i="4"/>
  <c r="C31" i="4" s="1"/>
  <c r="K16" i="4"/>
  <c r="K32" i="4" s="1"/>
  <c r="K35" i="4" s="1"/>
  <c r="F32" i="4"/>
  <c r="H16" i="4"/>
  <c r="H32" i="4" s="1"/>
  <c r="Q16" i="4"/>
  <c r="Q32" i="4" s="1"/>
  <c r="Q35" i="4" s="1"/>
  <c r="M16" i="4"/>
  <c r="M32" i="4" s="1"/>
  <c r="I27" i="4"/>
  <c r="J15" i="4"/>
  <c r="J31" i="4" s="1"/>
  <c r="E16" i="4"/>
  <c r="E32" i="4" s="1"/>
  <c r="T16" i="4"/>
  <c r="T32" i="4" s="1"/>
  <c r="D16" i="4"/>
  <c r="D32" i="4" s="1"/>
  <c r="S16" i="4"/>
  <c r="S32" i="4" s="1"/>
  <c r="H27" i="4"/>
  <c r="N15" i="4"/>
  <c r="N31" i="4" s="1"/>
  <c r="P16" i="4"/>
  <c r="P32" i="4" s="1"/>
  <c r="C16" i="4"/>
  <c r="C32" i="4" s="1"/>
  <c r="C35" i="4" s="1"/>
  <c r="I15" i="4"/>
  <c r="I31" i="4" s="1"/>
  <c r="F15" i="4"/>
  <c r="F31" i="4" s="1"/>
  <c r="U16" i="4"/>
  <c r="U32" i="4" s="1"/>
  <c r="I16" i="4"/>
  <c r="I32" i="4" s="1"/>
  <c r="P15" i="4"/>
  <c r="P31" i="4" s="1"/>
  <c r="H15" i="4"/>
  <c r="H31" i="4" s="1"/>
  <c r="O15" i="4"/>
  <c r="O31" i="4" s="1"/>
  <c r="G15" i="4"/>
  <c r="G31" i="4" s="1"/>
  <c r="R16" i="4"/>
  <c r="R32" i="4" s="1"/>
  <c r="R35" i="4" s="1"/>
  <c r="J16" i="4"/>
  <c r="J32" i="4" s="1"/>
  <c r="J35" i="4" s="1"/>
  <c r="U15" i="4"/>
  <c r="U31" i="4" s="1"/>
  <c r="E15" i="4"/>
  <c r="E31" i="4" s="1"/>
  <c r="T15" i="4"/>
  <c r="T31" i="4" s="1"/>
  <c r="L15" i="4"/>
  <c r="L31" i="4" s="1"/>
  <c r="D15" i="4"/>
  <c r="D31" i="4" s="1"/>
  <c r="O16" i="4"/>
  <c r="O32" i="4" s="1"/>
  <c r="O35" i="4" s="1"/>
  <c r="G16" i="4"/>
  <c r="G32" i="4" s="1"/>
  <c r="M15" i="4"/>
  <c r="M31" i="4" s="1"/>
  <c r="S15" i="4"/>
  <c r="S31" i="4" s="1"/>
  <c r="N16" i="4"/>
  <c r="N32" i="4" s="1"/>
  <c r="N35" i="4" s="1"/>
  <c r="R11" i="4"/>
  <c r="R27" i="4" s="1"/>
  <c r="N11" i="4"/>
  <c r="N27" i="4" s="1"/>
  <c r="I13" i="4"/>
  <c r="I29" i="4" s="1"/>
  <c r="K12" i="4"/>
  <c r="K28" i="4" s="1"/>
  <c r="M11" i="4"/>
  <c r="M27" i="4" s="1"/>
  <c r="T12" i="4"/>
  <c r="T28" i="4" s="1"/>
  <c r="J12" i="4"/>
  <c r="J28" i="4" s="1"/>
  <c r="U12" i="4"/>
  <c r="U28" i="4" s="1"/>
  <c r="J11" i="4"/>
  <c r="J27" i="4" s="1"/>
  <c r="S12" i="4"/>
  <c r="S28" i="4" s="1"/>
  <c r="I12" i="4"/>
  <c r="I28" i="4" s="1"/>
  <c r="C11" i="4"/>
  <c r="C27" i="4" s="1"/>
  <c r="F11" i="4"/>
  <c r="F27" i="4" s="1"/>
  <c r="Q12" i="4"/>
  <c r="Q28" i="4" s="1"/>
  <c r="E12" i="4"/>
  <c r="E28" i="4" s="1"/>
  <c r="R12" i="4"/>
  <c r="R28" i="4" s="1"/>
  <c r="G12" i="4"/>
  <c r="G28" i="4" s="1"/>
  <c r="U11" i="4"/>
  <c r="U27" i="4" s="1"/>
  <c r="E11" i="4"/>
  <c r="E27" i="4" s="1"/>
  <c r="O12" i="4"/>
  <c r="O28" i="4" s="1"/>
  <c r="C13" i="4"/>
  <c r="C29" i="4" s="1"/>
  <c r="M12" i="4"/>
  <c r="M28" i="4" s="1"/>
  <c r="P11" i="4"/>
  <c r="P27" i="4" s="1"/>
  <c r="L12" i="4"/>
  <c r="L28" i="4" s="1"/>
  <c r="P13" i="4"/>
  <c r="P29" i="4" s="1"/>
  <c r="H13" i="4"/>
  <c r="H29" i="4" s="1"/>
  <c r="O11" i="4"/>
  <c r="O27" i="4" s="1"/>
  <c r="G11" i="4"/>
  <c r="G27" i="4" s="1"/>
  <c r="D12" i="4"/>
  <c r="D28" i="4" s="1"/>
  <c r="O13" i="4"/>
  <c r="O29" i="4" s="1"/>
  <c r="G13" i="4"/>
  <c r="G29" i="4" s="1"/>
  <c r="F13" i="4"/>
  <c r="F29" i="4" s="1"/>
  <c r="N13" i="4"/>
  <c r="N29" i="4" s="1"/>
  <c r="U13" i="4"/>
  <c r="U29" i="4" s="1"/>
  <c r="M13" i="4"/>
  <c r="M29" i="4" s="1"/>
  <c r="E13" i="4"/>
  <c r="E29" i="4" s="1"/>
  <c r="T11" i="4"/>
  <c r="T27" i="4" s="1"/>
  <c r="L11" i="4"/>
  <c r="L27" i="4" s="1"/>
  <c r="D11" i="4"/>
  <c r="D27" i="4" s="1"/>
  <c r="T13" i="4"/>
  <c r="T29" i="4" s="1"/>
  <c r="L13" i="4"/>
  <c r="L29" i="4" s="1"/>
  <c r="D13" i="4"/>
  <c r="D29" i="4" s="1"/>
  <c r="S11" i="4"/>
  <c r="S27" i="4" s="1"/>
  <c r="K11" i="4"/>
  <c r="K27" i="4" s="1"/>
  <c r="P12" i="4"/>
  <c r="P28" i="4" s="1"/>
  <c r="H12" i="4"/>
  <c r="H28" i="4" s="1"/>
  <c r="S13" i="4"/>
  <c r="S29" i="4" s="1"/>
  <c r="R13" i="4"/>
  <c r="R29" i="4" s="1"/>
  <c r="K13" i="4"/>
  <c r="K29" i="4" s="1"/>
  <c r="J13" i="4"/>
  <c r="J29" i="4" s="1"/>
  <c r="Q11" i="4"/>
  <c r="Q27" i="4" s="1"/>
  <c r="C12" i="4"/>
  <c r="C28" i="4" s="1"/>
  <c r="N12" i="4"/>
  <c r="N28" i="4" s="1"/>
  <c r="Q13" i="4"/>
  <c r="Q29" i="4" s="1"/>
  <c r="V11" i="3"/>
  <c r="E36" i="5" l="1"/>
  <c r="E41" i="5" s="1"/>
  <c r="E43" i="5" s="1"/>
  <c r="C20" i="5"/>
  <c r="C36" i="5" s="1"/>
  <c r="C41" i="5" s="1"/>
  <c r="C43" i="5" s="1"/>
  <c r="F35" i="4"/>
  <c r="G35" i="4"/>
  <c r="E35" i="4"/>
  <c r="P35" i="4"/>
  <c r="M35" i="4"/>
  <c r="T34" i="4"/>
  <c r="F34" i="4"/>
  <c r="I35" i="4"/>
  <c r="S35" i="4"/>
  <c r="U35" i="4"/>
  <c r="D35" i="4"/>
  <c r="L34" i="4"/>
  <c r="T35" i="4"/>
  <c r="H35" i="4"/>
  <c r="L35" i="4"/>
  <c r="M34" i="4"/>
  <c r="K34" i="4"/>
  <c r="K36" i="4" s="1"/>
  <c r="G34" i="4"/>
  <c r="R34" i="4"/>
  <c r="R36" i="4" s="1"/>
  <c r="S34" i="4"/>
  <c r="C34" i="4"/>
  <c r="C36" i="4" s="1"/>
  <c r="Q34" i="4"/>
  <c r="Q36" i="4" s="1"/>
  <c r="O34" i="4"/>
  <c r="O36" i="4" s="1"/>
  <c r="E34" i="4"/>
  <c r="I34" i="4"/>
  <c r="U34" i="4"/>
  <c r="N34" i="4"/>
  <c r="N36" i="4" s="1"/>
  <c r="J34" i="4"/>
  <c r="J36" i="4" s="1"/>
  <c r="H34" i="4"/>
  <c r="D34" i="4"/>
  <c r="P34" i="4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G44" i="5" l="1"/>
  <c r="H44" i="5"/>
  <c r="E44" i="5"/>
  <c r="F44" i="5"/>
  <c r="C44" i="5"/>
  <c r="D44" i="5"/>
  <c r="U36" i="4"/>
  <c r="G36" i="4"/>
  <c r="M36" i="4"/>
  <c r="E36" i="4"/>
  <c r="P36" i="4"/>
  <c r="F36" i="4"/>
  <c r="H36" i="4"/>
  <c r="T36" i="4"/>
  <c r="S36" i="4"/>
  <c r="D36" i="4"/>
  <c r="L36" i="4"/>
  <c r="I36" i="4"/>
  <c r="I21" i="1"/>
  <c r="I37" i="4"/>
  <c r="Q21" i="1"/>
  <c r="Q37" i="4"/>
  <c r="Q38" i="4" s="1"/>
  <c r="H21" i="1"/>
  <c r="H37" i="4"/>
  <c r="O21" i="1"/>
  <c r="O37" i="4"/>
  <c r="O38" i="4" s="1"/>
  <c r="G21" i="1"/>
  <c r="G37" i="4"/>
  <c r="F21" i="1"/>
  <c r="F37" i="4"/>
  <c r="E21" i="1"/>
  <c r="E37" i="4"/>
  <c r="J21" i="1"/>
  <c r="J37" i="4"/>
  <c r="J38" i="4" s="1"/>
  <c r="P21" i="1"/>
  <c r="P37" i="4"/>
  <c r="N21" i="1"/>
  <c r="N37" i="4"/>
  <c r="N38" i="4" s="1"/>
  <c r="T21" i="1"/>
  <c r="T37" i="4"/>
  <c r="D21" i="1"/>
  <c r="D37" i="4"/>
  <c r="R21" i="1"/>
  <c r="R37" i="4"/>
  <c r="R38" i="4" s="1"/>
  <c r="U21" i="1"/>
  <c r="U37" i="4"/>
  <c r="M21" i="1"/>
  <c r="M37" i="4"/>
  <c r="L21" i="1"/>
  <c r="L37" i="4"/>
  <c r="S21" i="1"/>
  <c r="S37" i="4"/>
  <c r="K21" i="1"/>
  <c r="K37" i="4"/>
  <c r="K38" i="4" s="1"/>
  <c r="C21" i="1"/>
  <c r="C37" i="4"/>
  <c r="C38" i="4" s="1"/>
  <c r="S31" i="1"/>
  <c r="Q31" i="1"/>
  <c r="M31" i="1"/>
  <c r="L31" i="1"/>
  <c r="K31" i="1"/>
  <c r="I31" i="1"/>
  <c r="U31" i="1"/>
  <c r="E31" i="1"/>
  <c r="T31" i="1"/>
  <c r="D31" i="1"/>
  <c r="R31" i="1"/>
  <c r="J31" i="1"/>
  <c r="M30" i="1"/>
  <c r="P31" i="1"/>
  <c r="H31" i="1"/>
  <c r="H30" i="1"/>
  <c r="O31" i="1"/>
  <c r="G31" i="1"/>
  <c r="E30" i="1"/>
  <c r="N31" i="1"/>
  <c r="F31" i="1"/>
  <c r="U30" i="1"/>
  <c r="S30" i="1"/>
  <c r="C31" i="1"/>
  <c r="P30" i="1"/>
  <c r="K30" i="1"/>
  <c r="R30" i="1"/>
  <c r="J30" i="1"/>
  <c r="Q30" i="1"/>
  <c r="I30" i="1"/>
  <c r="M28" i="1"/>
  <c r="O30" i="1"/>
  <c r="G30" i="1"/>
  <c r="C30" i="1"/>
  <c r="N30" i="1"/>
  <c r="F30" i="1"/>
  <c r="T30" i="1"/>
  <c r="L30" i="1"/>
  <c r="D30" i="1"/>
  <c r="U28" i="1"/>
  <c r="P28" i="1"/>
  <c r="K28" i="1"/>
  <c r="H28" i="1"/>
  <c r="E28" i="1"/>
  <c r="R28" i="1"/>
  <c r="J28" i="1"/>
  <c r="S28" i="1"/>
  <c r="Q28" i="1"/>
  <c r="I28" i="1"/>
  <c r="P27" i="1"/>
  <c r="O28" i="1"/>
  <c r="G28" i="1"/>
  <c r="D27" i="1"/>
  <c r="N28" i="1"/>
  <c r="F28" i="1"/>
  <c r="T28" i="1"/>
  <c r="L28" i="1"/>
  <c r="D28" i="1"/>
  <c r="C28" i="1"/>
  <c r="T27" i="1"/>
  <c r="K27" i="1"/>
  <c r="L27" i="1"/>
  <c r="H27" i="1"/>
  <c r="R27" i="1"/>
  <c r="J27" i="1"/>
  <c r="S27" i="1"/>
  <c r="Q27" i="1"/>
  <c r="I27" i="1"/>
  <c r="E25" i="1"/>
  <c r="O27" i="1"/>
  <c r="G27" i="1"/>
  <c r="C27" i="1"/>
  <c r="N27" i="1"/>
  <c r="F27" i="1"/>
  <c r="U27" i="1"/>
  <c r="M27" i="1"/>
  <c r="E27" i="1"/>
  <c r="Q24" i="1"/>
  <c r="U25" i="1"/>
  <c r="Q25" i="1"/>
  <c r="M25" i="1"/>
  <c r="I25" i="1"/>
  <c r="T25" i="1"/>
  <c r="L25" i="1"/>
  <c r="D25" i="1"/>
  <c r="S25" i="1"/>
  <c r="K25" i="1"/>
  <c r="R25" i="1"/>
  <c r="J25" i="1"/>
  <c r="I24" i="1"/>
  <c r="O25" i="1"/>
  <c r="G25" i="1"/>
  <c r="P25" i="1"/>
  <c r="H25" i="1"/>
  <c r="C25" i="1"/>
  <c r="N25" i="1"/>
  <c r="F25" i="1"/>
  <c r="P24" i="1"/>
  <c r="M24" i="1"/>
  <c r="D24" i="1"/>
  <c r="H24" i="1"/>
  <c r="T24" i="1"/>
  <c r="L24" i="1"/>
  <c r="U24" i="1"/>
  <c r="E24" i="1"/>
  <c r="S24" i="1"/>
  <c r="K24" i="1"/>
  <c r="R24" i="1"/>
  <c r="J24" i="1"/>
  <c r="O24" i="1"/>
  <c r="G24" i="1"/>
  <c r="L22" i="1"/>
  <c r="N24" i="1"/>
  <c r="F24" i="1"/>
  <c r="Q22" i="1"/>
  <c r="M22" i="1"/>
  <c r="K22" i="1"/>
  <c r="I22" i="1"/>
  <c r="U22" i="1"/>
  <c r="E22" i="1"/>
  <c r="T22" i="1"/>
  <c r="D22" i="1"/>
  <c r="S22" i="1"/>
  <c r="C24" i="1"/>
  <c r="R22" i="1"/>
  <c r="J22" i="1"/>
  <c r="O22" i="1"/>
  <c r="G22" i="1"/>
  <c r="P22" i="1"/>
  <c r="H22" i="1"/>
  <c r="N22" i="1"/>
  <c r="F22" i="1"/>
  <c r="C22" i="1"/>
  <c r="U38" i="4" l="1"/>
  <c r="G38" i="4"/>
  <c r="M38" i="4"/>
  <c r="K43" i="4"/>
  <c r="J44" i="4"/>
  <c r="P45" i="4"/>
  <c r="E46" i="4"/>
  <c r="E45" i="4"/>
  <c r="K46" i="4"/>
  <c r="R47" i="4"/>
  <c r="Q48" i="4"/>
  <c r="M48" i="4"/>
  <c r="K49" i="4"/>
  <c r="K42" i="4"/>
  <c r="U42" i="4"/>
  <c r="N42" i="4"/>
  <c r="Q42" i="4"/>
  <c r="F43" i="4"/>
  <c r="M43" i="4"/>
  <c r="R44" i="4"/>
  <c r="G45" i="4"/>
  <c r="M46" i="4"/>
  <c r="I46" i="4"/>
  <c r="G47" i="4"/>
  <c r="E47" i="4"/>
  <c r="F48" i="4"/>
  <c r="J48" i="4"/>
  <c r="N49" i="4"/>
  <c r="J49" i="4"/>
  <c r="R43" i="4"/>
  <c r="H44" i="4"/>
  <c r="K44" i="4"/>
  <c r="H47" i="4"/>
  <c r="F44" i="4"/>
  <c r="I44" i="4"/>
  <c r="P46" i="4"/>
  <c r="G49" i="4"/>
  <c r="N44" i="4"/>
  <c r="M45" i="4"/>
  <c r="L47" i="4"/>
  <c r="P47" i="4"/>
  <c r="J42" i="4"/>
  <c r="O42" i="4"/>
  <c r="Q46" i="4"/>
  <c r="N48" i="4"/>
  <c r="R48" i="4"/>
  <c r="R49" i="4"/>
  <c r="P42" i="4"/>
  <c r="P43" i="4"/>
  <c r="E44" i="4"/>
  <c r="N46" i="4"/>
  <c r="I47" i="4"/>
  <c r="G48" i="4"/>
  <c r="P48" i="4"/>
  <c r="O49" i="4"/>
  <c r="L42" i="4"/>
  <c r="G43" i="4"/>
  <c r="E43" i="4"/>
  <c r="U44" i="4"/>
  <c r="N45" i="4"/>
  <c r="R45" i="4"/>
  <c r="Q45" i="4"/>
  <c r="R46" i="4"/>
  <c r="T47" i="4"/>
  <c r="Q47" i="4"/>
  <c r="U47" i="4"/>
  <c r="O48" i="4"/>
  <c r="C49" i="4"/>
  <c r="H48" i="4"/>
  <c r="E49" i="4"/>
  <c r="Q43" i="4"/>
  <c r="M44" i="4"/>
  <c r="O45" i="4"/>
  <c r="U46" i="4"/>
  <c r="O47" i="4"/>
  <c r="M49" i="4"/>
  <c r="H43" i="4"/>
  <c r="P44" i="4"/>
  <c r="K47" i="4"/>
  <c r="K48" i="4"/>
  <c r="J46" i="4"/>
  <c r="O43" i="4"/>
  <c r="U43" i="4"/>
  <c r="G44" i="4"/>
  <c r="K45" i="4"/>
  <c r="U45" i="4"/>
  <c r="G46" i="4"/>
  <c r="H46" i="4"/>
  <c r="F47" i="4"/>
  <c r="M47" i="4"/>
  <c r="H49" i="4"/>
  <c r="U49" i="4"/>
  <c r="M42" i="4"/>
  <c r="N43" i="4"/>
  <c r="R42" i="4"/>
  <c r="G42" i="4"/>
  <c r="I45" i="4"/>
  <c r="Q49" i="4"/>
  <c r="J45" i="4"/>
  <c r="J43" i="4"/>
  <c r="O44" i="4"/>
  <c r="T44" i="4"/>
  <c r="H45" i="4"/>
  <c r="Q44" i="4"/>
  <c r="O46" i="4"/>
  <c r="N47" i="4"/>
  <c r="J47" i="4"/>
  <c r="I48" i="4"/>
  <c r="U48" i="4"/>
  <c r="P49" i="4"/>
  <c r="I49" i="4"/>
  <c r="S48" i="4"/>
  <c r="S47" i="4"/>
  <c r="T43" i="4"/>
  <c r="F38" i="4"/>
  <c r="F49" i="4"/>
  <c r="F42" i="4"/>
  <c r="F46" i="4"/>
  <c r="F45" i="4"/>
  <c r="S49" i="4"/>
  <c r="T42" i="4"/>
  <c r="T48" i="4"/>
  <c r="T49" i="4"/>
  <c r="D49" i="4"/>
  <c r="D42" i="4"/>
  <c r="L49" i="4"/>
  <c r="D48" i="4"/>
  <c r="E42" i="4"/>
  <c r="H42" i="4"/>
  <c r="E48" i="4"/>
  <c r="C48" i="4"/>
  <c r="L48" i="4"/>
  <c r="D45" i="4"/>
  <c r="D46" i="4"/>
  <c r="D43" i="4"/>
  <c r="D47" i="4"/>
  <c r="C47" i="4"/>
  <c r="T38" i="4"/>
  <c r="T46" i="4"/>
  <c r="T45" i="4"/>
  <c r="S44" i="4"/>
  <c r="S46" i="4"/>
  <c r="C46" i="4"/>
  <c r="L46" i="4"/>
  <c r="L43" i="4"/>
  <c r="L45" i="4"/>
  <c r="S43" i="4"/>
  <c r="S42" i="4"/>
  <c r="L38" i="4"/>
  <c r="E38" i="4"/>
  <c r="S45" i="4"/>
  <c r="C45" i="4"/>
  <c r="L44" i="4"/>
  <c r="D44" i="4"/>
  <c r="C44" i="4"/>
  <c r="C43" i="4"/>
  <c r="I43" i="4"/>
  <c r="C42" i="4"/>
  <c r="I42" i="4"/>
  <c r="D38" i="4"/>
  <c r="H38" i="4"/>
  <c r="P38" i="4"/>
  <c r="S38" i="4"/>
  <c r="I38" i="4"/>
  <c r="C39" i="4"/>
  <c r="V47" i="4" l="1"/>
  <c r="V46" i="4"/>
  <c r="V49" i="4"/>
  <c r="V45" i="4"/>
  <c r="V43" i="4"/>
  <c r="V44" i="4"/>
  <c r="V48" i="4"/>
  <c r="V42" i="4"/>
  <c r="E39" i="4"/>
  <c r="H39" i="4"/>
  <c r="D39" i="4"/>
  <c r="J39" i="4"/>
  <c r="F39" i="4"/>
  <c r="G39" i="4"/>
  <c r="L39" i="4"/>
  <c r="Q39" i="4"/>
  <c r="O39" i="4"/>
  <c r="N39" i="4"/>
  <c r="S39" i="4"/>
  <c r="K39" i="4"/>
  <c r="I39" i="4"/>
  <c r="M39" i="4"/>
  <c r="P39" i="4"/>
  <c r="U39" i="4"/>
  <c r="R39" i="4"/>
  <c r="T39" i="4"/>
  <c r="W42" i="4" l="1"/>
  <c r="W43" i="4"/>
  <c r="W45" i="4"/>
  <c r="W44" i="4"/>
  <c r="W46" i="4"/>
  <c r="W47" i="4"/>
  <c r="W48" i="4"/>
  <c r="W49" i="4"/>
  <c r="W5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tc={2EA6E959-DF56-4A53-B390-DA4AFFCDD40E}</author>
    <author>Carlos Alberto Castro Iragorri</author>
    <author>tc={E509E4D5-6468-49C5-9295-75665621201E}</author>
  </authors>
  <commentList>
    <comment ref="B4" authorId="0" shapeId="0" xr:uid="{2EA6E959-DF56-4A53-B390-DA4AFFCDD40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Las distribución a lo largo del tiempo no es para la vigente sino para la vencida</t>
      </text>
    </comment>
    <comment ref="B6" authorId="1" shapeId="0" xr:uid="{72BF6D87-198C-4657-9DC3-0EDED99DE37C}">
      <text>
        <r>
          <rPr>
            <b/>
            <sz val="9"/>
            <color indexed="81"/>
            <rFont val="Tahoma"/>
            <family val="2"/>
          </rPr>
          <t>Carlos Alberto Castro Iragorri:</t>
        </r>
        <r>
          <rPr>
            <sz val="9"/>
            <color indexed="81"/>
            <rFont val="Tahoma"/>
            <family val="2"/>
          </rPr>
          <t xml:space="preserve">
Indicadores Gerenciales dic-2023, bancos privados nacionales</t>
        </r>
      </text>
    </comment>
    <comment ref="I22" authorId="2" shapeId="0" xr:uid="{E509E4D5-6468-49C5-9295-75665621201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 acuerdo a la super es mayor a 1 año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tc={0D844CFE-BAA5-402E-955F-ED9BC2FC349B}</author>
    <author>tc={69BC1881-A0C9-46F7-89D7-8D7C30FBAE15}</author>
    <author>tc={FC278384-D8AB-45AC-87C0-8565F3E6BB74}</author>
    <author>tc={03538C30-7221-4997-9AF5-10E0AC80734B}</author>
  </authors>
  <commentList>
    <comment ref="B7" authorId="0" shapeId="0" xr:uid="{0D844CFE-BAA5-402E-955F-ED9BC2FC349B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Las distribución a lo largo del tiempo no es para la vigente sino para la vencida</t>
      </text>
    </comment>
    <comment ref="A19" authorId="1" shapeId="0" xr:uid="{69BC1881-A0C9-46F7-89D7-8D7C30FBAE15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TES</t>
      </text>
    </comment>
    <comment ref="A21" authorId="2" shapeId="0" xr:uid="{FC278384-D8AB-45AC-87C0-8565F3E6BB7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IBR</t>
      </text>
    </comment>
    <comment ref="A24" authorId="3" shapeId="0" xr:uid="{03538C30-7221-4997-9AF5-10E0AC80734B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CDT's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tc={8A678C57-1E37-47D3-B73D-B36B3A32C4CE}</author>
    <author>tc={AF615AB7-E59B-4A43-81BC-9BB44F9FBA0F}</author>
    <author>tc={5AE6B2FD-51FE-4480-BC14-424C81B3E58A}</author>
    <author>tc={A2F81CF0-71BB-438B-9EAD-43392E62C86E}</author>
  </authors>
  <commentList>
    <comment ref="B7" authorId="0" shapeId="0" xr:uid="{8A678C57-1E37-47D3-B73D-B36B3A32C4C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Las distribución a lo largo del tiempo no es para la vigente sino para la vencida</t>
      </text>
    </comment>
    <comment ref="A26" authorId="1" shapeId="0" xr:uid="{AF615AB7-E59B-4A43-81BC-9BB44F9FBA0F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TES</t>
      </text>
    </comment>
    <comment ref="A28" authorId="2" shapeId="0" xr:uid="{5AE6B2FD-51FE-4480-BC14-424C81B3E58A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IBR</t>
      </text>
    </comment>
    <comment ref="A31" authorId="3" shapeId="0" xr:uid="{A2F81CF0-71BB-438B-9EAD-43392E62C86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CDT's</t>
      </text>
    </comment>
  </commentList>
</comments>
</file>

<file path=xl/sharedStrings.xml><?xml version="1.0" encoding="utf-8"?>
<sst xmlns="http://schemas.openxmlformats.org/spreadsheetml/2006/main" count="246" uniqueCount="113">
  <si>
    <t>Precia</t>
  </si>
  <si>
    <t>Bandas</t>
  </si>
  <si>
    <t>O/N</t>
  </si>
  <si>
    <t>O/N - 1mth</t>
  </si>
  <si>
    <t>1 - 3mth</t>
  </si>
  <si>
    <t>3 - 6mth</t>
  </si>
  <si>
    <t>6 -9mths</t>
  </si>
  <si>
    <t>9 -12mths</t>
  </si>
  <si>
    <t>1-1.5yr</t>
  </si>
  <si>
    <t>1.5-2yr</t>
  </si>
  <si>
    <t>2-3yr</t>
  </si>
  <si>
    <t>3-4yr</t>
  </si>
  <si>
    <t>4-5yr</t>
  </si>
  <si>
    <t>5-6yr</t>
  </si>
  <si>
    <t>6-7yr</t>
  </si>
  <si>
    <t>7-8yr</t>
  </si>
  <si>
    <t>8-9yr</t>
  </si>
  <si>
    <t>9-10yr</t>
  </si>
  <si>
    <t>pto medio (k)</t>
  </si>
  <si>
    <t>conteo dias</t>
  </si>
  <si>
    <t>Nelson-Siegel Y curve</t>
  </si>
  <si>
    <t>&lt;15yr</t>
  </si>
  <si>
    <t>&lt;20yr</t>
  </si>
  <si>
    <t>&gt;20yr</t>
  </si>
  <si>
    <t>y_j</t>
  </si>
  <si>
    <t>TES 0-cupon_22</t>
  </si>
  <si>
    <t>TES 0-cupon_23</t>
  </si>
  <si>
    <t>TES 0-cupon_24</t>
  </si>
  <si>
    <t>IBR/DTF_22</t>
  </si>
  <si>
    <t>IBR/DTF_23</t>
  </si>
  <si>
    <t>IBR/DTF_24</t>
  </si>
  <si>
    <t>TF/CDTs_22</t>
  </si>
  <si>
    <t>TF/CDTs_23</t>
  </si>
  <si>
    <t>TF/CDTs_24</t>
  </si>
  <si>
    <t>Choques a la curva</t>
  </si>
  <si>
    <t>paralelo pb (S0)</t>
  </si>
  <si>
    <t>y_j+S0</t>
  </si>
  <si>
    <t>y_j-S0</t>
  </si>
  <si>
    <t>corto pb (S1)</t>
  </si>
  <si>
    <t>y_j+S1*(e^(-k/4))</t>
  </si>
  <si>
    <t>y_j-S1*(e^(-k/4))</t>
  </si>
  <si>
    <t>largo pb (S2)</t>
  </si>
  <si>
    <t>y_j+S2*(1-e^(-k/4))</t>
  </si>
  <si>
    <t>y_j-S2*(1-e^(-k/4))</t>
  </si>
  <si>
    <t>rotacion</t>
  </si>
  <si>
    <t>y_j+((-0.65*|S1*(e^(-k/4))|)+(0.9*|S2*(1-e^(-k/4))|))</t>
  </si>
  <si>
    <t>aplanamiento</t>
  </si>
  <si>
    <t>y_j+((0.8*|S1*(e^(-k/4)|)-(0.6*|S2*(1-e^(-k/4))|))</t>
  </si>
  <si>
    <t>base</t>
  </si>
  <si>
    <t>paralelo+</t>
  </si>
  <si>
    <t>paralelo-</t>
  </si>
  <si>
    <t>corto+</t>
  </si>
  <si>
    <t>corto-</t>
  </si>
  <si>
    <t>largo+</t>
  </si>
  <si>
    <t>largo-</t>
  </si>
  <si>
    <t>inclinacion</t>
  </si>
  <si>
    <t>Moneda: COP</t>
  </si>
  <si>
    <t>TF: tasa fija</t>
  </si>
  <si>
    <t>Na=2-5</t>
  </si>
  <si>
    <t>no. Posiciones activo</t>
  </si>
  <si>
    <t>TV: tasa variable</t>
  </si>
  <si>
    <t>Np=3/5</t>
  </si>
  <si>
    <t>Stock %</t>
  </si>
  <si>
    <t>Activos</t>
  </si>
  <si>
    <t>Inversiones</t>
  </si>
  <si>
    <t>Inversiones TF</t>
  </si>
  <si>
    <t>Inversiones TV</t>
  </si>
  <si>
    <t>Cartera</t>
  </si>
  <si>
    <t>Comercial</t>
  </si>
  <si>
    <t>Consumo</t>
  </si>
  <si>
    <t>Hipotecaria</t>
  </si>
  <si>
    <t>Activo TF</t>
  </si>
  <si>
    <t>75%-55%</t>
  </si>
  <si>
    <t>cf +/A(t0, tj, d1,..d11)</t>
  </si>
  <si>
    <t>Pasivos</t>
  </si>
  <si>
    <t>Corrientes</t>
  </si>
  <si>
    <t xml:space="preserve">Ahorro </t>
  </si>
  <si>
    <t>CDT's</t>
  </si>
  <si>
    <t>cf -/P(t0, tj, d1,..,d10)</t>
  </si>
  <si>
    <t>Pasivos TF</t>
  </si>
  <si>
    <t>Cartera TF</t>
  </si>
  <si>
    <t>Cartera TV</t>
  </si>
  <si>
    <t>TF: tasa fija (activos)</t>
  </si>
  <si>
    <t>Na=3</t>
  </si>
  <si>
    <t>Distribucion cartera TV</t>
  </si>
  <si>
    <t xml:space="preserve">Activos </t>
  </si>
  <si>
    <t>Base</t>
  </si>
  <si>
    <t>CDT's TV</t>
  </si>
  <si>
    <t>otros TF</t>
  </si>
  <si>
    <t>TF: tasa fija (pasivos)</t>
  </si>
  <si>
    <t>Np=2</t>
  </si>
  <si>
    <t>Comercial (1)/Consumo(2)</t>
  </si>
  <si>
    <t>Tasas Base</t>
  </si>
  <si>
    <t>Reprising</t>
  </si>
  <si>
    <t>cf +/A(t0, tj, d1,d2,d3)</t>
  </si>
  <si>
    <t>cf -/P(t0, tj, d1,d2)</t>
  </si>
  <si>
    <t>flujos netos</t>
  </si>
  <si>
    <t>CF(t0,tj)</t>
  </si>
  <si>
    <t>D(t0,tj)</t>
  </si>
  <si>
    <t>Tasa descuento IBR</t>
  </si>
  <si>
    <t>D(t0,tj)CF(t0,tj)</t>
  </si>
  <si>
    <t>flujos netos descontados</t>
  </si>
  <si>
    <t>flujos neto acumulados</t>
  </si>
  <si>
    <t>UM Activos</t>
  </si>
  <si>
    <t>UM Pasivos</t>
  </si>
  <si>
    <t>VE Base</t>
  </si>
  <si>
    <t>Escenarios modelo estandar (flujos netos descontados)</t>
  </si>
  <si>
    <t>Ds(t0,tj)CF(t0,tj)</t>
  </si>
  <si>
    <t>VE escenarios</t>
  </si>
  <si>
    <t>Delta VE</t>
  </si>
  <si>
    <t>max VE</t>
  </si>
  <si>
    <t>Balance Constante</t>
  </si>
  <si>
    <t>MNI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</si>
</sst>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0.0%"/>
    <numFmt numFmtId="166" formatCode="_(&quot;$&quot;* #,##0_);_(&quot;$&quot;* \(#,##0\);_(&quot;$&quot;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i/>
      <sz val="11"/>
      <color theme="1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4" fillId="2" borderId="0" xfId="0" applyNumberFormat="1" applyFont="1" applyFill="1" applyAlignment="1">
      <alignment horizontal="right" vertical="center" wrapText="1" readingOrder="1"/>
    </xf>
    <xf numFmtId="164" fontId="0" fillId="0" borderId="0" xfId="0" applyNumberFormat="1"/>
    <xf numFmtId="2" fontId="0" fillId="0" borderId="0" xfId="0" applyNumberFormat="1"/>
    <xf numFmtId="9" fontId="2" fillId="0" borderId="0" xfId="2" applyFont="1"/>
    <xf numFmtId="0" fontId="3" fillId="0" borderId="0" xfId="0" applyFont="1"/>
    <xf numFmtId="9" fontId="0" fillId="0" borderId="0" xfId="0" applyNumberFormat="1"/>
    <xf numFmtId="0" fontId="5" fillId="0" borderId="0" xfId="0" applyFont="1"/>
    <xf numFmtId="165" fontId="0" fillId="0" borderId="0" xfId="0" applyNumberFormat="1"/>
    <xf numFmtId="165" fontId="0" fillId="0" borderId="0" xfId="2" applyNumberFormat="1" applyFont="1"/>
    <xf numFmtId="0" fontId="6" fillId="0" borderId="0" xfId="0" applyFont="1"/>
    <xf numFmtId="9" fontId="6" fillId="0" borderId="0" xfId="0" applyNumberFormat="1" applyFont="1"/>
    <xf numFmtId="165" fontId="7" fillId="0" borderId="0" xfId="2" applyNumberFormat="1" applyFont="1"/>
    <xf numFmtId="10" fontId="0" fillId="0" borderId="0" xfId="2" applyNumberFormat="1" applyFont="1"/>
    <xf numFmtId="1" fontId="0" fillId="0" borderId="0" xfId="0" applyNumberFormat="1"/>
    <xf numFmtId="10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" fontId="3" fillId="0" borderId="0" xfId="0" applyNumberFormat="1" applyFont="1"/>
    <xf numFmtId="0" fontId="2" fillId="0" borderId="0" xfId="0" applyFont="1"/>
    <xf numFmtId="1" fontId="2" fillId="0" borderId="0" xfId="0" applyNumberFormat="1" applyFont="1"/>
    <xf numFmtId="0" fontId="10" fillId="0" borderId="0" xfId="0" applyFont="1"/>
    <xf numFmtId="1" fontId="10" fillId="0" borderId="0" xfId="0" applyNumberFormat="1" applyFont="1"/>
    <xf numFmtId="1" fontId="11" fillId="0" borderId="0" xfId="0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141890768721673E-2"/>
          <c:y val="3.496219300130908E-2"/>
          <c:w val="0.9282095141664064"/>
          <c:h val="0.81663027290520251"/>
        </c:manualLayout>
      </c:layout>
      <c:lineChart>
        <c:grouping val="standard"/>
        <c:varyColors val="0"/>
        <c:ser>
          <c:idx val="0"/>
          <c:order val="0"/>
          <c:tx>
            <c:strRef>
              <c:f>'curvas y escenarios'!$A$17</c:f>
              <c:strCache>
                <c:ptCount val="1"/>
                <c:pt idx="0">
                  <c:v>base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'curvas y escenarios'!$C$3:$U$3</c:f>
              <c:numCache>
                <c:formatCode>General</c:formatCode>
                <c:ptCount val="19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>
                  <c:v>1.25</c:v>
                </c:pt>
                <c:pt idx="7">
                  <c:v>1.75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12.5</c:v>
                </c:pt>
                <c:pt idx="17">
                  <c:v>17.5</c:v>
                </c:pt>
                <c:pt idx="18">
                  <c:v>25</c:v>
                </c:pt>
              </c:numCache>
            </c:numRef>
          </c:cat>
          <c:val>
            <c:numRef>
              <c:f>'curvas y escenarios'!$C$17:$U$17</c:f>
              <c:numCache>
                <c:formatCode>0.000</c:formatCode>
                <c:ptCount val="19"/>
                <c:pt idx="0">
                  <c:v>5.3976017280948003</c:v>
                </c:pt>
                <c:pt idx="1">
                  <c:v>4.9965920483912045</c:v>
                </c:pt>
                <c:pt idx="2">
                  <c:v>4.5283913479357976</c:v>
                </c:pt>
                <c:pt idx="3">
                  <c:v>4.860074338257002</c:v>
                </c:pt>
                <c:pt idx="4">
                  <c:v>5.5522351876880363</c:v>
                </c:pt>
                <c:pt idx="5">
                  <c:v>6.1435421948750628</c:v>
                </c:pt>
                <c:pt idx="6">
                  <c:v>6.8124758702288872</c:v>
                </c:pt>
                <c:pt idx="7">
                  <c:v>7.4455954282423473</c:v>
                </c:pt>
                <c:pt idx="8">
                  <c:v>8.0865285063261094</c:v>
                </c:pt>
                <c:pt idx="9">
                  <c:v>8.6266626874173937</c:v>
                </c:pt>
                <c:pt idx="10">
                  <c:v>8.970286713587635</c:v>
                </c:pt>
                <c:pt idx="11">
                  <c:v>9.2030320330964521</c:v>
                </c:pt>
                <c:pt idx="12">
                  <c:v>9.3688673263276616</c:v>
                </c:pt>
                <c:pt idx="13">
                  <c:v>9.4920896744315808</c:v>
                </c:pt>
                <c:pt idx="14">
                  <c:v>9.5868792986335958</c:v>
                </c:pt>
                <c:pt idx="15">
                  <c:v>9.6619112548374275</c:v>
                </c:pt>
                <c:pt idx="16">
                  <c:v>9.8152107431325586</c:v>
                </c:pt>
                <c:pt idx="17">
                  <c:v>9.9539789045566245</c:v>
                </c:pt>
                <c:pt idx="18">
                  <c:v>10.058057914676366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F-4CB9-BCF7-C7BF1A5C3DDE}"/>
            </c:ext>
          </c:extLst>
        </c:ser>
        <c:ser>
          <c:idx val="1"/>
          <c:order val="1"/>
          <c:tx>
            <c:strRef>
              <c:f>'curvas y escenarios'!$A$21</c:f>
              <c:strCache>
                <c:ptCount val="1"/>
                <c:pt idx="0">
                  <c:v>paralelo+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'curvas y escenarios'!$C$3:$U$3</c:f>
              <c:numCache>
                <c:formatCode>General</c:formatCode>
                <c:ptCount val="19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>
                  <c:v>1.25</c:v>
                </c:pt>
                <c:pt idx="7">
                  <c:v>1.75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12.5</c:v>
                </c:pt>
                <c:pt idx="17">
                  <c:v>17.5</c:v>
                </c:pt>
                <c:pt idx="18">
                  <c:v>25</c:v>
                </c:pt>
              </c:numCache>
            </c:numRef>
          </c:cat>
          <c:val>
            <c:numRef>
              <c:f>'curvas y escenarios'!$C$21:$U$21</c:f>
              <c:numCache>
                <c:formatCode>0.00</c:formatCode>
                <c:ptCount val="19"/>
                <c:pt idx="0">
                  <c:v>9.3976017280948003</c:v>
                </c:pt>
                <c:pt idx="1">
                  <c:v>8.9965920483912036</c:v>
                </c:pt>
                <c:pt idx="2">
                  <c:v>8.5283913479357984</c:v>
                </c:pt>
                <c:pt idx="3">
                  <c:v>8.860074338257002</c:v>
                </c:pt>
                <c:pt idx="4">
                  <c:v>9.5522351876880371</c:v>
                </c:pt>
                <c:pt idx="5">
                  <c:v>10.143542194875064</c:v>
                </c:pt>
                <c:pt idx="6">
                  <c:v>10.812475870228887</c:v>
                </c:pt>
                <c:pt idx="7">
                  <c:v>11.445595428242347</c:v>
                </c:pt>
                <c:pt idx="8">
                  <c:v>12.086528506326109</c:v>
                </c:pt>
                <c:pt idx="9">
                  <c:v>12.626662687417394</c:v>
                </c:pt>
                <c:pt idx="10">
                  <c:v>12.970286713587635</c:v>
                </c:pt>
                <c:pt idx="11">
                  <c:v>13.203032033096452</c:v>
                </c:pt>
                <c:pt idx="12">
                  <c:v>13.368867326327662</c:v>
                </c:pt>
                <c:pt idx="13">
                  <c:v>13.492089674431581</c:v>
                </c:pt>
                <c:pt idx="14">
                  <c:v>13.586879298633596</c:v>
                </c:pt>
                <c:pt idx="15">
                  <c:v>13.661911254837428</c:v>
                </c:pt>
                <c:pt idx="16">
                  <c:v>13.815210743132559</c:v>
                </c:pt>
                <c:pt idx="17">
                  <c:v>13.953978904556624</c:v>
                </c:pt>
                <c:pt idx="18">
                  <c:v>14.058057914676366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F-4CB9-BCF7-C7BF1A5C3DDE}"/>
            </c:ext>
          </c:extLst>
        </c:ser>
        <c:ser>
          <c:idx val="2"/>
          <c:order val="2"/>
          <c:tx>
            <c:strRef>
              <c:f>'curvas y escenarios'!$A$22</c:f>
              <c:strCache>
                <c:ptCount val="1"/>
                <c:pt idx="0">
                  <c:v>paralelo-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Ref>
              <c:f>'curvas y escenarios'!$C$3:$U$3</c:f>
              <c:numCache>
                <c:formatCode>General</c:formatCode>
                <c:ptCount val="19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>
                  <c:v>1.25</c:v>
                </c:pt>
                <c:pt idx="7">
                  <c:v>1.75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12.5</c:v>
                </c:pt>
                <c:pt idx="17">
                  <c:v>17.5</c:v>
                </c:pt>
                <c:pt idx="18">
                  <c:v>25</c:v>
                </c:pt>
              </c:numCache>
            </c:numRef>
          </c:cat>
          <c:val>
            <c:numRef>
              <c:f>'curvas y escenarios'!$C$22:$U$22</c:f>
              <c:numCache>
                <c:formatCode>0.00</c:formatCode>
                <c:ptCount val="19"/>
                <c:pt idx="0">
                  <c:v>1.3976017280948003</c:v>
                </c:pt>
                <c:pt idx="1">
                  <c:v>0.99659204839120452</c:v>
                </c:pt>
                <c:pt idx="2">
                  <c:v>0.52839134793579756</c:v>
                </c:pt>
                <c:pt idx="3">
                  <c:v>0.86007433825700197</c:v>
                </c:pt>
                <c:pt idx="4">
                  <c:v>1.5522351876880363</c:v>
                </c:pt>
                <c:pt idx="5">
                  <c:v>2.1435421948750628</c:v>
                </c:pt>
                <c:pt idx="6">
                  <c:v>2.8124758702288872</c:v>
                </c:pt>
                <c:pt idx="7">
                  <c:v>3.4455954282423473</c:v>
                </c:pt>
                <c:pt idx="8">
                  <c:v>4.0865285063261094</c:v>
                </c:pt>
                <c:pt idx="9">
                  <c:v>4.6266626874173937</c:v>
                </c:pt>
                <c:pt idx="10">
                  <c:v>4.970286713587635</c:v>
                </c:pt>
                <c:pt idx="11">
                  <c:v>5.2030320330964521</c:v>
                </c:pt>
                <c:pt idx="12">
                  <c:v>5.3688673263276616</c:v>
                </c:pt>
                <c:pt idx="13">
                  <c:v>5.4920896744315808</c:v>
                </c:pt>
                <c:pt idx="14">
                  <c:v>5.5868792986335958</c:v>
                </c:pt>
                <c:pt idx="15">
                  <c:v>5.6619112548374275</c:v>
                </c:pt>
                <c:pt idx="16">
                  <c:v>5.8152107431325586</c:v>
                </c:pt>
                <c:pt idx="17">
                  <c:v>5.9539789045566245</c:v>
                </c:pt>
                <c:pt idx="18">
                  <c:v>6.0580579146763665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F-4CB9-BCF7-C7BF1A5C3DDE}"/>
            </c:ext>
          </c:extLst>
        </c:ser>
        <c:ser>
          <c:idx val="3"/>
          <c:order val="3"/>
          <c:tx>
            <c:strRef>
              <c:f>'curvas y escenarios'!$A$24</c:f>
              <c:strCache>
                <c:ptCount val="1"/>
                <c:pt idx="0">
                  <c:v>corto+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'curvas y escenarios'!$C$3:$U$3</c:f>
              <c:numCache>
                <c:formatCode>General</c:formatCode>
                <c:ptCount val="19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>
                  <c:v>1.25</c:v>
                </c:pt>
                <c:pt idx="7">
                  <c:v>1.75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12.5</c:v>
                </c:pt>
                <c:pt idx="17">
                  <c:v>17.5</c:v>
                </c:pt>
                <c:pt idx="18">
                  <c:v>25</c:v>
                </c:pt>
              </c:numCache>
            </c:numRef>
          </c:cat>
          <c:val>
            <c:numRef>
              <c:f>'curvas y escenarios'!$C$24:$U$24</c:f>
              <c:numCache>
                <c:formatCode>0.00</c:formatCode>
                <c:ptCount val="19"/>
                <c:pt idx="0">
                  <c:v>10.394102952809018</c:v>
                </c:pt>
                <c:pt idx="1">
                  <c:v>9.9447378082463764</c:v>
                </c:pt>
                <c:pt idx="2">
                  <c:v>9.324298667420635</c:v>
                </c:pt>
                <c:pt idx="3">
                  <c:v>9.4126261451571729</c:v>
                </c:pt>
                <c:pt idx="4">
                  <c:v>9.82896182422515</c:v>
                </c:pt>
                <c:pt idx="5">
                  <c:v>10.161155063320367</c:v>
                </c:pt>
                <c:pt idx="6">
                  <c:v>10.470554014962097</c:v>
                </c:pt>
                <c:pt idx="7">
                  <c:v>10.673838060381808</c:v>
                </c:pt>
                <c:pt idx="8">
                  <c:v>10.762835648921062</c:v>
                </c:pt>
                <c:pt idx="9">
                  <c:v>10.710972785809936</c:v>
                </c:pt>
                <c:pt idx="10">
                  <c:v>10.593549050379384</c:v>
                </c:pt>
                <c:pt idx="11">
                  <c:v>10.467230012120185</c:v>
                </c:pt>
                <c:pt idx="12">
                  <c:v>10.353425702348632</c:v>
                </c:pt>
                <c:pt idx="13">
                  <c:v>10.258864508656224</c:v>
                </c:pt>
                <c:pt idx="14">
                  <c:v>10.184044139967193</c:v>
                </c:pt>
                <c:pt idx="15">
                  <c:v>10.126983700890746</c:v>
                </c:pt>
                <c:pt idx="16">
                  <c:v>10.034895411249595</c:v>
                </c:pt>
                <c:pt idx="17">
                  <c:v>10.016919615768794</c:v>
                </c:pt>
                <c:pt idx="18">
                  <c:v>10.067710185357505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F-4CB9-BCF7-C7BF1A5C3DDE}"/>
            </c:ext>
          </c:extLst>
        </c:ser>
        <c:ser>
          <c:idx val="4"/>
          <c:order val="4"/>
          <c:tx>
            <c:strRef>
              <c:f>'curvas y escenarios'!$A$25</c:f>
              <c:strCache>
                <c:ptCount val="1"/>
                <c:pt idx="0">
                  <c:v>corto-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'curvas y escenarios'!$C$3:$U$3</c:f>
              <c:numCache>
                <c:formatCode>General</c:formatCode>
                <c:ptCount val="19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>
                  <c:v>1.25</c:v>
                </c:pt>
                <c:pt idx="7">
                  <c:v>1.75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12.5</c:v>
                </c:pt>
                <c:pt idx="17">
                  <c:v>17.5</c:v>
                </c:pt>
                <c:pt idx="18">
                  <c:v>25</c:v>
                </c:pt>
              </c:numCache>
            </c:numRef>
          </c:cat>
          <c:val>
            <c:numRef>
              <c:f>'curvas y escenarios'!$C$25:$U$25</c:f>
              <c:numCache>
                <c:formatCode>0.00</c:formatCode>
                <c:ptCount val="19"/>
                <c:pt idx="0">
                  <c:v>0.40110050338058389</c:v>
                </c:pt>
                <c:pt idx="1">
                  <c:v>4.8446288536031723E-2</c:v>
                </c:pt>
                <c:pt idx="2">
                  <c:v>-0.26751597154903894</c:v>
                </c:pt>
                <c:pt idx="3">
                  <c:v>0.30752253135683105</c:v>
                </c:pt>
                <c:pt idx="4">
                  <c:v>1.2755085511509234</c:v>
                </c:pt>
                <c:pt idx="5">
                  <c:v>2.125929326429759</c:v>
                </c:pt>
                <c:pt idx="6">
                  <c:v>3.1543977254956781</c:v>
                </c:pt>
                <c:pt idx="7">
                  <c:v>4.2173527961028867</c:v>
                </c:pt>
                <c:pt idx="8">
                  <c:v>5.410221363731158</c:v>
                </c:pt>
                <c:pt idx="9">
                  <c:v>6.5423525890248513</c:v>
                </c:pt>
                <c:pt idx="10">
                  <c:v>7.3470243767958863</c:v>
                </c:pt>
                <c:pt idx="11">
                  <c:v>7.9388340540727196</c:v>
                </c:pt>
                <c:pt idx="12">
                  <c:v>8.384308950306691</c:v>
                </c:pt>
                <c:pt idx="13">
                  <c:v>8.7253148402069378</c:v>
                </c:pt>
                <c:pt idx="14">
                  <c:v>8.9897144572999981</c:v>
                </c:pt>
                <c:pt idx="15">
                  <c:v>9.1968388087841095</c:v>
                </c:pt>
                <c:pt idx="16">
                  <c:v>9.5955260750155222</c:v>
                </c:pt>
                <c:pt idx="17">
                  <c:v>9.8910381933444551</c:v>
                </c:pt>
                <c:pt idx="18">
                  <c:v>10.048405643995228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0F-4CB9-BCF7-C7BF1A5C3DDE}"/>
            </c:ext>
          </c:extLst>
        </c:ser>
        <c:ser>
          <c:idx val="5"/>
          <c:order val="5"/>
          <c:tx>
            <c:strRef>
              <c:f>'curvas y escenarios'!$A$27</c:f>
              <c:strCache>
                <c:ptCount val="1"/>
                <c:pt idx="0">
                  <c:v>largo+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'curvas y escenarios'!$C$3:$U$3</c:f>
              <c:numCache>
                <c:formatCode>General</c:formatCode>
                <c:ptCount val="19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>
                  <c:v>1.25</c:v>
                </c:pt>
                <c:pt idx="7">
                  <c:v>1.75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12.5</c:v>
                </c:pt>
                <c:pt idx="17">
                  <c:v>17.5</c:v>
                </c:pt>
                <c:pt idx="18">
                  <c:v>25</c:v>
                </c:pt>
              </c:numCache>
            </c:numRef>
          </c:cat>
          <c:val>
            <c:numRef>
              <c:f>'curvas y escenarios'!$C$27:$U$27</c:f>
              <c:numCache>
                <c:formatCode>0.00</c:formatCode>
                <c:ptCount val="19"/>
                <c:pt idx="0">
                  <c:v>5.3997009932662703</c:v>
                </c:pt>
                <c:pt idx="1">
                  <c:v>5.0277045924781003</c:v>
                </c:pt>
                <c:pt idx="2">
                  <c:v>4.6508469562448953</c:v>
                </c:pt>
                <c:pt idx="3">
                  <c:v>5.1285432541168996</c:v>
                </c:pt>
                <c:pt idx="4">
                  <c:v>5.9861992057657689</c:v>
                </c:pt>
                <c:pt idx="5">
                  <c:v>6.7329744738078805</c:v>
                </c:pt>
                <c:pt idx="6">
                  <c:v>7.6176289833889621</c:v>
                </c:pt>
                <c:pt idx="7">
                  <c:v>8.5086498489586706</c:v>
                </c:pt>
                <c:pt idx="8">
                  <c:v>9.4807442207691395</c:v>
                </c:pt>
                <c:pt idx="9">
                  <c:v>10.376076628381869</c:v>
                </c:pt>
                <c:pt idx="10">
                  <c:v>10.996329311512586</c:v>
                </c:pt>
                <c:pt idx="11">
                  <c:v>11.444513245682213</c:v>
                </c:pt>
                <c:pt idx="12">
                  <c:v>11.778132300715079</c:v>
                </c:pt>
                <c:pt idx="13">
                  <c:v>12.032024773896795</c:v>
                </c:pt>
                <c:pt idx="14">
                  <c:v>12.228580393833436</c:v>
                </c:pt>
                <c:pt idx="15">
                  <c:v>12.382867787205438</c:v>
                </c:pt>
                <c:pt idx="16">
                  <c:v>12.683399942262337</c:v>
                </c:pt>
                <c:pt idx="17">
                  <c:v>12.916214477829323</c:v>
                </c:pt>
                <c:pt idx="18">
                  <c:v>13.052266552267684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0F-4CB9-BCF7-C7BF1A5C3DDE}"/>
            </c:ext>
          </c:extLst>
        </c:ser>
        <c:ser>
          <c:idx val="6"/>
          <c:order val="6"/>
          <c:tx>
            <c:strRef>
              <c:f>'curvas y escenarios'!$A$28</c:f>
              <c:strCache>
                <c:ptCount val="1"/>
                <c:pt idx="0">
                  <c:v>largo-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'curvas y escenarios'!$C$3:$U$3</c:f>
              <c:numCache>
                <c:formatCode>General</c:formatCode>
                <c:ptCount val="19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>
                  <c:v>1.25</c:v>
                </c:pt>
                <c:pt idx="7">
                  <c:v>1.75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12.5</c:v>
                </c:pt>
                <c:pt idx="17">
                  <c:v>17.5</c:v>
                </c:pt>
                <c:pt idx="18">
                  <c:v>25</c:v>
                </c:pt>
              </c:numCache>
            </c:numRef>
          </c:cat>
          <c:val>
            <c:numRef>
              <c:f>'curvas y escenarios'!$C$28:$U$28</c:f>
              <c:numCache>
                <c:formatCode>0.00</c:formatCode>
                <c:ptCount val="19"/>
                <c:pt idx="0">
                  <c:v>5.3955024629233304</c:v>
                </c:pt>
                <c:pt idx="1">
                  <c:v>4.9654795043043087</c:v>
                </c:pt>
                <c:pt idx="2">
                  <c:v>4.4059357396266998</c:v>
                </c:pt>
                <c:pt idx="3">
                  <c:v>4.5916054223971043</c:v>
                </c:pt>
                <c:pt idx="4">
                  <c:v>5.1182711696103036</c:v>
                </c:pt>
                <c:pt idx="5">
                  <c:v>5.5541099159422451</c:v>
                </c:pt>
                <c:pt idx="6">
                  <c:v>6.0073227570688124</c:v>
                </c:pt>
                <c:pt idx="7">
                  <c:v>6.382541007526024</c:v>
                </c:pt>
                <c:pt idx="8">
                  <c:v>6.6923127918830803</c:v>
                </c:pt>
                <c:pt idx="9">
                  <c:v>6.8772487464529188</c:v>
                </c:pt>
                <c:pt idx="10">
                  <c:v>6.9442441156626842</c:v>
                </c:pt>
                <c:pt idx="11">
                  <c:v>6.9615508205106913</c:v>
                </c:pt>
                <c:pt idx="12">
                  <c:v>6.9596023519402443</c:v>
                </c:pt>
                <c:pt idx="13">
                  <c:v>6.9521545749663662</c:v>
                </c:pt>
                <c:pt idx="14">
                  <c:v>6.9451782034337546</c:v>
                </c:pt>
                <c:pt idx="15">
                  <c:v>6.9409547224694181</c:v>
                </c:pt>
                <c:pt idx="16">
                  <c:v>6.9470215440027809</c:v>
                </c:pt>
                <c:pt idx="17">
                  <c:v>6.9917433312839261</c:v>
                </c:pt>
                <c:pt idx="18">
                  <c:v>7.0638492770850494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0F-4CB9-BCF7-C7BF1A5C3DDE}"/>
            </c:ext>
          </c:extLst>
        </c:ser>
        <c:ser>
          <c:idx val="7"/>
          <c:order val="7"/>
          <c:tx>
            <c:strRef>
              <c:f>'curvas y escenarios'!$A$30</c:f>
              <c:strCache>
                <c:ptCount val="1"/>
                <c:pt idx="0">
                  <c:v>inclinacion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'curvas y escenarios'!$C$3:$U$3</c:f>
              <c:numCache>
                <c:formatCode>General</c:formatCode>
                <c:ptCount val="19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>
                  <c:v>1.25</c:v>
                </c:pt>
                <c:pt idx="7">
                  <c:v>1.75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12.5</c:v>
                </c:pt>
                <c:pt idx="17">
                  <c:v>17.5</c:v>
                </c:pt>
                <c:pt idx="18">
                  <c:v>25</c:v>
                </c:pt>
              </c:numCache>
            </c:numRef>
          </c:cat>
          <c:val>
            <c:numRef>
              <c:f>'curvas y escenarios'!$C$30:$U$30</c:f>
              <c:numCache>
                <c:formatCode>0.00</c:formatCode>
                <c:ptCount val="19"/>
                <c:pt idx="0">
                  <c:v>2.1517652706848827</c:v>
                </c:pt>
                <c:pt idx="1">
                  <c:v>1.8082985941635488</c:v>
                </c:pt>
                <c:pt idx="2">
                  <c:v>1.5212616377488417</c:v>
                </c:pt>
                <c:pt idx="3">
                  <c:v>2.1425376880457985</c:v>
                </c:pt>
                <c:pt idx="4">
                  <c:v>3.1629304902088724</c:v>
                </c:pt>
                <c:pt idx="5">
                  <c:v>4.0625828814251506</c:v>
                </c:pt>
                <c:pt idx="6">
                  <c:v>5.1593628779963687</c:v>
                </c:pt>
                <c:pt idx="7">
                  <c:v>6.3039866959963895</c:v>
                </c:pt>
                <c:pt idx="8">
                  <c:v>7.6017230066381174</c:v>
                </c:pt>
                <c:pt idx="9">
                  <c:v>8.8463336703302691</c:v>
                </c:pt>
                <c:pt idx="10">
                  <c:v>9.7386045328054536</c:v>
                </c:pt>
                <c:pt idx="11">
                  <c:v>10.398636438058212</c:v>
                </c:pt>
                <c:pt idx="12">
                  <c:v>10.897242858862707</c:v>
                </c:pt>
                <c:pt idx="13">
                  <c:v>11.279627621704257</c:v>
                </c:pt>
                <c:pt idx="14">
                  <c:v>11.576253137446614</c:v>
                </c:pt>
                <c:pt idx="15">
                  <c:v>11.80847504403398</c:v>
                </c:pt>
                <c:pt idx="16">
                  <c:v>12.253785988073284</c:v>
                </c:pt>
                <c:pt idx="17">
                  <c:v>12.579079458214142</c:v>
                </c:pt>
                <c:pt idx="18">
                  <c:v>12.746571712565812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0F-4CB9-BCF7-C7BF1A5C3DDE}"/>
            </c:ext>
          </c:extLst>
        </c:ser>
        <c:ser>
          <c:idx val="8"/>
          <c:order val="8"/>
          <c:tx>
            <c:strRef>
              <c:f>'curvas y escenarios'!$A$31</c:f>
              <c:strCache>
                <c:ptCount val="1"/>
                <c:pt idx="0">
                  <c:v>aplanamiento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'curvas y escenarios'!$C$3:$U$3</c:f>
              <c:numCache>
                <c:formatCode>General</c:formatCode>
                <c:ptCount val="19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>
                  <c:v>1.25</c:v>
                </c:pt>
                <c:pt idx="7">
                  <c:v>1.75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12.5</c:v>
                </c:pt>
                <c:pt idx="17">
                  <c:v>17.5</c:v>
                </c:pt>
                <c:pt idx="18">
                  <c:v>25</c:v>
                </c:pt>
              </c:numCache>
            </c:numRef>
          </c:cat>
          <c:val>
            <c:numRef>
              <c:f>'curvas y escenarios'!$C$31:$U$31</c:f>
              <c:numCache>
                <c:formatCode>0.00</c:formatCode>
                <c:ptCount val="19"/>
                <c:pt idx="0">
                  <c:v>9.3935431487632925</c:v>
                </c:pt>
                <c:pt idx="1">
                  <c:v>8.9364411298232049</c:v>
                </c:pt>
                <c:pt idx="2">
                  <c:v>8.2916438385382083</c:v>
                </c:pt>
                <c:pt idx="3">
                  <c:v>8.3410344342611999</c:v>
                </c:pt>
                <c:pt idx="4">
                  <c:v>8.7132380860710867</c:v>
                </c:pt>
                <c:pt idx="5">
                  <c:v>9.0039731222716153</c:v>
                </c:pt>
                <c:pt idx="6">
                  <c:v>9.2558465181194105</c:v>
                </c:pt>
                <c:pt idx="7">
                  <c:v>9.3903568815241218</c:v>
                </c:pt>
                <c:pt idx="8">
                  <c:v>9.3910447917362525</c:v>
                </c:pt>
                <c:pt idx="9">
                  <c:v>9.2444624015527435</c:v>
                </c:pt>
                <c:pt idx="10">
                  <c:v>9.0532710242660634</c:v>
                </c:pt>
                <c:pt idx="11">
                  <c:v>8.8695016887639824</c:v>
                </c:pt>
                <c:pt idx="12">
                  <c:v>8.710955042511987</c:v>
                </c:pt>
                <c:pt idx="13">
                  <c:v>8.5815484821321668</c:v>
                </c:pt>
                <c:pt idx="14">
                  <c:v>8.4795905145805701</c:v>
                </c:pt>
                <c:pt idx="15">
                  <c:v>8.4013952922592754</c:v>
                </c:pt>
                <c:pt idx="16">
                  <c:v>8.270044958148322</c:v>
                </c:pt>
                <c:pt idx="17">
                  <c:v>8.2269901295627417</c:v>
                </c:pt>
                <c:pt idx="18">
                  <c:v>8.2692545486664866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0F-4CB9-BCF7-C7BF1A5C3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414319"/>
        <c:axId val="673781408"/>
      </c:lineChart>
      <c:catAx>
        <c:axId val="174341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81408"/>
        <c:crosses val="autoZero"/>
        <c:auto val="1"/>
        <c:lblAlgn val="ctr"/>
        <c:lblOffset val="100"/>
        <c:noMultiLvlLbl val="0"/>
      </c:catAx>
      <c:valAx>
        <c:axId val="6737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1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07730002898647"/>
          <c:y val="0.88423079708541374"/>
          <c:w val="0.69533525705297872"/>
          <c:h val="0.10299475342294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$16" fmlaRange="$A$6:$A$14" noThreeD="1" sel="4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85724</xdr:colOff>
      <xdr:row>0</xdr:row>
      <xdr:rowOff>180975</xdr:rowOff>
    </xdr:from>
    <xdr:to>
      <xdr:col>28</xdr:col>
      <xdr:colOff>581025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22</xdr:row>
          <xdr:rowOff>19050</xdr:rowOff>
        </xdr:from>
        <xdr:to>
          <xdr:col>25</xdr:col>
          <xdr:colOff>285750</xdr:colOff>
          <xdr:row>24</xdr:row>
          <xdr:rowOff>38100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nking data sas nit 901253313 Carlos Castro-Iragorri" id="{D2BD82AA-F68F-4F5F-A14E-94FB0240393D}" userId="084b5804b05fa025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4-05-05T18:28:11.62" personId="{D2BD82AA-F68F-4F5F-A14E-94FB0240393D}" id="{2EA6E959-DF56-4A53-B390-DA4AFFCDD40E}">
    <text>Las distribución a lo largo del tiempo no es para la vigente sino para la vencida</text>
  </threadedComment>
  <threadedComment ref="I22" dT="2024-05-07T19:13:45.21" personId="{D2BD82AA-F68F-4F5F-A14E-94FB0240393D}" id="{E509E4D5-6468-49C5-9295-75665621201E}">
    <text>De acuerdo a la super es mayor a 1 año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4-05-05T18:28:11.62" personId="{D2BD82AA-F68F-4F5F-A14E-94FB0240393D}" id="{0D844CFE-BAA5-402E-955F-ED9BC2FC349B}">
    <text>Las distribución a lo largo del tiempo no es para la vigente sino para la vencida</text>
  </threadedComment>
  <threadedComment ref="A19" dT="2024-05-18T22:39:47.10" personId="{D2BD82AA-F68F-4F5F-A14E-94FB0240393D}" id="{69BC1881-A0C9-46F7-89D7-8D7C30FBAE15}">
    <text>TES</text>
  </threadedComment>
  <threadedComment ref="A21" dT="2024-05-18T22:39:57.84" personId="{D2BD82AA-F68F-4F5F-A14E-94FB0240393D}" id="{FC278384-D8AB-45AC-87C0-8565F3E6BB74}">
    <text>IBR</text>
  </threadedComment>
  <threadedComment ref="A24" dT="2024-05-18T22:40:08.08" personId="{D2BD82AA-F68F-4F5F-A14E-94FB0240393D}" id="{03538C30-7221-4997-9AF5-10E0AC80734B}">
    <text>CDT's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7" dT="2024-05-05T18:28:11.62" personId="{D2BD82AA-F68F-4F5F-A14E-94FB0240393D}" id="{8A678C57-1E37-47D3-B73D-B36B3A32C4CE}">
    <text>Las distribución a lo largo del tiempo no es para la vigente sino para la vencida</text>
  </threadedComment>
  <threadedComment ref="A26" dT="2024-05-18T22:39:47.10" personId="{D2BD82AA-F68F-4F5F-A14E-94FB0240393D}" id="{AF615AB7-E59B-4A43-81BC-9BB44F9FBA0F}">
    <text>TES</text>
  </threadedComment>
  <threadedComment ref="A28" dT="2024-05-18T22:39:57.84" personId="{D2BD82AA-F68F-4F5F-A14E-94FB0240393D}" id="{5AE6B2FD-51FE-4480-BC14-424C81B3E58A}">
    <text>IBR</text>
  </threadedComment>
  <threadedComment ref="A31" dT="2024-05-18T22:40:08.08" personId="{D2BD82AA-F68F-4F5F-A14E-94FB0240393D}" id="{A2F81CF0-71BB-438B-9EAD-43392E62C86E}">
    <text>CDT's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D706-D7F9-4B53-AE87-590D5AB7B214}">
  <dimension ref="A1:U31"/>
  <sheetViews>
    <sheetView workbookViewId="0">
      <selection activeCell="A30" sqref="A30:A31"/>
    </sheetView>
  </sheetViews>
  <sheetFormatPr baseColWidth="10" defaultRowHeight="15" x14ac:dyDescent="0.25"/>
  <cols>
    <col min="3" max="21" width="8" customWidth="1"/>
  </cols>
  <sheetData>
    <row r="1" spans="1:21" x14ac:dyDescent="0.25">
      <c r="A1" t="s">
        <v>0</v>
      </c>
    </row>
    <row r="2" spans="1:21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21</v>
      </c>
      <c r="T2" t="s">
        <v>22</v>
      </c>
      <c r="U2" t="s">
        <v>23</v>
      </c>
    </row>
    <row r="3" spans="1:21" x14ac:dyDescent="0.25">
      <c r="B3" t="s">
        <v>18</v>
      </c>
      <c r="C3">
        <v>2.8E-3</v>
      </c>
      <c r="D3">
        <v>4.1700000000000001E-2</v>
      </c>
      <c r="E3">
        <v>0.16669999999999999</v>
      </c>
      <c r="F3">
        <v>0.375</v>
      </c>
      <c r="G3">
        <v>0.625</v>
      </c>
      <c r="H3">
        <v>0.875</v>
      </c>
      <c r="I3">
        <v>1.25</v>
      </c>
      <c r="J3">
        <v>1.75</v>
      </c>
      <c r="K3">
        <v>2.5</v>
      </c>
      <c r="L3">
        <v>3.5</v>
      </c>
      <c r="M3">
        <v>4.5</v>
      </c>
      <c r="N3">
        <v>5.5</v>
      </c>
      <c r="O3">
        <v>6.5</v>
      </c>
      <c r="P3">
        <v>7.5</v>
      </c>
      <c r="Q3">
        <v>8.5</v>
      </c>
      <c r="R3">
        <v>9.5</v>
      </c>
      <c r="S3">
        <v>12.5</v>
      </c>
      <c r="T3">
        <v>17.5</v>
      </c>
      <c r="U3">
        <v>25</v>
      </c>
    </row>
    <row r="4" spans="1:21" x14ac:dyDescent="0.25">
      <c r="A4" t="s">
        <v>19</v>
      </c>
      <c r="C4">
        <v>1</v>
      </c>
      <c r="D4">
        <v>15</v>
      </c>
      <c r="E4">
        <v>60</v>
      </c>
      <c r="F4">
        <v>136</v>
      </c>
      <c r="G4">
        <v>228</v>
      </c>
      <c r="H4">
        <v>319</v>
      </c>
      <c r="I4">
        <v>456</v>
      </c>
      <c r="J4">
        <v>638</v>
      </c>
      <c r="K4">
        <v>912</v>
      </c>
      <c r="L4">
        <v>1277</v>
      </c>
      <c r="M4">
        <v>1642</v>
      </c>
      <c r="N4">
        <v>2007</v>
      </c>
      <c r="O4">
        <v>2372</v>
      </c>
      <c r="P4">
        <v>2737</v>
      </c>
      <c r="Q4">
        <v>3102</v>
      </c>
      <c r="R4">
        <v>3467</v>
      </c>
      <c r="S4">
        <v>4562</v>
      </c>
      <c r="T4">
        <v>6387</v>
      </c>
      <c r="U4">
        <v>9125</v>
      </c>
    </row>
    <row r="5" spans="1:21" x14ac:dyDescent="0.25">
      <c r="A5" t="s">
        <v>20</v>
      </c>
    </row>
    <row r="6" spans="1:21" x14ac:dyDescent="0.25">
      <c r="A6" t="s">
        <v>25</v>
      </c>
      <c r="B6" s="1">
        <v>44869</v>
      </c>
      <c r="C6" s="2">
        <v>4.9531009341594645</v>
      </c>
      <c r="D6" s="2">
        <v>5.0433330932905829</v>
      </c>
      <c r="E6" s="2">
        <v>5.3190843220515909</v>
      </c>
      <c r="F6" s="2">
        <v>5.7344007311439613</v>
      </c>
      <c r="G6" s="2">
        <v>6.1689718307886752</v>
      </c>
      <c r="H6" s="2">
        <v>6.5441435248464845</v>
      </c>
      <c r="I6" s="2">
        <v>7.0151615533165153</v>
      </c>
      <c r="J6" s="2">
        <v>7.5088875776394932</v>
      </c>
      <c r="K6" s="2">
        <v>8.0445504613100258</v>
      </c>
      <c r="L6" s="2">
        <v>8.514481666005036</v>
      </c>
      <c r="M6" s="2">
        <v>8.8191039193486631</v>
      </c>
      <c r="N6" s="2">
        <v>9.0270299287193474</v>
      </c>
      <c r="O6" s="2">
        <v>9.1756826226239578</v>
      </c>
      <c r="P6" s="2">
        <v>9.2863043978883706</v>
      </c>
      <c r="Q6" s="2">
        <v>9.3714582899189978</v>
      </c>
      <c r="R6" s="2">
        <v>9.4388830891454205</v>
      </c>
      <c r="S6" s="2">
        <v>9.576663977206632</v>
      </c>
      <c r="T6" s="2">
        <v>9.7013915003238189</v>
      </c>
      <c r="U6" s="2">
        <v>9.7949400317134021</v>
      </c>
    </row>
    <row r="7" spans="1:21" x14ac:dyDescent="0.25">
      <c r="A7" t="s">
        <v>26</v>
      </c>
      <c r="B7" s="1">
        <v>45234</v>
      </c>
      <c r="C7" s="2">
        <v>9.7058301918787944</v>
      </c>
      <c r="D7" s="2">
        <v>10.470323509262119</v>
      </c>
      <c r="E7" s="2">
        <v>11.466988105835519</v>
      </c>
      <c r="F7" s="2">
        <v>11.497149095008195</v>
      </c>
      <c r="G7" s="2">
        <v>11.229854572548817</v>
      </c>
      <c r="H7" s="2">
        <v>11.051495712839158</v>
      </c>
      <c r="I7" s="2">
        <v>10.905146125347381</v>
      </c>
      <c r="J7" s="2">
        <v>10.806141118493812</v>
      </c>
      <c r="K7" s="2">
        <v>10.731825496663154</v>
      </c>
      <c r="L7" s="2">
        <v>10.68228107002256</v>
      </c>
      <c r="M7" s="2">
        <v>10.654756387795484</v>
      </c>
      <c r="N7" s="2">
        <v>10.637240680923579</v>
      </c>
      <c r="O7" s="2">
        <v>10.62511442231995</v>
      </c>
      <c r="P7" s="2">
        <v>10.61622183267729</v>
      </c>
      <c r="Q7" s="2">
        <v>10.609421617068199</v>
      </c>
      <c r="R7" s="2">
        <v>10.60405302579786</v>
      </c>
      <c r="S7" s="2">
        <v>10.593101099606374</v>
      </c>
      <c r="T7" s="2">
        <v>10.583192214004553</v>
      </c>
      <c r="U7" s="2">
        <v>10.575760549803187</v>
      </c>
    </row>
    <row r="8" spans="1:21" x14ac:dyDescent="0.25">
      <c r="A8" t="s">
        <v>27</v>
      </c>
      <c r="B8" s="1">
        <v>45600</v>
      </c>
      <c r="C8" s="2">
        <v>8.9006038041636799</v>
      </c>
      <c r="D8" s="2">
        <v>8.8757161850111146</v>
      </c>
      <c r="E8" s="2">
        <v>8.8087363117920781</v>
      </c>
      <c r="F8" s="2">
        <v>8.7353982219399082</v>
      </c>
      <c r="G8" s="2">
        <v>8.6977805597288889</v>
      </c>
      <c r="H8" s="2">
        <v>8.7014221222491202</v>
      </c>
      <c r="I8" s="2">
        <v>8.760088061617342</v>
      </c>
      <c r="J8" s="2">
        <v>8.8969191212256415</v>
      </c>
      <c r="K8" s="2">
        <v>9.1506889524229234</v>
      </c>
      <c r="L8" s="2">
        <v>9.4835308553547719</v>
      </c>
      <c r="M8" s="2">
        <v>9.7637285995933905</v>
      </c>
      <c r="N8" s="2">
        <v>9.9858140149371479</v>
      </c>
      <c r="O8" s="2">
        <v>10.158999880928668</v>
      </c>
      <c r="P8" s="2">
        <v>10.294471818085819</v>
      </c>
      <c r="Q8" s="2">
        <v>10.401717463435974</v>
      </c>
      <c r="R8" s="2">
        <v>10.487946300910428</v>
      </c>
      <c r="S8" s="2">
        <v>10.66616564979193</v>
      </c>
      <c r="T8" s="2">
        <v>10.828301150182837</v>
      </c>
      <c r="U8" s="2">
        <v>10.949961515875881</v>
      </c>
    </row>
    <row r="9" spans="1:21" x14ac:dyDescent="0.25">
      <c r="A9" t="s">
        <v>28</v>
      </c>
      <c r="B9" s="1">
        <v>44869</v>
      </c>
      <c r="C9" s="2">
        <v>5.3976017280948003</v>
      </c>
      <c r="D9" s="2">
        <v>4.9965920483912045</v>
      </c>
      <c r="E9" s="2">
        <v>4.5283913479357976</v>
      </c>
      <c r="F9" s="2">
        <v>4.860074338257002</v>
      </c>
      <c r="G9" s="2">
        <v>5.5522351876880363</v>
      </c>
      <c r="H9" s="2">
        <v>6.1435421948750628</v>
      </c>
      <c r="I9" s="2">
        <v>6.8124758702288872</v>
      </c>
      <c r="J9" s="2">
        <v>7.4455954282423473</v>
      </c>
      <c r="K9" s="2">
        <v>8.0865285063261094</v>
      </c>
      <c r="L9" s="2">
        <v>8.6266626874173937</v>
      </c>
      <c r="M9" s="2">
        <v>8.970286713587635</v>
      </c>
      <c r="N9" s="2">
        <v>9.2030320330964521</v>
      </c>
      <c r="O9" s="2">
        <v>9.3688673263276616</v>
      </c>
      <c r="P9" s="2">
        <v>9.4920896744315808</v>
      </c>
      <c r="Q9" s="2">
        <v>9.5868792986335958</v>
      </c>
      <c r="R9" s="2">
        <v>9.6619112548374275</v>
      </c>
      <c r="S9" s="2">
        <v>9.8152107431325586</v>
      </c>
      <c r="T9" s="2">
        <v>9.9539789045566245</v>
      </c>
      <c r="U9" s="2">
        <v>10.058057914676366</v>
      </c>
    </row>
    <row r="10" spans="1:21" x14ac:dyDescent="0.25">
      <c r="A10" t="s">
        <v>29</v>
      </c>
      <c r="B10" s="1">
        <v>45234</v>
      </c>
      <c r="C10" s="2">
        <v>12.25603842037075</v>
      </c>
      <c r="D10" s="2">
        <v>13.311541755250435</v>
      </c>
      <c r="E10" s="2">
        <v>15.043341069182972</v>
      </c>
      <c r="F10" s="2">
        <v>15.800011034037041</v>
      </c>
      <c r="G10" s="2">
        <v>15.904361152434298</v>
      </c>
      <c r="H10" s="2">
        <v>15.810730077234705</v>
      </c>
      <c r="I10" s="2">
        <v>15.562527149529199</v>
      </c>
      <c r="J10" s="2">
        <v>15.215039697076861</v>
      </c>
      <c r="K10" s="2">
        <v>14.813858743216754</v>
      </c>
      <c r="L10" s="2">
        <v>14.486419345101172</v>
      </c>
      <c r="M10" s="2">
        <v>14.293819696572168</v>
      </c>
      <c r="N10" s="2">
        <v>14.17001395403646</v>
      </c>
      <c r="O10" s="2">
        <v>14.084164017987964</v>
      </c>
      <c r="P10" s="2">
        <v>14.021192357614256</v>
      </c>
      <c r="Q10" s="2">
        <v>13.973035944528252</v>
      </c>
      <c r="R10" s="2">
        <v>13.935017551989846</v>
      </c>
      <c r="S10" s="2">
        <v>13.8574599817485</v>
      </c>
      <c r="T10" s="2">
        <v>13.787288844108376</v>
      </c>
      <c r="U10" s="2">
        <v>13.734660490875862</v>
      </c>
    </row>
    <row r="11" spans="1:21" x14ac:dyDescent="0.25">
      <c r="A11" t="s">
        <v>30</v>
      </c>
      <c r="B11" s="1">
        <v>45600</v>
      </c>
      <c r="C11" s="2">
        <v>10.967112704557113</v>
      </c>
      <c r="D11" s="2">
        <v>11.004043609915222</v>
      </c>
      <c r="E11" s="2">
        <v>11.121492045938627</v>
      </c>
      <c r="F11" s="2">
        <v>11.312441992716053</v>
      </c>
      <c r="G11" s="2">
        <v>11.532517009926407</v>
      </c>
      <c r="H11" s="2">
        <v>11.741559709528604</v>
      </c>
      <c r="I11" s="2">
        <v>12.033122941528665</v>
      </c>
      <c r="J11" s="2">
        <v>12.380277986339507</v>
      </c>
      <c r="K11" s="2">
        <v>12.816822116539281</v>
      </c>
      <c r="L11" s="2">
        <v>13.264882248670107</v>
      </c>
      <c r="M11" s="2">
        <v>13.594948040030822</v>
      </c>
      <c r="N11" s="2">
        <v>13.839943188199184</v>
      </c>
      <c r="O11" s="2">
        <v>14.024619362790549</v>
      </c>
      <c r="P11" s="2">
        <v>14.16653535473273</v>
      </c>
      <c r="Q11" s="2">
        <v>14.277848662652215</v>
      </c>
      <c r="R11" s="2">
        <v>14.366925026264235</v>
      </c>
      <c r="S11" s="2">
        <v>14.550431851871625</v>
      </c>
      <c r="T11" s="2">
        <v>14.71716284654557</v>
      </c>
      <c r="U11" s="2">
        <v>14.842259002736679</v>
      </c>
    </row>
    <row r="12" spans="1:21" x14ac:dyDescent="0.25">
      <c r="A12" t="s">
        <v>31</v>
      </c>
      <c r="B12" s="1">
        <v>44869</v>
      </c>
      <c r="C12" s="2">
        <v>5.8841700037650302</v>
      </c>
      <c r="D12" s="2">
        <v>6.1589362689282714</v>
      </c>
      <c r="E12" s="2">
        <v>6.6053336002600149</v>
      </c>
      <c r="F12" s="2">
        <v>6.6594548167687924</v>
      </c>
      <c r="G12" s="2">
        <v>6.4759851318520028</v>
      </c>
      <c r="H12" s="2">
        <v>6.3484289134288492</v>
      </c>
      <c r="I12" s="2">
        <v>6.3185120170017246</v>
      </c>
      <c r="J12" s="2">
        <v>6.4341900086250723</v>
      </c>
      <c r="K12" s="2">
        <v>6.6772467275198748</v>
      </c>
      <c r="L12" s="2">
        <v>6.9513491197872233</v>
      </c>
      <c r="M12" s="2">
        <v>7.1471616570357712</v>
      </c>
      <c r="N12" s="2">
        <v>7.2858449880772049</v>
      </c>
      <c r="O12" s="2">
        <v>7.3865604420901221</v>
      </c>
      <c r="P12" s="2">
        <v>7.4620282414257852</v>
      </c>
      <c r="Q12" s="2">
        <v>7.5202996812755405</v>
      </c>
      <c r="R12" s="2">
        <v>7.5665014919381166</v>
      </c>
      <c r="S12" s="2">
        <v>7.6609874833290812</v>
      </c>
      <c r="T12" s="2">
        <v>7.7465434332684255</v>
      </c>
      <c r="U12" s="2">
        <v>7.8107132847746268</v>
      </c>
    </row>
    <row r="13" spans="1:21" x14ac:dyDescent="0.25">
      <c r="A13" t="s">
        <v>32</v>
      </c>
      <c r="B13" s="1">
        <v>45234</v>
      </c>
      <c r="C13" s="2">
        <v>11.951027130200004</v>
      </c>
      <c r="D13" s="2">
        <v>12.741725940249996</v>
      </c>
      <c r="E13" s="2">
        <v>13.818883602993919</v>
      </c>
      <c r="F13" s="2">
        <v>13.971242938332155</v>
      </c>
      <c r="G13" s="2">
        <v>13.832500493965307</v>
      </c>
      <c r="H13" s="2">
        <v>13.76487093647297</v>
      </c>
      <c r="I13" s="2">
        <v>13.755215448967695</v>
      </c>
      <c r="J13" s="2">
        <v>13.791985701249708</v>
      </c>
      <c r="K13" s="2">
        <v>13.843248069304337</v>
      </c>
      <c r="L13" s="2">
        <v>13.858057111298043</v>
      </c>
      <c r="M13" s="2">
        <v>13.819764756312347</v>
      </c>
      <c r="N13" s="2">
        <v>13.74767181021177</v>
      </c>
      <c r="O13" s="2">
        <v>13.657342741056155</v>
      </c>
      <c r="P13" s="2">
        <v>13.559409435761539</v>
      </c>
      <c r="Q13" s="2">
        <v>13.460636448348119</v>
      </c>
      <c r="R13" s="2">
        <v>13.365075481830198</v>
      </c>
      <c r="S13" s="2">
        <v>13.114631969308121</v>
      </c>
      <c r="T13" s="2">
        <v>12.823561034386548</v>
      </c>
      <c r="U13" s="2">
        <v>12.57762094595755</v>
      </c>
    </row>
    <row r="14" spans="1:21" x14ac:dyDescent="0.25">
      <c r="A14" t="s">
        <v>33</v>
      </c>
      <c r="B14" s="1">
        <v>45600</v>
      </c>
      <c r="C14" s="2">
        <v>11.187844522749961</v>
      </c>
      <c r="D14" s="2">
        <v>10.852162350594879</v>
      </c>
      <c r="E14" s="2">
        <v>10.010932595576342</v>
      </c>
      <c r="F14" s="2">
        <v>9.1725923745863227</v>
      </c>
      <c r="G14" s="2">
        <v>8.6975214057358254</v>
      </c>
      <c r="H14" s="2">
        <v>8.5144813693510617</v>
      </c>
      <c r="I14" s="2">
        <v>8.4825580993068428</v>
      </c>
      <c r="J14" s="2">
        <v>8.6082094880661817</v>
      </c>
      <c r="K14" s="2">
        <v>8.8820001966074322</v>
      </c>
      <c r="L14" s="2">
        <v>9.2359180543148973</v>
      </c>
      <c r="M14" s="2">
        <v>9.5285676321274035</v>
      </c>
      <c r="N14" s="2">
        <v>9.7586171783653199</v>
      </c>
      <c r="O14" s="2">
        <v>9.9373187392925324</v>
      </c>
      <c r="P14" s="2">
        <v>10.076835622589815</v>
      </c>
      <c r="Q14" s="2">
        <v>10.187174467118798</v>
      </c>
      <c r="R14" s="2">
        <v>10.27584530419168</v>
      </c>
      <c r="S14" s="2">
        <v>10.459046332285096</v>
      </c>
      <c r="T14" s="2">
        <v>10.625689066249382</v>
      </c>
      <c r="U14" s="2">
        <v>10.750729857122463</v>
      </c>
    </row>
    <row r="16" spans="1:21" x14ac:dyDescent="0.25">
      <c r="A16">
        <v>4</v>
      </c>
    </row>
    <row r="17" spans="1:21" x14ac:dyDescent="0.25">
      <c r="A17" t="s">
        <v>48</v>
      </c>
      <c r="B17" t="s">
        <v>24</v>
      </c>
      <c r="C17" s="2">
        <f ca="1">OFFSET(C5,$A$16,0)</f>
        <v>5.3976017280948003</v>
      </c>
      <c r="D17" s="2">
        <f t="shared" ref="D17:U17" ca="1" si="0">OFFSET(D5,$A$16,0)</f>
        <v>4.9965920483912045</v>
      </c>
      <c r="E17" s="2">
        <f t="shared" ca="1" si="0"/>
        <v>4.5283913479357976</v>
      </c>
      <c r="F17" s="2">
        <f t="shared" ca="1" si="0"/>
        <v>4.860074338257002</v>
      </c>
      <c r="G17" s="2">
        <f t="shared" ca="1" si="0"/>
        <v>5.5522351876880363</v>
      </c>
      <c r="H17" s="2">
        <f t="shared" ca="1" si="0"/>
        <v>6.1435421948750628</v>
      </c>
      <c r="I17" s="2">
        <f t="shared" ca="1" si="0"/>
        <v>6.8124758702288872</v>
      </c>
      <c r="J17" s="2">
        <f t="shared" ca="1" si="0"/>
        <v>7.4455954282423473</v>
      </c>
      <c r="K17" s="2">
        <f t="shared" ca="1" si="0"/>
        <v>8.0865285063261094</v>
      </c>
      <c r="L17" s="2">
        <f t="shared" ca="1" si="0"/>
        <v>8.6266626874173937</v>
      </c>
      <c r="M17" s="2">
        <f t="shared" ca="1" si="0"/>
        <v>8.970286713587635</v>
      </c>
      <c r="N17" s="2">
        <f t="shared" ca="1" si="0"/>
        <v>9.2030320330964521</v>
      </c>
      <c r="O17" s="2">
        <f t="shared" ca="1" si="0"/>
        <v>9.3688673263276616</v>
      </c>
      <c r="P17" s="2">
        <f t="shared" ca="1" si="0"/>
        <v>9.4920896744315808</v>
      </c>
      <c r="Q17" s="2">
        <f t="shared" ca="1" si="0"/>
        <v>9.5868792986335958</v>
      </c>
      <c r="R17" s="2">
        <f t="shared" ca="1" si="0"/>
        <v>9.6619112548374275</v>
      </c>
      <c r="S17" s="2">
        <f t="shared" ca="1" si="0"/>
        <v>9.8152107431325586</v>
      </c>
      <c r="T17" s="2">
        <f t="shared" ca="1" si="0"/>
        <v>9.9539789045566245</v>
      </c>
      <c r="U17" s="2">
        <f t="shared" ca="1" si="0"/>
        <v>10.058057914676366</v>
      </c>
    </row>
    <row r="19" spans="1:21" x14ac:dyDescent="0.25">
      <c r="A19" t="s">
        <v>34</v>
      </c>
    </row>
    <row r="20" spans="1:21" x14ac:dyDescent="0.25">
      <c r="A20" t="s">
        <v>35</v>
      </c>
      <c r="B20">
        <v>400</v>
      </c>
    </row>
    <row r="21" spans="1:21" x14ac:dyDescent="0.25">
      <c r="A21" t="s">
        <v>49</v>
      </c>
      <c r="B21" t="s">
        <v>36</v>
      </c>
      <c r="C21" s="3">
        <f ca="1">C$17+($B$20/100)</f>
        <v>9.3976017280948003</v>
      </c>
      <c r="D21" s="3">
        <f t="shared" ref="D21:U21" ca="1" si="1">D$17+($B$20/100)</f>
        <v>8.9965920483912036</v>
      </c>
      <c r="E21" s="3">
        <f t="shared" ca="1" si="1"/>
        <v>8.5283913479357984</v>
      </c>
      <c r="F21" s="3">
        <f t="shared" ca="1" si="1"/>
        <v>8.860074338257002</v>
      </c>
      <c r="G21" s="3">
        <f t="shared" ca="1" si="1"/>
        <v>9.5522351876880371</v>
      </c>
      <c r="H21" s="3">
        <f t="shared" ca="1" si="1"/>
        <v>10.143542194875064</v>
      </c>
      <c r="I21" s="3">
        <f t="shared" ca="1" si="1"/>
        <v>10.812475870228887</v>
      </c>
      <c r="J21" s="3">
        <f t="shared" ca="1" si="1"/>
        <v>11.445595428242347</v>
      </c>
      <c r="K21" s="3">
        <f t="shared" ca="1" si="1"/>
        <v>12.086528506326109</v>
      </c>
      <c r="L21" s="3">
        <f t="shared" ca="1" si="1"/>
        <v>12.626662687417394</v>
      </c>
      <c r="M21" s="3">
        <f t="shared" ca="1" si="1"/>
        <v>12.970286713587635</v>
      </c>
      <c r="N21" s="3">
        <f t="shared" ca="1" si="1"/>
        <v>13.203032033096452</v>
      </c>
      <c r="O21" s="3">
        <f t="shared" ca="1" si="1"/>
        <v>13.368867326327662</v>
      </c>
      <c r="P21" s="3">
        <f t="shared" ca="1" si="1"/>
        <v>13.492089674431581</v>
      </c>
      <c r="Q21" s="3">
        <f t="shared" ca="1" si="1"/>
        <v>13.586879298633596</v>
      </c>
      <c r="R21" s="3">
        <f t="shared" ca="1" si="1"/>
        <v>13.661911254837428</v>
      </c>
      <c r="S21" s="3">
        <f t="shared" ca="1" si="1"/>
        <v>13.815210743132559</v>
      </c>
      <c r="T21" s="3">
        <f t="shared" ca="1" si="1"/>
        <v>13.953978904556624</v>
      </c>
      <c r="U21" s="3">
        <f t="shared" ca="1" si="1"/>
        <v>14.058057914676366</v>
      </c>
    </row>
    <row r="22" spans="1:21" x14ac:dyDescent="0.25">
      <c r="A22" t="s">
        <v>50</v>
      </c>
      <c r="B22" t="s">
        <v>37</v>
      </c>
      <c r="C22" s="3">
        <f ca="1">C$17-($B$20/100)</f>
        <v>1.3976017280948003</v>
      </c>
      <c r="D22" s="3">
        <f t="shared" ref="D22:U22" ca="1" si="2">D$17-($B$20/100)</f>
        <v>0.99659204839120452</v>
      </c>
      <c r="E22" s="3">
        <f t="shared" ca="1" si="2"/>
        <v>0.52839134793579756</v>
      </c>
      <c r="F22" s="3">
        <f t="shared" ca="1" si="2"/>
        <v>0.86007433825700197</v>
      </c>
      <c r="G22" s="3">
        <f t="shared" ca="1" si="2"/>
        <v>1.5522351876880363</v>
      </c>
      <c r="H22" s="3">
        <f t="shared" ca="1" si="2"/>
        <v>2.1435421948750628</v>
      </c>
      <c r="I22" s="3">
        <f t="shared" ca="1" si="2"/>
        <v>2.8124758702288872</v>
      </c>
      <c r="J22" s="3">
        <f t="shared" ca="1" si="2"/>
        <v>3.4455954282423473</v>
      </c>
      <c r="K22" s="3">
        <f t="shared" ca="1" si="2"/>
        <v>4.0865285063261094</v>
      </c>
      <c r="L22" s="3">
        <f t="shared" ca="1" si="2"/>
        <v>4.6266626874173937</v>
      </c>
      <c r="M22" s="3">
        <f t="shared" ca="1" si="2"/>
        <v>4.970286713587635</v>
      </c>
      <c r="N22" s="3">
        <f t="shared" ca="1" si="2"/>
        <v>5.2030320330964521</v>
      </c>
      <c r="O22" s="3">
        <f t="shared" ca="1" si="2"/>
        <v>5.3688673263276616</v>
      </c>
      <c r="P22" s="3">
        <f t="shared" ca="1" si="2"/>
        <v>5.4920896744315808</v>
      </c>
      <c r="Q22" s="3">
        <f t="shared" ca="1" si="2"/>
        <v>5.5868792986335958</v>
      </c>
      <c r="R22" s="3">
        <f t="shared" ca="1" si="2"/>
        <v>5.6619112548374275</v>
      </c>
      <c r="S22" s="3">
        <f t="shared" ca="1" si="2"/>
        <v>5.8152107431325586</v>
      </c>
      <c r="T22" s="3">
        <f t="shared" ca="1" si="2"/>
        <v>5.9539789045566245</v>
      </c>
      <c r="U22" s="3">
        <f t="shared" ca="1" si="2"/>
        <v>6.0580579146763665</v>
      </c>
    </row>
    <row r="23" spans="1:21" x14ac:dyDescent="0.25">
      <c r="A23" t="s">
        <v>38</v>
      </c>
      <c r="B23">
        <v>500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25">
      <c r="A24" t="s">
        <v>51</v>
      </c>
      <c r="B24" t="s">
        <v>39</v>
      </c>
      <c r="C24" s="3">
        <f ca="1">C$17+($B$23/100)*EXP(-C$3/4)</f>
        <v>10.394102952809018</v>
      </c>
      <c r="D24" s="3">
        <f t="shared" ref="D24:U24" ca="1" si="3">D$17+($B$23/100)*EXP(-D$3/4)</f>
        <v>9.9447378082463764</v>
      </c>
      <c r="E24" s="3">
        <f t="shared" ca="1" si="3"/>
        <v>9.324298667420635</v>
      </c>
      <c r="F24" s="3">
        <f t="shared" ca="1" si="3"/>
        <v>9.4126261451571729</v>
      </c>
      <c r="G24" s="3">
        <f t="shared" ca="1" si="3"/>
        <v>9.82896182422515</v>
      </c>
      <c r="H24" s="3">
        <f t="shared" ca="1" si="3"/>
        <v>10.161155063320367</v>
      </c>
      <c r="I24" s="3">
        <f t="shared" ca="1" si="3"/>
        <v>10.470554014962097</v>
      </c>
      <c r="J24" s="3">
        <f t="shared" ca="1" si="3"/>
        <v>10.673838060381808</v>
      </c>
      <c r="K24" s="3">
        <f t="shared" ca="1" si="3"/>
        <v>10.762835648921062</v>
      </c>
      <c r="L24" s="3">
        <f t="shared" ca="1" si="3"/>
        <v>10.710972785809936</v>
      </c>
      <c r="M24" s="3">
        <f t="shared" ca="1" si="3"/>
        <v>10.593549050379384</v>
      </c>
      <c r="N24" s="3">
        <f t="shared" ca="1" si="3"/>
        <v>10.467230012120185</v>
      </c>
      <c r="O24" s="3">
        <f t="shared" ca="1" si="3"/>
        <v>10.353425702348632</v>
      </c>
      <c r="P24" s="3">
        <f t="shared" ca="1" si="3"/>
        <v>10.258864508656224</v>
      </c>
      <c r="Q24" s="3">
        <f t="shared" ca="1" si="3"/>
        <v>10.184044139967193</v>
      </c>
      <c r="R24" s="3">
        <f t="shared" ca="1" si="3"/>
        <v>10.126983700890746</v>
      </c>
      <c r="S24" s="3">
        <f t="shared" ca="1" si="3"/>
        <v>10.034895411249595</v>
      </c>
      <c r="T24" s="3">
        <f t="shared" ca="1" si="3"/>
        <v>10.016919615768794</v>
      </c>
      <c r="U24" s="3">
        <f t="shared" ca="1" si="3"/>
        <v>10.067710185357505</v>
      </c>
    </row>
    <row r="25" spans="1:21" x14ac:dyDescent="0.25">
      <c r="A25" t="s">
        <v>52</v>
      </c>
      <c r="B25" t="s">
        <v>40</v>
      </c>
      <c r="C25" s="3">
        <f ca="1">C$17-($B$23/100)*EXP(-C$3/4)</f>
        <v>0.40110050338058389</v>
      </c>
      <c r="D25" s="3">
        <f t="shared" ref="D25:U25" ca="1" si="4">D$17-($B$23/100)*EXP(-D$3/4)</f>
        <v>4.8446288536031723E-2</v>
      </c>
      <c r="E25" s="3">
        <f ca="1">E$17-($B$23/100)*EXP(-E$3/4)</f>
        <v>-0.26751597154903894</v>
      </c>
      <c r="F25" s="3">
        <f t="shared" ca="1" si="4"/>
        <v>0.30752253135683105</v>
      </c>
      <c r="G25" s="3">
        <f t="shared" ca="1" si="4"/>
        <v>1.2755085511509234</v>
      </c>
      <c r="H25" s="3">
        <f t="shared" ca="1" si="4"/>
        <v>2.125929326429759</v>
      </c>
      <c r="I25" s="3">
        <f t="shared" ca="1" si="4"/>
        <v>3.1543977254956781</v>
      </c>
      <c r="J25" s="3">
        <f t="shared" ca="1" si="4"/>
        <v>4.2173527961028867</v>
      </c>
      <c r="K25" s="3">
        <f t="shared" ca="1" si="4"/>
        <v>5.410221363731158</v>
      </c>
      <c r="L25" s="3">
        <f t="shared" ca="1" si="4"/>
        <v>6.5423525890248513</v>
      </c>
      <c r="M25" s="3">
        <f t="shared" ca="1" si="4"/>
        <v>7.3470243767958863</v>
      </c>
      <c r="N25" s="3">
        <f t="shared" ca="1" si="4"/>
        <v>7.9388340540727196</v>
      </c>
      <c r="O25" s="3">
        <f t="shared" ca="1" si="4"/>
        <v>8.384308950306691</v>
      </c>
      <c r="P25" s="3">
        <f t="shared" ca="1" si="4"/>
        <v>8.7253148402069378</v>
      </c>
      <c r="Q25" s="3">
        <f t="shared" ca="1" si="4"/>
        <v>8.9897144572999981</v>
      </c>
      <c r="R25" s="3">
        <f t="shared" ca="1" si="4"/>
        <v>9.1968388087841095</v>
      </c>
      <c r="S25" s="3">
        <f t="shared" ca="1" si="4"/>
        <v>9.5955260750155222</v>
      </c>
      <c r="T25" s="3">
        <f t="shared" ca="1" si="4"/>
        <v>9.8910381933444551</v>
      </c>
      <c r="U25" s="3">
        <f t="shared" ca="1" si="4"/>
        <v>10.048405643995228</v>
      </c>
    </row>
    <row r="26" spans="1:21" x14ac:dyDescent="0.25">
      <c r="A26" t="s">
        <v>41</v>
      </c>
      <c r="B26">
        <v>300</v>
      </c>
    </row>
    <row r="27" spans="1:21" x14ac:dyDescent="0.25">
      <c r="A27" t="s">
        <v>53</v>
      </c>
      <c r="B27" t="s">
        <v>42</v>
      </c>
      <c r="C27" s="3">
        <f ca="1">C$17+($B$26/100)*(1-EXP(-C$3/4))</f>
        <v>5.3997009932662703</v>
      </c>
      <c r="D27" s="3">
        <f t="shared" ref="D27:U27" ca="1" si="5">D$17+($B$26/100)*(1-EXP(-D$3/4))</f>
        <v>5.0277045924781003</v>
      </c>
      <c r="E27" s="3">
        <f t="shared" ca="1" si="5"/>
        <v>4.6508469562448953</v>
      </c>
      <c r="F27" s="3">
        <f t="shared" ca="1" si="5"/>
        <v>5.1285432541168996</v>
      </c>
      <c r="G27" s="3">
        <f t="shared" ca="1" si="5"/>
        <v>5.9861992057657689</v>
      </c>
      <c r="H27" s="3">
        <f t="shared" ca="1" si="5"/>
        <v>6.7329744738078805</v>
      </c>
      <c r="I27" s="3">
        <f t="shared" ca="1" si="5"/>
        <v>7.6176289833889621</v>
      </c>
      <c r="J27" s="3">
        <f t="shared" ca="1" si="5"/>
        <v>8.5086498489586706</v>
      </c>
      <c r="K27" s="3">
        <f t="shared" ca="1" si="5"/>
        <v>9.4807442207691395</v>
      </c>
      <c r="L27" s="3">
        <f t="shared" ca="1" si="5"/>
        <v>10.376076628381869</v>
      </c>
      <c r="M27" s="3">
        <f t="shared" ca="1" si="5"/>
        <v>10.996329311512586</v>
      </c>
      <c r="N27" s="3">
        <f t="shared" ca="1" si="5"/>
        <v>11.444513245682213</v>
      </c>
      <c r="O27" s="3">
        <f t="shared" ca="1" si="5"/>
        <v>11.778132300715079</v>
      </c>
      <c r="P27" s="3">
        <f t="shared" ca="1" si="5"/>
        <v>12.032024773896795</v>
      </c>
      <c r="Q27" s="3">
        <f t="shared" ca="1" si="5"/>
        <v>12.228580393833436</v>
      </c>
      <c r="R27" s="3">
        <f t="shared" ca="1" si="5"/>
        <v>12.382867787205438</v>
      </c>
      <c r="S27" s="3">
        <f t="shared" ca="1" si="5"/>
        <v>12.683399942262337</v>
      </c>
      <c r="T27" s="3">
        <f t="shared" ca="1" si="5"/>
        <v>12.916214477829323</v>
      </c>
      <c r="U27" s="3">
        <f t="shared" ca="1" si="5"/>
        <v>13.052266552267684</v>
      </c>
    </row>
    <row r="28" spans="1:21" x14ac:dyDescent="0.25">
      <c r="A28" t="s">
        <v>54</v>
      </c>
      <c r="B28" t="s">
        <v>43</v>
      </c>
      <c r="C28" s="3">
        <f ca="1">C$17-($B$26/100)*(1-EXP(-C$3/4))</f>
        <v>5.3955024629233304</v>
      </c>
      <c r="D28" s="3">
        <f t="shared" ref="D28:U28" ca="1" si="6">D$17-($B$26/100)*(1-EXP(-D$3/4))</f>
        <v>4.9654795043043087</v>
      </c>
      <c r="E28" s="3">
        <f t="shared" ca="1" si="6"/>
        <v>4.4059357396266998</v>
      </c>
      <c r="F28" s="3">
        <f t="shared" ca="1" si="6"/>
        <v>4.5916054223971043</v>
      </c>
      <c r="G28" s="3">
        <f t="shared" ca="1" si="6"/>
        <v>5.1182711696103036</v>
      </c>
      <c r="H28" s="3">
        <f t="shared" ca="1" si="6"/>
        <v>5.5541099159422451</v>
      </c>
      <c r="I28" s="3">
        <f t="shared" ca="1" si="6"/>
        <v>6.0073227570688124</v>
      </c>
      <c r="J28" s="3">
        <f t="shared" ca="1" si="6"/>
        <v>6.382541007526024</v>
      </c>
      <c r="K28" s="3">
        <f t="shared" ca="1" si="6"/>
        <v>6.6923127918830803</v>
      </c>
      <c r="L28" s="3">
        <f t="shared" ca="1" si="6"/>
        <v>6.8772487464529188</v>
      </c>
      <c r="M28" s="3">
        <f t="shared" ca="1" si="6"/>
        <v>6.9442441156626842</v>
      </c>
      <c r="N28" s="3">
        <f t="shared" ca="1" si="6"/>
        <v>6.9615508205106913</v>
      </c>
      <c r="O28" s="3">
        <f t="shared" ca="1" si="6"/>
        <v>6.9596023519402443</v>
      </c>
      <c r="P28" s="3">
        <f t="shared" ca="1" si="6"/>
        <v>6.9521545749663662</v>
      </c>
      <c r="Q28" s="3">
        <f t="shared" ca="1" si="6"/>
        <v>6.9451782034337546</v>
      </c>
      <c r="R28" s="3">
        <f t="shared" ca="1" si="6"/>
        <v>6.9409547224694181</v>
      </c>
      <c r="S28" s="3">
        <f t="shared" ca="1" si="6"/>
        <v>6.9470215440027809</v>
      </c>
      <c r="T28" s="3">
        <f t="shared" ca="1" si="6"/>
        <v>6.9917433312839261</v>
      </c>
      <c r="U28" s="3">
        <f t="shared" ca="1" si="6"/>
        <v>7.0638492770850494</v>
      </c>
    </row>
    <row r="29" spans="1:21" x14ac:dyDescent="0.25">
      <c r="A29" t="s">
        <v>44</v>
      </c>
    </row>
    <row r="30" spans="1:21" x14ac:dyDescent="0.25">
      <c r="A30" t="s">
        <v>55</v>
      </c>
      <c r="B30" t="s">
        <v>45</v>
      </c>
      <c r="C30" s="3">
        <f ca="1">C$17+((-0.65*ABS(($B$23/100)*EXP(-C$3/4)))+(0.9*ABS(($B$26/100)*(1-EXP(-C$3/4)))))</f>
        <v>2.1517652706848827</v>
      </c>
      <c r="D30" s="3">
        <f t="shared" ref="D30:U30" ca="1" si="7">D$17+((-0.65*ABS(($B$23/100)*EXP(-D$3/4)))+(0.9*ABS(($B$26/100)*(1-EXP(-D$3/4)))))</f>
        <v>1.8082985941635488</v>
      </c>
      <c r="E30" s="3">
        <f t="shared" ca="1" si="7"/>
        <v>1.5212616377488417</v>
      </c>
      <c r="F30" s="3">
        <f t="shared" ca="1" si="7"/>
        <v>2.1425376880457985</v>
      </c>
      <c r="G30" s="3">
        <f t="shared" ca="1" si="7"/>
        <v>3.1629304902088724</v>
      </c>
      <c r="H30" s="3">
        <f t="shared" ca="1" si="7"/>
        <v>4.0625828814251506</v>
      </c>
      <c r="I30" s="3">
        <f t="shared" ca="1" si="7"/>
        <v>5.1593628779963687</v>
      </c>
      <c r="J30" s="3">
        <f t="shared" ca="1" si="7"/>
        <v>6.3039866959963895</v>
      </c>
      <c r="K30" s="3">
        <f t="shared" ca="1" si="7"/>
        <v>7.6017230066381174</v>
      </c>
      <c r="L30" s="3">
        <f t="shared" ca="1" si="7"/>
        <v>8.8463336703302691</v>
      </c>
      <c r="M30" s="3">
        <f t="shared" ca="1" si="7"/>
        <v>9.7386045328054536</v>
      </c>
      <c r="N30" s="3">
        <f t="shared" ca="1" si="7"/>
        <v>10.398636438058212</v>
      </c>
      <c r="O30" s="3">
        <f t="shared" ca="1" si="7"/>
        <v>10.897242858862707</v>
      </c>
      <c r="P30" s="3">
        <f t="shared" ca="1" si="7"/>
        <v>11.279627621704257</v>
      </c>
      <c r="Q30" s="3">
        <f t="shared" ca="1" si="7"/>
        <v>11.576253137446614</v>
      </c>
      <c r="R30" s="3">
        <f t="shared" ca="1" si="7"/>
        <v>11.80847504403398</v>
      </c>
      <c r="S30" s="3">
        <f t="shared" ca="1" si="7"/>
        <v>12.253785988073284</v>
      </c>
      <c r="T30" s="3">
        <f t="shared" ca="1" si="7"/>
        <v>12.579079458214142</v>
      </c>
      <c r="U30" s="3">
        <f t="shared" ca="1" si="7"/>
        <v>12.746571712565812</v>
      </c>
    </row>
    <row r="31" spans="1:21" x14ac:dyDescent="0.25">
      <c r="A31" t="s">
        <v>46</v>
      </c>
      <c r="B31" t="s">
        <v>47</v>
      </c>
      <c r="C31" s="3">
        <f ca="1">C$17+((0.8*ABS(($B$23/100)*EXP(-C$3/4)))-(0.6*ABS(($B$26/100)*(1-EXP(-C$3/4)))))</f>
        <v>9.3935431487632925</v>
      </c>
      <c r="D31" s="3">
        <f t="shared" ref="D31:U31" ca="1" si="8">D$17+((0.8*ABS(($B$23/100)*EXP(-D$3/4)))-(0.6*ABS(($B$26/100)*(1-EXP(-D$3/4)))))</f>
        <v>8.9364411298232049</v>
      </c>
      <c r="E31" s="3">
        <f t="shared" ca="1" si="8"/>
        <v>8.2916438385382083</v>
      </c>
      <c r="F31" s="3">
        <f t="shared" ca="1" si="8"/>
        <v>8.3410344342611999</v>
      </c>
      <c r="G31" s="3">
        <f t="shared" ca="1" si="8"/>
        <v>8.7132380860710867</v>
      </c>
      <c r="H31" s="3">
        <f t="shared" ca="1" si="8"/>
        <v>9.0039731222716153</v>
      </c>
      <c r="I31" s="3">
        <f t="shared" ca="1" si="8"/>
        <v>9.2558465181194105</v>
      </c>
      <c r="J31" s="3">
        <f t="shared" ca="1" si="8"/>
        <v>9.3903568815241218</v>
      </c>
      <c r="K31" s="3">
        <f t="shared" ca="1" si="8"/>
        <v>9.3910447917362525</v>
      </c>
      <c r="L31" s="3">
        <f t="shared" ca="1" si="8"/>
        <v>9.2444624015527435</v>
      </c>
      <c r="M31" s="3">
        <f t="shared" ca="1" si="8"/>
        <v>9.0532710242660634</v>
      </c>
      <c r="N31" s="3">
        <f t="shared" ca="1" si="8"/>
        <v>8.8695016887639824</v>
      </c>
      <c r="O31" s="3">
        <f t="shared" ca="1" si="8"/>
        <v>8.710955042511987</v>
      </c>
      <c r="P31" s="3">
        <f t="shared" ca="1" si="8"/>
        <v>8.5815484821321668</v>
      </c>
      <c r="Q31" s="3">
        <f t="shared" ca="1" si="8"/>
        <v>8.4795905145805701</v>
      </c>
      <c r="R31" s="3">
        <f t="shared" ca="1" si="8"/>
        <v>8.4013952922592754</v>
      </c>
      <c r="S31" s="3">
        <f t="shared" ca="1" si="8"/>
        <v>8.270044958148322</v>
      </c>
      <c r="T31" s="3">
        <f t="shared" ca="1" si="8"/>
        <v>8.2269901295627417</v>
      </c>
      <c r="U31" s="3">
        <f t="shared" ca="1" si="8"/>
        <v>8.2692545486664866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22</xdr:col>
                    <xdr:colOff>9525</xdr:colOff>
                    <xdr:row>22</xdr:row>
                    <xdr:rowOff>19050</xdr:rowOff>
                  </from>
                  <to>
                    <xdr:col>25</xdr:col>
                    <xdr:colOff>285750</xdr:colOff>
                    <xdr:row>24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A079F-8FC5-4ABB-80F5-A7E28957BD8F}">
  <sheetPr>
    <pageSetUpPr fitToPage="1"/>
  </sheetPr>
  <dimension ref="A1:V24"/>
  <sheetViews>
    <sheetView zoomScale="110" zoomScaleNormal="110" workbookViewId="0">
      <selection activeCell="A16" sqref="A16"/>
    </sheetView>
  </sheetViews>
  <sheetFormatPr baseColWidth="10" defaultRowHeight="15" x14ac:dyDescent="0.25"/>
  <cols>
    <col min="1" max="1" width="13.28515625" customWidth="1"/>
    <col min="3" max="8" width="8" customWidth="1"/>
    <col min="9" max="21" width="6.28515625" customWidth="1"/>
  </cols>
  <sheetData>
    <row r="1" spans="1:22" x14ac:dyDescent="0.25">
      <c r="A1" t="s">
        <v>56</v>
      </c>
      <c r="C1" s="4"/>
    </row>
    <row r="2" spans="1:22" x14ac:dyDescent="0.25">
      <c r="A2" t="s">
        <v>57</v>
      </c>
      <c r="C2" t="s">
        <v>58</v>
      </c>
      <c r="D2" t="s">
        <v>59</v>
      </c>
    </row>
    <row r="3" spans="1:22" x14ac:dyDescent="0.25">
      <c r="A3" t="s">
        <v>60</v>
      </c>
      <c r="C3" t="s">
        <v>61</v>
      </c>
      <c r="D3" t="s">
        <v>59</v>
      </c>
    </row>
    <row r="4" spans="1:22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21</v>
      </c>
      <c r="T4" t="s">
        <v>22</v>
      </c>
      <c r="U4" t="s">
        <v>23</v>
      </c>
    </row>
    <row r="5" spans="1:22" x14ac:dyDescent="0.25">
      <c r="B5" t="s">
        <v>18</v>
      </c>
      <c r="C5">
        <v>2.8E-3</v>
      </c>
      <c r="D5">
        <v>4.1700000000000001E-2</v>
      </c>
      <c r="E5">
        <v>0.16669999999999999</v>
      </c>
      <c r="F5">
        <v>0.375</v>
      </c>
      <c r="G5">
        <v>0.625</v>
      </c>
      <c r="H5">
        <v>0.875</v>
      </c>
      <c r="I5">
        <v>1.25</v>
      </c>
      <c r="J5">
        <v>1.75</v>
      </c>
      <c r="K5">
        <v>2.5</v>
      </c>
      <c r="L5">
        <v>3.5</v>
      </c>
      <c r="M5">
        <v>4.5</v>
      </c>
      <c r="N5">
        <v>5.5</v>
      </c>
      <c r="O5">
        <v>6.5</v>
      </c>
      <c r="P5">
        <v>7.5</v>
      </c>
      <c r="Q5">
        <v>8.5</v>
      </c>
      <c r="R5">
        <v>9.5</v>
      </c>
      <c r="S5">
        <v>12.5</v>
      </c>
      <c r="T5">
        <v>17.5</v>
      </c>
      <c r="U5">
        <v>25</v>
      </c>
    </row>
    <row r="6" spans="1:22" x14ac:dyDescent="0.25">
      <c r="B6" t="s">
        <v>62</v>
      </c>
    </row>
    <row r="7" spans="1:22" x14ac:dyDescent="0.25">
      <c r="A7" s="5" t="s">
        <v>63</v>
      </c>
      <c r="H7" s="6"/>
      <c r="M7" s="6"/>
      <c r="R7" s="6"/>
    </row>
    <row r="8" spans="1:22" x14ac:dyDescent="0.25">
      <c r="A8" s="7" t="s">
        <v>64</v>
      </c>
      <c r="B8" s="6">
        <v>0.2</v>
      </c>
      <c r="C8" s="8">
        <v>0</v>
      </c>
      <c r="D8" s="8">
        <v>0</v>
      </c>
      <c r="E8" s="8">
        <v>0.1</v>
      </c>
      <c r="F8" s="8">
        <v>0.1</v>
      </c>
      <c r="G8" s="8">
        <v>0.1</v>
      </c>
      <c r="H8" s="8">
        <v>0.1</v>
      </c>
      <c r="I8" s="9">
        <v>7.5999999999999998E-2</v>
      </c>
      <c r="J8" s="9">
        <v>7.5999999999999998E-2</v>
      </c>
      <c r="K8" s="9">
        <v>7.5999999999999998E-2</v>
      </c>
      <c r="L8" s="9">
        <v>7.5999999999999998E-2</v>
      </c>
      <c r="M8" s="9">
        <v>7.5999999999999998E-2</v>
      </c>
      <c r="N8" s="8">
        <v>0.04</v>
      </c>
      <c r="O8" s="8">
        <v>0.04</v>
      </c>
      <c r="P8" s="8">
        <v>0.04</v>
      </c>
      <c r="Q8" s="8">
        <v>0.04</v>
      </c>
      <c r="R8" s="8">
        <v>0.04</v>
      </c>
      <c r="S8" s="8">
        <v>0.01</v>
      </c>
      <c r="T8" s="8">
        <v>5.0000000000000001E-3</v>
      </c>
      <c r="U8" s="8">
        <v>5.0000000000000001E-3</v>
      </c>
      <c r="V8" s="8">
        <f>SUM(C8:U8)</f>
        <v>1</v>
      </c>
    </row>
    <row r="9" spans="1:22" x14ac:dyDescent="0.25">
      <c r="A9" t="s">
        <v>65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>
        <f t="shared" ref="V9:V22" si="0">SUM(C9:U9)</f>
        <v>0</v>
      </c>
    </row>
    <row r="10" spans="1:22" x14ac:dyDescent="0.25">
      <c r="A10" t="s">
        <v>66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>
        <f t="shared" si="0"/>
        <v>0</v>
      </c>
    </row>
    <row r="11" spans="1:22" x14ac:dyDescent="0.25">
      <c r="A11" s="7" t="s">
        <v>67</v>
      </c>
      <c r="B11" s="6">
        <v>0.8</v>
      </c>
      <c r="C11" s="8">
        <f ca="1">OFFSET(C11,VE!$B$6,0)</f>
        <v>0</v>
      </c>
      <c r="D11" s="8">
        <f ca="1">OFFSET(D11,VE!$B$6,0)</f>
        <v>0</v>
      </c>
      <c r="E11" s="8">
        <f ca="1">OFFSET(E11,VE!$B$6,0)</f>
        <v>5.525E-2</v>
      </c>
      <c r="F11" s="8">
        <f ca="1">OFFSET(F11,VE!$B$6,0)</f>
        <v>5.525E-2</v>
      </c>
      <c r="G11" s="8">
        <f ca="1">OFFSET(G11,VE!$B$6,0)</f>
        <v>5.525E-2</v>
      </c>
      <c r="H11" s="8">
        <f ca="1">OFFSET(H11,VE!$B$6,0)</f>
        <v>5.525E-2</v>
      </c>
      <c r="I11" s="8">
        <f ca="1">OFFSET(I11,VE!$B$6,0)</f>
        <v>8.7999999999999995E-2</v>
      </c>
      <c r="J11" s="8">
        <f ca="1">OFFSET(J11,VE!$B$6,0)</f>
        <v>8.7999999999999995E-2</v>
      </c>
      <c r="K11" s="8">
        <f ca="1">OFFSET(K11,VE!$B$6,0)</f>
        <v>8.7999999999999995E-2</v>
      </c>
      <c r="L11" s="8">
        <f ca="1">OFFSET(L11,VE!$B$6,0)</f>
        <v>8.7999999999999995E-2</v>
      </c>
      <c r="M11" s="8">
        <f ca="1">OFFSET(M11,VE!$B$6,0)</f>
        <v>8.7999999999999995E-2</v>
      </c>
      <c r="N11" s="8">
        <f ca="1">OFFSET(N11,VE!$B$6,0)</f>
        <v>5.6200000000000007E-2</v>
      </c>
      <c r="O11" s="8">
        <f ca="1">OFFSET(O11,VE!$B$6,0)</f>
        <v>5.6200000000000007E-2</v>
      </c>
      <c r="P11" s="8">
        <f ca="1">OFFSET(P11,VE!$B$6,0)</f>
        <v>5.6200000000000007E-2</v>
      </c>
      <c r="Q11" s="8">
        <f ca="1">OFFSET(Q11,VE!$B$6,0)</f>
        <v>5.6200000000000007E-2</v>
      </c>
      <c r="R11" s="8">
        <f ca="1">OFFSET(R11,VE!$B$6,0)</f>
        <v>5.6200000000000007E-2</v>
      </c>
      <c r="S11" s="8">
        <f ca="1">OFFSET(S11,VE!$B$6,0)</f>
        <v>0.04</v>
      </c>
      <c r="T11" s="8">
        <f ca="1">OFFSET(T11,VE!$B$6,0)</f>
        <v>0.01</v>
      </c>
      <c r="U11" s="8">
        <f ca="1">OFFSET(U11,VE!$B$6,0)</f>
        <v>7.4999999999999997E-3</v>
      </c>
      <c r="V11" s="8">
        <f t="shared" ca="1" si="0"/>
        <v>0.99950000000000006</v>
      </c>
    </row>
    <row r="12" spans="1:22" x14ac:dyDescent="0.25">
      <c r="A12" s="7" t="s">
        <v>68</v>
      </c>
      <c r="B12" s="6">
        <v>0.54664285915448096</v>
      </c>
      <c r="C12" s="8">
        <v>0</v>
      </c>
      <c r="D12" s="8">
        <v>0</v>
      </c>
      <c r="E12" s="9">
        <v>5.525E-2</v>
      </c>
      <c r="F12" s="9">
        <v>5.525E-2</v>
      </c>
      <c r="G12" s="9">
        <v>5.525E-2</v>
      </c>
      <c r="H12" s="9">
        <v>5.525E-2</v>
      </c>
      <c r="I12" s="9">
        <v>8.7999999999999995E-2</v>
      </c>
      <c r="J12" s="9">
        <v>8.7999999999999995E-2</v>
      </c>
      <c r="K12" s="9">
        <v>8.7999999999999995E-2</v>
      </c>
      <c r="L12" s="9">
        <v>8.7999999999999995E-2</v>
      </c>
      <c r="M12" s="9">
        <v>8.7999999999999995E-2</v>
      </c>
      <c r="N12" s="9">
        <v>5.6200000000000007E-2</v>
      </c>
      <c r="O12" s="9">
        <v>5.6200000000000007E-2</v>
      </c>
      <c r="P12" s="9">
        <v>5.6200000000000007E-2</v>
      </c>
      <c r="Q12" s="9">
        <v>5.6200000000000007E-2</v>
      </c>
      <c r="R12" s="9">
        <v>5.6200000000000007E-2</v>
      </c>
      <c r="S12" s="8">
        <v>0.04</v>
      </c>
      <c r="T12" s="9">
        <v>0.01</v>
      </c>
      <c r="U12" s="9">
        <v>7.4999999999999997E-3</v>
      </c>
      <c r="V12" s="8">
        <f t="shared" si="0"/>
        <v>0.99950000000000006</v>
      </c>
    </row>
    <row r="13" spans="1:22" x14ac:dyDescent="0.25">
      <c r="A13" s="7" t="s">
        <v>69</v>
      </c>
      <c r="B13" s="6">
        <v>0.2887509895110581</v>
      </c>
      <c r="C13" s="8">
        <v>0</v>
      </c>
      <c r="D13" s="9">
        <v>1.6400000000000001E-2</v>
      </c>
      <c r="E13" s="9">
        <v>1.6400000000000001E-2</v>
      </c>
      <c r="F13" s="9">
        <v>1.6400000000000001E-2</v>
      </c>
      <c r="G13" s="9">
        <v>1.6400000000000001E-2</v>
      </c>
      <c r="H13" s="9">
        <v>1.6400000000000001E-2</v>
      </c>
      <c r="I13" s="9">
        <v>0.12740000000000001</v>
      </c>
      <c r="J13" s="9">
        <v>0.12740000000000001</v>
      </c>
      <c r="K13" s="9">
        <v>0.12740000000000001</v>
      </c>
      <c r="L13" s="9">
        <v>0.12740000000000001</v>
      </c>
      <c r="M13" s="9">
        <v>0.12740000000000001</v>
      </c>
      <c r="N13" s="9">
        <v>5.5000000000000007E-2</v>
      </c>
      <c r="O13" s="9">
        <v>5.5000000000000007E-2</v>
      </c>
      <c r="P13" s="9">
        <v>5.5000000000000007E-2</v>
      </c>
      <c r="Q13" s="9">
        <v>5.5000000000000007E-2</v>
      </c>
      <c r="R13" s="9">
        <v>5.5000000000000007E-2</v>
      </c>
      <c r="S13" s="8">
        <v>6.0000000000000001E-3</v>
      </c>
      <c r="T13" s="8"/>
      <c r="U13" s="8"/>
      <c r="V13" s="8">
        <f t="shared" si="0"/>
        <v>1.0000000000000002</v>
      </c>
    </row>
    <row r="14" spans="1:22" x14ac:dyDescent="0.25">
      <c r="A14" s="7" t="s">
        <v>70</v>
      </c>
      <c r="B14" s="6">
        <v>0.16460615133446091</v>
      </c>
      <c r="C14" s="8"/>
      <c r="D14" s="8"/>
      <c r="E14" s="8"/>
      <c r="F14" s="8"/>
      <c r="G14" s="8"/>
      <c r="H14" s="8">
        <v>1E-3</v>
      </c>
      <c r="I14" s="9">
        <v>6.1999999999999998E-3</v>
      </c>
      <c r="J14" s="9">
        <v>6.1999999999999998E-3</v>
      </c>
      <c r="K14" s="9">
        <v>6.1999999999999998E-3</v>
      </c>
      <c r="L14" s="9">
        <v>6.1999999999999998E-3</v>
      </c>
      <c r="M14" s="9">
        <v>6.1999999999999998E-3</v>
      </c>
      <c r="N14" s="9">
        <v>2.3E-2</v>
      </c>
      <c r="O14" s="9">
        <v>2.3E-2</v>
      </c>
      <c r="P14" s="9">
        <v>2.3E-2</v>
      </c>
      <c r="Q14" s="9">
        <v>2.3E-2</v>
      </c>
      <c r="R14" s="9">
        <v>2.3E-2</v>
      </c>
      <c r="S14" s="8">
        <v>0.3</v>
      </c>
      <c r="T14" s="8">
        <v>0.4</v>
      </c>
      <c r="U14" s="8">
        <v>0.153</v>
      </c>
      <c r="V14" s="8">
        <f t="shared" si="0"/>
        <v>1</v>
      </c>
    </row>
    <row r="15" spans="1:22" x14ac:dyDescent="0.25">
      <c r="A15" s="10" t="s">
        <v>71</v>
      </c>
      <c r="B15" s="11" t="s">
        <v>72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>
        <f t="shared" si="0"/>
        <v>0</v>
      </c>
    </row>
    <row r="16" spans="1:22" x14ac:dyDescent="0.25">
      <c r="A16" t="s">
        <v>73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>
        <f t="shared" si="0"/>
        <v>0</v>
      </c>
    </row>
    <row r="17" spans="1:22" x14ac:dyDescent="0.25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>
        <f t="shared" si="0"/>
        <v>0</v>
      </c>
    </row>
    <row r="18" spans="1:22" x14ac:dyDescent="0.25">
      <c r="A18" s="5" t="s">
        <v>74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>
        <f t="shared" si="0"/>
        <v>0</v>
      </c>
    </row>
    <row r="19" spans="1:22" x14ac:dyDescent="0.25">
      <c r="A19" t="s">
        <v>64</v>
      </c>
      <c r="B19" s="6">
        <v>0.11</v>
      </c>
      <c r="C19" s="8">
        <v>0</v>
      </c>
      <c r="D19" s="8">
        <v>4.0000000000000001E-3</v>
      </c>
      <c r="E19" s="8">
        <v>3.6999999999999998E-2</v>
      </c>
      <c r="F19" s="9">
        <v>5.3999999999999999E-2</v>
      </c>
      <c r="G19" s="9">
        <v>5.3999999999999999E-2</v>
      </c>
      <c r="H19" s="9">
        <v>5.3999999999999999E-2</v>
      </c>
      <c r="I19" s="9">
        <v>0.1308</v>
      </c>
      <c r="J19" s="9">
        <v>0.1308</v>
      </c>
      <c r="K19" s="9">
        <v>0.1308</v>
      </c>
      <c r="L19" s="9">
        <v>0.1308</v>
      </c>
      <c r="M19" s="9">
        <v>0.1308</v>
      </c>
      <c r="N19" s="9">
        <v>2.3999999999999997E-2</v>
      </c>
      <c r="O19" s="9">
        <v>2.3999999999999997E-2</v>
      </c>
      <c r="P19" s="9">
        <v>2.3999999999999997E-2</v>
      </c>
      <c r="Q19" s="9">
        <v>2.3999999999999997E-2</v>
      </c>
      <c r="R19" s="9">
        <v>2.3999999999999997E-2</v>
      </c>
      <c r="S19" s="9">
        <v>2.3E-2</v>
      </c>
      <c r="T19" s="8">
        <v>0</v>
      </c>
      <c r="U19" s="8">
        <v>0</v>
      </c>
      <c r="V19" s="8">
        <f t="shared" si="0"/>
        <v>1.0000000000000002</v>
      </c>
    </row>
    <row r="20" spans="1:22" x14ac:dyDescent="0.25">
      <c r="A20" s="7" t="s">
        <v>75</v>
      </c>
      <c r="B20" s="6">
        <v>0.1</v>
      </c>
      <c r="C20" s="8">
        <v>0.5</v>
      </c>
      <c r="D20" s="8">
        <v>0.5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f t="shared" si="0"/>
        <v>1</v>
      </c>
    </row>
    <row r="21" spans="1:22" x14ac:dyDescent="0.25">
      <c r="A21" s="7" t="s">
        <v>76</v>
      </c>
      <c r="B21" s="6">
        <v>0.4</v>
      </c>
      <c r="C21" s="8">
        <v>0.2</v>
      </c>
      <c r="D21" s="8">
        <v>0.2</v>
      </c>
      <c r="E21" s="8">
        <v>0.2</v>
      </c>
      <c r="F21" s="8">
        <v>0.2</v>
      </c>
      <c r="G21" s="8">
        <v>0.1</v>
      </c>
      <c r="H21" s="8">
        <v>0.1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f t="shared" si="0"/>
        <v>1</v>
      </c>
    </row>
    <row r="22" spans="1:22" x14ac:dyDescent="0.25">
      <c r="A22" t="s">
        <v>77</v>
      </c>
      <c r="B22" s="6">
        <v>0.39</v>
      </c>
      <c r="C22" s="8">
        <v>0</v>
      </c>
      <c r="D22" s="12">
        <v>9.2913481922498861E-2</v>
      </c>
      <c r="E22" s="12">
        <v>0.27572722518621873</v>
      </c>
      <c r="F22" s="12">
        <v>0.27817507804224467</v>
      </c>
      <c r="G22" s="12">
        <v>0.10946745833330782</v>
      </c>
      <c r="H22" s="12">
        <v>0.15015373308687296</v>
      </c>
      <c r="I22" s="12">
        <v>1.4E-2</v>
      </c>
      <c r="J22" s="12">
        <v>0.01</v>
      </c>
      <c r="K22" s="12">
        <v>0.01</v>
      </c>
      <c r="L22" s="12">
        <v>0.01</v>
      </c>
      <c r="M22" s="12">
        <v>0.01</v>
      </c>
      <c r="N22" s="12">
        <v>0.01</v>
      </c>
      <c r="O22" s="12">
        <v>0.01</v>
      </c>
      <c r="P22" s="12">
        <v>0.01</v>
      </c>
      <c r="Q22" s="12">
        <v>0.01</v>
      </c>
      <c r="R22" s="8">
        <v>0</v>
      </c>
      <c r="S22" s="8">
        <v>0</v>
      </c>
      <c r="T22" s="8">
        <v>0</v>
      </c>
      <c r="U22" s="8">
        <v>0</v>
      </c>
      <c r="V22" s="8">
        <f t="shared" si="0"/>
        <v>1.0004369765711432</v>
      </c>
    </row>
    <row r="23" spans="1:22" x14ac:dyDescent="0.25">
      <c r="A23" t="s">
        <v>78</v>
      </c>
      <c r="I23" s="13"/>
    </row>
    <row r="24" spans="1:22" x14ac:dyDescent="0.25">
      <c r="A24" t="s">
        <v>79</v>
      </c>
      <c r="B24" s="6">
        <v>0.4</v>
      </c>
    </row>
  </sheetData>
  <pageMargins left="0.7" right="0.7" top="0.75" bottom="0.75" header="0.3" footer="0.3"/>
  <pageSetup scale="8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4549-71EB-49DD-B2D8-63BA4C79078E}">
  <sheetPr>
    <pageSetUpPr fitToPage="1"/>
  </sheetPr>
  <dimension ref="A1:W50"/>
  <sheetViews>
    <sheetView zoomScale="110" zoomScaleNormal="110" workbookViewId="0">
      <pane ySplit="8" topLeftCell="A33" activePane="bottomLeft" state="frozen"/>
      <selection pane="bottomLeft" activeCell="B3" sqref="B3"/>
    </sheetView>
  </sheetViews>
  <sheetFormatPr baseColWidth="10" defaultRowHeight="15" x14ac:dyDescent="0.25"/>
  <cols>
    <col min="1" max="1" width="20.85546875" customWidth="1"/>
    <col min="2" max="2" width="13.42578125" customWidth="1"/>
    <col min="3" max="21" width="9.42578125" customWidth="1"/>
    <col min="22" max="22" width="13.5703125" customWidth="1"/>
  </cols>
  <sheetData>
    <row r="1" spans="1:22" x14ac:dyDescent="0.25">
      <c r="A1" t="s">
        <v>103</v>
      </c>
      <c r="B1" s="16">
        <v>10000000</v>
      </c>
      <c r="C1" s="4"/>
    </row>
    <row r="2" spans="1:22" x14ac:dyDescent="0.25">
      <c r="A2" t="s">
        <v>104</v>
      </c>
      <c r="B2" s="16">
        <v>3000000</v>
      </c>
      <c r="C2" s="4"/>
    </row>
    <row r="3" spans="1:22" x14ac:dyDescent="0.25">
      <c r="A3" t="s">
        <v>82</v>
      </c>
      <c r="B3" s="6">
        <v>0.75</v>
      </c>
      <c r="C3" t="s">
        <v>83</v>
      </c>
      <c r="D3" t="s">
        <v>59</v>
      </c>
    </row>
    <row r="4" spans="1:22" x14ac:dyDescent="0.25">
      <c r="A4" t="s">
        <v>89</v>
      </c>
      <c r="B4" s="6">
        <v>0.4</v>
      </c>
    </row>
    <row r="5" spans="1:22" x14ac:dyDescent="0.25">
      <c r="A5" t="s">
        <v>60</v>
      </c>
      <c r="C5" t="s">
        <v>90</v>
      </c>
      <c r="D5" t="s">
        <v>59</v>
      </c>
    </row>
    <row r="6" spans="1:22" x14ac:dyDescent="0.25">
      <c r="A6" t="s">
        <v>84</v>
      </c>
      <c r="B6">
        <v>1</v>
      </c>
      <c r="C6" t="s">
        <v>91</v>
      </c>
    </row>
    <row r="7" spans="1:22" x14ac:dyDescent="0.25"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21</v>
      </c>
      <c r="T7" t="s">
        <v>22</v>
      </c>
      <c r="U7" t="s">
        <v>23</v>
      </c>
    </row>
    <row r="8" spans="1:22" x14ac:dyDescent="0.25">
      <c r="B8" t="s">
        <v>18</v>
      </c>
      <c r="C8">
        <v>2.8E-3</v>
      </c>
      <c r="D8">
        <v>4.1700000000000001E-2</v>
      </c>
      <c r="E8">
        <v>0.16669999999999999</v>
      </c>
      <c r="F8">
        <v>0.375</v>
      </c>
      <c r="G8">
        <v>0.625</v>
      </c>
      <c r="H8">
        <v>0.875</v>
      </c>
      <c r="I8">
        <v>1.25</v>
      </c>
      <c r="J8">
        <v>1.75</v>
      </c>
      <c r="K8">
        <v>2.5</v>
      </c>
      <c r="L8">
        <v>3.5</v>
      </c>
      <c r="M8">
        <v>4.5</v>
      </c>
      <c r="N8">
        <v>5.5</v>
      </c>
      <c r="O8">
        <v>6.5</v>
      </c>
      <c r="P8">
        <v>7.5</v>
      </c>
      <c r="Q8">
        <v>8.5</v>
      </c>
      <c r="R8">
        <v>9.5</v>
      </c>
      <c r="S8">
        <v>12.5</v>
      </c>
      <c r="T8">
        <v>17.5</v>
      </c>
      <c r="U8">
        <v>25</v>
      </c>
    </row>
    <row r="9" spans="1:22" x14ac:dyDescent="0.25">
      <c r="B9" s="7" t="s">
        <v>86</v>
      </c>
    </row>
    <row r="10" spans="1:22" x14ac:dyDescent="0.25">
      <c r="A10" s="5" t="s">
        <v>85</v>
      </c>
      <c r="H10" s="6"/>
      <c r="M10" s="6"/>
      <c r="R10" s="6"/>
    </row>
    <row r="11" spans="1:22" x14ac:dyDescent="0.25">
      <c r="A11" t="s">
        <v>66</v>
      </c>
      <c r="B11" s="14">
        <f>$B$1*participaciones!B8</f>
        <v>2000000</v>
      </c>
      <c r="C11" s="14">
        <f>$B$11*participaciones!C8</f>
        <v>0</v>
      </c>
      <c r="D11" s="14">
        <f>$B$11*participaciones!D8</f>
        <v>0</v>
      </c>
      <c r="E11" s="14">
        <f>$B$11*participaciones!E8</f>
        <v>200000</v>
      </c>
      <c r="F11" s="14">
        <f>$B$11*participaciones!F8</f>
        <v>200000</v>
      </c>
      <c r="G11" s="14">
        <f>$B$11*participaciones!G8</f>
        <v>200000</v>
      </c>
      <c r="H11" s="14">
        <f>$B$11*participaciones!H8</f>
        <v>200000</v>
      </c>
      <c r="I11" s="14">
        <f>$B$11*participaciones!I8</f>
        <v>152000</v>
      </c>
      <c r="J11" s="14">
        <f>$B$11*participaciones!J8</f>
        <v>152000</v>
      </c>
      <c r="K11" s="14">
        <f>$B$11*participaciones!K8</f>
        <v>152000</v>
      </c>
      <c r="L11" s="14">
        <f>$B$11*participaciones!L8</f>
        <v>152000</v>
      </c>
      <c r="M11" s="14">
        <f>$B$11*participaciones!M8</f>
        <v>152000</v>
      </c>
      <c r="N11" s="14">
        <f>$B$11*participaciones!N8</f>
        <v>80000</v>
      </c>
      <c r="O11" s="14">
        <f>$B$11*participaciones!O8</f>
        <v>80000</v>
      </c>
      <c r="P11" s="14">
        <f>$B$11*participaciones!P8</f>
        <v>80000</v>
      </c>
      <c r="Q11" s="14">
        <f>$B$11*participaciones!Q8</f>
        <v>80000</v>
      </c>
      <c r="R11" s="14">
        <f>$B$11*participaciones!R8</f>
        <v>80000</v>
      </c>
      <c r="S11" s="14">
        <f>$B$11*participaciones!S8</f>
        <v>20000</v>
      </c>
      <c r="T11" s="14">
        <f>$B$11*participaciones!T8</f>
        <v>10000</v>
      </c>
      <c r="U11" s="14">
        <f>$B$11*participaciones!U8</f>
        <v>10000</v>
      </c>
      <c r="V11" s="14"/>
    </row>
    <row r="12" spans="1:22" x14ac:dyDescent="0.25">
      <c r="A12" t="s">
        <v>80</v>
      </c>
      <c r="B12">
        <f>$B$1*participaciones!$B$11*VE!B3</f>
        <v>6000000</v>
      </c>
      <c r="C12" s="14">
        <f>$B$12*participaciones!C$14</f>
        <v>0</v>
      </c>
      <c r="D12" s="14">
        <f>$B$12*participaciones!D$14</f>
        <v>0</v>
      </c>
      <c r="E12" s="14">
        <f>$B$12*participaciones!E$14</f>
        <v>0</v>
      </c>
      <c r="F12" s="14">
        <f>$B$12*participaciones!F$14</f>
        <v>0</v>
      </c>
      <c r="G12" s="14">
        <f>$B$12*participaciones!G$14</f>
        <v>0</v>
      </c>
      <c r="H12" s="14">
        <f>$B$12*participaciones!H$14</f>
        <v>6000</v>
      </c>
      <c r="I12" s="14">
        <f>$B$12*participaciones!I$14</f>
        <v>37200</v>
      </c>
      <c r="J12" s="14">
        <f>$B$12*participaciones!J$14</f>
        <v>37200</v>
      </c>
      <c r="K12" s="14">
        <f>$B$12*participaciones!K$14</f>
        <v>37200</v>
      </c>
      <c r="L12" s="14">
        <f>$B$12*participaciones!L$14</f>
        <v>37200</v>
      </c>
      <c r="M12" s="14">
        <f>$B$12*participaciones!M$14</f>
        <v>37200</v>
      </c>
      <c r="N12" s="14">
        <f>$B$12*participaciones!N$14</f>
        <v>138000</v>
      </c>
      <c r="O12" s="14">
        <f>$B$12*participaciones!O$14</f>
        <v>138000</v>
      </c>
      <c r="P12" s="14">
        <f>$B$12*participaciones!P$14</f>
        <v>138000</v>
      </c>
      <c r="Q12" s="14">
        <f>$B$12*participaciones!Q$14</f>
        <v>138000</v>
      </c>
      <c r="R12" s="14">
        <f>$B$12*participaciones!R$14</f>
        <v>138000</v>
      </c>
      <c r="S12" s="14">
        <f>$B$12*participaciones!S$14</f>
        <v>1800000</v>
      </c>
      <c r="T12" s="14">
        <f>$B$12*participaciones!T$14</f>
        <v>2400000</v>
      </c>
      <c r="U12" s="14">
        <f>$B$12*participaciones!U$14</f>
        <v>918000</v>
      </c>
      <c r="V12" s="14"/>
    </row>
    <row r="13" spans="1:22" x14ac:dyDescent="0.25">
      <c r="A13" t="s">
        <v>81</v>
      </c>
      <c r="B13">
        <f>$B$1*participaciones!$B$11*(1-VE!$B$3)</f>
        <v>2000000</v>
      </c>
      <c r="C13" s="14">
        <f ca="1">$B$13*participaciones!C11</f>
        <v>0</v>
      </c>
      <c r="D13" s="14">
        <f ca="1">$B$13*participaciones!D11</f>
        <v>0</v>
      </c>
      <c r="E13" s="14">
        <f ca="1">$B$13*participaciones!E11</f>
        <v>110500</v>
      </c>
      <c r="F13" s="14">
        <f ca="1">$B$13*participaciones!F11</f>
        <v>110500</v>
      </c>
      <c r="G13" s="14">
        <f ca="1">$B$13*participaciones!G11</f>
        <v>110500</v>
      </c>
      <c r="H13" s="14">
        <f ca="1">$B$13*participaciones!H11</f>
        <v>110500</v>
      </c>
      <c r="I13" s="14">
        <f ca="1">$B$13*participaciones!I11</f>
        <v>176000</v>
      </c>
      <c r="J13" s="14">
        <f ca="1">$B$13*participaciones!J11</f>
        <v>176000</v>
      </c>
      <c r="K13" s="14">
        <f ca="1">$B$13*participaciones!K11</f>
        <v>176000</v>
      </c>
      <c r="L13" s="14">
        <f ca="1">$B$13*participaciones!L11</f>
        <v>176000</v>
      </c>
      <c r="M13" s="14">
        <f ca="1">$B$13*participaciones!M11</f>
        <v>176000</v>
      </c>
      <c r="N13" s="14">
        <f ca="1">$B$13*participaciones!N11</f>
        <v>112400.00000000001</v>
      </c>
      <c r="O13" s="14">
        <f ca="1">$B$13*participaciones!O11</f>
        <v>112400.00000000001</v>
      </c>
      <c r="P13" s="14">
        <f ca="1">$B$13*participaciones!P11</f>
        <v>112400.00000000001</v>
      </c>
      <c r="Q13" s="14">
        <f ca="1">$B$13*participaciones!Q11</f>
        <v>112400.00000000001</v>
      </c>
      <c r="R13" s="14">
        <f ca="1">$B$13*participaciones!R11</f>
        <v>112400.00000000001</v>
      </c>
      <c r="S13" s="14">
        <f ca="1">$B$13*participaciones!S11</f>
        <v>80000</v>
      </c>
      <c r="T13" s="14">
        <f ca="1">$B$13*participaciones!T11</f>
        <v>20000</v>
      </c>
      <c r="U13" s="14">
        <f ca="1">$B$13*participaciones!U11</f>
        <v>15000</v>
      </c>
      <c r="V13" s="14"/>
    </row>
    <row r="14" spans="1:22" x14ac:dyDescent="0.25">
      <c r="A14" s="5" t="s">
        <v>74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x14ac:dyDescent="0.25">
      <c r="A15" t="s">
        <v>88</v>
      </c>
      <c r="B15" s="17">
        <f>$B$2*$B$4</f>
        <v>1200000</v>
      </c>
      <c r="C15" s="14">
        <f>$B$15*participaciones!C$21</f>
        <v>240000</v>
      </c>
      <c r="D15" s="14">
        <f>$B$15*participaciones!D$21</f>
        <v>240000</v>
      </c>
      <c r="E15" s="14">
        <f>$B$15*participaciones!E$21</f>
        <v>240000</v>
      </c>
      <c r="F15" s="14">
        <f>$B$15*participaciones!F$21</f>
        <v>240000</v>
      </c>
      <c r="G15" s="14">
        <f>$B$15*participaciones!G$21</f>
        <v>120000</v>
      </c>
      <c r="H15" s="14">
        <f>$B$15*participaciones!H$21</f>
        <v>120000</v>
      </c>
      <c r="I15" s="14">
        <f>$B$15*participaciones!I$21</f>
        <v>0</v>
      </c>
      <c r="J15" s="14">
        <f>$B$15*participaciones!J$21</f>
        <v>0</v>
      </c>
      <c r="K15" s="14">
        <f>$B$15*participaciones!K$21</f>
        <v>0</v>
      </c>
      <c r="L15" s="14">
        <f>$B$15*participaciones!L$21</f>
        <v>0</v>
      </c>
      <c r="M15" s="14">
        <f>$B$15*participaciones!M$21</f>
        <v>0</v>
      </c>
      <c r="N15" s="14">
        <f>$B$15*participaciones!N$21</f>
        <v>0</v>
      </c>
      <c r="O15" s="14">
        <f>$B$15*participaciones!O$21</f>
        <v>0</v>
      </c>
      <c r="P15" s="14">
        <f>$B$15*participaciones!P$21</f>
        <v>0</v>
      </c>
      <c r="Q15" s="14">
        <f>$B$15*participaciones!Q$21</f>
        <v>0</v>
      </c>
      <c r="R15" s="14">
        <f>$B$15*participaciones!R$21</f>
        <v>0</v>
      </c>
      <c r="S15" s="14">
        <f>$B$15*participaciones!S$21</f>
        <v>0</v>
      </c>
      <c r="T15" s="14">
        <f>$B$15*participaciones!T$21</f>
        <v>0</v>
      </c>
      <c r="U15" s="14">
        <f>$B$15*participaciones!U$21</f>
        <v>0</v>
      </c>
      <c r="V15" s="14"/>
    </row>
    <row r="16" spans="1:22" x14ac:dyDescent="0.25">
      <c r="A16" t="s">
        <v>87</v>
      </c>
      <c r="B16" s="17">
        <f>$B$2*(1-$B$4)</f>
        <v>1800000</v>
      </c>
      <c r="C16" s="14">
        <f>$B$16*participaciones!C$22</f>
        <v>0</v>
      </c>
      <c r="D16" s="14">
        <f>$B$16*participaciones!D$22</f>
        <v>167244.26746049794</v>
      </c>
      <c r="E16" s="14">
        <f>$B$16*participaciones!E$22</f>
        <v>496309.00533519371</v>
      </c>
      <c r="F16" s="14">
        <f>$B$16*participaciones!F$22</f>
        <v>500715.14047604043</v>
      </c>
      <c r="G16" s="14">
        <f>$B$16*participaciones!G$22</f>
        <v>197041.42499995406</v>
      </c>
      <c r="H16" s="14">
        <f>$B$16*participaciones!H$22</f>
        <v>270276.71955637133</v>
      </c>
      <c r="I16" s="14">
        <f>$B$16*participaciones!I$22</f>
        <v>25200</v>
      </c>
      <c r="J16" s="14">
        <f>$B$16*participaciones!J$22</f>
        <v>18000</v>
      </c>
      <c r="K16" s="14">
        <f>$B$16*participaciones!K$22</f>
        <v>18000</v>
      </c>
      <c r="L16" s="14">
        <f>$B$16*participaciones!L$22</f>
        <v>18000</v>
      </c>
      <c r="M16" s="14">
        <f>$B$16*participaciones!M$22</f>
        <v>18000</v>
      </c>
      <c r="N16" s="14">
        <f>$B$16*participaciones!N$22</f>
        <v>18000</v>
      </c>
      <c r="O16" s="14">
        <f>$B$16*participaciones!O$22</f>
        <v>18000</v>
      </c>
      <c r="P16" s="14">
        <f>$B$16*participaciones!P$22</f>
        <v>18000</v>
      </c>
      <c r="Q16" s="14">
        <f>$B$16*participaciones!Q$22</f>
        <v>18000</v>
      </c>
      <c r="R16" s="14">
        <f>$B$16*participaciones!R$22</f>
        <v>0</v>
      </c>
      <c r="S16" s="14">
        <f>$B$16*participaciones!S$22</f>
        <v>0</v>
      </c>
      <c r="T16" s="14">
        <f>$B$16*participaciones!T$22</f>
        <v>0</v>
      </c>
      <c r="U16" s="14">
        <f>$B$16*participaciones!U$22</f>
        <v>0</v>
      </c>
      <c r="V16" s="14"/>
    </row>
    <row r="17" spans="1:22" x14ac:dyDescent="0.25">
      <c r="B17" t="s">
        <v>92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x14ac:dyDescent="0.25">
      <c r="A18" s="5" t="s">
        <v>85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x14ac:dyDescent="0.25">
      <c r="A19" t="s">
        <v>66</v>
      </c>
      <c r="B19" s="14">
        <v>1</v>
      </c>
      <c r="C19" s="15">
        <f ca="1">OFFSET('curvas y escenarios'!C$5,VE!$B$19,0)/100</f>
        <v>4.9531009341594642E-2</v>
      </c>
      <c r="D19" s="15">
        <f ca="1">OFFSET('curvas y escenarios'!D$5,VE!$B$19,0)/100</f>
        <v>5.0433330932905827E-2</v>
      </c>
      <c r="E19" s="15">
        <f ca="1">OFFSET('curvas y escenarios'!E$5,VE!$B$19,0)/100</f>
        <v>5.3190843220515906E-2</v>
      </c>
      <c r="F19" s="15">
        <f ca="1">OFFSET('curvas y escenarios'!F$5,VE!$B$19,0)/100</f>
        <v>5.7344007311439613E-2</v>
      </c>
      <c r="G19" s="15">
        <f ca="1">OFFSET('curvas y escenarios'!G$5,VE!$B$19,0)/100</f>
        <v>6.1689718307886748E-2</v>
      </c>
      <c r="H19" s="15">
        <f ca="1">OFFSET('curvas y escenarios'!H$5,VE!$B$19,0)/100</f>
        <v>6.5441435248464852E-2</v>
      </c>
      <c r="I19" s="15">
        <f ca="1">OFFSET('curvas y escenarios'!I$5,VE!$B$19,0)/100</f>
        <v>7.0151615533165151E-2</v>
      </c>
      <c r="J19" s="15">
        <f ca="1">OFFSET('curvas y escenarios'!J$5,VE!$B$19,0)/100</f>
        <v>7.5088875776394934E-2</v>
      </c>
      <c r="K19" s="15">
        <f ca="1">OFFSET('curvas y escenarios'!K$5,VE!$B$19,0)/100</f>
        <v>8.0445504613100252E-2</v>
      </c>
      <c r="L19" s="15">
        <f ca="1">OFFSET('curvas y escenarios'!L$5,VE!$B$19,0)/100</f>
        <v>8.514481666005036E-2</v>
      </c>
      <c r="M19" s="15">
        <f ca="1">OFFSET('curvas y escenarios'!M$5,VE!$B$19,0)/100</f>
        <v>8.8191039193486628E-2</v>
      </c>
      <c r="N19" s="15">
        <f ca="1">OFFSET('curvas y escenarios'!N$5,VE!$B$19,0)/100</f>
        <v>9.0270299287193476E-2</v>
      </c>
      <c r="O19" s="15">
        <f ca="1">OFFSET('curvas y escenarios'!O$5,VE!$B$19,0)/100</f>
        <v>9.1756826226239582E-2</v>
      </c>
      <c r="P19" s="15">
        <f ca="1">OFFSET('curvas y escenarios'!P$5,VE!$B$19,0)/100</f>
        <v>9.2863043978883703E-2</v>
      </c>
      <c r="Q19" s="15">
        <f ca="1">OFFSET('curvas y escenarios'!Q$5,VE!$B$19,0)/100</f>
        <v>9.3714582899189977E-2</v>
      </c>
      <c r="R19" s="15">
        <f ca="1">OFFSET('curvas y escenarios'!R$5,VE!$B$19,0)/100</f>
        <v>9.4388830891454209E-2</v>
      </c>
      <c r="S19" s="15">
        <f ca="1">OFFSET('curvas y escenarios'!S$5,VE!$B$19,0)/100</f>
        <v>9.5766639772066314E-2</v>
      </c>
      <c r="T19" s="15">
        <f ca="1">OFFSET('curvas y escenarios'!T$5,VE!$B$19,0)/100</f>
        <v>9.7013915003238194E-2</v>
      </c>
      <c r="U19" s="15">
        <f ca="1">OFFSET('curvas y escenarios'!U$5,VE!$B$19,0)/100</f>
        <v>9.7949400317134019E-2</v>
      </c>
      <c r="V19" s="8"/>
    </row>
    <row r="20" spans="1:22" x14ac:dyDescent="0.25">
      <c r="A20" t="s">
        <v>80</v>
      </c>
      <c r="B20" s="6">
        <v>0.08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8"/>
    </row>
    <row r="21" spans="1:22" x14ac:dyDescent="0.25">
      <c r="A21" t="s">
        <v>81</v>
      </c>
      <c r="B21" s="14">
        <v>1</v>
      </c>
      <c r="C21" s="15">
        <f ca="1">OFFSET('curvas y escenarios'!C$8,VE!$B$21,0)/100</f>
        <v>5.3976017280948002E-2</v>
      </c>
      <c r="D21" s="15">
        <f ca="1">OFFSET('curvas y escenarios'!D$8,VE!$B$21,0)/100</f>
        <v>4.9965920483912046E-2</v>
      </c>
      <c r="E21" s="15">
        <f ca="1">OFFSET('curvas y escenarios'!E$8,VE!$B$21,0)/100</f>
        <v>4.5283913479357979E-2</v>
      </c>
      <c r="F21" s="15">
        <f ca="1">OFFSET('curvas y escenarios'!F$8,VE!$B$21,0)/100</f>
        <v>4.8600743382570019E-2</v>
      </c>
      <c r="G21" s="15">
        <f ca="1">OFFSET('curvas y escenarios'!G$8,VE!$B$21,0)/100</f>
        <v>5.5522351876880364E-2</v>
      </c>
      <c r="H21" s="15">
        <f ca="1">OFFSET('curvas y escenarios'!H$8,VE!$B$21,0)/100</f>
        <v>6.1435421948750631E-2</v>
      </c>
      <c r="I21" s="15">
        <f ca="1">OFFSET('curvas y escenarios'!I$8,VE!$B$21,0)/100</f>
        <v>6.8124758702288873E-2</v>
      </c>
      <c r="J21" s="15">
        <f ca="1">OFFSET('curvas y escenarios'!J$8,VE!$B$21,0)/100</f>
        <v>7.4455954282423478E-2</v>
      </c>
      <c r="K21" s="15">
        <f ca="1">OFFSET('curvas y escenarios'!K$8,VE!$B$21,0)/100</f>
        <v>8.08652850632611E-2</v>
      </c>
      <c r="L21" s="15">
        <f ca="1">OFFSET('curvas y escenarios'!L$8,VE!$B$21,0)/100</f>
        <v>8.6266626874173941E-2</v>
      </c>
      <c r="M21" s="15">
        <f ca="1">OFFSET('curvas y escenarios'!M$8,VE!$B$21,0)/100</f>
        <v>8.9702867135876344E-2</v>
      </c>
      <c r="N21" s="15">
        <f ca="1">OFFSET('curvas y escenarios'!N$8,VE!$B$21,0)/100</f>
        <v>9.2030320330964518E-2</v>
      </c>
      <c r="O21" s="15">
        <f ca="1">OFFSET('curvas y escenarios'!O$8,VE!$B$21,0)/100</f>
        <v>9.3688673263276623E-2</v>
      </c>
      <c r="P21" s="15">
        <f ca="1">OFFSET('curvas y escenarios'!P$8,VE!$B$21,0)/100</f>
        <v>9.4920896744315808E-2</v>
      </c>
      <c r="Q21" s="15">
        <f ca="1">OFFSET('curvas y escenarios'!Q$8,VE!$B$21,0)/100</f>
        <v>9.5868792986335952E-2</v>
      </c>
      <c r="R21" s="15">
        <f ca="1">OFFSET('curvas y escenarios'!R$8,VE!$B$21,0)/100</f>
        <v>9.661911254837427E-2</v>
      </c>
      <c r="S21" s="15">
        <f ca="1">OFFSET('curvas y escenarios'!S$8,VE!$B$21,0)/100</f>
        <v>9.8152107431325589E-2</v>
      </c>
      <c r="T21" s="15">
        <f ca="1">OFFSET('curvas y escenarios'!T$8,VE!$B$21,0)/100</f>
        <v>9.9539789045566249E-2</v>
      </c>
      <c r="U21" s="15">
        <f ca="1">OFFSET('curvas y escenarios'!U$8,VE!$B$21,0)/100</f>
        <v>0.10058057914676366</v>
      </c>
      <c r="V21" s="8"/>
    </row>
    <row r="22" spans="1:22" x14ac:dyDescent="0.25">
      <c r="A22" s="5" t="s">
        <v>74</v>
      </c>
      <c r="B22" s="6"/>
      <c r="C22" s="8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8"/>
      <c r="S22" s="8"/>
      <c r="T22" s="8"/>
      <c r="U22" s="8"/>
      <c r="V22" s="8"/>
    </row>
    <row r="23" spans="1:22" x14ac:dyDescent="0.25">
      <c r="A23" t="s">
        <v>88</v>
      </c>
      <c r="B23" s="6">
        <v>0.05</v>
      </c>
      <c r="I23" s="13"/>
    </row>
    <row r="24" spans="1:22" x14ac:dyDescent="0.25">
      <c r="A24" t="s">
        <v>87</v>
      </c>
      <c r="B24" s="14">
        <v>1</v>
      </c>
      <c r="C24" s="13">
        <f ca="1">OFFSET('curvas y escenarios'!C$11,VE!$B$24,0)/100</f>
        <v>5.8841700037650303E-2</v>
      </c>
      <c r="D24" s="13">
        <f ca="1">OFFSET('curvas y escenarios'!D$11,VE!$B$24,0)/100</f>
        <v>6.1589362689282716E-2</v>
      </c>
      <c r="E24" s="13">
        <f ca="1">OFFSET('curvas y escenarios'!E$11,VE!$B$24,0)/100</f>
        <v>6.6053336002600146E-2</v>
      </c>
      <c r="F24" s="13">
        <f ca="1">OFFSET('curvas y escenarios'!F$11,VE!$B$24,0)/100</f>
        <v>6.6594548167687923E-2</v>
      </c>
      <c r="G24" s="13">
        <f ca="1">OFFSET('curvas y escenarios'!G$11,VE!$B$24,0)/100</f>
        <v>6.4759851318520023E-2</v>
      </c>
      <c r="H24" s="13">
        <f ca="1">OFFSET('curvas y escenarios'!H$11,VE!$B$24,0)/100</f>
        <v>6.3484289134288496E-2</v>
      </c>
      <c r="I24" s="13">
        <f ca="1">OFFSET('curvas y escenarios'!I$11,VE!$B$24,0)/100</f>
        <v>6.3185120170017248E-2</v>
      </c>
      <c r="J24" s="13">
        <f ca="1">OFFSET('curvas y escenarios'!J$11,VE!$B$24,0)/100</f>
        <v>6.4341900086250722E-2</v>
      </c>
      <c r="K24" s="13">
        <f ca="1">OFFSET('curvas y escenarios'!K$11,VE!$B$24,0)/100</f>
        <v>6.6772467275198755E-2</v>
      </c>
      <c r="L24" s="13">
        <f ca="1">OFFSET('curvas y escenarios'!L$11,VE!$B$24,0)/100</f>
        <v>6.9513491197872229E-2</v>
      </c>
      <c r="M24" s="13">
        <f ca="1">OFFSET('curvas y escenarios'!M$11,VE!$B$24,0)/100</f>
        <v>7.1471616570357707E-2</v>
      </c>
      <c r="N24" s="13">
        <f ca="1">OFFSET('curvas y escenarios'!N$11,VE!$B$24,0)/100</f>
        <v>7.2858449880772044E-2</v>
      </c>
      <c r="O24" s="13">
        <f ca="1">OFFSET('curvas y escenarios'!O$11,VE!$B$24,0)/100</f>
        <v>7.3865604420901218E-2</v>
      </c>
      <c r="P24" s="13">
        <f ca="1">OFFSET('curvas y escenarios'!P$11,VE!$B$24,0)/100</f>
        <v>7.4620282414257846E-2</v>
      </c>
      <c r="Q24" s="13">
        <f ca="1">OFFSET('curvas y escenarios'!Q$11,VE!$B$24,0)/100</f>
        <v>7.5202996812755399E-2</v>
      </c>
      <c r="R24" s="13">
        <f ca="1">OFFSET('curvas y escenarios'!R$11,VE!$B$24,0)/100</f>
        <v>7.5665014919381171E-2</v>
      </c>
      <c r="S24" s="13">
        <f ca="1">OFFSET('curvas y escenarios'!S$11,VE!$B$24,0)/100</f>
        <v>7.6609874833290806E-2</v>
      </c>
      <c r="T24" s="13">
        <f ca="1">OFFSET('curvas y escenarios'!T$11,VE!$B$24,0)/100</f>
        <v>7.7465434332684255E-2</v>
      </c>
      <c r="U24" s="13">
        <f ca="1">OFFSET('curvas y escenarios'!U$11,VE!$B$24,0)/100</f>
        <v>7.8107132847746272E-2</v>
      </c>
    </row>
    <row r="25" spans="1:22" x14ac:dyDescent="0.25">
      <c r="B25" s="7" t="s">
        <v>93</v>
      </c>
    </row>
    <row r="26" spans="1:22" x14ac:dyDescent="0.25">
      <c r="A26" s="5" t="s">
        <v>85</v>
      </c>
    </row>
    <row r="27" spans="1:22" x14ac:dyDescent="0.25">
      <c r="A27" t="s">
        <v>66</v>
      </c>
      <c r="B27" s="14"/>
      <c r="C27" s="14">
        <f ca="1">C11*(1+C19)</f>
        <v>0</v>
      </c>
      <c r="D27" s="14">
        <f t="shared" ref="D27:U27" ca="1" si="0">D11*(1+D19)</f>
        <v>0</v>
      </c>
      <c r="E27" s="14">
        <f t="shared" ca="1" si="0"/>
        <v>210638.16864410319</v>
      </c>
      <c r="F27" s="14">
        <f t="shared" ca="1" si="0"/>
        <v>211468.8014622879</v>
      </c>
      <c r="G27" s="14">
        <f t="shared" ca="1" si="0"/>
        <v>212337.94366157736</v>
      </c>
      <c r="H27" s="14">
        <f t="shared" ca="1" si="0"/>
        <v>213088.28704969297</v>
      </c>
      <c r="I27" s="14">
        <f t="shared" ca="1" si="0"/>
        <v>162663.0455610411</v>
      </c>
      <c r="J27" s="14">
        <f t="shared" ca="1" si="0"/>
        <v>163413.50911801204</v>
      </c>
      <c r="K27" s="14">
        <f t="shared" ca="1" si="0"/>
        <v>164227.71670119124</v>
      </c>
      <c r="L27" s="14">
        <f t="shared" ca="1" si="0"/>
        <v>164942.01213232765</v>
      </c>
      <c r="M27" s="14">
        <f t="shared" ca="1" si="0"/>
        <v>165405.03795740995</v>
      </c>
      <c r="N27" s="14">
        <f t="shared" ca="1" si="0"/>
        <v>87221.623942975479</v>
      </c>
      <c r="O27" s="14">
        <f t="shared" ca="1" si="0"/>
        <v>87340.546098099163</v>
      </c>
      <c r="P27" s="14">
        <f t="shared" ca="1" si="0"/>
        <v>87429.043518310704</v>
      </c>
      <c r="Q27" s="14">
        <f t="shared" ca="1" si="0"/>
        <v>87497.166631935193</v>
      </c>
      <c r="R27" s="14">
        <f t="shared" ca="1" si="0"/>
        <v>87551.106471316336</v>
      </c>
      <c r="S27" s="14">
        <f t="shared" ca="1" si="0"/>
        <v>21915.332795441325</v>
      </c>
      <c r="T27" s="14">
        <f t="shared" ca="1" si="0"/>
        <v>10970.139150032381</v>
      </c>
      <c r="U27" s="14">
        <f t="shared" ca="1" si="0"/>
        <v>10979.49400317134</v>
      </c>
    </row>
    <row r="28" spans="1:22" x14ac:dyDescent="0.25">
      <c r="A28" t="s">
        <v>80</v>
      </c>
      <c r="B28" s="6"/>
      <c r="C28">
        <f>C12*(1+$B$20)</f>
        <v>0</v>
      </c>
      <c r="D28">
        <f t="shared" ref="D28:U28" si="1">D12*(1+$B$20)</f>
        <v>0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6480</v>
      </c>
      <c r="I28">
        <f t="shared" si="1"/>
        <v>40176</v>
      </c>
      <c r="J28">
        <f t="shared" si="1"/>
        <v>40176</v>
      </c>
      <c r="K28">
        <f t="shared" si="1"/>
        <v>40176</v>
      </c>
      <c r="L28">
        <f t="shared" si="1"/>
        <v>40176</v>
      </c>
      <c r="M28">
        <f t="shared" si="1"/>
        <v>40176</v>
      </c>
      <c r="N28">
        <f t="shared" si="1"/>
        <v>149040</v>
      </c>
      <c r="O28">
        <f t="shared" si="1"/>
        <v>149040</v>
      </c>
      <c r="P28">
        <f t="shared" si="1"/>
        <v>149040</v>
      </c>
      <c r="Q28">
        <f t="shared" si="1"/>
        <v>149040</v>
      </c>
      <c r="R28">
        <f t="shared" si="1"/>
        <v>149040</v>
      </c>
      <c r="S28">
        <f t="shared" si="1"/>
        <v>1944000.0000000002</v>
      </c>
      <c r="T28">
        <f t="shared" si="1"/>
        <v>2592000</v>
      </c>
      <c r="U28">
        <f t="shared" si="1"/>
        <v>991440.00000000012</v>
      </c>
    </row>
    <row r="29" spans="1:22" x14ac:dyDescent="0.25">
      <c r="A29" t="s">
        <v>81</v>
      </c>
      <c r="B29" s="14"/>
      <c r="C29" s="14">
        <f ca="1">C13*(1+C21)</f>
        <v>0</v>
      </c>
      <c r="D29" s="14">
        <f t="shared" ref="D29:U29" ca="1" si="2">D13*(1+D21)</f>
        <v>0</v>
      </c>
      <c r="E29" s="14">
        <f t="shared" ca="1" si="2"/>
        <v>115503.87243946905</v>
      </c>
      <c r="F29" s="14">
        <f t="shared" ca="1" si="2"/>
        <v>115870.38214377398</v>
      </c>
      <c r="G29" s="14">
        <f t="shared" ca="1" si="2"/>
        <v>116635.21988239528</v>
      </c>
      <c r="H29" s="14">
        <f t="shared" ca="1" si="2"/>
        <v>117288.61412533696</v>
      </c>
      <c r="I29" s="14">
        <f t="shared" ca="1" si="2"/>
        <v>187989.95753160285</v>
      </c>
      <c r="J29" s="14">
        <f t="shared" ca="1" si="2"/>
        <v>189104.24795370654</v>
      </c>
      <c r="K29" s="14">
        <f t="shared" ca="1" si="2"/>
        <v>190232.29017113397</v>
      </c>
      <c r="L29" s="14">
        <f t="shared" ca="1" si="2"/>
        <v>191182.92632985458</v>
      </c>
      <c r="M29" s="14">
        <f t="shared" ca="1" si="2"/>
        <v>191787.70461591423</v>
      </c>
      <c r="N29" s="14">
        <f t="shared" ca="1" si="2"/>
        <v>122744.20800520042</v>
      </c>
      <c r="O29" s="14">
        <f t="shared" ca="1" si="2"/>
        <v>122930.60687479231</v>
      </c>
      <c r="P29" s="14">
        <f t="shared" ca="1" si="2"/>
        <v>123069.10879406112</v>
      </c>
      <c r="Q29" s="14">
        <f t="shared" ca="1" si="2"/>
        <v>123175.65233166418</v>
      </c>
      <c r="R29" s="14">
        <f t="shared" ca="1" si="2"/>
        <v>123259.98825043728</v>
      </c>
      <c r="S29" s="14">
        <f t="shared" ca="1" si="2"/>
        <v>87852.168594506045</v>
      </c>
      <c r="T29" s="14">
        <f t="shared" ca="1" si="2"/>
        <v>21990.795780911325</v>
      </c>
      <c r="U29" s="14">
        <f t="shared" ca="1" si="2"/>
        <v>16508.708687201455</v>
      </c>
    </row>
    <row r="30" spans="1:22" x14ac:dyDescent="0.25">
      <c r="A30" s="5" t="s">
        <v>74</v>
      </c>
      <c r="B30" s="6"/>
    </row>
    <row r="31" spans="1:22" x14ac:dyDescent="0.25">
      <c r="A31" t="s">
        <v>88</v>
      </c>
      <c r="B31" s="6"/>
      <c r="C31" s="14">
        <f>C15*(1+$B$23)</f>
        <v>252000</v>
      </c>
      <c r="D31" s="14">
        <f t="shared" ref="D31:U31" si="3">D15*(1+$B$23)</f>
        <v>252000</v>
      </c>
      <c r="E31" s="14">
        <f t="shared" si="3"/>
        <v>252000</v>
      </c>
      <c r="F31" s="14">
        <f t="shared" si="3"/>
        <v>252000</v>
      </c>
      <c r="G31" s="14">
        <f t="shared" si="3"/>
        <v>126000</v>
      </c>
      <c r="H31" s="14">
        <f t="shared" si="3"/>
        <v>126000</v>
      </c>
      <c r="I31" s="14">
        <f t="shared" si="3"/>
        <v>0</v>
      </c>
      <c r="J31" s="14">
        <f t="shared" si="3"/>
        <v>0</v>
      </c>
      <c r="K31" s="14">
        <f t="shared" si="3"/>
        <v>0</v>
      </c>
      <c r="L31" s="14">
        <f t="shared" si="3"/>
        <v>0</v>
      </c>
      <c r="M31" s="14">
        <f t="shared" si="3"/>
        <v>0</v>
      </c>
      <c r="N31" s="14">
        <f t="shared" si="3"/>
        <v>0</v>
      </c>
      <c r="O31" s="14">
        <f t="shared" si="3"/>
        <v>0</v>
      </c>
      <c r="P31" s="14">
        <f t="shared" si="3"/>
        <v>0</v>
      </c>
      <c r="Q31" s="14">
        <f t="shared" si="3"/>
        <v>0</v>
      </c>
      <c r="R31" s="14">
        <f t="shared" si="3"/>
        <v>0</v>
      </c>
      <c r="S31" s="14">
        <f t="shared" si="3"/>
        <v>0</v>
      </c>
      <c r="T31" s="14">
        <f t="shared" si="3"/>
        <v>0</v>
      </c>
      <c r="U31" s="14">
        <f t="shared" si="3"/>
        <v>0</v>
      </c>
    </row>
    <row r="32" spans="1:22" x14ac:dyDescent="0.25">
      <c r="A32" t="s">
        <v>87</v>
      </c>
      <c r="B32" s="14"/>
      <c r="C32" s="14">
        <f ca="1">C16*(1+C24)</f>
        <v>0</v>
      </c>
      <c r="D32" s="14">
        <f t="shared" ref="D32:U32" ca="1" si="4">D16*(1+D24)</f>
        <v>177544.73530682595</v>
      </c>
      <c r="E32" s="14">
        <f t="shared" ca="1" si="4"/>
        <v>529091.87082571548</v>
      </c>
      <c r="F32" s="14">
        <f t="shared" ca="1" si="4"/>
        <v>534060.03901676275</v>
      </c>
      <c r="G32" s="14">
        <f t="shared" ca="1" si="4"/>
        <v>209801.79838654041</v>
      </c>
      <c r="H32" s="14">
        <f t="shared" ca="1" si="4"/>
        <v>287435.04496695497</v>
      </c>
      <c r="I32" s="14">
        <f t="shared" ca="1" si="4"/>
        <v>26792.265028284437</v>
      </c>
      <c r="J32" s="14">
        <f t="shared" ca="1" si="4"/>
        <v>19158.154201552512</v>
      </c>
      <c r="K32" s="14">
        <f t="shared" ca="1" si="4"/>
        <v>19201.904410953579</v>
      </c>
      <c r="L32" s="14">
        <f t="shared" ca="1" si="4"/>
        <v>19251.242841561703</v>
      </c>
      <c r="M32" s="14">
        <f t="shared" ca="1" si="4"/>
        <v>19286.48909826644</v>
      </c>
      <c r="N32" s="14">
        <f t="shared" ca="1" si="4"/>
        <v>19311.452097853897</v>
      </c>
      <c r="O32" s="14">
        <f t="shared" ca="1" si="4"/>
        <v>19329.58087957622</v>
      </c>
      <c r="P32" s="14">
        <f t="shared" ca="1" si="4"/>
        <v>19343.165083456643</v>
      </c>
      <c r="Q32" s="14">
        <f t="shared" ca="1" si="4"/>
        <v>19353.653942629597</v>
      </c>
      <c r="R32" s="14">
        <f t="shared" ca="1" si="4"/>
        <v>0</v>
      </c>
      <c r="S32" s="14">
        <f t="shared" ca="1" si="4"/>
        <v>0</v>
      </c>
      <c r="T32" s="14">
        <f t="shared" ca="1" si="4"/>
        <v>0</v>
      </c>
      <c r="U32" s="14">
        <f t="shared" ca="1" si="4"/>
        <v>0</v>
      </c>
    </row>
    <row r="34" spans="1:23" x14ac:dyDescent="0.25">
      <c r="A34" t="s">
        <v>94</v>
      </c>
      <c r="C34" s="14">
        <f ca="1">SUM(C27:C29)</f>
        <v>0</v>
      </c>
      <c r="D34" s="14">
        <f t="shared" ref="D34:U34" ca="1" si="5">SUM(D27:D29)</f>
        <v>0</v>
      </c>
      <c r="E34" s="14">
        <f t="shared" ca="1" si="5"/>
        <v>326142.04108357226</v>
      </c>
      <c r="F34" s="14">
        <f t="shared" ca="1" si="5"/>
        <v>327339.18360606185</v>
      </c>
      <c r="G34" s="14">
        <f t="shared" ca="1" si="5"/>
        <v>328973.16354397265</v>
      </c>
      <c r="H34" s="14">
        <f t="shared" ca="1" si="5"/>
        <v>336856.90117502993</v>
      </c>
      <c r="I34" s="14">
        <f t="shared" ca="1" si="5"/>
        <v>390829.00309264392</v>
      </c>
      <c r="J34" s="14">
        <f t="shared" ca="1" si="5"/>
        <v>392693.75707171857</v>
      </c>
      <c r="K34" s="14">
        <f t="shared" ca="1" si="5"/>
        <v>394636.0068723252</v>
      </c>
      <c r="L34" s="14">
        <f t="shared" ca="1" si="5"/>
        <v>396300.93846218224</v>
      </c>
      <c r="M34" s="14">
        <f t="shared" ca="1" si="5"/>
        <v>397368.74257332418</v>
      </c>
      <c r="N34" s="14">
        <f t="shared" ca="1" si="5"/>
        <v>359005.83194817591</v>
      </c>
      <c r="O34" s="14">
        <f t="shared" ca="1" si="5"/>
        <v>359311.15297289146</v>
      </c>
      <c r="P34" s="14">
        <f t="shared" ca="1" si="5"/>
        <v>359538.15231237182</v>
      </c>
      <c r="Q34" s="14">
        <f t="shared" ca="1" si="5"/>
        <v>359712.81896359939</v>
      </c>
      <c r="R34" s="14">
        <f t="shared" ca="1" si="5"/>
        <v>359851.09472175362</v>
      </c>
      <c r="S34" s="14">
        <f t="shared" ca="1" si="5"/>
        <v>2053767.5013899477</v>
      </c>
      <c r="T34" s="14">
        <f t="shared" ca="1" si="5"/>
        <v>2624960.9349309434</v>
      </c>
      <c r="U34" s="14">
        <f t="shared" ca="1" si="5"/>
        <v>1018928.2026903729</v>
      </c>
    </row>
    <row r="35" spans="1:23" x14ac:dyDescent="0.25">
      <c r="A35" t="s">
        <v>95</v>
      </c>
      <c r="C35" s="14">
        <f ca="1">SUM(C31:C32)</f>
        <v>252000</v>
      </c>
      <c r="D35" s="14">
        <f t="shared" ref="D35:U35" ca="1" si="6">SUM(D31:D32)</f>
        <v>429544.73530682595</v>
      </c>
      <c r="E35" s="14">
        <f t="shared" ca="1" si="6"/>
        <v>781091.87082571548</v>
      </c>
      <c r="F35" s="14">
        <f t="shared" ca="1" si="6"/>
        <v>786060.03901676275</v>
      </c>
      <c r="G35" s="14">
        <f t="shared" ca="1" si="6"/>
        <v>335801.79838654038</v>
      </c>
      <c r="H35" s="14">
        <f t="shared" ca="1" si="6"/>
        <v>413435.04496695497</v>
      </c>
      <c r="I35" s="14">
        <f t="shared" ca="1" si="6"/>
        <v>26792.265028284437</v>
      </c>
      <c r="J35" s="14">
        <f t="shared" ca="1" si="6"/>
        <v>19158.154201552512</v>
      </c>
      <c r="K35" s="14">
        <f t="shared" ca="1" si="6"/>
        <v>19201.904410953579</v>
      </c>
      <c r="L35" s="14">
        <f t="shared" ca="1" si="6"/>
        <v>19251.242841561703</v>
      </c>
      <c r="M35" s="14">
        <f t="shared" ca="1" si="6"/>
        <v>19286.48909826644</v>
      </c>
      <c r="N35" s="14">
        <f t="shared" ca="1" si="6"/>
        <v>19311.452097853897</v>
      </c>
      <c r="O35" s="14">
        <f t="shared" ca="1" si="6"/>
        <v>19329.58087957622</v>
      </c>
      <c r="P35" s="14">
        <f t="shared" ca="1" si="6"/>
        <v>19343.165083456643</v>
      </c>
      <c r="Q35" s="14">
        <f t="shared" ca="1" si="6"/>
        <v>19353.653942629597</v>
      </c>
      <c r="R35" s="14">
        <f t="shared" ca="1" si="6"/>
        <v>0</v>
      </c>
      <c r="S35" s="14">
        <f t="shared" ca="1" si="6"/>
        <v>0</v>
      </c>
      <c r="T35" s="14">
        <f t="shared" ca="1" si="6"/>
        <v>0</v>
      </c>
      <c r="U35" s="14">
        <f t="shared" ca="1" si="6"/>
        <v>0</v>
      </c>
    </row>
    <row r="36" spans="1:23" x14ac:dyDescent="0.25">
      <c r="A36" t="s">
        <v>96</v>
      </c>
      <c r="B36" t="s">
        <v>97</v>
      </c>
      <c r="C36" s="14">
        <f ca="1">C34-C35</f>
        <v>-252000</v>
      </c>
      <c r="D36" s="14">
        <f t="shared" ref="D36:U36" ca="1" si="7">D34-D35</f>
        <v>-429544.73530682595</v>
      </c>
      <c r="E36" s="14">
        <f t="shared" ca="1" si="7"/>
        <v>-454949.82974214322</v>
      </c>
      <c r="F36" s="14">
        <f t="shared" ca="1" si="7"/>
        <v>-458720.8554107009</v>
      </c>
      <c r="G36" s="14">
        <f t="shared" ca="1" si="7"/>
        <v>-6828.6348425677279</v>
      </c>
      <c r="H36" s="14">
        <f t="shared" ca="1" si="7"/>
        <v>-76578.143791925046</v>
      </c>
      <c r="I36" s="14">
        <f t="shared" ca="1" si="7"/>
        <v>364036.73806435947</v>
      </c>
      <c r="J36" s="14">
        <f t="shared" ca="1" si="7"/>
        <v>373535.60287016607</v>
      </c>
      <c r="K36" s="14">
        <f t="shared" ca="1" si="7"/>
        <v>375434.10246137163</v>
      </c>
      <c r="L36" s="14">
        <f t="shared" ca="1" si="7"/>
        <v>377049.69562062051</v>
      </c>
      <c r="M36" s="14">
        <f t="shared" ca="1" si="7"/>
        <v>378082.25347505772</v>
      </c>
      <c r="N36" s="14">
        <f t="shared" ca="1" si="7"/>
        <v>339694.37985032203</v>
      </c>
      <c r="O36" s="14">
        <f t="shared" ca="1" si="7"/>
        <v>339981.57209331525</v>
      </c>
      <c r="P36" s="14">
        <f t="shared" ca="1" si="7"/>
        <v>340194.98722891515</v>
      </c>
      <c r="Q36" s="14">
        <f t="shared" ca="1" si="7"/>
        <v>340359.16502096981</v>
      </c>
      <c r="R36" s="14">
        <f t="shared" ca="1" si="7"/>
        <v>359851.09472175362</v>
      </c>
      <c r="S36" s="14">
        <f t="shared" ca="1" si="7"/>
        <v>2053767.5013899477</v>
      </c>
      <c r="T36" s="14">
        <f t="shared" ca="1" si="7"/>
        <v>2624960.9349309434</v>
      </c>
      <c r="U36" s="14">
        <f t="shared" ca="1" si="7"/>
        <v>1018928.2026903729</v>
      </c>
    </row>
    <row r="37" spans="1:23" x14ac:dyDescent="0.25">
      <c r="A37" t="s">
        <v>99</v>
      </c>
      <c r="B37" t="s">
        <v>98</v>
      </c>
      <c r="C37">
        <f ca="1">EXP(-('curvas y escenarios'!C$17/100)*VE!C$8)</f>
        <v>0.99984887857160698</v>
      </c>
      <c r="D37">
        <f ca="1">EXP(-('curvas y escenarios'!D$17/100)*VE!D$8)</f>
        <v>0.99791859025951524</v>
      </c>
      <c r="E37">
        <f ca="1">EXP(-('curvas y escenarios'!E$17/100)*VE!E$8)</f>
        <v>0.99247959246826434</v>
      </c>
      <c r="F37">
        <f ca="1">EXP(-('curvas y escenarios'!F$17/100)*VE!F$8)</f>
        <v>0.98193979725121983</v>
      </c>
      <c r="G37">
        <f ca="1">EXP(-('curvas y escenarios'!G$17/100)*VE!G$8)</f>
        <v>0.96589372154854414</v>
      </c>
      <c r="H37">
        <f ca="1">EXP(-('curvas y escenarios'!H$17/100)*VE!H$8)</f>
        <v>0.94766331363279799</v>
      </c>
      <c r="I37">
        <f ca="1">EXP(-('curvas y escenarios'!I$17/100)*VE!I$8)</f>
        <v>0.91836905506914079</v>
      </c>
      <c r="J37">
        <f ca="1">EXP(-('curvas y escenarios'!J$17/100)*VE!J$8)</f>
        <v>0.87783386769922966</v>
      </c>
      <c r="K37">
        <f ca="1">EXP(-('curvas y escenarios'!K$17/100)*VE!K$8)</f>
        <v>0.81696157858953122</v>
      </c>
      <c r="L37">
        <f ca="1">EXP(-('curvas y escenarios'!L$17/100)*VE!L$8)</f>
        <v>0.73938745871410594</v>
      </c>
      <c r="M37">
        <f ca="1">EXP(-('curvas y escenarios'!M$17/100)*VE!M$8)</f>
        <v>0.66786922063064391</v>
      </c>
      <c r="N37">
        <f ca="1">EXP(-('curvas y escenarios'!N$17/100)*VE!N$8)</f>
        <v>0.60280183878964622</v>
      </c>
      <c r="O37">
        <f ca="1">EXP(-('curvas y escenarios'!O$17/100)*VE!O$8)</f>
        <v>0.54390734070990865</v>
      </c>
      <c r="P37">
        <f ca="1">EXP(-('curvas y escenarios'!P$17/100)*VE!P$8)</f>
        <v>0.49070766003591659</v>
      </c>
      <c r="Q37">
        <f ca="1">EXP(-('curvas y escenarios'!Q$17/100)*VE!Q$8)</f>
        <v>0.44269034874060897</v>
      </c>
      <c r="R37">
        <f ca="1">EXP(-('curvas y escenarios'!R$17/100)*VE!R$8)</f>
        <v>0.39936417095022986</v>
      </c>
      <c r="S37">
        <f ca="1">EXP(-('curvas y escenarios'!S$17/100)*VE!S$8)</f>
        <v>0.29319969685424707</v>
      </c>
      <c r="T37">
        <f ca="1">EXP(-('curvas y escenarios'!T$17/100)*VE!T$8)</f>
        <v>0.17517911603515357</v>
      </c>
      <c r="U37">
        <f ca="1">EXP(-('curvas y escenarios'!U$17/100)*VE!U$8)</f>
        <v>8.0902182407948151E-2</v>
      </c>
    </row>
    <row r="38" spans="1:23" x14ac:dyDescent="0.25">
      <c r="A38" t="s">
        <v>101</v>
      </c>
      <c r="B38" t="s">
        <v>100</v>
      </c>
      <c r="C38" s="14">
        <f ca="1">C37*C36</f>
        <v>-251961.91740004497</v>
      </c>
      <c r="D38" s="14">
        <f t="shared" ref="D38:U38" ca="1" si="8">D37*D36</f>
        <v>-428650.67671078438</v>
      </c>
      <c r="E38" s="14">
        <f t="shared" ca="1" si="8"/>
        <v>-451528.42161598854</v>
      </c>
      <c r="F38" s="14">
        <f t="shared" ca="1" si="8"/>
        <v>-450436.26375688979</v>
      </c>
      <c r="G38" s="14">
        <f t="shared" ca="1" si="8"/>
        <v>-6595.7355211837994</v>
      </c>
      <c r="H38" s="14">
        <f t="shared" ca="1" si="8"/>
        <v>-72570.297497704567</v>
      </c>
      <c r="I38" s="14">
        <f t="shared" ca="1" si="8"/>
        <v>334320.07514661812</v>
      </c>
      <c r="J38" s="14">
        <f t="shared" ca="1" si="8"/>
        <v>327902.20299088134</v>
      </c>
      <c r="K38" s="14">
        <f t="shared" ca="1" si="8"/>
        <v>306715.23700318596</v>
      </c>
      <c r="L38" s="14">
        <f t="shared" ca="1" si="8"/>
        <v>278785.81625385775</v>
      </c>
      <c r="M38" s="14">
        <f t="shared" ca="1" si="8"/>
        <v>252509.49996266435</v>
      </c>
      <c r="N38" s="14">
        <f t="shared" ca="1" si="8"/>
        <v>204768.39680028267</v>
      </c>
      <c r="O38" s="14">
        <f t="shared" ca="1" si="8"/>
        <v>184918.47276764919</v>
      </c>
      <c r="P38" s="14">
        <f t="shared" ca="1" si="8"/>
        <v>166936.28613904948</v>
      </c>
      <c r="Q38" s="14">
        <f t="shared" ca="1" si="8"/>
        <v>150673.71746019559</v>
      </c>
      <c r="R38" s="14">
        <f t="shared" ca="1" si="8"/>
        <v>143711.63410908577</v>
      </c>
      <c r="S38" s="14">
        <f t="shared" ca="1" si="8"/>
        <v>602164.0088166371</v>
      </c>
      <c r="T38" s="14">
        <f t="shared" ca="1" si="8"/>
        <v>459838.33620801294</v>
      </c>
      <c r="U38" s="14">
        <f t="shared" ca="1" si="8"/>
        <v>82433.515314659322</v>
      </c>
    </row>
    <row r="39" spans="1:23" x14ac:dyDescent="0.25">
      <c r="A39" t="s">
        <v>102</v>
      </c>
      <c r="C39" s="14">
        <f ca="1">C38</f>
        <v>-251961.91740004497</v>
      </c>
      <c r="D39" s="14">
        <f ca="1">SUM($C38:D38)</f>
        <v>-680612.59411082929</v>
      </c>
      <c r="E39" s="14">
        <f ca="1">SUM($C38:E38)</f>
        <v>-1132141.0157268178</v>
      </c>
      <c r="F39" s="14">
        <f ca="1">SUM($C38:F38)</f>
        <v>-1582577.2794837076</v>
      </c>
      <c r="G39" s="14">
        <f ca="1">SUM($C38:G38)</f>
        <v>-1589173.0150048914</v>
      </c>
      <c r="H39" s="14">
        <f ca="1">SUM($C38:H38)</f>
        <v>-1661743.3125025961</v>
      </c>
      <c r="I39" s="14">
        <f ca="1">SUM($C38:I38)</f>
        <v>-1327423.237355978</v>
      </c>
      <c r="J39" s="14">
        <f ca="1">SUM($C38:J38)</f>
        <v>-999521.0343650966</v>
      </c>
      <c r="K39" s="14">
        <f ca="1">SUM($C38:K38)</f>
        <v>-692805.79736191058</v>
      </c>
      <c r="L39" s="14">
        <f ca="1">SUM($C38:L38)</f>
        <v>-414019.98110805283</v>
      </c>
      <c r="M39" s="14">
        <f ca="1">SUM($C38:M38)</f>
        <v>-161510.48114538848</v>
      </c>
      <c r="N39" s="14">
        <f ca="1">SUM($C38:N38)</f>
        <v>43257.915654894197</v>
      </c>
      <c r="O39" s="14">
        <f ca="1">SUM($C38:O38)</f>
        <v>228176.38842254339</v>
      </c>
      <c r="P39" s="14">
        <f ca="1">SUM($C38:P38)</f>
        <v>395112.67456159287</v>
      </c>
      <c r="Q39" s="14">
        <f ca="1">SUM($C38:Q38)</f>
        <v>545786.39202178852</v>
      </c>
      <c r="R39" s="14">
        <f ca="1">SUM($C38:R38)</f>
        <v>689498.02613087429</v>
      </c>
      <c r="S39" s="14">
        <f ca="1">SUM($C38:S38)</f>
        <v>1291662.0349475113</v>
      </c>
      <c r="T39" s="14">
        <f ca="1">SUM($C38:T38)</f>
        <v>1751500.3711555242</v>
      </c>
      <c r="U39" s="18">
        <f ca="1">SUM($C38:U38)</f>
        <v>1833933.8864701835</v>
      </c>
      <c r="V39" s="5" t="s">
        <v>105</v>
      </c>
    </row>
    <row r="41" spans="1:23" x14ac:dyDescent="0.25">
      <c r="A41" s="5" t="s">
        <v>106</v>
      </c>
      <c r="V41" s="5" t="s">
        <v>108</v>
      </c>
      <c r="W41" s="5" t="s">
        <v>109</v>
      </c>
    </row>
    <row r="42" spans="1:23" x14ac:dyDescent="0.25">
      <c r="A42" t="s">
        <v>49</v>
      </c>
      <c r="B42" t="s">
        <v>107</v>
      </c>
      <c r="C42" s="14">
        <f ca="1">EXP(-('curvas y escenarios'!C$21/100)*VE!C$8)*C$36</f>
        <v>-251933.69924554229</v>
      </c>
      <c r="D42" s="14">
        <f ca="1">EXP(-('curvas y escenarios'!D$21/100)*VE!D$8)*D$36</f>
        <v>-427936.28335172578</v>
      </c>
      <c r="E42" s="14">
        <f ca="1">EXP(-('curvas y escenarios'!E$21/100)*VE!E$8)*E$36</f>
        <v>-448527.64580562717</v>
      </c>
      <c r="F42" s="14">
        <f ca="1">EXP(-('curvas y escenarios'!F$21/100)*VE!F$8)*F$36</f>
        <v>-443730.14145710639</v>
      </c>
      <c r="G42" s="14">
        <f ca="1">EXP(-('curvas y escenarios'!G$21/100)*VE!G$8)*G$36</f>
        <v>-6432.8862309279202</v>
      </c>
      <c r="H42" s="14">
        <f ca="1">EXP(-('curvas y escenarios'!H$21/100)*VE!H$8)*H$36</f>
        <v>-70074.272323206445</v>
      </c>
      <c r="I42" s="14">
        <f ca="1">EXP(-('curvas y escenarios'!I$21/100)*VE!I$8)*I$36</f>
        <v>318015.09268075303</v>
      </c>
      <c r="J42" s="14">
        <f ca="1">EXP(-('curvas y escenarios'!J$21/100)*VE!J$8)*J$36</f>
        <v>305733.98760224349</v>
      </c>
      <c r="K42" s="14">
        <f ca="1">EXP(-('curvas y escenarios'!K$21/100)*VE!K$8)*K$36</f>
        <v>277527.42312225024</v>
      </c>
      <c r="L42" s="14">
        <f ca="1">EXP(-('curvas y escenarios'!L$21/100)*VE!L$8)*L$36</f>
        <v>242364.74527266948</v>
      </c>
      <c r="M42" s="14">
        <f ca="1">EXP(-('curvas y escenarios'!M$21/100)*VE!M$8)*M$36</f>
        <v>210913.66341716927</v>
      </c>
      <c r="N42" s="14">
        <f ca="1">EXP(-('curvas y escenarios'!N$21/100)*VE!N$8)*N$36</f>
        <v>164330.48766086667</v>
      </c>
      <c r="O42" s="14">
        <f ca="1">EXP(-('curvas y escenarios'!O$21/100)*VE!O$8)*O$36</f>
        <v>142581.68167186953</v>
      </c>
      <c r="P42" s="14">
        <f ca="1">EXP(-('curvas y escenarios'!P$21/100)*VE!P$8)*P$36</f>
        <v>123669.44246474476</v>
      </c>
      <c r="Q42" s="14">
        <f ca="1">EXP(-('curvas y escenarios'!Q$21/100)*VE!Q$8)*Q$36</f>
        <v>107245.08050848571</v>
      </c>
      <c r="R42" s="14">
        <f ca="1">EXP(-('curvas y escenarios'!R$21/100)*VE!R$8)*R$36</f>
        <v>98278.840622049858</v>
      </c>
      <c r="S42" s="14">
        <f ca="1">EXP(-('curvas y escenarios'!S$21/100)*VE!S$8)*S$36</f>
        <v>365230.93352275895</v>
      </c>
      <c r="T42" s="14">
        <f ca="1">EXP(-('curvas y escenarios'!T$21/100)*VE!T$8)*T$36</f>
        <v>228348.95988079245</v>
      </c>
      <c r="U42" s="14">
        <f ca="1">EXP(-('curvas y escenarios'!U$21/100)*VE!U$8)*U$36</f>
        <v>30325.595547754401</v>
      </c>
      <c r="V42" s="14">
        <f ca="1">SUM(C42:U42)</f>
        <v>965931.00556027156</v>
      </c>
      <c r="W42" s="14">
        <f ca="1">$U$39-V42</f>
        <v>868002.88090991194</v>
      </c>
    </row>
    <row r="43" spans="1:23" x14ac:dyDescent="0.25">
      <c r="A43" t="s">
        <v>50</v>
      </c>
      <c r="B43" t="s">
        <v>107</v>
      </c>
      <c r="C43" s="14">
        <f ca="1">EXP(-('curvas y escenarios'!C$22/100)*VE!C$8)*C$36</f>
        <v>-251990.1387151579</v>
      </c>
      <c r="D43" s="14">
        <f ca="1">EXP(-('curvas y escenarios'!D$22/100)*VE!D$8)*D$36</f>
        <v>-429366.26267231989</v>
      </c>
      <c r="E43" s="14">
        <f ca="1">EXP(-('curvas y escenarios'!E$22/100)*VE!E$8)*E$36</f>
        <v>-454549.27345855942</v>
      </c>
      <c r="F43" s="14">
        <f ca="1">EXP(-('curvas y escenarios'!F$22/100)*VE!F$8)*F$36</f>
        <v>-457243.73611631064</v>
      </c>
      <c r="G43" s="14">
        <f ca="1">EXP(-('curvas y escenarios'!G$22/100)*VE!G$8)*G$36</f>
        <v>-6762.707360849824</v>
      </c>
      <c r="H43" s="14">
        <f ca="1">EXP(-('curvas y escenarios'!H$22/100)*VE!H$8)*H$36</f>
        <v>-75155.230362074828</v>
      </c>
      <c r="I43" s="14">
        <f ca="1">EXP(-('curvas y escenarios'!I$22/100)*VE!I$8)*I$36</f>
        <v>351461.03193989996</v>
      </c>
      <c r="J43" s="14">
        <f ca="1">EXP(-('curvas y escenarios'!J$22/100)*VE!J$8)*J$36</f>
        <v>351677.79535900103</v>
      </c>
      <c r="K43" s="14">
        <f ca="1">EXP(-('curvas y escenarios'!K$22/100)*VE!K$8)*K$36</f>
        <v>338972.76006660092</v>
      </c>
      <c r="L43" s="14">
        <f ca="1">EXP(-('curvas y escenarios'!L$22/100)*VE!L$8)*L$36</f>
        <v>320680.01992983784</v>
      </c>
      <c r="M43" s="14">
        <f ca="1">EXP(-('curvas y escenarios'!M$22/100)*VE!M$8)*M$36</f>
        <v>302308.75770850788</v>
      </c>
      <c r="N43" s="14">
        <f ca="1">EXP(-('curvas y escenarios'!N$22/100)*VE!N$8)*N$36</f>
        <v>255157.1344125157</v>
      </c>
      <c r="O43" s="14">
        <f ca="1">EXP(-('curvas y escenarios'!O$22/100)*VE!O$8)*O$36</f>
        <v>239826.33091264946</v>
      </c>
      <c r="P43" s="14">
        <f ca="1">EXP(-('curvas y escenarios'!P$22/100)*VE!P$8)*P$36</f>
        <v>225340.4161488238</v>
      </c>
      <c r="Q43" s="14">
        <f ca="1">EXP(-('curvas y escenarios'!Q$22/100)*VE!Q$8)*Q$36</f>
        <v>211688.67630696154</v>
      </c>
      <c r="R43" s="14">
        <f ca="1">EXP(-('curvas y escenarios'!R$22/100)*VE!R$8)*R$36</f>
        <v>210147.30788012597</v>
      </c>
      <c r="S43" s="14">
        <f ca="1">EXP(-('curvas y escenarios'!S$22/100)*VE!S$8)*S$36</f>
        <v>992800.60978604911</v>
      </c>
      <c r="T43" s="14">
        <f ca="1">EXP(-('curvas y escenarios'!T$22/100)*VE!T$8)*T$36</f>
        <v>926000.69453760528</v>
      </c>
      <c r="U43" s="14">
        <f ca="1">EXP(-('curvas y escenarios'!U$22/100)*VE!U$8)*U$36</f>
        <v>224077.52673583882</v>
      </c>
      <c r="V43" s="14">
        <f t="shared" ref="V43:V49" ca="1" si="9">SUM(C43:U43)</f>
        <v>3275071.7130391449</v>
      </c>
      <c r="W43" s="14">
        <f t="shared" ref="W43:W49" ca="1" si="10">$U$39-V43</f>
        <v>-1441137.8265689614</v>
      </c>
    </row>
    <row r="44" spans="1:23" x14ac:dyDescent="0.25">
      <c r="A44" t="s">
        <v>51</v>
      </c>
      <c r="B44" t="s">
        <v>107</v>
      </c>
      <c r="C44" s="14">
        <f ca="1">EXP(-('curvas y escenarios'!C$24/100)*VE!C$8)*C$36</f>
        <v>-251926.66988089387</v>
      </c>
      <c r="D44" s="14">
        <f ca="1">EXP(-('curvas y escenarios'!D$24/100)*VE!D$8)*D$36</f>
        <v>-427767.12072486442</v>
      </c>
      <c r="E44" s="14">
        <f ca="1">EXP(-('curvas y escenarios'!E$24/100)*VE!E$8)*E$36</f>
        <v>-447932.94402204809</v>
      </c>
      <c r="F44" s="14">
        <f ca="1">EXP(-('curvas y escenarios'!F$24/100)*VE!F$8)*F$36</f>
        <v>-442811.65377788834</v>
      </c>
      <c r="G44" s="14">
        <f ca="1">EXP(-('curvas y escenarios'!G$24/100)*VE!G$8)*G$36</f>
        <v>-6421.7699032119499</v>
      </c>
      <c r="H44" s="14">
        <f ca="1">EXP(-('curvas y escenarios'!H$24/100)*VE!H$8)*H$36</f>
        <v>-70063.473827096474</v>
      </c>
      <c r="I44" s="14">
        <f ca="1">EXP(-('curvas y escenarios'!I$24/100)*VE!I$8)*I$36</f>
        <v>319377.20533894439</v>
      </c>
      <c r="J44" s="14">
        <f ca="1">EXP(-('curvas y escenarios'!J$24/100)*VE!J$8)*J$36</f>
        <v>309891.16532809188</v>
      </c>
      <c r="K44" s="14">
        <f ca="1">EXP(-('curvas y escenarios'!K$24/100)*VE!K$8)*K$36</f>
        <v>286865.10039753449</v>
      </c>
      <c r="L44" s="14">
        <f ca="1">EXP(-('curvas y escenarios'!L$24/100)*VE!L$8)*L$36</f>
        <v>259172.26330022875</v>
      </c>
      <c r="M44" s="14">
        <f ca="1">EXP(-('curvas y escenarios'!M$24/100)*VE!M$8)*M$36</f>
        <v>234722.05429530045</v>
      </c>
      <c r="N44" s="14">
        <f ca="1">EXP(-('curvas y escenarios'!N$24/100)*VE!N$8)*N$36</f>
        <v>191014.37364729735</v>
      </c>
      <c r="O44" s="14">
        <f ca="1">EXP(-('curvas y escenarios'!O$24/100)*VE!O$8)*O$36</f>
        <v>173455.09470847546</v>
      </c>
      <c r="P44" s="14">
        <f ca="1">EXP(-('curvas y escenarios'!P$24/100)*VE!P$8)*P$36</f>
        <v>157606.92344179956</v>
      </c>
      <c r="Q44" s="14">
        <f ca="1">EXP(-('curvas y escenarios'!Q$24/100)*VE!Q$8)*Q$36</f>
        <v>143216.52928856071</v>
      </c>
      <c r="R44" s="14">
        <f ca="1">EXP(-('curvas y escenarios'!R$24/100)*VE!R$8)*R$36</f>
        <v>137500.40582074798</v>
      </c>
      <c r="S44" s="14">
        <f ca="1">EXP(-('curvas y escenarios'!S$24/100)*VE!S$8)*S$36</f>
        <v>585853.21074200934</v>
      </c>
      <c r="T44" s="14">
        <f ca="1">EXP(-('curvas y escenarios'!T$24/100)*VE!T$8)*T$36</f>
        <v>454801.18173020484</v>
      </c>
      <c r="U44" s="14">
        <f ca="1">EXP(-('curvas y escenarios'!U$24/100)*VE!U$8)*U$36</f>
        <v>82234.837471851919</v>
      </c>
      <c r="V44" s="14">
        <f t="shared" ca="1" si="9"/>
        <v>1688786.7133750443</v>
      </c>
      <c r="W44" s="14">
        <f t="shared" ca="1" si="10"/>
        <v>145147.17309513921</v>
      </c>
    </row>
    <row r="45" spans="1:23" x14ac:dyDescent="0.25">
      <c r="A45" t="s">
        <v>52</v>
      </c>
      <c r="B45" t="s">
        <v>107</v>
      </c>
      <c r="C45" s="14">
        <f ca="1">EXP(-('curvas y escenarios'!C$25/100)*VE!C$8)*C$36</f>
        <v>-251997.16985074061</v>
      </c>
      <c r="D45" s="14">
        <f ca="1">EXP(-('curvas y escenarios'!D$25/100)*VE!D$8)*D$36</f>
        <v>-429536.05768778583</v>
      </c>
      <c r="E45" s="14">
        <f ca="1">EXP(-('curvas y escenarios'!E$25/100)*VE!E$8)*E$36</f>
        <v>-455152.75946524413</v>
      </c>
      <c r="F45" s="14">
        <f ca="1">EXP(-('curvas y escenarios'!F$25/100)*VE!F$8)*F$36</f>
        <v>-458192.1590732031</v>
      </c>
      <c r="G45" s="14">
        <f ca="1">EXP(-('curvas y escenarios'!G$25/100)*VE!G$8)*G$36</f>
        <v>-6774.4138642598591</v>
      </c>
      <c r="H45" s="14">
        <f ca="1">EXP(-('curvas y escenarios'!H$25/100)*VE!H$8)*H$36</f>
        <v>-75166.81362248685</v>
      </c>
      <c r="I45" s="14">
        <f ca="1">EXP(-('curvas y escenarios'!I$25/100)*VE!I$8)*I$36</f>
        <v>349962.08488775115</v>
      </c>
      <c r="J45" s="14">
        <f ca="1">EXP(-('curvas y escenarios'!J$25/100)*VE!J$8)*J$36</f>
        <v>346960.05164406152</v>
      </c>
      <c r="K45" s="14">
        <f ca="1">EXP(-('curvas y escenarios'!K$25/100)*VE!K$8)*K$36</f>
        <v>327938.93882369623</v>
      </c>
      <c r="L45" s="14">
        <f ca="1">EXP(-('curvas y escenarios'!L$25/100)*VE!L$8)*L$36</f>
        <v>299883.67719078041</v>
      </c>
      <c r="M45" s="14">
        <f ca="1">EXP(-('curvas y escenarios'!M$25/100)*VE!M$8)*M$36</f>
        <v>271644.89405489754</v>
      </c>
      <c r="N45" s="14">
        <f ca="1">EXP(-('curvas y escenarios'!N$25/100)*VE!N$8)*N$36</f>
        <v>219512.78077942316</v>
      </c>
      <c r="O45" s="14">
        <f ca="1">EXP(-('curvas y escenarios'!O$25/100)*VE!O$8)*O$36</f>
        <v>197139.44769504067</v>
      </c>
      <c r="P45" s="14">
        <f ca="1">EXP(-('curvas y escenarios'!P$25/100)*VE!P$8)*P$36</f>
        <v>176817.88985741787</v>
      </c>
      <c r="Q45" s="14">
        <f ca="1">EXP(-('curvas y escenarios'!Q$25/100)*VE!Q$8)*Q$36</f>
        <v>158519.19639479913</v>
      </c>
      <c r="R45" s="14">
        <f ca="1">EXP(-('curvas y escenarios'!R$25/100)*VE!R$8)*R$36</f>
        <v>150203.43871005013</v>
      </c>
      <c r="S45" s="14">
        <f ca="1">EXP(-('curvas y escenarios'!S$25/100)*VE!S$8)*S$36</f>
        <v>618928.91745847382</v>
      </c>
      <c r="T45" s="14">
        <f ca="1">EXP(-('curvas y escenarios'!T$25/100)*VE!T$8)*T$36</f>
        <v>464931.27973442653</v>
      </c>
      <c r="U45" s="14">
        <f ca="1">EXP(-('curvas y escenarios'!U$25/100)*VE!U$8)*U$36</f>
        <v>82632.673159451719</v>
      </c>
      <c r="V45" s="14">
        <f t="shared" ca="1" si="9"/>
        <v>1988255.8968265494</v>
      </c>
      <c r="W45" s="14">
        <f t="shared" ca="1" si="10"/>
        <v>-154322.01035636594</v>
      </c>
    </row>
    <row r="46" spans="1:23" x14ac:dyDescent="0.25">
      <c r="A46" t="s">
        <v>53</v>
      </c>
      <c r="B46" t="s">
        <v>107</v>
      </c>
      <c r="C46" s="14">
        <f ca="1">EXP(-('curvas y escenarios'!C$27/100)*VE!C$8)*C$36</f>
        <v>-251961.90258986881</v>
      </c>
      <c r="D46" s="14">
        <f ca="1">EXP(-('curvas y escenarios'!D$27/100)*VE!D$8)*D$36</f>
        <v>-428645.11546260701</v>
      </c>
      <c r="E46" s="14">
        <f ca="1">EXP(-('curvas y escenarios'!E$27/100)*VE!E$8)*E$36</f>
        <v>-451436.25894642709</v>
      </c>
      <c r="F46" s="14">
        <f ca="1">EXP(-('curvas y escenarios'!F$27/100)*VE!F$8)*F$36</f>
        <v>-449983.01144523645</v>
      </c>
      <c r="G46" s="14">
        <f ca="1">EXP(-('curvas y escenarios'!G$27/100)*VE!G$8)*G$36</f>
        <v>-6577.8703105130235</v>
      </c>
      <c r="H46" s="14">
        <f ca="1">EXP(-('curvas y escenarios'!H$27/100)*VE!H$8)*H$36</f>
        <v>-72196.97736700438</v>
      </c>
      <c r="I46" s="14">
        <f ca="1">EXP(-('curvas y escenarios'!I$27/100)*VE!I$8)*I$36</f>
        <v>330972.21491532307</v>
      </c>
      <c r="J46" s="14">
        <f ca="1">EXP(-('curvas y escenarios'!J$27/100)*VE!J$8)*J$36</f>
        <v>321858.48132618883</v>
      </c>
      <c r="K46" s="14">
        <f ca="1">EXP(-('curvas y escenarios'!K$27/100)*VE!K$8)*K$36</f>
        <v>296208.72489833721</v>
      </c>
      <c r="L46" s="14">
        <f ca="1">EXP(-('curvas y escenarios'!L$27/100)*VE!L$8)*L$36</f>
        <v>262227.98978639557</v>
      </c>
      <c r="M46" s="14">
        <f ca="1">EXP(-('curvas y escenarios'!M$27/100)*VE!M$8)*M$36</f>
        <v>230506.01434873874</v>
      </c>
      <c r="N46" s="14">
        <f ca="1">EXP(-('curvas y escenarios'!N$27/100)*VE!N$8)*N$36</f>
        <v>181018.29473955021</v>
      </c>
      <c r="O46" s="14">
        <f ca="1">EXP(-('curvas y escenarios'!O$27/100)*VE!O$8)*O$36</f>
        <v>158113.4505587107</v>
      </c>
      <c r="P46" s="14">
        <f ca="1">EXP(-('curvas y escenarios'!P$27/100)*VE!P$8)*P$36</f>
        <v>137981.15074642617</v>
      </c>
      <c r="Q46" s="14">
        <f ca="1">EXP(-('curvas y escenarios'!Q$27/100)*VE!Q$8)*Q$36</f>
        <v>120370.2120786111</v>
      </c>
      <c r="R46" s="14">
        <f ca="1">EXP(-('curvas y escenarios'!R$27/100)*VE!R$8)*R$36</f>
        <v>110976.43487229064</v>
      </c>
      <c r="S46" s="14">
        <f ca="1">EXP(-('curvas y escenarios'!S$27/100)*VE!S$8)*S$36</f>
        <v>420736.26910520293</v>
      </c>
      <c r="T46" s="14">
        <f ca="1">EXP(-('curvas y escenarios'!T$27/100)*VE!T$8)*T$36</f>
        <v>273823.50578321429</v>
      </c>
      <c r="U46" s="14">
        <f ca="1">EXP(-('curvas y escenarios'!U$27/100)*VE!U$8)*U$36</f>
        <v>38995.253518811769</v>
      </c>
      <c r="V46" s="14">
        <f t="shared" ca="1" si="9"/>
        <v>1222986.8605561443</v>
      </c>
      <c r="W46" s="14">
        <f t="shared" ca="1" si="10"/>
        <v>610947.02591403923</v>
      </c>
    </row>
    <row r="47" spans="1:23" x14ac:dyDescent="0.25">
      <c r="A47" t="s">
        <v>54</v>
      </c>
      <c r="B47" t="s">
        <v>107</v>
      </c>
      <c r="C47" s="14">
        <f ca="1">EXP(-('curvas y escenarios'!C$28/100)*VE!C$8)*C$36</f>
        <v>-251961.93221022197</v>
      </c>
      <c r="D47" s="14">
        <f ca="1">EXP(-('curvas y escenarios'!D$28/100)*VE!D$8)*D$36</f>
        <v>-428656.23803111352</v>
      </c>
      <c r="E47" s="14">
        <f ca="1">EXP(-('curvas y escenarios'!E$28/100)*VE!E$8)*E$36</f>
        <v>-451620.60310095857</v>
      </c>
      <c r="F47" s="14">
        <f ca="1">EXP(-('curvas y escenarios'!F$28/100)*VE!F$8)*F$36</f>
        <v>-450889.97261390771</v>
      </c>
      <c r="G47" s="14">
        <f ca="1">EXP(-('curvas y escenarios'!G$28/100)*VE!G$8)*G$36</f>
        <v>-6613.6492529924581</v>
      </c>
      <c r="H47" s="14">
        <f ca="1">EXP(-('curvas y escenarios'!H$28/100)*VE!H$8)*H$36</f>
        <v>-72945.548012820684</v>
      </c>
      <c r="I47" s="14">
        <f ca="1">EXP(-('curvas y escenarios'!I$28/100)*VE!I$8)*I$36</f>
        <v>337701.79975571646</v>
      </c>
      <c r="J47" s="14">
        <f ca="1">EXP(-('curvas y escenarios'!J$28/100)*VE!J$8)*J$36</f>
        <v>334059.41109038761</v>
      </c>
      <c r="K47" s="14">
        <f ca="1">EXP(-('curvas y escenarios'!K$28/100)*VE!K$8)*K$36</f>
        <v>317594.41468919622</v>
      </c>
      <c r="L47" s="14">
        <f ca="1">EXP(-('curvas y escenarios'!L$28/100)*VE!L$8)*L$36</f>
        <v>296389.15131691232</v>
      </c>
      <c r="M47" s="14">
        <f ca="1">EXP(-('curvas y escenarios'!M$28/100)*VE!M$8)*M$36</f>
        <v>276613.37927143631</v>
      </c>
      <c r="N47" s="14">
        <f ca="1">EXP(-('curvas y escenarios'!N$28/100)*VE!N$8)*N$36</f>
        <v>231634.57808774072</v>
      </c>
      <c r="O47" s="14">
        <f ca="1">EXP(-('curvas y escenarios'!O$28/100)*VE!O$8)*O$36</f>
        <v>216267.7586877569</v>
      </c>
      <c r="P47" s="14">
        <f ca="1">EXP(-('curvas y escenarios'!P$28/100)*VE!P$8)*P$36</f>
        <v>201967.61281627743</v>
      </c>
      <c r="Q47" s="14">
        <f ca="1">EXP(-('curvas y escenarios'!Q$28/100)*VE!Q$8)*Q$36</f>
        <v>188606.20697792168</v>
      </c>
      <c r="R47" s="14">
        <f ca="1">EXP(-('curvas y escenarios'!R$28/100)*VE!R$8)*R$36</f>
        <v>186102.87672397133</v>
      </c>
      <c r="S47" s="14">
        <f ca="1">EXP(-('curvas y escenarios'!S$28/100)*VE!S$8)*S$36</f>
        <v>861826.08950087044</v>
      </c>
      <c r="T47" s="14">
        <f ca="1">EXP(-('curvas y escenarios'!T$28/100)*VE!T$8)*T$36</f>
        <v>772217.4721331601</v>
      </c>
      <c r="U47" s="14">
        <f ca="1">EXP(-('curvas y escenarios'!U$28/100)*VE!U$8)*U$36</f>
        <v>174259.27090983131</v>
      </c>
      <c r="V47" s="14">
        <f t="shared" ca="1" si="9"/>
        <v>2732552.0787391639</v>
      </c>
      <c r="W47" s="14">
        <f t="shared" ca="1" si="10"/>
        <v>-898618.19226898043</v>
      </c>
    </row>
    <row r="48" spans="1:23" x14ac:dyDescent="0.25">
      <c r="A48" t="s">
        <v>55</v>
      </c>
      <c r="B48" t="s">
        <v>107</v>
      </c>
      <c r="C48" s="14">
        <f ca="1">EXP(-('curvas y escenarios'!C$30/100)*VE!C$8)*C$36</f>
        <v>-251984.81760162005</v>
      </c>
      <c r="D48" s="14">
        <f ca="1">EXP(-('curvas y escenarios'!D$30/100)*VE!D$8)*D$36</f>
        <v>-429220.95467347227</v>
      </c>
      <c r="E48" s="14">
        <f ca="1">EXP(-('curvas y escenarios'!E$30/100)*VE!E$8)*E$36</f>
        <v>-453797.5644948564</v>
      </c>
      <c r="F48" s="14">
        <f ca="1">EXP(-('curvas y escenarios'!F$30/100)*VE!F$8)*F$36</f>
        <v>-455050.02164090925</v>
      </c>
      <c r="G48" s="14">
        <f ca="1">EXP(-('curvas y escenarios'!G$30/100)*VE!G$8)*G$36</f>
        <v>-6694.9697538025812</v>
      </c>
      <c r="H48" s="14">
        <f ca="1">EXP(-('curvas y escenarios'!H$30/100)*VE!H$8)*H$36</f>
        <v>-73903.789598907388</v>
      </c>
      <c r="I48" s="14">
        <f ca="1">EXP(-('curvas y escenarios'!I$30/100)*VE!I$8)*I$36</f>
        <v>341300.30696686031</v>
      </c>
      <c r="J48" s="14">
        <f ca="1">EXP(-('curvas y escenarios'!J$30/100)*VE!J$8)*J$36</f>
        <v>334518.95851138368</v>
      </c>
      <c r="K48" s="14">
        <f ca="1">EXP(-('curvas y escenarios'!K$30/100)*VE!K$8)*K$36</f>
        <v>310455.28702322562</v>
      </c>
      <c r="L48" s="14">
        <f ca="1">EXP(-('curvas y escenarios'!L$30/100)*VE!L$8)*L$36</f>
        <v>276650.59468121495</v>
      </c>
      <c r="M48" s="14">
        <f ca="1">EXP(-('curvas y escenarios'!M$30/100)*VE!M$8)*M$36</f>
        <v>243928.35856872442</v>
      </c>
      <c r="N48" s="14">
        <f ca="1">EXP(-('curvas y escenarios'!N$30/100)*VE!N$8)*N$36</f>
        <v>191736.36442118642</v>
      </c>
      <c r="O48" s="14">
        <f ca="1">EXP(-('curvas y escenarios'!O$30/100)*VE!O$8)*O$36</f>
        <v>167430.88355074683</v>
      </c>
      <c r="P48" s="14">
        <f ca="1">EXP(-('curvas y escenarios'!P$30/100)*VE!P$8)*P$36</f>
        <v>145991.27701466283</v>
      </c>
      <c r="Q48" s="14">
        <f ca="1">EXP(-('curvas y escenarios'!Q$30/100)*VE!Q$8)*Q$36</f>
        <v>127232.98216843927</v>
      </c>
      <c r="R48" s="14">
        <f ca="1">EXP(-('curvas y escenarios'!R$30/100)*VE!R$8)*R$36</f>
        <v>117200.38837617201</v>
      </c>
      <c r="S48" s="14">
        <f ca="1">EXP(-('curvas y escenarios'!S$30/100)*VE!S$8)*S$36</f>
        <v>443948.22376077162</v>
      </c>
      <c r="T48" s="14">
        <f ca="1">EXP(-('curvas y escenarios'!T$30/100)*VE!T$8)*T$36</f>
        <v>290464.79687520053</v>
      </c>
      <c r="U48" s="14">
        <f ca="1">EXP(-('curvas y escenarios'!U$30/100)*VE!U$8)*U$36</f>
        <v>42092.250242906841</v>
      </c>
      <c r="V48" s="14">
        <f t="shared" ca="1" si="9"/>
        <v>1362298.5543979274</v>
      </c>
      <c r="W48" s="14">
        <f t="shared" ca="1" si="10"/>
        <v>471635.33207225613</v>
      </c>
    </row>
    <row r="49" spans="1:23" x14ac:dyDescent="0.25">
      <c r="A49" t="s">
        <v>46</v>
      </c>
      <c r="B49" t="s">
        <v>107</v>
      </c>
      <c r="C49" s="14">
        <f ca="1">EXP(-('curvas y escenarios'!C$31/100)*VE!C$8)*C$36</f>
        <v>-251933.72787534524</v>
      </c>
      <c r="D49" s="14">
        <f ca="1">EXP(-('curvas y escenarios'!D$31/100)*VE!D$8)*D$36</f>
        <v>-427947.01738348766</v>
      </c>
      <c r="E49" s="14">
        <f ca="1">EXP(-('curvas y escenarios'!E$31/100)*VE!E$8)*E$36</f>
        <v>-448704.69580810616</v>
      </c>
      <c r="F49" s="14">
        <f ca="1">EXP(-('curvas y escenarios'!F$31/100)*VE!F$8)*F$36</f>
        <v>-444594.65871979983</v>
      </c>
      <c r="G49" s="14">
        <f ca="1">EXP(-('curvas y escenarios'!G$31/100)*VE!G$8)*G$36</f>
        <v>-6466.7071580101356</v>
      </c>
      <c r="H49" s="14">
        <f ca="1">EXP(-('curvas y escenarios'!H$31/100)*VE!H$8)*H$36</f>
        <v>-70776.494155818757</v>
      </c>
      <c r="I49" s="14">
        <f ca="1">EXP(-('curvas y escenarios'!I$31/100)*VE!I$8)*I$36</f>
        <v>324263.58202065201</v>
      </c>
      <c r="J49" s="14">
        <f ca="1">EXP(-('curvas y escenarios'!J$31/100)*VE!J$8)*J$36</f>
        <v>316930.36370143754</v>
      </c>
      <c r="K49" s="14">
        <f ca="1">EXP(-('curvas y escenarios'!K$31/100)*VE!K$8)*K$36</f>
        <v>296873.71407147846</v>
      </c>
      <c r="L49" s="14">
        <f ca="1">EXP(-('curvas y escenarios'!L$31/100)*VE!L$8)*L$36</f>
        <v>272822.33978630003</v>
      </c>
      <c r="M49" s="14">
        <f ca="1">EXP(-('curvas y escenarios'!M$31/100)*VE!M$8)*M$36</f>
        <v>251568.31368378803</v>
      </c>
      <c r="N49" s="14">
        <f ca="1">EXP(-('curvas y escenarios'!N$31/100)*VE!N$8)*N$36</f>
        <v>208559.36766213289</v>
      </c>
      <c r="O49" s="14">
        <f ca="1">EXP(-('curvas y escenarios'!O$31/100)*VE!O$8)*O$36</f>
        <v>192997.90591265541</v>
      </c>
      <c r="P49" s="14">
        <f ca="1">EXP(-('curvas y escenarios'!P$31/100)*VE!P$8)*P$36</f>
        <v>178734.74028883045</v>
      </c>
      <c r="Q49" s="14">
        <f ca="1">EXP(-('curvas y escenarios'!Q$31/100)*VE!Q$8)*Q$36</f>
        <v>165543.86980074222</v>
      </c>
      <c r="R49" s="14">
        <f ca="1">EXP(-('curvas y escenarios'!R$31/100)*VE!R$8)*R$36</f>
        <v>161993.75212287114</v>
      </c>
      <c r="S49" s="14">
        <f ca="1">EXP(-('curvas y escenarios'!S$31/100)*VE!S$8)*S$36</f>
        <v>730460.80244420317</v>
      </c>
      <c r="T49" s="14">
        <f ca="1">EXP(-('curvas y escenarios'!T$31/100)*VE!T$8)*T$36</f>
        <v>622098.23870641878</v>
      </c>
      <c r="U49" s="14">
        <f ca="1">EXP(-('curvas y escenarios'!U$31/100)*VE!U$8)*U$36</f>
        <v>128920.11319570889</v>
      </c>
      <c r="V49" s="14">
        <f t="shared" ca="1" si="9"/>
        <v>2201343.8022966511</v>
      </c>
      <c r="W49" s="14">
        <f t="shared" ca="1" si="10"/>
        <v>-367409.91582646756</v>
      </c>
    </row>
    <row r="50" spans="1:23" x14ac:dyDescent="0.25">
      <c r="V50" s="21" t="s">
        <v>110</v>
      </c>
      <c r="W50" s="22">
        <f ca="1">MAX(W42:W49)</f>
        <v>868002.88090991194</v>
      </c>
    </row>
  </sheetData>
  <pageMargins left="0.7" right="0.7" top="0.75" bottom="0.75" header="0.3" footer="0.3"/>
  <pageSetup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48C28-8112-4196-B9A3-3FE6D1CBF328}">
  <sheetPr>
    <pageSetUpPr fitToPage="1"/>
  </sheetPr>
  <dimension ref="A1:J55"/>
  <sheetViews>
    <sheetView tabSelected="1" zoomScale="110" zoomScaleNormal="110" workbookViewId="0">
      <pane ySplit="8" topLeftCell="A9" activePane="bottomLeft" state="frozen"/>
      <selection pane="bottomLeft" activeCell="J19" sqref="J19"/>
    </sheetView>
  </sheetViews>
  <sheetFormatPr baseColWidth="10" defaultRowHeight="15" x14ac:dyDescent="0.25"/>
  <cols>
    <col min="1" max="1" width="20.85546875" customWidth="1"/>
    <col min="2" max="2" width="13.42578125" customWidth="1"/>
    <col min="3" max="8" width="9.42578125" customWidth="1"/>
    <col min="9" max="9" width="13.5703125" customWidth="1"/>
  </cols>
  <sheetData>
    <row r="1" spans="1:9" x14ac:dyDescent="0.25">
      <c r="A1" t="s">
        <v>103</v>
      </c>
      <c r="B1" s="16">
        <v>10000000</v>
      </c>
      <c r="C1" s="4"/>
    </row>
    <row r="2" spans="1:9" x14ac:dyDescent="0.25">
      <c r="A2" t="s">
        <v>104</v>
      </c>
      <c r="B2" s="16">
        <v>3000000</v>
      </c>
      <c r="C2" s="4"/>
    </row>
    <row r="3" spans="1:9" x14ac:dyDescent="0.25">
      <c r="A3" t="s">
        <v>82</v>
      </c>
      <c r="B3" s="6">
        <v>0.75</v>
      </c>
      <c r="C3" t="s">
        <v>83</v>
      </c>
      <c r="D3" t="s">
        <v>59</v>
      </c>
    </row>
    <row r="4" spans="1:9" x14ac:dyDescent="0.25">
      <c r="A4" t="s">
        <v>89</v>
      </c>
      <c r="B4" s="6">
        <v>0.4</v>
      </c>
    </row>
    <row r="5" spans="1:9" x14ac:dyDescent="0.25">
      <c r="A5" t="s">
        <v>60</v>
      </c>
      <c r="C5" t="s">
        <v>90</v>
      </c>
      <c r="D5" t="s">
        <v>59</v>
      </c>
    </row>
    <row r="6" spans="1:9" x14ac:dyDescent="0.25">
      <c r="A6" t="s">
        <v>84</v>
      </c>
      <c r="B6">
        <v>1</v>
      </c>
      <c r="C6" t="s">
        <v>91</v>
      </c>
    </row>
    <row r="7" spans="1:9" x14ac:dyDescent="0.25"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</row>
    <row r="8" spans="1:9" x14ac:dyDescent="0.25">
      <c r="B8" t="s">
        <v>18</v>
      </c>
      <c r="C8">
        <v>2.8E-3</v>
      </c>
      <c r="D8">
        <v>4.1700000000000001E-2</v>
      </c>
      <c r="E8">
        <v>0.16669999999999999</v>
      </c>
      <c r="F8">
        <v>0.375</v>
      </c>
      <c r="G8">
        <v>0.625</v>
      </c>
      <c r="H8">
        <v>0.875</v>
      </c>
    </row>
    <row r="9" spans="1:9" x14ac:dyDescent="0.25">
      <c r="B9" s="7" t="s">
        <v>86</v>
      </c>
    </row>
    <row r="10" spans="1:9" x14ac:dyDescent="0.25">
      <c r="A10" s="5" t="s">
        <v>85</v>
      </c>
      <c r="H10" s="6"/>
    </row>
    <row r="11" spans="1:9" x14ac:dyDescent="0.25">
      <c r="A11" t="s">
        <v>66</v>
      </c>
      <c r="B11" s="14">
        <f>$B$1*participaciones!B8</f>
        <v>2000000</v>
      </c>
      <c r="C11" s="14">
        <f>$B$11*participaciones!C8</f>
        <v>0</v>
      </c>
      <c r="D11" s="14">
        <f>$B$11*participaciones!D8</f>
        <v>0</v>
      </c>
      <c r="E11" s="14">
        <f>$B$11*participaciones!E8</f>
        <v>200000</v>
      </c>
      <c r="F11" s="14">
        <f>$B$11*participaciones!F8</f>
        <v>200000</v>
      </c>
      <c r="G11" s="14">
        <f>$B$11*participaciones!G8</f>
        <v>200000</v>
      </c>
      <c r="H11" s="14">
        <f>$B$11*participaciones!H8</f>
        <v>200000</v>
      </c>
      <c r="I11" s="14"/>
    </row>
    <row r="12" spans="1:9" x14ac:dyDescent="0.25">
      <c r="A12" t="s">
        <v>80</v>
      </c>
      <c r="B12">
        <f>$B$1*participaciones!$B$11*MNI!B3</f>
        <v>6000000</v>
      </c>
      <c r="C12" s="14">
        <f>$B$12*participaciones!C$14</f>
        <v>0</v>
      </c>
      <c r="D12" s="14">
        <f>$B$12*participaciones!D$14</f>
        <v>0</v>
      </c>
      <c r="E12" s="14">
        <f>$B$12*participaciones!E$14</f>
        <v>0</v>
      </c>
      <c r="F12" s="14">
        <f>$B$12*participaciones!F$14</f>
        <v>0</v>
      </c>
      <c r="G12" s="14">
        <f>$B$12*participaciones!G$14</f>
        <v>0</v>
      </c>
      <c r="H12" s="14">
        <f>$B$12*participaciones!H$14</f>
        <v>6000</v>
      </c>
      <c r="I12" s="14"/>
    </row>
    <row r="13" spans="1:9" x14ac:dyDescent="0.25">
      <c r="A13" t="s">
        <v>81</v>
      </c>
      <c r="B13">
        <f>$B$1*participaciones!$B$11*(1-MNI!$B$3)</f>
        <v>2000000</v>
      </c>
      <c r="C13" s="14">
        <f ca="1">$B$13*participaciones!C11</f>
        <v>0</v>
      </c>
      <c r="D13" s="14">
        <f ca="1">$B$13*participaciones!D11</f>
        <v>0</v>
      </c>
      <c r="E13" s="14">
        <f ca="1">$B$13*participaciones!E11</f>
        <v>110500</v>
      </c>
      <c r="F13" s="14">
        <f ca="1">$B$13*participaciones!F11</f>
        <v>110500</v>
      </c>
      <c r="G13" s="14">
        <f ca="1">$B$13*participaciones!G11</f>
        <v>110500</v>
      </c>
      <c r="H13" s="14">
        <f ca="1">$B$13*participaciones!H11</f>
        <v>110500</v>
      </c>
      <c r="I13" s="14"/>
    </row>
    <row r="14" spans="1:9" x14ac:dyDescent="0.25">
      <c r="A14" s="5" t="s">
        <v>74</v>
      </c>
      <c r="C14" s="14"/>
      <c r="D14" s="14"/>
      <c r="E14" s="14"/>
      <c r="F14" s="14"/>
      <c r="G14" s="14"/>
      <c r="H14" s="14"/>
      <c r="I14" s="14"/>
    </row>
    <row r="15" spans="1:9" x14ac:dyDescent="0.25">
      <c r="A15" t="s">
        <v>88</v>
      </c>
      <c r="B15" s="17">
        <f>$B$2*$B$4</f>
        <v>1200000</v>
      </c>
      <c r="C15" s="14">
        <f>$B$15*participaciones!C$21</f>
        <v>240000</v>
      </c>
      <c r="D15" s="14">
        <f>$B$15*participaciones!D$21</f>
        <v>240000</v>
      </c>
      <c r="E15" s="14">
        <f>$B$15*participaciones!E$21</f>
        <v>240000</v>
      </c>
      <c r="F15" s="14">
        <f>$B$15*participaciones!F$21</f>
        <v>240000</v>
      </c>
      <c r="G15" s="14">
        <f>$B$15*participaciones!G$21</f>
        <v>120000</v>
      </c>
      <c r="H15" s="14">
        <f>$B$15*participaciones!H$21</f>
        <v>120000</v>
      </c>
      <c r="I15" s="14"/>
    </row>
    <row r="16" spans="1:9" x14ac:dyDescent="0.25">
      <c r="A16" t="s">
        <v>87</v>
      </c>
      <c r="B16" s="17">
        <f>$B$2*(1-$B$4)</f>
        <v>1800000</v>
      </c>
      <c r="C16" s="14">
        <f>$B$16*participaciones!C$22</f>
        <v>0</v>
      </c>
      <c r="D16" s="14">
        <f>$B$16*participaciones!D$22</f>
        <v>167244.26746049794</v>
      </c>
      <c r="E16" s="14">
        <f>$B$16*participaciones!E$22</f>
        <v>496309.00533519371</v>
      </c>
      <c r="F16" s="14">
        <f>$B$16*participaciones!F$22</f>
        <v>500715.14047604043</v>
      </c>
      <c r="G16" s="14">
        <f>$B$16*participaciones!G$22</f>
        <v>197041.42499995406</v>
      </c>
      <c r="H16" s="14">
        <f>$B$16*participaciones!H$22</f>
        <v>270276.71955637133</v>
      </c>
      <c r="I16" s="14"/>
    </row>
    <row r="17" spans="1:9" x14ac:dyDescent="0.25">
      <c r="A17" s="5" t="s">
        <v>85</v>
      </c>
      <c r="B17" s="19" t="s">
        <v>111</v>
      </c>
      <c r="H17" s="6"/>
    </row>
    <row r="18" spans="1:9" x14ac:dyDescent="0.25">
      <c r="A18" t="s">
        <v>66</v>
      </c>
      <c r="B18" s="14">
        <f>B11</f>
        <v>2000000</v>
      </c>
      <c r="C18" s="23">
        <f>E18</f>
        <v>200000</v>
      </c>
      <c r="D18" s="23">
        <f>E18</f>
        <v>200000</v>
      </c>
      <c r="E18" s="14">
        <f>E11</f>
        <v>200000</v>
      </c>
      <c r="F18" s="14">
        <f t="shared" ref="F18:H18" si="0">F11</f>
        <v>200000</v>
      </c>
      <c r="G18" s="14">
        <f t="shared" si="0"/>
        <v>200000</v>
      </c>
      <c r="H18" s="14">
        <f t="shared" si="0"/>
        <v>200000</v>
      </c>
      <c r="I18" s="14"/>
    </row>
    <row r="19" spans="1:9" x14ac:dyDescent="0.25">
      <c r="A19" t="s">
        <v>80</v>
      </c>
      <c r="B19">
        <f>B12</f>
        <v>6000000</v>
      </c>
      <c r="C19" s="23">
        <f>H19</f>
        <v>6000</v>
      </c>
      <c r="D19" s="23">
        <f>H19</f>
        <v>6000</v>
      </c>
      <c r="E19" s="23">
        <f>H19</f>
        <v>6000</v>
      </c>
      <c r="F19" s="23">
        <f>H19</f>
        <v>6000</v>
      </c>
      <c r="G19" s="23">
        <f>H19</f>
        <v>6000</v>
      </c>
      <c r="H19" s="14">
        <f>H12</f>
        <v>6000</v>
      </c>
      <c r="I19" s="14"/>
    </row>
    <row r="20" spans="1:9" x14ac:dyDescent="0.25">
      <c r="A20" t="s">
        <v>81</v>
      </c>
      <c r="B20">
        <f>B13</f>
        <v>2000000</v>
      </c>
      <c r="C20" s="23">
        <f ca="1">E20</f>
        <v>110500</v>
      </c>
      <c r="D20" s="23">
        <f ca="1">E20</f>
        <v>110500</v>
      </c>
      <c r="E20" s="14">
        <f ca="1">E13</f>
        <v>110500</v>
      </c>
      <c r="F20" s="14">
        <f ca="1">F13</f>
        <v>110500</v>
      </c>
      <c r="G20" s="14">
        <f ca="1">G13</f>
        <v>110500</v>
      </c>
      <c r="H20" s="14">
        <f ca="1">H13</f>
        <v>110500</v>
      </c>
      <c r="I20" s="14"/>
    </row>
    <row r="21" spans="1:9" x14ac:dyDescent="0.25">
      <c r="A21" s="5" t="s">
        <v>74</v>
      </c>
      <c r="C21" s="14"/>
      <c r="D21" s="14"/>
      <c r="E21" s="14"/>
      <c r="F21" s="14"/>
      <c r="G21" s="14"/>
      <c r="H21" s="14"/>
      <c r="I21" s="14"/>
    </row>
    <row r="22" spans="1:9" x14ac:dyDescent="0.25">
      <c r="A22" t="s">
        <v>88</v>
      </c>
      <c r="B22" s="17">
        <f>B15</f>
        <v>1200000</v>
      </c>
      <c r="C22" s="14">
        <f>C15</f>
        <v>240000</v>
      </c>
      <c r="D22" s="14">
        <f t="shared" ref="D22:H22" si="1">D15</f>
        <v>240000</v>
      </c>
      <c r="E22" s="14">
        <f t="shared" si="1"/>
        <v>240000</v>
      </c>
      <c r="F22" s="14">
        <f t="shared" si="1"/>
        <v>240000</v>
      </c>
      <c r="G22" s="14">
        <f t="shared" si="1"/>
        <v>120000</v>
      </c>
      <c r="H22" s="14">
        <f t="shared" si="1"/>
        <v>120000</v>
      </c>
      <c r="I22" s="14"/>
    </row>
    <row r="23" spans="1:9" x14ac:dyDescent="0.25">
      <c r="A23" t="s">
        <v>87</v>
      </c>
      <c r="B23" s="17">
        <f>B16</f>
        <v>1800000</v>
      </c>
      <c r="C23" s="20">
        <f>D23</f>
        <v>167244.26746049794</v>
      </c>
      <c r="D23" s="14">
        <f t="shared" ref="D23:H23" si="2">D16</f>
        <v>167244.26746049794</v>
      </c>
      <c r="E23" s="14">
        <f t="shared" si="2"/>
        <v>496309.00533519371</v>
      </c>
      <c r="F23" s="14">
        <f t="shared" si="2"/>
        <v>500715.14047604043</v>
      </c>
      <c r="G23" s="14">
        <f t="shared" si="2"/>
        <v>197041.42499995406</v>
      </c>
      <c r="H23" s="14">
        <f t="shared" si="2"/>
        <v>270276.71955637133</v>
      </c>
      <c r="I23" s="14"/>
    </row>
    <row r="24" spans="1:9" x14ac:dyDescent="0.25">
      <c r="B24" t="s">
        <v>92</v>
      </c>
      <c r="C24" s="8"/>
      <c r="D24" s="8"/>
      <c r="E24" s="8"/>
      <c r="F24" s="8"/>
      <c r="G24" s="8"/>
      <c r="H24" s="8"/>
      <c r="I24" s="8"/>
    </row>
    <row r="25" spans="1:9" x14ac:dyDescent="0.25">
      <c r="A25" s="5" t="s">
        <v>85</v>
      </c>
      <c r="C25" s="8"/>
      <c r="D25" s="8"/>
      <c r="E25" s="8"/>
      <c r="F25" s="8"/>
      <c r="G25" s="8"/>
      <c r="H25" s="8"/>
      <c r="I25" s="8"/>
    </row>
    <row r="26" spans="1:9" x14ac:dyDescent="0.25">
      <c r="A26" t="s">
        <v>66</v>
      </c>
      <c r="B26" s="14">
        <v>1</v>
      </c>
      <c r="C26" s="15">
        <f ca="1">OFFSET('curvas y escenarios'!C$5,MNI!$B$26,0)/100</f>
        <v>4.9531009341594642E-2</v>
      </c>
      <c r="D26" s="15">
        <f ca="1">OFFSET('curvas y escenarios'!D$5,MNI!$B$26,0)/100</f>
        <v>5.0433330932905827E-2</v>
      </c>
      <c r="E26" s="15">
        <f ca="1">OFFSET('curvas y escenarios'!E$5,MNI!$B$26,0)/100</f>
        <v>5.3190843220515906E-2</v>
      </c>
      <c r="F26" s="15">
        <f ca="1">OFFSET('curvas y escenarios'!F$5,MNI!$B$26,0)/100</f>
        <v>5.7344007311439613E-2</v>
      </c>
      <c r="G26" s="15">
        <f ca="1">OFFSET('curvas y escenarios'!G$5,MNI!$B$26,0)/100</f>
        <v>6.1689718307886748E-2</v>
      </c>
      <c r="H26" s="15">
        <f ca="1">OFFSET('curvas y escenarios'!H$5,MNI!$B$26,0)/100</f>
        <v>6.5441435248464852E-2</v>
      </c>
      <c r="I26" s="8"/>
    </row>
    <row r="27" spans="1:9" x14ac:dyDescent="0.25">
      <c r="A27" t="s">
        <v>80</v>
      </c>
      <c r="B27" s="6">
        <v>0.08</v>
      </c>
      <c r="C27" s="15"/>
      <c r="D27" s="15"/>
      <c r="E27" s="15"/>
      <c r="F27" s="15"/>
      <c r="G27" s="15"/>
      <c r="H27" s="15"/>
      <c r="I27" s="8"/>
    </row>
    <row r="28" spans="1:9" x14ac:dyDescent="0.25">
      <c r="A28" t="s">
        <v>81</v>
      </c>
      <c r="B28" s="14">
        <v>1</v>
      </c>
      <c r="C28" s="15">
        <f ca="1">OFFSET('curvas y escenarios'!C$8,MNI!$B$28,0)/100</f>
        <v>5.3976017280948002E-2</v>
      </c>
      <c r="D28" s="15">
        <f ca="1">OFFSET('curvas y escenarios'!D$8,MNI!$B$28,0)/100</f>
        <v>4.9965920483912046E-2</v>
      </c>
      <c r="E28" s="15">
        <f ca="1">OFFSET('curvas y escenarios'!E$8,MNI!$B$28,0)/100</f>
        <v>4.5283913479357979E-2</v>
      </c>
      <c r="F28" s="15">
        <f ca="1">OFFSET('curvas y escenarios'!F$8,MNI!$B$28,0)/100</f>
        <v>4.8600743382570019E-2</v>
      </c>
      <c r="G28" s="15">
        <f ca="1">OFFSET('curvas y escenarios'!G$8,MNI!$B$28,0)/100</f>
        <v>5.5522351876880364E-2</v>
      </c>
      <c r="H28" s="15">
        <f ca="1">OFFSET('curvas y escenarios'!H$8,MNI!$B$28,0)/100</f>
        <v>6.1435421948750631E-2</v>
      </c>
      <c r="I28" s="8"/>
    </row>
    <row r="29" spans="1:9" x14ac:dyDescent="0.25">
      <c r="A29" s="5" t="s">
        <v>74</v>
      </c>
      <c r="B29" s="6"/>
      <c r="C29" s="8"/>
      <c r="D29" s="12"/>
      <c r="E29" s="12"/>
      <c r="F29" s="12"/>
      <c r="G29" s="12"/>
      <c r="H29" s="12"/>
      <c r="I29" s="8"/>
    </row>
    <row r="30" spans="1:9" x14ac:dyDescent="0.25">
      <c r="A30" t="s">
        <v>88</v>
      </c>
      <c r="B30" s="6">
        <v>0.05</v>
      </c>
    </row>
    <row r="31" spans="1:9" x14ac:dyDescent="0.25">
      <c r="A31" t="s">
        <v>87</v>
      </c>
      <c r="B31" s="14">
        <v>1</v>
      </c>
      <c r="C31" s="13">
        <f ca="1">OFFSET('curvas y escenarios'!C$11,MNI!$B$31,0)/100</f>
        <v>5.8841700037650303E-2</v>
      </c>
      <c r="D31" s="13">
        <f ca="1">OFFSET('curvas y escenarios'!D$11,MNI!$B$31,0)/100</f>
        <v>6.1589362689282716E-2</v>
      </c>
      <c r="E31" s="13">
        <f ca="1">OFFSET('curvas y escenarios'!E$11,MNI!$B$31,0)/100</f>
        <v>6.6053336002600146E-2</v>
      </c>
      <c r="F31" s="13">
        <f ca="1">OFFSET('curvas y escenarios'!F$11,MNI!$B$31,0)/100</f>
        <v>6.6594548167687923E-2</v>
      </c>
      <c r="G31" s="13">
        <f ca="1">OFFSET('curvas y escenarios'!G$11,MNI!$B$31,0)/100</f>
        <v>6.4759851318520023E-2</v>
      </c>
      <c r="H31" s="13">
        <f ca="1">OFFSET('curvas y escenarios'!H$11,MNI!$B$31,0)/100</f>
        <v>6.3484289134288496E-2</v>
      </c>
    </row>
    <row r="32" spans="1:9" x14ac:dyDescent="0.25">
      <c r="B32" s="7" t="s">
        <v>93</v>
      </c>
    </row>
    <row r="33" spans="1:10" x14ac:dyDescent="0.25">
      <c r="A33" s="5" t="s">
        <v>85</v>
      </c>
    </row>
    <row r="34" spans="1:10" x14ac:dyDescent="0.25">
      <c r="A34" t="s">
        <v>66</v>
      </c>
      <c r="B34" s="14"/>
      <c r="C34" s="14">
        <f t="shared" ref="C34:H34" ca="1" si="3">C18*(1+C26)</f>
        <v>209906.20186831892</v>
      </c>
      <c r="D34" s="14">
        <f t="shared" ca="1" si="3"/>
        <v>210086.66618658119</v>
      </c>
      <c r="E34" s="14">
        <f t="shared" ca="1" si="3"/>
        <v>210638.16864410319</v>
      </c>
      <c r="F34" s="14">
        <f t="shared" ca="1" si="3"/>
        <v>211468.8014622879</v>
      </c>
      <c r="G34" s="14">
        <f t="shared" ca="1" si="3"/>
        <v>212337.94366157736</v>
      </c>
      <c r="H34" s="14">
        <f t="shared" ca="1" si="3"/>
        <v>213088.28704969297</v>
      </c>
    </row>
    <row r="35" spans="1:10" x14ac:dyDescent="0.25">
      <c r="A35" t="s">
        <v>80</v>
      </c>
      <c r="B35" s="6"/>
      <c r="C35">
        <f t="shared" ref="C35:G35" si="4">C18*(1+$B$27)</f>
        <v>216000</v>
      </c>
      <c r="D35">
        <f t="shared" si="4"/>
        <v>216000</v>
      </c>
      <c r="E35">
        <f t="shared" si="4"/>
        <v>216000</v>
      </c>
      <c r="F35">
        <f t="shared" si="4"/>
        <v>216000</v>
      </c>
      <c r="G35">
        <f t="shared" si="4"/>
        <v>216000</v>
      </c>
      <c r="H35">
        <f>H18*(1+$B$27)</f>
        <v>216000</v>
      </c>
    </row>
    <row r="36" spans="1:10" x14ac:dyDescent="0.25">
      <c r="A36" t="s">
        <v>81</v>
      </c>
      <c r="B36" s="14"/>
      <c r="C36" s="14">
        <f t="shared" ref="C36:G36" ca="1" si="5">C20*(1+C28)</f>
        <v>116464.34990954476</v>
      </c>
      <c r="D36" s="14">
        <f t="shared" ca="1" si="5"/>
        <v>116021.23421347227</v>
      </c>
      <c r="E36" s="14">
        <f t="shared" ca="1" si="5"/>
        <v>115503.87243946905</v>
      </c>
      <c r="F36" s="14">
        <f t="shared" ca="1" si="5"/>
        <v>115870.38214377398</v>
      </c>
      <c r="G36" s="14">
        <f t="shared" ca="1" si="5"/>
        <v>116635.21988239528</v>
      </c>
      <c r="H36" s="14">
        <f ca="1">H20*(1+H28)</f>
        <v>117288.61412533696</v>
      </c>
    </row>
    <row r="37" spans="1:10" x14ac:dyDescent="0.25">
      <c r="A37" s="5" t="s">
        <v>74</v>
      </c>
      <c r="B37" s="6"/>
    </row>
    <row r="38" spans="1:10" x14ac:dyDescent="0.25">
      <c r="A38" t="s">
        <v>88</v>
      </c>
      <c r="B38" s="6"/>
      <c r="C38" s="14">
        <f t="shared" ref="C38:G38" si="6">C22*(1+$B$30)</f>
        <v>252000</v>
      </c>
      <c r="D38" s="14">
        <f t="shared" si="6"/>
        <v>252000</v>
      </c>
      <c r="E38" s="14">
        <f t="shared" si="6"/>
        <v>252000</v>
      </c>
      <c r="F38" s="14">
        <f t="shared" si="6"/>
        <v>252000</v>
      </c>
      <c r="G38" s="14">
        <f t="shared" si="6"/>
        <v>126000</v>
      </c>
      <c r="H38" s="14">
        <f>H22*(1+$B$30)</f>
        <v>126000</v>
      </c>
    </row>
    <row r="39" spans="1:10" x14ac:dyDescent="0.25">
      <c r="A39" t="s">
        <v>87</v>
      </c>
      <c r="B39" s="14"/>
      <c r="C39" s="14">
        <f t="shared" ref="C39:G39" ca="1" si="7">C23*(1+C31)</f>
        <v>177085.2044794251</v>
      </c>
      <c r="D39" s="14">
        <f t="shared" ca="1" si="7"/>
        <v>177544.73530682595</v>
      </c>
      <c r="E39" s="14">
        <f t="shared" ca="1" si="7"/>
        <v>529091.87082571548</v>
      </c>
      <c r="F39" s="14">
        <f t="shared" ca="1" si="7"/>
        <v>534060.03901676275</v>
      </c>
      <c r="G39" s="14">
        <f t="shared" ca="1" si="7"/>
        <v>209801.79838654041</v>
      </c>
      <c r="H39" s="14">
        <f ca="1">H23*(1+H31)</f>
        <v>287435.04496695497</v>
      </c>
    </row>
    <row r="41" spans="1:10" x14ac:dyDescent="0.25">
      <c r="A41" t="s">
        <v>94</v>
      </c>
      <c r="C41" s="14">
        <f ca="1">SUM(C34:C36)</f>
        <v>542370.55177786376</v>
      </c>
      <c r="D41" s="14">
        <f t="shared" ref="D41:H41" ca="1" si="8">SUM(D34:D36)</f>
        <v>542107.90040005348</v>
      </c>
      <c r="E41" s="14">
        <f t="shared" ca="1" si="8"/>
        <v>542142.04108357232</v>
      </c>
      <c r="F41" s="14">
        <f t="shared" ca="1" si="8"/>
        <v>543339.18360606185</v>
      </c>
      <c r="G41" s="14">
        <f t="shared" ca="1" si="8"/>
        <v>544973.16354397265</v>
      </c>
      <c r="H41" s="14">
        <f t="shared" ca="1" si="8"/>
        <v>546376.90117502993</v>
      </c>
    </row>
    <row r="42" spans="1:10" x14ac:dyDescent="0.25">
      <c r="A42" t="s">
        <v>95</v>
      </c>
      <c r="C42" s="14">
        <f ca="1">SUM(C38:C39)</f>
        <v>429085.2044794251</v>
      </c>
      <c r="D42" s="14">
        <f t="shared" ref="D42:H42" ca="1" si="9">SUM(D38:D39)</f>
        <v>429544.73530682595</v>
      </c>
      <c r="E42" s="14">
        <f t="shared" ca="1" si="9"/>
        <v>781091.87082571548</v>
      </c>
      <c r="F42" s="14">
        <f t="shared" ca="1" si="9"/>
        <v>786060.03901676275</v>
      </c>
      <c r="G42" s="14">
        <f t="shared" ca="1" si="9"/>
        <v>335801.79838654038</v>
      </c>
      <c r="H42" s="14">
        <f t="shared" ca="1" si="9"/>
        <v>413435.04496695497</v>
      </c>
    </row>
    <row r="43" spans="1:10" x14ac:dyDescent="0.25">
      <c r="A43" t="s">
        <v>96</v>
      </c>
      <c r="B43" t="s">
        <v>97</v>
      </c>
      <c r="C43" s="14">
        <f ca="1">C41-C42</f>
        <v>113285.34729843866</v>
      </c>
      <c r="D43" s="14">
        <f t="shared" ref="D43:H43" ca="1" si="10">D41-D42</f>
        <v>112563.16509322752</v>
      </c>
      <c r="E43" s="14">
        <f t="shared" ca="1" si="10"/>
        <v>-238949.82974214316</v>
      </c>
      <c r="F43" s="14">
        <f t="shared" ca="1" si="10"/>
        <v>-242720.8554107009</v>
      </c>
      <c r="G43" s="14">
        <f t="shared" ca="1" si="10"/>
        <v>209171.36515743227</v>
      </c>
      <c r="H43" s="14">
        <f t="shared" ca="1" si="10"/>
        <v>132941.85620807495</v>
      </c>
    </row>
    <row r="44" spans="1:10" x14ac:dyDescent="0.25">
      <c r="A44" t="s">
        <v>102</v>
      </c>
      <c r="C44" s="14">
        <f ca="1">C43</f>
        <v>113285.34729843866</v>
      </c>
      <c r="D44" s="14">
        <f ca="1">SUM($C$43:D43)</f>
        <v>225848.51239166618</v>
      </c>
      <c r="E44" s="14">
        <f ca="1">SUM($C$43:E43)</f>
        <v>-13101.31735047698</v>
      </c>
      <c r="F44" s="14">
        <f ca="1">SUM($C$43:F43)</f>
        <v>-255822.17276117788</v>
      </c>
      <c r="G44" s="14">
        <f ca="1">SUM($C$43:G43)</f>
        <v>-46650.807603745605</v>
      </c>
      <c r="H44" s="18">
        <f ca="1">SUM($C$43:H43)</f>
        <v>86291.048604329349</v>
      </c>
      <c r="I44" s="5" t="s">
        <v>112</v>
      </c>
    </row>
    <row r="46" spans="1:10" x14ac:dyDescent="0.25">
      <c r="A46" s="5"/>
      <c r="I46" s="5"/>
      <c r="J46" s="5"/>
    </row>
    <row r="47" spans="1:10" x14ac:dyDescent="0.25">
      <c r="C47" s="14"/>
      <c r="D47" s="14"/>
      <c r="E47" s="14"/>
      <c r="F47" s="14"/>
      <c r="G47" s="14"/>
      <c r="H47" s="14"/>
      <c r="I47" s="14"/>
      <c r="J47" s="14"/>
    </row>
    <row r="48" spans="1:10" x14ac:dyDescent="0.25">
      <c r="C48" s="14"/>
      <c r="D48" s="14"/>
      <c r="E48" s="14"/>
      <c r="F48" s="14"/>
      <c r="G48" s="14"/>
      <c r="H48" s="14"/>
      <c r="I48" s="14"/>
      <c r="J48" s="14"/>
    </row>
    <row r="49" spans="3:10" x14ac:dyDescent="0.25">
      <c r="C49" s="14"/>
      <c r="D49" s="14"/>
      <c r="E49" s="14"/>
      <c r="F49" s="14"/>
      <c r="G49" s="14"/>
      <c r="H49" s="14"/>
      <c r="I49" s="14"/>
      <c r="J49" s="14"/>
    </row>
    <row r="50" spans="3:10" x14ac:dyDescent="0.25">
      <c r="C50" s="14"/>
      <c r="D50" s="14"/>
      <c r="E50" s="14"/>
      <c r="F50" s="14"/>
      <c r="G50" s="14"/>
      <c r="H50" s="14"/>
      <c r="I50" s="14"/>
      <c r="J50" s="14"/>
    </row>
    <row r="51" spans="3:10" x14ac:dyDescent="0.25">
      <c r="C51" s="14"/>
      <c r="D51" s="14"/>
      <c r="E51" s="14"/>
      <c r="F51" s="14"/>
      <c r="G51" s="14"/>
      <c r="H51" s="14"/>
      <c r="I51" s="14"/>
      <c r="J51" s="14"/>
    </row>
    <row r="52" spans="3:10" x14ac:dyDescent="0.25">
      <c r="C52" s="14"/>
      <c r="D52" s="14"/>
      <c r="E52" s="14"/>
      <c r="F52" s="14"/>
      <c r="G52" s="14"/>
      <c r="H52" s="14"/>
      <c r="I52" s="14"/>
      <c r="J52" s="14"/>
    </row>
    <row r="53" spans="3:10" x14ac:dyDescent="0.25">
      <c r="C53" s="14"/>
      <c r="D53" s="14"/>
      <c r="E53" s="14"/>
      <c r="F53" s="14"/>
      <c r="G53" s="14"/>
      <c r="H53" s="14"/>
      <c r="I53" s="14"/>
      <c r="J53" s="14"/>
    </row>
    <row r="54" spans="3:10" x14ac:dyDescent="0.25">
      <c r="C54" s="14"/>
      <c r="D54" s="14"/>
      <c r="E54" s="14"/>
      <c r="F54" s="14"/>
      <c r="G54" s="14"/>
      <c r="H54" s="14"/>
      <c r="I54" s="14"/>
      <c r="J54" s="14"/>
    </row>
    <row r="55" spans="3:10" x14ac:dyDescent="0.25">
      <c r="I55" s="21"/>
      <c r="J55" s="22"/>
    </row>
  </sheetData>
  <pageMargins left="0.7" right="0.7" top="0.75" bottom="0.75" header="0.3" footer="0.3"/>
  <pageSetup scale="8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curvas y escenarios</vt:lpstr>
      <vt:lpstr>participaciones</vt:lpstr>
      <vt:lpstr>VE</vt:lpstr>
      <vt:lpstr>MNI</vt:lpstr>
      <vt:lpstr>MNI!Área_de_impresión</vt:lpstr>
      <vt:lpstr>participaciones!Área_de_impresión</vt:lpstr>
      <vt:lpstr>VE!Área_de_impresión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Linking data sas nit 901253313 Carlos Castro-Iragorri</dc:creator>
  <cp:lastModifiedBy>Linking data sas nit 901253313 Carlos Castro-Iragorri</cp:lastModifiedBy>
  <dcterms:created xsi:type="dcterms:W3CDTF">2024-05-18T19:47:34Z</dcterms:created>
  <dcterms:modified xsi:type="dcterms:W3CDTF">2024-05-18T23:44:47Z</dcterms:modified>
</cp:coreProperties>
</file>