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trlProps/ctrlProp2.xml" ContentType="application/vnd.ms-excel.controlproperti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trlProps/ctrlProp3.xml" ContentType="application/vnd.ms-excel.controlproperti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Carlos Castro\Dropbox\IRRBB\paginaWeb\"/>
    </mc:Choice>
  </mc:AlternateContent>
  <xr:revisionPtr revIDLastSave="0" documentId="13_ncr:1_{F5E93613-5773-47C8-9FF7-7A5C46DE381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apRisk yield" sheetId="4" r:id="rId1"/>
    <sheet name="GapRisk repricing" sheetId="2" r:id="rId2"/>
    <sheet name="BasisRisk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9" i="4" l="1"/>
  <c r="S29" i="4"/>
  <c r="L29" i="4"/>
  <c r="K29" i="4"/>
  <c r="D29" i="4"/>
  <c r="C29" i="4"/>
  <c r="M28" i="4"/>
  <c r="L28" i="4"/>
  <c r="K28" i="4"/>
  <c r="J28" i="4"/>
  <c r="I28" i="4"/>
  <c r="H28" i="4"/>
  <c r="G28" i="4"/>
  <c r="F28" i="4"/>
  <c r="E28" i="4"/>
  <c r="D28" i="4"/>
  <c r="C28" i="4"/>
  <c r="U26" i="4"/>
  <c r="U29" i="4" s="1"/>
  <c r="T26" i="4"/>
  <c r="S26" i="4"/>
  <c r="R26" i="4"/>
  <c r="R29" i="4" s="1"/>
  <c r="Q26" i="4"/>
  <c r="Q29" i="4" s="1"/>
  <c r="P26" i="4"/>
  <c r="P29" i="4" s="1"/>
  <c r="O26" i="4"/>
  <c r="O29" i="4" s="1"/>
  <c r="N26" i="4"/>
  <c r="N29" i="4" s="1"/>
  <c r="M26" i="4"/>
  <c r="M29" i="4" s="1"/>
  <c r="L26" i="4"/>
  <c r="K26" i="4"/>
  <c r="J26" i="4"/>
  <c r="J29" i="4" s="1"/>
  <c r="I26" i="4"/>
  <c r="I29" i="4" s="1"/>
  <c r="H26" i="4"/>
  <c r="H29" i="4" s="1"/>
  <c r="G26" i="4"/>
  <c r="G29" i="4" s="1"/>
  <c r="F26" i="4"/>
  <c r="F29" i="4" s="1"/>
  <c r="E26" i="4"/>
  <c r="E29" i="4" s="1"/>
  <c r="D26" i="4"/>
  <c r="C26" i="4"/>
  <c r="T20" i="4"/>
  <c r="T37" i="4" s="1"/>
  <c r="S20" i="4"/>
  <c r="S37" i="4" s="1"/>
  <c r="D20" i="4"/>
  <c r="D37" i="4" s="1"/>
  <c r="L16" i="4"/>
  <c r="L34" i="4" s="1"/>
  <c r="S13" i="4"/>
  <c r="K13" i="4"/>
  <c r="U9" i="4"/>
  <c r="U19" i="4" s="1"/>
  <c r="U36" i="4" s="1"/>
  <c r="T9" i="4"/>
  <c r="T23" i="4" s="1"/>
  <c r="T39" i="4" s="1"/>
  <c r="S9" i="4"/>
  <c r="S16" i="4" s="1"/>
  <c r="S34" i="4" s="1"/>
  <c r="R9" i="4"/>
  <c r="R20" i="4" s="1"/>
  <c r="R37" i="4" s="1"/>
  <c r="Q9" i="4"/>
  <c r="Q13" i="4" s="1"/>
  <c r="Q32" i="4" s="1"/>
  <c r="P9" i="4"/>
  <c r="P17" i="4" s="1"/>
  <c r="P35" i="4" s="1"/>
  <c r="O9" i="4"/>
  <c r="O14" i="4" s="1"/>
  <c r="N9" i="4"/>
  <c r="N14" i="4" s="1"/>
  <c r="N33" i="4" s="1"/>
  <c r="M9" i="4"/>
  <c r="M19" i="4" s="1"/>
  <c r="M36" i="4" s="1"/>
  <c r="L9" i="4"/>
  <c r="L23" i="4" s="1"/>
  <c r="L39" i="4" s="1"/>
  <c r="K9" i="4"/>
  <c r="K16" i="4" s="1"/>
  <c r="K34" i="4" s="1"/>
  <c r="J9" i="4"/>
  <c r="J20" i="4" s="1"/>
  <c r="J37" i="4" s="1"/>
  <c r="I9" i="4"/>
  <c r="I13" i="4" s="1"/>
  <c r="I32" i="4" s="1"/>
  <c r="H9" i="4"/>
  <c r="H17" i="4" s="1"/>
  <c r="H35" i="4" s="1"/>
  <c r="G9" i="4"/>
  <c r="G19" i="4" s="1"/>
  <c r="F9" i="4"/>
  <c r="F14" i="4" s="1"/>
  <c r="F33" i="4" s="1"/>
  <c r="E9" i="4"/>
  <c r="E19" i="4" s="1"/>
  <c r="E36" i="4" s="1"/>
  <c r="D9" i="4"/>
  <c r="D23" i="4" s="1"/>
  <c r="D39" i="4" s="1"/>
  <c r="C9" i="4"/>
  <c r="C16" i="4" s="1"/>
  <c r="C34" i="4" s="1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P14" i="4" l="1"/>
  <c r="P33" i="4" s="1"/>
  <c r="D16" i="4"/>
  <c r="D34" i="4" s="1"/>
  <c r="P22" i="4"/>
  <c r="I31" i="4"/>
  <c r="Q31" i="4"/>
  <c r="Q22" i="4"/>
  <c r="I17" i="4"/>
  <c r="F19" i="4"/>
  <c r="F36" i="4" s="1"/>
  <c r="C13" i="4"/>
  <c r="C32" i="4" s="1"/>
  <c r="C20" i="4"/>
  <c r="C37" i="4" s="1"/>
  <c r="S32" i="4"/>
  <c r="N19" i="4"/>
  <c r="N36" i="4" s="1"/>
  <c r="H22" i="4"/>
  <c r="H38" i="4" s="1"/>
  <c r="G36" i="4"/>
  <c r="R13" i="4"/>
  <c r="R32" i="4" s="1"/>
  <c r="T16" i="4"/>
  <c r="T34" i="4" s="1"/>
  <c r="O19" i="4"/>
  <c r="O36" i="4" s="1"/>
  <c r="I22" i="4"/>
  <c r="I38" i="4" s="1"/>
  <c r="H31" i="4"/>
  <c r="P31" i="4"/>
  <c r="J17" i="4"/>
  <c r="J35" i="4" s="1"/>
  <c r="H14" i="4"/>
  <c r="Q17" i="4"/>
  <c r="K20" i="4"/>
  <c r="K37" i="4" s="1"/>
  <c r="K32" i="4"/>
  <c r="G14" i="4"/>
  <c r="G33" i="4" s="1"/>
  <c r="R17" i="4"/>
  <c r="R35" i="4" s="1"/>
  <c r="L20" i="4"/>
  <c r="L37" i="4" s="1"/>
  <c r="J13" i="4"/>
  <c r="J32" i="4" s="1"/>
  <c r="Q38" i="4"/>
  <c r="H33" i="4"/>
  <c r="Q35" i="4"/>
  <c r="O33" i="4"/>
  <c r="I35" i="4"/>
  <c r="P38" i="4"/>
  <c r="G31" i="4"/>
  <c r="O31" i="4"/>
  <c r="M23" i="4"/>
  <c r="M39" i="4" s="1"/>
  <c r="D13" i="4"/>
  <c r="D32" i="4" s="1"/>
  <c r="L13" i="4"/>
  <c r="L32" i="4" s="1"/>
  <c r="T13" i="4"/>
  <c r="T32" i="4" s="1"/>
  <c r="I14" i="4"/>
  <c r="I33" i="4" s="1"/>
  <c r="Q14" i="4"/>
  <c r="Q33" i="4" s="1"/>
  <c r="F16" i="4"/>
  <c r="F34" i="4" s="1"/>
  <c r="N16" i="4"/>
  <c r="N34" i="4" s="1"/>
  <c r="C17" i="4"/>
  <c r="C35" i="4" s="1"/>
  <c r="K17" i="4"/>
  <c r="K35" i="4" s="1"/>
  <c r="S17" i="4"/>
  <c r="S35" i="4" s="1"/>
  <c r="H19" i="4"/>
  <c r="H36" i="4" s="1"/>
  <c r="P19" i="4"/>
  <c r="P36" i="4" s="1"/>
  <c r="E20" i="4"/>
  <c r="E37" i="4" s="1"/>
  <c r="M20" i="4"/>
  <c r="M37" i="4" s="1"/>
  <c r="U20" i="4"/>
  <c r="U37" i="4" s="1"/>
  <c r="J22" i="4"/>
  <c r="J38" i="4" s="1"/>
  <c r="R22" i="4"/>
  <c r="R38" i="4" s="1"/>
  <c r="G23" i="4"/>
  <c r="G39" i="4" s="1"/>
  <c r="O23" i="4"/>
  <c r="O39" i="4" s="1"/>
  <c r="J31" i="4"/>
  <c r="R31" i="4"/>
  <c r="E23" i="4"/>
  <c r="E39" i="4" s="1"/>
  <c r="E16" i="4"/>
  <c r="E34" i="4" s="1"/>
  <c r="N23" i="4"/>
  <c r="N39" i="4" s="1"/>
  <c r="E13" i="4"/>
  <c r="E32" i="4" s="1"/>
  <c r="M13" i="4"/>
  <c r="M32" i="4" s="1"/>
  <c r="U13" i="4"/>
  <c r="U32" i="4" s="1"/>
  <c r="J14" i="4"/>
  <c r="J33" i="4" s="1"/>
  <c r="R14" i="4"/>
  <c r="R33" i="4" s="1"/>
  <c r="G16" i="4"/>
  <c r="G34" i="4" s="1"/>
  <c r="O16" i="4"/>
  <c r="O34" i="4" s="1"/>
  <c r="D17" i="4"/>
  <c r="D35" i="4" s="1"/>
  <c r="L17" i="4"/>
  <c r="L35" i="4" s="1"/>
  <c r="T17" i="4"/>
  <c r="T35" i="4" s="1"/>
  <c r="I19" i="4"/>
  <c r="I36" i="4" s="1"/>
  <c r="Q19" i="4"/>
  <c r="Q36" i="4" s="1"/>
  <c r="F20" i="4"/>
  <c r="F37" i="4" s="1"/>
  <c r="N20" i="4"/>
  <c r="N37" i="4" s="1"/>
  <c r="C22" i="4"/>
  <c r="C38" i="4" s="1"/>
  <c r="K22" i="4"/>
  <c r="K38" i="4" s="1"/>
  <c r="S22" i="4"/>
  <c r="S38" i="4" s="1"/>
  <c r="H23" i="4"/>
  <c r="H39" i="4" s="1"/>
  <c r="P23" i="4"/>
  <c r="P39" i="4" s="1"/>
  <c r="C31" i="4"/>
  <c r="K31" i="4"/>
  <c r="S31" i="4"/>
  <c r="F13" i="4"/>
  <c r="F32" i="4" s="1"/>
  <c r="N13" i="4"/>
  <c r="N32" i="4" s="1"/>
  <c r="C14" i="4"/>
  <c r="C33" i="4" s="1"/>
  <c r="K14" i="4"/>
  <c r="K33" i="4" s="1"/>
  <c r="S14" i="4"/>
  <c r="S33" i="4" s="1"/>
  <c r="H16" i="4"/>
  <c r="H34" i="4" s="1"/>
  <c r="P16" i="4"/>
  <c r="P34" i="4" s="1"/>
  <c r="E17" i="4"/>
  <c r="E35" i="4" s="1"/>
  <c r="M17" i="4"/>
  <c r="M35" i="4" s="1"/>
  <c r="U17" i="4"/>
  <c r="U35" i="4" s="1"/>
  <c r="J19" i="4"/>
  <c r="J36" i="4" s="1"/>
  <c r="R19" i="4"/>
  <c r="R36" i="4" s="1"/>
  <c r="G20" i="4"/>
  <c r="G37" i="4" s="1"/>
  <c r="O20" i="4"/>
  <c r="O37" i="4" s="1"/>
  <c r="D22" i="4"/>
  <c r="D38" i="4" s="1"/>
  <c r="L22" i="4"/>
  <c r="L38" i="4" s="1"/>
  <c r="T22" i="4"/>
  <c r="T38" i="4" s="1"/>
  <c r="I23" i="4"/>
  <c r="I39" i="4" s="1"/>
  <c r="Q23" i="4"/>
  <c r="Q39" i="4" s="1"/>
  <c r="D31" i="4"/>
  <c r="L31" i="4"/>
  <c r="T31" i="4"/>
  <c r="M16" i="4"/>
  <c r="M34" i="4" s="1"/>
  <c r="U16" i="4"/>
  <c r="U34" i="4" s="1"/>
  <c r="G13" i="4"/>
  <c r="G32" i="4" s="1"/>
  <c r="O13" i="4"/>
  <c r="O32" i="4" s="1"/>
  <c r="D14" i="4"/>
  <c r="D33" i="4" s="1"/>
  <c r="L14" i="4"/>
  <c r="L33" i="4" s="1"/>
  <c r="T14" i="4"/>
  <c r="T33" i="4" s="1"/>
  <c r="I16" i="4"/>
  <c r="I34" i="4" s="1"/>
  <c r="Q16" i="4"/>
  <c r="Q34" i="4" s="1"/>
  <c r="F17" i="4"/>
  <c r="F35" i="4" s="1"/>
  <c r="N17" i="4"/>
  <c r="N35" i="4" s="1"/>
  <c r="C19" i="4"/>
  <c r="C36" i="4" s="1"/>
  <c r="K19" i="4"/>
  <c r="K36" i="4" s="1"/>
  <c r="S19" i="4"/>
  <c r="S36" i="4" s="1"/>
  <c r="H20" i="4"/>
  <c r="H37" i="4" s="1"/>
  <c r="P20" i="4"/>
  <c r="P37" i="4" s="1"/>
  <c r="E22" i="4"/>
  <c r="E38" i="4" s="1"/>
  <c r="M22" i="4"/>
  <c r="M38" i="4" s="1"/>
  <c r="U22" i="4"/>
  <c r="U38" i="4" s="1"/>
  <c r="J23" i="4"/>
  <c r="J39" i="4" s="1"/>
  <c r="R23" i="4"/>
  <c r="R39" i="4" s="1"/>
  <c r="E31" i="4"/>
  <c r="M31" i="4"/>
  <c r="U31" i="4"/>
  <c r="F23" i="4"/>
  <c r="F39" i="4" s="1"/>
  <c r="H13" i="4"/>
  <c r="H32" i="4" s="1"/>
  <c r="P13" i="4"/>
  <c r="P32" i="4" s="1"/>
  <c r="E14" i="4"/>
  <c r="E33" i="4" s="1"/>
  <c r="M14" i="4"/>
  <c r="M33" i="4" s="1"/>
  <c r="U14" i="4"/>
  <c r="U33" i="4" s="1"/>
  <c r="J16" i="4"/>
  <c r="J34" i="4" s="1"/>
  <c r="R16" i="4"/>
  <c r="R34" i="4" s="1"/>
  <c r="G17" i="4"/>
  <c r="G35" i="4" s="1"/>
  <c r="O17" i="4"/>
  <c r="O35" i="4" s="1"/>
  <c r="D19" i="4"/>
  <c r="D36" i="4" s="1"/>
  <c r="L19" i="4"/>
  <c r="L36" i="4" s="1"/>
  <c r="T19" i="4"/>
  <c r="T36" i="4" s="1"/>
  <c r="I20" i="4"/>
  <c r="I37" i="4" s="1"/>
  <c r="Q20" i="4"/>
  <c r="Q37" i="4" s="1"/>
  <c r="F22" i="4"/>
  <c r="F38" i="4" s="1"/>
  <c r="N22" i="4"/>
  <c r="N38" i="4" s="1"/>
  <c r="C23" i="4"/>
  <c r="C39" i="4" s="1"/>
  <c r="K23" i="4"/>
  <c r="K39" i="4" s="1"/>
  <c r="S23" i="4"/>
  <c r="S39" i="4" s="1"/>
  <c r="F31" i="4"/>
  <c r="N31" i="4"/>
  <c r="U23" i="4"/>
  <c r="U39" i="4" s="1"/>
  <c r="G22" i="4"/>
  <c r="G38" i="4" s="1"/>
  <c r="O22" i="4"/>
  <c r="O38" i="4" s="1"/>
  <c r="V34" i="4" l="1"/>
  <c r="V37" i="4"/>
  <c r="V32" i="4"/>
  <c r="V35" i="4"/>
  <c r="V38" i="4"/>
  <c r="V33" i="4"/>
  <c r="V36" i="4"/>
  <c r="V39" i="4"/>
  <c r="V31" i="4"/>
  <c r="W39" i="4" l="1"/>
  <c r="W31" i="4"/>
  <c r="W36" i="4"/>
  <c r="W34" i="4"/>
  <c r="W37" i="4"/>
  <c r="W32" i="4"/>
  <c r="W35" i="4"/>
  <c r="W33" i="4"/>
  <c r="W38" i="4"/>
  <c r="Y25" i="4" l="1"/>
  <c r="D40" i="3" l="1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H30" i="3"/>
  <c r="H31" i="3" s="1"/>
  <c r="H32" i="3" s="1"/>
  <c r="G30" i="3"/>
  <c r="G31" i="3" s="1"/>
  <c r="G32" i="3" s="1"/>
  <c r="F30" i="3"/>
  <c r="F31" i="3" s="1"/>
  <c r="F32" i="3" s="1"/>
  <c r="E30" i="3"/>
  <c r="E31" i="3" s="1"/>
  <c r="E32" i="3" s="1"/>
  <c r="D30" i="3"/>
  <c r="D31" i="3" s="1"/>
  <c r="D32" i="3" s="1"/>
  <c r="C30" i="3"/>
  <c r="C31" i="3" s="1"/>
  <c r="C32" i="3" s="1"/>
  <c r="T29" i="3"/>
  <c r="B29" i="3"/>
  <c r="E25" i="3"/>
  <c r="E26" i="3" s="1"/>
  <c r="E27" i="3" s="1"/>
  <c r="D25" i="3"/>
  <c r="D26" i="3" s="1"/>
  <c r="D27" i="3" s="1"/>
  <c r="C25" i="3"/>
  <c r="C26" i="3" s="1"/>
  <c r="C27" i="3" s="1"/>
  <c r="B24" i="3"/>
  <c r="B41" i="3" s="1"/>
  <c r="U21" i="3"/>
  <c r="U29" i="3" s="1"/>
  <c r="T21" i="3"/>
  <c r="S21" i="3"/>
  <c r="S29" i="3" s="1"/>
  <c r="R21" i="3"/>
  <c r="R29" i="3" s="1"/>
  <c r="Q21" i="3"/>
  <c r="Q29" i="3" s="1"/>
  <c r="P21" i="3"/>
  <c r="P29" i="3" s="1"/>
  <c r="O21" i="3"/>
  <c r="O29" i="3" s="1"/>
  <c r="N21" i="3"/>
  <c r="N29" i="3" s="1"/>
  <c r="M21" i="3"/>
  <c r="M29" i="3" s="1"/>
  <c r="L21" i="3"/>
  <c r="L29" i="3" s="1"/>
  <c r="K21" i="3"/>
  <c r="K29" i="3" s="1"/>
  <c r="J21" i="3"/>
  <c r="J29" i="3" s="1"/>
  <c r="I21" i="3"/>
  <c r="I29" i="3" s="1"/>
  <c r="H21" i="3"/>
  <c r="H29" i="3" s="1"/>
  <c r="G21" i="3"/>
  <c r="G29" i="3" s="1"/>
  <c r="F21" i="3"/>
  <c r="F29" i="3" s="1"/>
  <c r="E21" i="3"/>
  <c r="E29" i="3" s="1"/>
  <c r="D21" i="3"/>
  <c r="D29" i="3" s="1"/>
  <c r="C21" i="3"/>
  <c r="C29" i="3" s="1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U17" i="3"/>
  <c r="U24" i="3" s="1"/>
  <c r="T17" i="3"/>
  <c r="T24" i="3" s="1"/>
  <c r="S17" i="3"/>
  <c r="S24" i="3" s="1"/>
  <c r="R17" i="3"/>
  <c r="R24" i="3" s="1"/>
  <c r="Q17" i="3"/>
  <c r="Q24" i="3" s="1"/>
  <c r="P17" i="3"/>
  <c r="P24" i="3" s="1"/>
  <c r="O17" i="3"/>
  <c r="O24" i="3" s="1"/>
  <c r="N17" i="3"/>
  <c r="N24" i="3" s="1"/>
  <c r="M17" i="3"/>
  <c r="M24" i="3" s="1"/>
  <c r="L17" i="3"/>
  <c r="L24" i="3" s="1"/>
  <c r="K17" i="3"/>
  <c r="K24" i="3" s="1"/>
  <c r="J17" i="3"/>
  <c r="J24" i="3" s="1"/>
  <c r="I17" i="3"/>
  <c r="I24" i="3" s="1"/>
  <c r="H17" i="3"/>
  <c r="H24" i="3" s="1"/>
  <c r="G17" i="3"/>
  <c r="G24" i="3" s="1"/>
  <c r="F17" i="3"/>
  <c r="F24" i="3" s="1"/>
  <c r="E17" i="3"/>
  <c r="E24" i="3" s="1"/>
  <c r="D17" i="3"/>
  <c r="D24" i="3" s="1"/>
  <c r="C17" i="3"/>
  <c r="C24" i="3" s="1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12" i="2"/>
  <c r="D13" i="2" s="1"/>
  <c r="B10" i="2"/>
  <c r="H11" i="2" s="1"/>
  <c r="C13" i="2" l="1"/>
  <c r="E13" i="2"/>
  <c r="F13" i="2"/>
  <c r="G13" i="2"/>
  <c r="H13" i="2"/>
  <c r="H15" i="2"/>
  <c r="E33" i="3"/>
  <c r="E36" i="3" s="1"/>
  <c r="C33" i="3"/>
  <c r="C36" i="3" s="1"/>
  <c r="S30" i="3"/>
  <c r="S31" i="3" s="1"/>
  <c r="N25" i="3"/>
  <c r="N26" i="3" s="1"/>
  <c r="N27" i="3" s="1"/>
  <c r="F25" i="3"/>
  <c r="F26" i="3" s="1"/>
  <c r="F27" i="3" s="1"/>
  <c r="F33" i="3" s="1"/>
  <c r="F36" i="3" s="1"/>
  <c r="U25" i="3"/>
  <c r="U26" i="3" s="1"/>
  <c r="M25" i="3"/>
  <c r="M26" i="3" s="1"/>
  <c r="M27" i="3" s="1"/>
  <c r="T25" i="3"/>
  <c r="T26" i="3" s="1"/>
  <c r="L25" i="3"/>
  <c r="L26" i="3" s="1"/>
  <c r="L27" i="3" s="1"/>
  <c r="S25" i="3"/>
  <c r="S26" i="3" s="1"/>
  <c r="S27" i="3" s="1"/>
  <c r="S33" i="3" s="1"/>
  <c r="S36" i="3" s="1"/>
  <c r="K25" i="3"/>
  <c r="K26" i="3" s="1"/>
  <c r="K27" i="3" s="1"/>
  <c r="R25" i="3"/>
  <c r="R26" i="3" s="1"/>
  <c r="R27" i="3" s="1"/>
  <c r="J25" i="3"/>
  <c r="J26" i="3" s="1"/>
  <c r="J27" i="3" s="1"/>
  <c r="Q25" i="3"/>
  <c r="Q26" i="3" s="1"/>
  <c r="Q27" i="3" s="1"/>
  <c r="I25" i="3"/>
  <c r="I26" i="3" s="1"/>
  <c r="I27" i="3" s="1"/>
  <c r="P25" i="3"/>
  <c r="P26" i="3" s="1"/>
  <c r="P27" i="3" s="1"/>
  <c r="H25" i="3"/>
  <c r="H26" i="3" s="1"/>
  <c r="H27" i="3" s="1"/>
  <c r="H33" i="3" s="1"/>
  <c r="H36" i="3" s="1"/>
  <c r="O25" i="3"/>
  <c r="O26" i="3" s="1"/>
  <c r="O27" i="3" s="1"/>
  <c r="G25" i="3"/>
  <c r="G26" i="3" s="1"/>
  <c r="G27" i="3" s="1"/>
  <c r="G33" i="3" s="1"/>
  <c r="G36" i="3" s="1"/>
  <c r="D33" i="3"/>
  <c r="D36" i="3" s="1"/>
  <c r="L30" i="3"/>
  <c r="L31" i="3" s="1"/>
  <c r="L32" i="3" s="1"/>
  <c r="T30" i="3"/>
  <c r="T31" i="3" s="1"/>
  <c r="C11" i="2"/>
  <c r="M30" i="3"/>
  <c r="M31" i="3" s="1"/>
  <c r="M32" i="3" s="1"/>
  <c r="U30" i="3"/>
  <c r="U31" i="3" s="1"/>
  <c r="D11" i="2"/>
  <c r="D15" i="2" s="1"/>
  <c r="N30" i="3"/>
  <c r="N31" i="3" s="1"/>
  <c r="N32" i="3" s="1"/>
  <c r="E11" i="2"/>
  <c r="E15" i="2" s="1"/>
  <c r="O30" i="3"/>
  <c r="O31" i="3" s="1"/>
  <c r="O32" i="3" s="1"/>
  <c r="F11" i="2"/>
  <c r="P30" i="3"/>
  <c r="P31" i="3" s="1"/>
  <c r="P32" i="3" s="1"/>
  <c r="G11" i="2"/>
  <c r="G15" i="2" s="1"/>
  <c r="I30" i="3"/>
  <c r="I31" i="3" s="1"/>
  <c r="I32" i="3" s="1"/>
  <c r="Q30" i="3"/>
  <c r="Q31" i="3" s="1"/>
  <c r="Q32" i="3" s="1"/>
  <c r="J30" i="3"/>
  <c r="J31" i="3" s="1"/>
  <c r="J32" i="3" s="1"/>
  <c r="R30" i="3"/>
  <c r="R31" i="3" s="1"/>
  <c r="R32" i="3" s="1"/>
  <c r="K30" i="3"/>
  <c r="K31" i="3" s="1"/>
  <c r="K32" i="3" s="1"/>
  <c r="C15" i="2" l="1"/>
  <c r="F15" i="2"/>
  <c r="I33" i="3"/>
  <c r="I36" i="3" s="1"/>
  <c r="P33" i="3"/>
  <c r="P36" i="3" s="1"/>
  <c r="M33" i="3"/>
  <c r="M36" i="3" s="1"/>
  <c r="Q33" i="3"/>
  <c r="Q36" i="3" s="1"/>
  <c r="J33" i="3"/>
  <c r="J36" i="3" s="1"/>
  <c r="R33" i="3"/>
  <c r="R36" i="3" s="1"/>
  <c r="N33" i="3"/>
  <c r="N36" i="3" s="1"/>
  <c r="K33" i="3"/>
  <c r="K36" i="3" s="1"/>
  <c r="O33" i="3"/>
  <c r="O36" i="3" s="1"/>
  <c r="G37" i="3"/>
  <c r="F37" i="3"/>
  <c r="E37" i="3"/>
  <c r="D37" i="3"/>
  <c r="C37" i="3"/>
  <c r="H37" i="3"/>
  <c r="H16" i="2"/>
  <c r="B19" i="2" s="1"/>
  <c r="L33" i="3"/>
  <c r="L36" i="3" s="1"/>
  <c r="D34" i="3"/>
  <c r="C34" i="3"/>
  <c r="H34" i="3"/>
  <c r="G34" i="3"/>
  <c r="F34" i="3"/>
  <c r="E34" i="3"/>
  <c r="F16" i="2" l="1"/>
  <c r="G16" i="2"/>
  <c r="C16" i="2"/>
  <c r="D16" i="2"/>
  <c r="E16" i="2"/>
  <c r="Q37" i="3"/>
  <c r="J37" i="3"/>
  <c r="I34" i="3"/>
  <c r="J34" i="3"/>
  <c r="R34" i="3"/>
  <c r="L37" i="3"/>
  <c r="K34" i="3"/>
  <c r="P37" i="3"/>
  <c r="R37" i="3"/>
  <c r="N34" i="3"/>
  <c r="M37" i="3"/>
  <c r="I37" i="3"/>
  <c r="O34" i="3"/>
  <c r="S34" i="3"/>
  <c r="N37" i="3"/>
  <c r="P34" i="3"/>
  <c r="K37" i="3"/>
  <c r="L34" i="3"/>
  <c r="S37" i="3"/>
  <c r="C41" i="3" s="1"/>
  <c r="D41" i="3" s="1"/>
  <c r="O37" i="3"/>
  <c r="M34" i="3"/>
  <c r="Q34" i="3"/>
</calcChain>
</file>

<file path=xl/sharedStrings.xml><?xml version="1.0" encoding="utf-8"?>
<sst xmlns="http://schemas.openxmlformats.org/spreadsheetml/2006/main" count="132" uniqueCount="84">
  <si>
    <t>YTM COP IBR (OIS) Swap Curve, fuente: Bloomberg (S329)</t>
  </si>
  <si>
    <t>Bandas</t>
  </si>
  <si>
    <t>O/N</t>
  </si>
  <si>
    <t>O/N - 1mth</t>
  </si>
  <si>
    <t>1 - 3mth</t>
  </si>
  <si>
    <t>3 - 6mth</t>
  </si>
  <si>
    <t>6 -9mths</t>
  </si>
  <si>
    <t>9 -12mths</t>
  </si>
  <si>
    <t>1-1.5yr</t>
  </si>
  <si>
    <t>1.5-2yr</t>
  </si>
  <si>
    <t>2-3yr</t>
  </si>
  <si>
    <t>3-4yr</t>
  </si>
  <si>
    <t>4-5yr</t>
  </si>
  <si>
    <t>5-6yr</t>
  </si>
  <si>
    <t>6-7yr</t>
  </si>
  <si>
    <t>7-8yr</t>
  </si>
  <si>
    <t>8-9yr</t>
  </si>
  <si>
    <t>9-10yr</t>
  </si>
  <si>
    <t>&lt;15yr</t>
  </si>
  <si>
    <t>&lt;20yr</t>
  </si>
  <si>
    <t>&gt;20yr</t>
  </si>
  <si>
    <t>pto medio (k)</t>
  </si>
  <si>
    <t>conteo dias</t>
  </si>
  <si>
    <t>esc. Base</t>
  </si>
  <si>
    <t>y_j</t>
  </si>
  <si>
    <t>Choques a la curva</t>
  </si>
  <si>
    <t>paralelo pb (S0)</t>
  </si>
  <si>
    <t>y_j+S0</t>
  </si>
  <si>
    <t>y_j-S0</t>
  </si>
  <si>
    <t>corto pb (S1)</t>
  </si>
  <si>
    <t>y_j+S1*(e^(-k/4))</t>
  </si>
  <si>
    <t>y_j-S1*(e^(-k/4))</t>
  </si>
  <si>
    <t>largo pb (S2)</t>
  </si>
  <si>
    <t>y_j+S2*(1-e^(-k/4))</t>
  </si>
  <si>
    <t>y_j-S2*(1-e^(-k/4))</t>
  </si>
  <si>
    <t>rotacion</t>
  </si>
  <si>
    <t xml:space="preserve">inclinacion </t>
  </si>
  <si>
    <t>y_j+((-0.65*|S1*(e^(-k/4))|)+(0.9*|S2*(1-e^(-k/4))|))</t>
  </si>
  <si>
    <t>aplanamiento</t>
  </si>
  <si>
    <t>y_j+((0.8*|S1*(e^(-k/4)|)-(0.6*|S2*(1-e^(-k/4))|))</t>
  </si>
  <si>
    <t>max Delta^s VE</t>
  </si>
  <si>
    <t>cf +/A(t0, tj, d1)</t>
  </si>
  <si>
    <t>cf -/P(t0, tj, d1)</t>
  </si>
  <si>
    <t>flujos netos</t>
  </si>
  <si>
    <t>CF(t0,tj)</t>
  </si>
  <si>
    <t>D(t0,tj)          CF(t0,tj)</t>
  </si>
  <si>
    <t>VE</t>
  </si>
  <si>
    <t>Delta VE</t>
  </si>
  <si>
    <t>escenarios</t>
  </si>
  <si>
    <t>base</t>
  </si>
  <si>
    <t>paralelo+</t>
  </si>
  <si>
    <t>paralelo-</t>
  </si>
  <si>
    <t>corto+</t>
  </si>
  <si>
    <t>corto-</t>
  </si>
  <si>
    <t>largo+</t>
  </si>
  <si>
    <t>largo-</t>
  </si>
  <si>
    <t>inclinacion</t>
  </si>
  <si>
    <t>IBR %</t>
  </si>
  <si>
    <t>TCO</t>
  </si>
  <si>
    <t>b. constante</t>
  </si>
  <si>
    <t>flujos netos acumulados</t>
  </si>
  <si>
    <t>MNI</t>
  </si>
  <si>
    <t>MNI base</t>
  </si>
  <si>
    <t>Delta MNI</t>
  </si>
  <si>
    <t>Nodos Observados, TV</t>
  </si>
  <si>
    <t>&gt;20yr|30</t>
  </si>
  <si>
    <t>c. Rendimientos</t>
  </si>
  <si>
    <t>IBR</t>
  </si>
  <si>
    <t>COP</t>
  </si>
  <si>
    <t>f. descuento</t>
  </si>
  <si>
    <t>escenario</t>
  </si>
  <si>
    <t>3mth Forward rates</t>
  </si>
  <si>
    <t>credito IBR 3mth+</t>
  </si>
  <si>
    <t>1Y Forward rates</t>
  </si>
  <si>
    <t>bono COP 10y +</t>
  </si>
  <si>
    <t xml:space="preserve">D(t0,tj)   </t>
  </si>
  <si>
    <t>flujos netos descontados</t>
  </si>
  <si>
    <t>DeltaVE</t>
  </si>
  <si>
    <t>IBR 4/11/2022</t>
  </si>
  <si>
    <t>IBR 4/11/2023</t>
  </si>
  <si>
    <t>IBR 4/11/2024</t>
  </si>
  <si>
    <t>COP 4/11/2022</t>
  </si>
  <si>
    <t>COP 4/11/2023</t>
  </si>
  <si>
    <t>COP 4/11/2024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</si>
</sst>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00"/>
    <numFmt numFmtId="165" formatCode="_(&quot;$&quot;* #,##0_);_(&quot;$&quot;* \(#,##0\);_(&quot;$&quot;* &quot;-&quot;??_);_(@_)"/>
    <numFmt numFmtId="166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3" fillId="0" borderId="0" xfId="0" applyFont="1"/>
    <xf numFmtId="1" fontId="4" fillId="0" borderId="0" xfId="0" applyNumberFormat="1" applyFont="1"/>
    <xf numFmtId="165" fontId="0" fillId="0" borderId="0" xfId="1" applyNumberFormat="1" applyFont="1"/>
    <xf numFmtId="1" fontId="0" fillId="0" borderId="0" xfId="0" applyNumberFormat="1"/>
    <xf numFmtId="10" fontId="0" fillId="0" borderId="0" xfId="2" applyNumberFormat="1" applyFont="1"/>
    <xf numFmtId="0" fontId="0" fillId="0" borderId="0" xfId="0" applyAlignment="1">
      <alignment wrapText="1"/>
    </xf>
    <xf numFmtId="0" fontId="5" fillId="0" borderId="0" xfId="0" applyFont="1"/>
    <xf numFmtId="1" fontId="5" fillId="0" borderId="0" xfId="0" applyNumberFormat="1" applyFont="1"/>
    <xf numFmtId="4" fontId="0" fillId="0" borderId="0" xfId="0" applyNumberFormat="1"/>
    <xf numFmtId="166" fontId="0" fillId="0" borderId="0" xfId="2" applyNumberFormat="1" applyFont="1"/>
    <xf numFmtId="3" fontId="0" fillId="0" borderId="0" xfId="0" applyNumberFormat="1"/>
    <xf numFmtId="3" fontId="0" fillId="0" borderId="0" xfId="1" applyNumberFormat="1" applyFont="1"/>
    <xf numFmtId="3" fontId="6" fillId="0" borderId="0" xfId="0" applyNumberFormat="1" applyFont="1"/>
    <xf numFmtId="0" fontId="6" fillId="0" borderId="0" xfId="0" applyFont="1"/>
    <xf numFmtId="0" fontId="7" fillId="0" borderId="0" xfId="0" applyFont="1"/>
    <xf numFmtId="3" fontId="7" fillId="0" borderId="0" xfId="0" applyNumberFormat="1" applyFont="1"/>
    <xf numFmtId="9" fontId="0" fillId="0" borderId="0" xfId="2" applyFont="1"/>
    <xf numFmtId="0" fontId="8" fillId="0" borderId="0" xfId="0" applyFont="1"/>
    <xf numFmtId="9" fontId="0" fillId="0" borderId="0" xfId="0" applyNumberFormat="1"/>
    <xf numFmtId="10" fontId="9" fillId="0" borderId="0" xfId="2" applyNumberFormat="1" applyFont="1"/>
    <xf numFmtId="3" fontId="2" fillId="0" borderId="0" xfId="0" applyNumberFormat="1" applyFon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726646344309561E-2"/>
          <c:y val="3.496225227980413E-2"/>
          <c:w val="0.9282095141664064"/>
          <c:h val="0.81663027290520251"/>
        </c:manualLayout>
      </c:layout>
      <c:lineChart>
        <c:grouping val="standard"/>
        <c:varyColors val="0"/>
        <c:ser>
          <c:idx val="0"/>
          <c:order val="0"/>
          <c:tx>
            <c:strRef>
              <c:f>'GapRisk yield'!$A$9</c:f>
              <c:strCache>
                <c:ptCount val="1"/>
                <c:pt idx="0">
                  <c:v>esc. Base</c:v>
                </c:pt>
              </c:strCache>
            </c:strRef>
          </c:tx>
          <c:spPr>
            <a:ln w="508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'GapRisk yield'!$C$3:$U$3</c:f>
              <c:numCache>
                <c:formatCode>General</c:formatCode>
                <c:ptCount val="19"/>
                <c:pt idx="0">
                  <c:v>2.8E-3</c:v>
                </c:pt>
                <c:pt idx="1">
                  <c:v>4.1700000000000001E-2</c:v>
                </c:pt>
                <c:pt idx="2">
                  <c:v>0.16669999999999999</c:v>
                </c:pt>
                <c:pt idx="3">
                  <c:v>0.375</c:v>
                </c:pt>
                <c:pt idx="4">
                  <c:v>0.625</c:v>
                </c:pt>
                <c:pt idx="5">
                  <c:v>0.875</c:v>
                </c:pt>
                <c:pt idx="6">
                  <c:v>1.25</c:v>
                </c:pt>
                <c:pt idx="7">
                  <c:v>1.75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12.5</c:v>
                </c:pt>
                <c:pt idx="17">
                  <c:v>17.5</c:v>
                </c:pt>
                <c:pt idx="18">
                  <c:v>25</c:v>
                </c:pt>
              </c:numCache>
            </c:numRef>
          </c:cat>
          <c:val>
            <c:numRef>
              <c:f>'GapRisk yield'!$C$9:$U$9</c:f>
              <c:numCache>
                <c:formatCode>General</c:formatCode>
                <c:ptCount val="19"/>
                <c:pt idx="0">
                  <c:v>4.79</c:v>
                </c:pt>
                <c:pt idx="1">
                  <c:v>2.2599999999999998</c:v>
                </c:pt>
                <c:pt idx="2">
                  <c:v>5.8780000000000001</c:v>
                </c:pt>
                <c:pt idx="3">
                  <c:v>7.1050000000000004</c:v>
                </c:pt>
                <c:pt idx="4">
                  <c:v>7.7549999999999999</c:v>
                </c:pt>
                <c:pt idx="5">
                  <c:v>8.2650000000000006</c:v>
                </c:pt>
                <c:pt idx="6">
                  <c:v>8.6950000000000003</c:v>
                </c:pt>
                <c:pt idx="7">
                  <c:v>8.3049999999999997</c:v>
                </c:pt>
                <c:pt idx="8">
                  <c:v>8.1950000000000003</c:v>
                </c:pt>
                <c:pt idx="9">
                  <c:v>8.1549999999999994</c:v>
                </c:pt>
                <c:pt idx="10">
                  <c:v>8.1150000000000002</c:v>
                </c:pt>
                <c:pt idx="11">
                  <c:v>8.0749999999999993</c:v>
                </c:pt>
                <c:pt idx="12">
                  <c:v>8.0350000000000001</c:v>
                </c:pt>
                <c:pt idx="13">
                  <c:v>8.0150000000000006</c:v>
                </c:pt>
                <c:pt idx="14">
                  <c:v>8.01</c:v>
                </c:pt>
                <c:pt idx="15">
                  <c:v>8.01</c:v>
                </c:pt>
                <c:pt idx="16">
                  <c:v>7.9950000000000001</c:v>
                </c:pt>
                <c:pt idx="17">
                  <c:v>7.98</c:v>
                </c:pt>
                <c:pt idx="18">
                  <c:v>7.9550000000000001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A-4EEB-A006-32B81803F036}"/>
            </c:ext>
          </c:extLst>
        </c:ser>
        <c:ser>
          <c:idx val="1"/>
          <c:order val="1"/>
          <c:tx>
            <c:v>paralelo+</c:v>
          </c:tx>
          <c:spPr>
            <a:ln w="28575" cap="rnd">
              <a:solidFill>
                <a:schemeClr val="accent2"/>
              </a:solidFill>
              <a:prstDash val="lgDashDot"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'GapRisk yield'!$C$13:$U$13</c:f>
              <c:numCache>
                <c:formatCode>0.00</c:formatCode>
                <c:ptCount val="19"/>
                <c:pt idx="0">
                  <c:v>8.7899999999999991</c:v>
                </c:pt>
                <c:pt idx="1">
                  <c:v>6.26</c:v>
                </c:pt>
                <c:pt idx="2">
                  <c:v>9.8780000000000001</c:v>
                </c:pt>
                <c:pt idx="3">
                  <c:v>11.105</c:v>
                </c:pt>
                <c:pt idx="4">
                  <c:v>11.754999999999999</c:v>
                </c:pt>
                <c:pt idx="5">
                  <c:v>12.265000000000001</c:v>
                </c:pt>
                <c:pt idx="6">
                  <c:v>12.695</c:v>
                </c:pt>
                <c:pt idx="7">
                  <c:v>12.305</c:v>
                </c:pt>
                <c:pt idx="8">
                  <c:v>12.195</c:v>
                </c:pt>
                <c:pt idx="9">
                  <c:v>12.154999999999999</c:v>
                </c:pt>
                <c:pt idx="10">
                  <c:v>12.115</c:v>
                </c:pt>
                <c:pt idx="11">
                  <c:v>12.074999999999999</c:v>
                </c:pt>
                <c:pt idx="12">
                  <c:v>12.035</c:v>
                </c:pt>
                <c:pt idx="13">
                  <c:v>12.015000000000001</c:v>
                </c:pt>
                <c:pt idx="14">
                  <c:v>12.01</c:v>
                </c:pt>
                <c:pt idx="15">
                  <c:v>12.01</c:v>
                </c:pt>
                <c:pt idx="16">
                  <c:v>11.995000000000001</c:v>
                </c:pt>
                <c:pt idx="17">
                  <c:v>11.98</c:v>
                </c:pt>
                <c:pt idx="18">
                  <c:v>11.955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0A-4EEB-A006-32B81803F036}"/>
            </c:ext>
          </c:extLst>
        </c:ser>
        <c:ser>
          <c:idx val="2"/>
          <c:order val="2"/>
          <c:tx>
            <c:v>paralelo-</c:v>
          </c:tx>
          <c:spPr>
            <a:ln w="28575" cap="rnd">
              <a:solidFill>
                <a:schemeClr val="accent2"/>
              </a:solidFill>
              <a:prstDash val="lgDashDot"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'GapRisk yield'!$C$14:$U$14</c:f>
              <c:numCache>
                <c:formatCode>0.00</c:formatCode>
                <c:ptCount val="19"/>
                <c:pt idx="0">
                  <c:v>0.79</c:v>
                </c:pt>
                <c:pt idx="1">
                  <c:v>-1.7400000000000002</c:v>
                </c:pt>
                <c:pt idx="2">
                  <c:v>1.8780000000000001</c:v>
                </c:pt>
                <c:pt idx="3">
                  <c:v>3.1050000000000004</c:v>
                </c:pt>
                <c:pt idx="4">
                  <c:v>3.7549999999999999</c:v>
                </c:pt>
                <c:pt idx="5">
                  <c:v>4.2650000000000006</c:v>
                </c:pt>
                <c:pt idx="6">
                  <c:v>4.6950000000000003</c:v>
                </c:pt>
                <c:pt idx="7">
                  <c:v>4.3049999999999997</c:v>
                </c:pt>
                <c:pt idx="8">
                  <c:v>4.1950000000000003</c:v>
                </c:pt>
                <c:pt idx="9">
                  <c:v>4.1549999999999994</c:v>
                </c:pt>
                <c:pt idx="10">
                  <c:v>4.1150000000000002</c:v>
                </c:pt>
                <c:pt idx="11">
                  <c:v>4.0749999999999993</c:v>
                </c:pt>
                <c:pt idx="12">
                  <c:v>4.0350000000000001</c:v>
                </c:pt>
                <c:pt idx="13">
                  <c:v>4.0150000000000006</c:v>
                </c:pt>
                <c:pt idx="14">
                  <c:v>4.01</c:v>
                </c:pt>
                <c:pt idx="15">
                  <c:v>4.01</c:v>
                </c:pt>
                <c:pt idx="16">
                  <c:v>3.9950000000000001</c:v>
                </c:pt>
                <c:pt idx="17">
                  <c:v>3.9800000000000004</c:v>
                </c:pt>
                <c:pt idx="18">
                  <c:v>3.9550000000000001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0A-4EEB-A006-32B81803F036}"/>
            </c:ext>
          </c:extLst>
        </c:ser>
        <c:ser>
          <c:idx val="3"/>
          <c:order val="3"/>
          <c:tx>
            <c:v>corto+</c:v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'GapRisk yield'!$C$16:$U$16</c:f>
              <c:numCache>
                <c:formatCode>0.00</c:formatCode>
                <c:ptCount val="19"/>
                <c:pt idx="0">
                  <c:v>9.7865012247142165</c:v>
                </c:pt>
                <c:pt idx="1">
                  <c:v>7.2081457598551726</c:v>
                </c:pt>
                <c:pt idx="2">
                  <c:v>10.673907319484837</c:v>
                </c:pt>
                <c:pt idx="3">
                  <c:v>11.657551806900171</c:v>
                </c:pt>
                <c:pt idx="4">
                  <c:v>12.031726636537112</c:v>
                </c:pt>
                <c:pt idx="5">
                  <c:v>12.282612868445305</c:v>
                </c:pt>
                <c:pt idx="6">
                  <c:v>12.35307814473321</c:v>
                </c:pt>
                <c:pt idx="7">
                  <c:v>11.53324263213946</c:v>
                </c:pt>
                <c:pt idx="8">
                  <c:v>10.871307142594951</c:v>
                </c:pt>
                <c:pt idx="9">
                  <c:v>10.239310098392542</c:v>
                </c:pt>
                <c:pt idx="10">
                  <c:v>9.7382623367917489</c:v>
                </c:pt>
                <c:pt idx="11">
                  <c:v>9.3391979790237318</c:v>
                </c:pt>
                <c:pt idx="12">
                  <c:v>9.0195583760209708</c:v>
                </c:pt>
                <c:pt idx="13">
                  <c:v>8.7817748342246436</c:v>
                </c:pt>
                <c:pt idx="14">
                  <c:v>8.6071648413335975</c:v>
                </c:pt>
                <c:pt idx="15">
                  <c:v>8.4750724460533178</c:v>
                </c:pt>
                <c:pt idx="16">
                  <c:v>8.2146846681170373</c:v>
                </c:pt>
                <c:pt idx="17">
                  <c:v>8.0429407112121698</c:v>
                </c:pt>
                <c:pt idx="18">
                  <c:v>7.9646522706811389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0A-4EEB-A006-32B81803F036}"/>
            </c:ext>
          </c:extLst>
        </c:ser>
        <c:ser>
          <c:idx val="4"/>
          <c:order val="4"/>
          <c:tx>
            <c:v>corto-</c:v>
          </c:tx>
          <c:spPr>
            <a:ln w="28575" cap="rnd">
              <a:solidFill>
                <a:srgbClr val="00B0F0"/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'GapRisk yield'!$C$17:$U$17</c:f>
              <c:numCache>
                <c:formatCode>0.00</c:formatCode>
                <c:ptCount val="19"/>
                <c:pt idx="0">
                  <c:v>-0.20650122471421639</c:v>
                </c:pt>
                <c:pt idx="1">
                  <c:v>-2.688145759855173</c:v>
                </c:pt>
                <c:pt idx="2">
                  <c:v>1.0820926805151636</c:v>
                </c:pt>
                <c:pt idx="3">
                  <c:v>2.5524481930998295</c:v>
                </c:pt>
                <c:pt idx="4">
                  <c:v>3.4782733634628871</c:v>
                </c:pt>
                <c:pt idx="5">
                  <c:v>4.2473871315546967</c:v>
                </c:pt>
                <c:pt idx="6">
                  <c:v>5.0369218552667911</c:v>
                </c:pt>
                <c:pt idx="7">
                  <c:v>5.0767573678605391</c:v>
                </c:pt>
                <c:pt idx="8">
                  <c:v>5.5186928574050489</c:v>
                </c:pt>
                <c:pt idx="9">
                  <c:v>6.0706899016074569</c:v>
                </c:pt>
                <c:pt idx="10">
                  <c:v>6.4917376632082515</c:v>
                </c:pt>
                <c:pt idx="11">
                  <c:v>6.8108020209762667</c:v>
                </c:pt>
                <c:pt idx="12">
                  <c:v>7.0504416239790295</c:v>
                </c:pt>
                <c:pt idx="13">
                  <c:v>7.2482251657753585</c:v>
                </c:pt>
                <c:pt idx="14">
                  <c:v>7.4128351586664021</c:v>
                </c:pt>
                <c:pt idx="15">
                  <c:v>7.5449275539466827</c:v>
                </c:pt>
                <c:pt idx="16">
                  <c:v>7.7753153318829629</c:v>
                </c:pt>
                <c:pt idx="17">
                  <c:v>7.9170592887878302</c:v>
                </c:pt>
                <c:pt idx="18">
                  <c:v>7.9453477293188612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0A-4EEB-A006-32B81803F036}"/>
            </c:ext>
          </c:extLst>
        </c:ser>
        <c:ser>
          <c:idx val="5"/>
          <c:order val="5"/>
          <c:tx>
            <c:v>largo+</c:v>
          </c:tx>
          <c:spPr>
            <a:ln w="28575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'GapRisk yield'!$C$19:$U$19</c:f>
              <c:numCache>
                <c:formatCode>0.00</c:formatCode>
                <c:ptCount val="19"/>
                <c:pt idx="0">
                  <c:v>4.79209926517147</c:v>
                </c:pt>
                <c:pt idx="1">
                  <c:v>2.291112544086896</c:v>
                </c:pt>
                <c:pt idx="2">
                  <c:v>6.0004556083090979</c:v>
                </c:pt>
                <c:pt idx="3">
                  <c:v>7.3734689158598981</c:v>
                </c:pt>
                <c:pt idx="4">
                  <c:v>8.1889640180777317</c:v>
                </c:pt>
                <c:pt idx="5">
                  <c:v>8.8544322789328191</c:v>
                </c:pt>
                <c:pt idx="6">
                  <c:v>9.5001531131600743</c:v>
                </c:pt>
                <c:pt idx="7">
                  <c:v>9.368054420716323</c:v>
                </c:pt>
                <c:pt idx="8">
                  <c:v>9.5892157144430286</c:v>
                </c:pt>
                <c:pt idx="9">
                  <c:v>9.9044139409644742</c:v>
                </c:pt>
                <c:pt idx="10">
                  <c:v>10.141042597924951</c:v>
                </c:pt>
                <c:pt idx="11">
                  <c:v>10.31648121258576</c:v>
                </c:pt>
                <c:pt idx="12">
                  <c:v>10.444264974387417</c:v>
                </c:pt>
                <c:pt idx="13">
                  <c:v>10.554935099465215</c:v>
                </c:pt>
                <c:pt idx="14">
                  <c:v>10.65170109519984</c:v>
                </c:pt>
                <c:pt idx="15">
                  <c:v>10.730956532368008</c:v>
                </c:pt>
                <c:pt idx="16">
                  <c:v>10.863189199129778</c:v>
                </c:pt>
                <c:pt idx="17">
                  <c:v>10.942235573272699</c:v>
                </c:pt>
                <c:pt idx="18">
                  <c:v>10.949208637591317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0A-4EEB-A006-32B81803F036}"/>
            </c:ext>
          </c:extLst>
        </c:ser>
        <c:ser>
          <c:idx val="6"/>
          <c:order val="6"/>
          <c:tx>
            <c:v>largo-</c:v>
          </c:tx>
          <c:spPr>
            <a:ln w="28575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'GapRisk yield'!$C$20:$U$20</c:f>
              <c:numCache>
                <c:formatCode>0.00</c:formatCode>
                <c:ptCount val="19"/>
                <c:pt idx="0">
                  <c:v>4.7879007348285301</c:v>
                </c:pt>
                <c:pt idx="1">
                  <c:v>2.2288874559131036</c:v>
                </c:pt>
                <c:pt idx="2">
                  <c:v>5.7555443916909024</c:v>
                </c:pt>
                <c:pt idx="3">
                  <c:v>6.8365310841401028</c:v>
                </c:pt>
                <c:pt idx="4">
                  <c:v>7.3210359819222672</c:v>
                </c:pt>
                <c:pt idx="5">
                  <c:v>7.6755677210671829</c:v>
                </c:pt>
                <c:pt idx="6">
                  <c:v>7.8898468868399254</c:v>
                </c:pt>
                <c:pt idx="7">
                  <c:v>7.2419455792836764</c:v>
                </c:pt>
                <c:pt idx="8">
                  <c:v>6.8007842855569711</c:v>
                </c:pt>
                <c:pt idx="9">
                  <c:v>6.4055860590355245</c:v>
                </c:pt>
                <c:pt idx="10">
                  <c:v>6.0889574020750494</c:v>
                </c:pt>
                <c:pt idx="11">
                  <c:v>5.8335187874142385</c:v>
                </c:pt>
                <c:pt idx="12">
                  <c:v>5.6257350256125829</c:v>
                </c:pt>
                <c:pt idx="13">
                  <c:v>5.475064900534786</c:v>
                </c:pt>
                <c:pt idx="14">
                  <c:v>5.3682989048001586</c:v>
                </c:pt>
                <c:pt idx="15">
                  <c:v>5.2890434676319904</c:v>
                </c:pt>
                <c:pt idx="16">
                  <c:v>5.1268108008702225</c:v>
                </c:pt>
                <c:pt idx="17">
                  <c:v>5.0177644267273021</c:v>
                </c:pt>
                <c:pt idx="18">
                  <c:v>4.960791362408683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0A-4EEB-A006-32B81803F036}"/>
            </c:ext>
          </c:extLst>
        </c:ser>
        <c:ser>
          <c:idx val="7"/>
          <c:order val="7"/>
          <c:tx>
            <c:v>inclinacion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'GapRisk yield'!$C$22:$U$22</c:f>
              <c:numCache>
                <c:formatCode>0.00</c:formatCode>
                <c:ptCount val="19"/>
                <c:pt idx="0">
                  <c:v>1.5441635425900824</c:v>
                </c:pt>
                <c:pt idx="1">
                  <c:v>-0.92829345422765597</c:v>
                </c:pt>
                <c:pt idx="2">
                  <c:v>2.8708702898130443</c:v>
                </c:pt>
                <c:pt idx="3">
                  <c:v>4.3874633497887974</c:v>
                </c:pt>
                <c:pt idx="4">
                  <c:v>5.3656953025208356</c:v>
                </c:pt>
                <c:pt idx="5">
                  <c:v>6.1840406865500892</c:v>
                </c:pt>
                <c:pt idx="6">
                  <c:v>7.0418870077674818</c:v>
                </c:pt>
                <c:pt idx="7">
                  <c:v>7.1633912677540419</c:v>
                </c:pt>
                <c:pt idx="8">
                  <c:v>7.7101945003120083</c:v>
                </c:pt>
                <c:pt idx="9">
                  <c:v>8.3746709829128747</c:v>
                </c:pt>
                <c:pt idx="10">
                  <c:v>8.8833178192178188</c:v>
                </c:pt>
                <c:pt idx="11">
                  <c:v>9.2706044049617589</c:v>
                </c:pt>
                <c:pt idx="12">
                  <c:v>9.563375532535046</c:v>
                </c:pt>
                <c:pt idx="13">
                  <c:v>9.8025379472726755</c:v>
                </c:pt>
                <c:pt idx="14">
                  <c:v>9.9993738388130176</c:v>
                </c:pt>
                <c:pt idx="15">
                  <c:v>10.156563789196552</c:v>
                </c:pt>
                <c:pt idx="16">
                  <c:v>10.433575244940727</c:v>
                </c:pt>
                <c:pt idx="17">
                  <c:v>10.605100553657518</c:v>
                </c:pt>
                <c:pt idx="18">
                  <c:v>10.643513797889446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0A-4EEB-A006-32B81803F036}"/>
            </c:ext>
          </c:extLst>
        </c:ser>
        <c:ser>
          <c:idx val="8"/>
          <c:order val="8"/>
          <c:tx>
            <c:v>aplanamiento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'GapRisk yield'!$C$23:$U$23</c:f>
              <c:numCache>
                <c:formatCode>0.00</c:formatCode>
                <c:ptCount val="19"/>
                <c:pt idx="0">
                  <c:v>8.7859414206684914</c:v>
                </c:pt>
                <c:pt idx="1">
                  <c:v>6.1998490814320011</c:v>
                </c:pt>
                <c:pt idx="2">
                  <c:v>9.6412524906024117</c:v>
                </c:pt>
                <c:pt idx="3">
                  <c:v>10.585960096004198</c:v>
                </c:pt>
                <c:pt idx="4">
                  <c:v>10.91600289838305</c:v>
                </c:pt>
                <c:pt idx="5">
                  <c:v>11.125430927396554</c:v>
                </c:pt>
                <c:pt idx="6">
                  <c:v>11.138370647890524</c:v>
                </c:pt>
                <c:pt idx="7">
                  <c:v>10.249761453281774</c:v>
                </c:pt>
                <c:pt idx="8">
                  <c:v>9.4995162854101434</c:v>
                </c:pt>
                <c:pt idx="9">
                  <c:v>8.7727997141353491</c:v>
                </c:pt>
                <c:pt idx="10">
                  <c:v>8.1979843106784287</c:v>
                </c:pt>
                <c:pt idx="11">
                  <c:v>7.7414696556675286</c:v>
                </c:pt>
                <c:pt idx="12">
                  <c:v>7.3770877161843256</c:v>
                </c:pt>
                <c:pt idx="13">
                  <c:v>7.1044588077005857</c:v>
                </c:pt>
                <c:pt idx="14">
                  <c:v>6.9027112159469741</c:v>
                </c:pt>
                <c:pt idx="15">
                  <c:v>6.7494840374218477</c:v>
                </c:pt>
                <c:pt idx="16">
                  <c:v>6.4498342150157626</c:v>
                </c:pt>
                <c:pt idx="17">
                  <c:v>6.2530112250061176</c:v>
                </c:pt>
                <c:pt idx="18">
                  <c:v>6.1661966339901211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0A-4EEB-A006-32B81803F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3414319"/>
        <c:axId val="673781408"/>
      </c:lineChart>
      <c:catAx>
        <c:axId val="1743414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años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781408"/>
        <c:crosses val="autoZero"/>
        <c:auto val="1"/>
        <c:lblAlgn val="ctr"/>
        <c:lblOffset val="100"/>
        <c:noMultiLvlLbl val="0"/>
      </c:catAx>
      <c:valAx>
        <c:axId val="67378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tasa de rendimiento</a:t>
                </a:r>
                <a:r>
                  <a:rPr lang="en-US" sz="1100" baseline="0"/>
                  <a:t> %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41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307730002898647"/>
          <c:y val="0.88423079708541374"/>
          <c:w val="0.69533525705297872"/>
          <c:h val="0.102994753422948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Estructura a plazos</a:t>
            </a:r>
            <a:r>
              <a:rPr lang="en-US" baseline="0"/>
              <a:t> de flujos netos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flujos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'GapRisk repricing'!$C$9:$H$9</c:f>
              <c:numCache>
                <c:formatCode>General</c:formatCode>
                <c:ptCount val="6"/>
                <c:pt idx="0">
                  <c:v>2.8E-3</c:v>
                </c:pt>
                <c:pt idx="1">
                  <c:v>4.1700000000000001E-2</c:v>
                </c:pt>
                <c:pt idx="2">
                  <c:v>0.16669999999999999</c:v>
                </c:pt>
                <c:pt idx="3">
                  <c:v>0.375</c:v>
                </c:pt>
                <c:pt idx="4">
                  <c:v>0.625</c:v>
                </c:pt>
                <c:pt idx="5">
                  <c:v>0.875</c:v>
                </c:pt>
              </c:numCache>
            </c:numRef>
          </c:cat>
          <c:val>
            <c:numRef>
              <c:f>'GapRisk repricing'!$C$15:$H$15</c:f>
              <c:numCache>
                <c:formatCode>#,##0</c:formatCode>
                <c:ptCount val="6"/>
                <c:pt idx="0">
                  <c:v>116590.26123950802</c:v>
                </c:pt>
                <c:pt idx="1">
                  <c:v>116590.26123950802</c:v>
                </c:pt>
                <c:pt idx="2">
                  <c:v>116590.26123950802</c:v>
                </c:pt>
                <c:pt idx="3">
                  <c:v>106590.26123950802</c:v>
                </c:pt>
                <c:pt idx="4">
                  <c:v>106590.26123950802</c:v>
                </c:pt>
                <c:pt idx="5">
                  <c:v>106590.26123950802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07-4453-B9FA-4E3ADF4DB050}"/>
            </c:ext>
          </c:extLst>
        </c:ser>
        <c:ser>
          <c:idx val="1"/>
          <c:order val="1"/>
          <c:tx>
            <c:v>flujos acumulados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'GapRisk repricing'!$C$9:$H$9</c:f>
              <c:numCache>
                <c:formatCode>General</c:formatCode>
                <c:ptCount val="6"/>
                <c:pt idx="0">
                  <c:v>2.8E-3</c:v>
                </c:pt>
                <c:pt idx="1">
                  <c:v>4.1700000000000001E-2</c:v>
                </c:pt>
                <c:pt idx="2">
                  <c:v>0.16669999999999999</c:v>
                </c:pt>
                <c:pt idx="3">
                  <c:v>0.375</c:v>
                </c:pt>
                <c:pt idx="4">
                  <c:v>0.625</c:v>
                </c:pt>
                <c:pt idx="5">
                  <c:v>0.875</c:v>
                </c:pt>
              </c:numCache>
            </c:numRef>
          </c:cat>
          <c:val>
            <c:numRef>
              <c:f>'GapRisk repricing'!$C$16:$H$16</c:f>
              <c:numCache>
                <c:formatCode>#,##0</c:formatCode>
                <c:ptCount val="6"/>
                <c:pt idx="0">
                  <c:v>116590.26123950802</c:v>
                </c:pt>
                <c:pt idx="1">
                  <c:v>233180.52247901604</c:v>
                </c:pt>
                <c:pt idx="2">
                  <c:v>349770.78371852404</c:v>
                </c:pt>
                <c:pt idx="3">
                  <c:v>456361.04495803209</c:v>
                </c:pt>
                <c:pt idx="4">
                  <c:v>562951.30619754014</c:v>
                </c:pt>
                <c:pt idx="5">
                  <c:v>669541.56743704819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07-4453-B9FA-4E3ADF4DB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435616"/>
        <c:axId val="430436096"/>
      </c:barChart>
      <c:catAx>
        <c:axId val="4304356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436096"/>
        <c:crosses val="autoZero"/>
        <c:auto val="1"/>
        <c:lblAlgn val="ctr"/>
        <c:lblOffset val="100"/>
        <c:noMultiLvlLbl val="0"/>
      </c:catAx>
      <c:valAx>
        <c:axId val="43043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43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BasisRisk!$A$36</c:f>
              <c:strCache>
                <c:ptCount val="1"/>
                <c:pt idx="0">
                  <c:v>flujos netos descontados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BasisRisk!$C$3:$S$3</c:f>
              <c:numCache>
                <c:formatCode>General</c:formatCode>
                <c:ptCount val="17"/>
                <c:pt idx="0">
                  <c:v>2.8E-3</c:v>
                </c:pt>
                <c:pt idx="1">
                  <c:v>4.1700000000000001E-2</c:v>
                </c:pt>
                <c:pt idx="2">
                  <c:v>0.16669999999999999</c:v>
                </c:pt>
                <c:pt idx="3">
                  <c:v>0.375</c:v>
                </c:pt>
                <c:pt idx="4">
                  <c:v>0.625</c:v>
                </c:pt>
                <c:pt idx="5">
                  <c:v>0.875</c:v>
                </c:pt>
                <c:pt idx="6">
                  <c:v>1.25</c:v>
                </c:pt>
                <c:pt idx="7">
                  <c:v>1.75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12.5</c:v>
                </c:pt>
              </c:numCache>
            </c:numRef>
          </c:cat>
          <c:val>
            <c:numRef>
              <c:f>BasisRisk!$C$36:$S$36</c:f>
              <c:numCache>
                <c:formatCode>0</c:formatCode>
                <c:ptCount val="17"/>
                <c:pt idx="0">
                  <c:v>64863.755149031145</c:v>
                </c:pt>
                <c:pt idx="1">
                  <c:v>73039.128354525674</c:v>
                </c:pt>
                <c:pt idx="2">
                  <c:v>74947.261796870574</c:v>
                </c:pt>
                <c:pt idx="3">
                  <c:v>79349.374766741457</c:v>
                </c:pt>
                <c:pt idx="4">
                  <c:v>78738.102688679894</c:v>
                </c:pt>
                <c:pt idx="5">
                  <c:v>76940.635778727767</c:v>
                </c:pt>
                <c:pt idx="6">
                  <c:v>67346.608538292974</c:v>
                </c:pt>
                <c:pt idx="7">
                  <c:v>50315.831584525258</c:v>
                </c:pt>
                <c:pt idx="8">
                  <c:v>40098.594244143664</c:v>
                </c:pt>
                <c:pt idx="9">
                  <c:v>33212.373394522278</c:v>
                </c:pt>
                <c:pt idx="10">
                  <c:v>28721.700876398598</c:v>
                </c:pt>
                <c:pt idx="11">
                  <c:v>25676.130104393495</c:v>
                </c:pt>
                <c:pt idx="12">
                  <c:v>23597.12720257289</c:v>
                </c:pt>
                <c:pt idx="13">
                  <c:v>22160.913140717439</c:v>
                </c:pt>
                <c:pt idx="14">
                  <c:v>20969.442590444673</c:v>
                </c:pt>
                <c:pt idx="15">
                  <c:v>-970889.52274605387</c:v>
                </c:pt>
                <c:pt idx="16">
                  <c:v>1144863.2407976063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B0-4189-92F6-9C1CB6E85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048544"/>
        <c:axId val="1320336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BasisRisk!$A$33</c15:sqref>
                        </c15:formulaRef>
                      </c:ext>
                    </c:extLst>
                    <c:strCache>
                      <c:ptCount val="1"/>
                      <c:pt idx="0">
                        <c:v>flujos netos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BasisRisk!$C$3:$S$3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2.8E-3</c:v>
                      </c:pt>
                      <c:pt idx="1">
                        <c:v>4.1700000000000001E-2</c:v>
                      </c:pt>
                      <c:pt idx="2">
                        <c:v>0.16669999999999999</c:v>
                      </c:pt>
                      <c:pt idx="3">
                        <c:v>0.375</c:v>
                      </c:pt>
                      <c:pt idx="4">
                        <c:v>0.625</c:v>
                      </c:pt>
                      <c:pt idx="5">
                        <c:v>0.875</c:v>
                      </c:pt>
                      <c:pt idx="6">
                        <c:v>1.25</c:v>
                      </c:pt>
                      <c:pt idx="7">
                        <c:v>1.75</c:v>
                      </c:pt>
                      <c:pt idx="8">
                        <c:v>2.5</c:v>
                      </c:pt>
                      <c:pt idx="9">
                        <c:v>3.5</c:v>
                      </c:pt>
                      <c:pt idx="10">
                        <c:v>4.5</c:v>
                      </c:pt>
                      <c:pt idx="11">
                        <c:v>5.5</c:v>
                      </c:pt>
                      <c:pt idx="12">
                        <c:v>6.5</c:v>
                      </c:pt>
                      <c:pt idx="13">
                        <c:v>7.5</c:v>
                      </c:pt>
                      <c:pt idx="14">
                        <c:v>8.5</c:v>
                      </c:pt>
                      <c:pt idx="15">
                        <c:v>9.5</c:v>
                      </c:pt>
                      <c:pt idx="16">
                        <c:v>12.5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BasisRisk!$C$33:$S$33</c15:sqref>
                        </c15:formulaRef>
                      </c:ext>
                    </c:extLst>
                    <c:numCache>
                      <c:formatCode>0</c:formatCode>
                      <c:ptCount val="17"/>
                      <c:pt idx="0">
                        <c:v>64863.961958363201</c:v>
                      </c:pt>
                      <c:pt idx="1">
                        <c:v>73042.838149888848</c:v>
                      </c:pt>
                      <c:pt idx="2">
                        <c:v>74962.636882079212</c:v>
                      </c:pt>
                      <c:pt idx="3">
                        <c:v>79386.608275080842</c:v>
                      </c:pt>
                      <c:pt idx="4">
                        <c:v>78799.665491517808</c:v>
                      </c:pt>
                      <c:pt idx="5">
                        <c:v>77024.060579005498</c:v>
                      </c:pt>
                      <c:pt idx="6">
                        <c:v>67445.427932326274</c:v>
                      </c:pt>
                      <c:pt idx="7">
                        <c:v>50406.960505803771</c:v>
                      </c:pt>
                      <c:pt idx="8">
                        <c:v>40194.996690438114</c:v>
                      </c:pt>
                      <c:pt idx="9">
                        <c:v>33319.839457871305</c:v>
                      </c:pt>
                      <c:pt idx="10">
                        <c:v>28838.648956250254</c:v>
                      </c:pt>
                      <c:pt idx="11">
                        <c:v>25802.335745381017</c:v>
                      </c:pt>
                      <c:pt idx="12">
                        <c:v>23733.26085582326</c:v>
                      </c:pt>
                      <c:pt idx="13">
                        <c:v>22307.909858325322</c:v>
                      </c:pt>
                      <c:pt idx="14">
                        <c:v>21126.522956817789</c:v>
                      </c:pt>
                      <c:pt idx="15">
                        <c:v>-979063.43391951127</c:v>
                      </c:pt>
                      <c:pt idx="16">
                        <c:v>1157526.2553412307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5B0-4189-92F6-9C1CB6E858F7}"/>
                  </c:ext>
                </c:extLst>
              </c15:ser>
            </c15:filteredBarSeries>
          </c:ext>
        </c:extLst>
      </c:barChart>
      <c:catAx>
        <c:axId val="13204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33664"/>
        <c:crosses val="autoZero"/>
        <c:auto val="1"/>
        <c:lblAlgn val="ctr"/>
        <c:lblOffset val="100"/>
        <c:noMultiLvlLbl val="0"/>
      </c:catAx>
      <c:valAx>
        <c:axId val="13203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4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BasisRisk!$B$46</c:f>
              <c:strCache>
                <c:ptCount val="1"/>
                <c:pt idx="0">
                  <c:v>IBR 4/11/2022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BasisRisk!$C$45:$S$45</c:f>
              <c:numCache>
                <c:formatCode>0.00</c:formatCode>
                <c:ptCount val="17"/>
                <c:pt idx="0">
                  <c:v>2.8E-3</c:v>
                </c:pt>
                <c:pt idx="1">
                  <c:v>4.1700000000000001E-2</c:v>
                </c:pt>
                <c:pt idx="2">
                  <c:v>0.16669999999999999</c:v>
                </c:pt>
                <c:pt idx="3">
                  <c:v>0.375</c:v>
                </c:pt>
                <c:pt idx="4">
                  <c:v>0.625</c:v>
                </c:pt>
                <c:pt idx="5">
                  <c:v>0.875</c:v>
                </c:pt>
                <c:pt idx="6" formatCode="General">
                  <c:v>1.25</c:v>
                </c:pt>
                <c:pt idx="7" formatCode="General">
                  <c:v>1.75</c:v>
                </c:pt>
                <c:pt idx="8" formatCode="General">
                  <c:v>2.5</c:v>
                </c:pt>
                <c:pt idx="9" formatCode="General">
                  <c:v>3.5</c:v>
                </c:pt>
                <c:pt idx="10" formatCode="General">
                  <c:v>4.5</c:v>
                </c:pt>
                <c:pt idx="11" formatCode="General">
                  <c:v>5.5</c:v>
                </c:pt>
                <c:pt idx="12" formatCode="General">
                  <c:v>6.5</c:v>
                </c:pt>
                <c:pt idx="13" formatCode="General">
                  <c:v>7.5</c:v>
                </c:pt>
                <c:pt idx="14" formatCode="General">
                  <c:v>8.5</c:v>
                </c:pt>
                <c:pt idx="15" formatCode="General">
                  <c:v>9.5</c:v>
                </c:pt>
                <c:pt idx="16" formatCode="General">
                  <c:v>12.5</c:v>
                </c:pt>
              </c:numCache>
            </c:numRef>
          </c:cat>
          <c:val>
            <c:numRef>
              <c:f>BasisRisk!$C$46:$S$46</c:f>
              <c:numCache>
                <c:formatCode>General</c:formatCode>
                <c:ptCount val="17"/>
                <c:pt idx="0">
                  <c:v>4.79</c:v>
                </c:pt>
                <c:pt idx="1">
                  <c:v>2.2599999999999998</c:v>
                </c:pt>
                <c:pt idx="2">
                  <c:v>5.8780000000000001</c:v>
                </c:pt>
                <c:pt idx="3">
                  <c:v>7.1050000000000004</c:v>
                </c:pt>
                <c:pt idx="4">
                  <c:v>7.7549999999999999</c:v>
                </c:pt>
                <c:pt idx="5">
                  <c:v>8.2650000000000006</c:v>
                </c:pt>
                <c:pt idx="6">
                  <c:v>8.6950000000000003</c:v>
                </c:pt>
                <c:pt idx="7">
                  <c:v>8.3049999999999997</c:v>
                </c:pt>
                <c:pt idx="8">
                  <c:v>8.1950000000000003</c:v>
                </c:pt>
                <c:pt idx="9">
                  <c:v>8.1549999999999994</c:v>
                </c:pt>
                <c:pt idx="10">
                  <c:v>8.1150000000000002</c:v>
                </c:pt>
                <c:pt idx="11">
                  <c:v>8.0749999999999993</c:v>
                </c:pt>
                <c:pt idx="12">
                  <c:v>8.0350000000000001</c:v>
                </c:pt>
                <c:pt idx="13">
                  <c:v>8.0150000000000006</c:v>
                </c:pt>
                <c:pt idx="14">
                  <c:v>8.01</c:v>
                </c:pt>
                <c:pt idx="15">
                  <c:v>8.01</c:v>
                </c:pt>
                <c:pt idx="16">
                  <c:v>7.9950000000000001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71-4434-94DE-B55D62BCF0C6}"/>
            </c:ext>
          </c:extLst>
        </c:ser>
        <c:ser>
          <c:idx val="1"/>
          <c:order val="1"/>
          <c:tx>
            <c:strRef>
              <c:f>BasisRisk!$B$47</c:f>
              <c:strCache>
                <c:ptCount val="1"/>
                <c:pt idx="0">
                  <c:v>IBR 4/11/2023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BasisRisk!$C$45:$S$45</c:f>
              <c:numCache>
                <c:formatCode>0.00</c:formatCode>
                <c:ptCount val="17"/>
                <c:pt idx="0">
                  <c:v>2.8E-3</c:v>
                </c:pt>
                <c:pt idx="1">
                  <c:v>4.1700000000000001E-2</c:v>
                </c:pt>
                <c:pt idx="2">
                  <c:v>0.16669999999999999</c:v>
                </c:pt>
                <c:pt idx="3">
                  <c:v>0.375</c:v>
                </c:pt>
                <c:pt idx="4">
                  <c:v>0.625</c:v>
                </c:pt>
                <c:pt idx="5">
                  <c:v>0.875</c:v>
                </c:pt>
                <c:pt idx="6" formatCode="General">
                  <c:v>1.25</c:v>
                </c:pt>
                <c:pt idx="7" formatCode="General">
                  <c:v>1.75</c:v>
                </c:pt>
                <c:pt idx="8" formatCode="General">
                  <c:v>2.5</c:v>
                </c:pt>
                <c:pt idx="9" formatCode="General">
                  <c:v>3.5</c:v>
                </c:pt>
                <c:pt idx="10" formatCode="General">
                  <c:v>4.5</c:v>
                </c:pt>
                <c:pt idx="11" formatCode="General">
                  <c:v>5.5</c:v>
                </c:pt>
                <c:pt idx="12" formatCode="General">
                  <c:v>6.5</c:v>
                </c:pt>
                <c:pt idx="13" formatCode="General">
                  <c:v>7.5</c:v>
                </c:pt>
                <c:pt idx="14" formatCode="General">
                  <c:v>8.5</c:v>
                </c:pt>
                <c:pt idx="15" formatCode="General">
                  <c:v>9.5</c:v>
                </c:pt>
                <c:pt idx="16" formatCode="General">
                  <c:v>12.5</c:v>
                </c:pt>
              </c:numCache>
            </c:numRef>
          </c:cat>
          <c:val>
            <c:numRef>
              <c:f>BasisRisk!$C$47:$S$47</c:f>
              <c:numCache>
                <c:formatCode>General</c:formatCode>
                <c:ptCount val="17"/>
                <c:pt idx="0">
                  <c:v>12.032999999999999</c:v>
                </c:pt>
                <c:pt idx="1">
                  <c:v>11.35</c:v>
                </c:pt>
                <c:pt idx="2">
                  <c:v>11.775</c:v>
                </c:pt>
                <c:pt idx="3">
                  <c:v>12.11</c:v>
                </c:pt>
                <c:pt idx="4">
                  <c:v>12.36</c:v>
                </c:pt>
                <c:pt idx="5">
                  <c:v>12.385</c:v>
                </c:pt>
                <c:pt idx="6">
                  <c:v>12.29</c:v>
                </c:pt>
                <c:pt idx="7">
                  <c:v>11.124000000000001</c:v>
                </c:pt>
                <c:pt idx="8">
                  <c:v>10.645</c:v>
                </c:pt>
                <c:pt idx="9">
                  <c:v>10.305</c:v>
                </c:pt>
                <c:pt idx="10">
                  <c:v>10.06</c:v>
                </c:pt>
                <c:pt idx="11">
                  <c:v>9.9049999999999994</c:v>
                </c:pt>
                <c:pt idx="12">
                  <c:v>9.84</c:v>
                </c:pt>
                <c:pt idx="13">
                  <c:v>9.7949999999999999</c:v>
                </c:pt>
                <c:pt idx="14">
                  <c:v>9.76</c:v>
                </c:pt>
                <c:pt idx="15">
                  <c:v>9.7799999999999994</c:v>
                </c:pt>
                <c:pt idx="16">
                  <c:v>9.7100000000000009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71-4434-94DE-B55D62BCF0C6}"/>
            </c:ext>
          </c:extLst>
        </c:ser>
        <c:ser>
          <c:idx val="2"/>
          <c:order val="2"/>
          <c:tx>
            <c:strRef>
              <c:f>BasisRisk!$B$48</c:f>
              <c:strCache>
                <c:ptCount val="1"/>
                <c:pt idx="0">
                  <c:v>IBR 4/11/2024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BasisRisk!$C$45:$S$45</c:f>
              <c:numCache>
                <c:formatCode>0.00</c:formatCode>
                <c:ptCount val="17"/>
                <c:pt idx="0">
                  <c:v>2.8E-3</c:v>
                </c:pt>
                <c:pt idx="1">
                  <c:v>4.1700000000000001E-2</c:v>
                </c:pt>
                <c:pt idx="2">
                  <c:v>0.16669999999999999</c:v>
                </c:pt>
                <c:pt idx="3">
                  <c:v>0.375</c:v>
                </c:pt>
                <c:pt idx="4">
                  <c:v>0.625</c:v>
                </c:pt>
                <c:pt idx="5">
                  <c:v>0.875</c:v>
                </c:pt>
                <c:pt idx="6" formatCode="General">
                  <c:v>1.25</c:v>
                </c:pt>
                <c:pt idx="7" formatCode="General">
                  <c:v>1.75</c:v>
                </c:pt>
                <c:pt idx="8" formatCode="General">
                  <c:v>2.5</c:v>
                </c:pt>
                <c:pt idx="9" formatCode="General">
                  <c:v>3.5</c:v>
                </c:pt>
                <c:pt idx="10" formatCode="General">
                  <c:v>4.5</c:v>
                </c:pt>
                <c:pt idx="11" formatCode="General">
                  <c:v>5.5</c:v>
                </c:pt>
                <c:pt idx="12" formatCode="General">
                  <c:v>6.5</c:v>
                </c:pt>
                <c:pt idx="13" formatCode="General">
                  <c:v>7.5</c:v>
                </c:pt>
                <c:pt idx="14" formatCode="General">
                  <c:v>8.5</c:v>
                </c:pt>
                <c:pt idx="15" formatCode="General">
                  <c:v>9.5</c:v>
                </c:pt>
                <c:pt idx="16" formatCode="General">
                  <c:v>12.5</c:v>
                </c:pt>
              </c:numCache>
            </c:numRef>
          </c:cat>
          <c:val>
            <c:numRef>
              <c:f>BasisRisk!$C$48:$S$48</c:f>
              <c:numCache>
                <c:formatCode>General</c:formatCode>
                <c:ptCount val="17"/>
                <c:pt idx="0">
                  <c:v>11.387</c:v>
                </c:pt>
                <c:pt idx="1">
                  <c:v>12.18</c:v>
                </c:pt>
                <c:pt idx="2">
                  <c:v>12.305</c:v>
                </c:pt>
                <c:pt idx="3">
                  <c:v>12.51</c:v>
                </c:pt>
                <c:pt idx="4">
                  <c:v>12.505000000000001</c:v>
                </c:pt>
                <c:pt idx="5">
                  <c:v>12.385</c:v>
                </c:pt>
                <c:pt idx="6">
                  <c:v>11.73</c:v>
                </c:pt>
                <c:pt idx="7">
                  <c:v>10.34</c:v>
                </c:pt>
                <c:pt idx="8">
                  <c:v>9.6050000000000004</c:v>
                </c:pt>
                <c:pt idx="9">
                  <c:v>9.23</c:v>
                </c:pt>
                <c:pt idx="10">
                  <c:v>9.0299999999999994</c:v>
                </c:pt>
                <c:pt idx="11">
                  <c:v>8.9149999999999991</c:v>
                </c:pt>
                <c:pt idx="12">
                  <c:v>8.85</c:v>
                </c:pt>
                <c:pt idx="13">
                  <c:v>8.8149999999999995</c:v>
                </c:pt>
                <c:pt idx="14">
                  <c:v>8.7799999999999994</c:v>
                </c:pt>
                <c:pt idx="15">
                  <c:v>8.8249999999999993</c:v>
                </c:pt>
                <c:pt idx="16">
                  <c:v>8.8000000000000007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71-4434-94DE-B55D62BCF0C6}"/>
            </c:ext>
          </c:extLst>
        </c:ser>
        <c:ser>
          <c:idx val="3"/>
          <c:order val="3"/>
          <c:tx>
            <c:strRef>
              <c:f>BasisRisk!$B$50</c:f>
              <c:strCache>
                <c:ptCount val="1"/>
                <c:pt idx="0">
                  <c:v>COP 4/11/2022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BasisRisk!$C$45:$S$45</c:f>
              <c:numCache>
                <c:formatCode>0.00</c:formatCode>
                <c:ptCount val="17"/>
                <c:pt idx="0">
                  <c:v>2.8E-3</c:v>
                </c:pt>
                <c:pt idx="1">
                  <c:v>4.1700000000000001E-2</c:v>
                </c:pt>
                <c:pt idx="2">
                  <c:v>0.16669999999999999</c:v>
                </c:pt>
                <c:pt idx="3">
                  <c:v>0.375</c:v>
                </c:pt>
                <c:pt idx="4">
                  <c:v>0.625</c:v>
                </c:pt>
                <c:pt idx="5">
                  <c:v>0.875</c:v>
                </c:pt>
                <c:pt idx="6" formatCode="General">
                  <c:v>1.25</c:v>
                </c:pt>
                <c:pt idx="7" formatCode="General">
                  <c:v>1.75</c:v>
                </c:pt>
                <c:pt idx="8" formatCode="General">
                  <c:v>2.5</c:v>
                </c:pt>
                <c:pt idx="9" formatCode="General">
                  <c:v>3.5</c:v>
                </c:pt>
                <c:pt idx="10" formatCode="General">
                  <c:v>4.5</c:v>
                </c:pt>
                <c:pt idx="11" formatCode="General">
                  <c:v>5.5</c:v>
                </c:pt>
                <c:pt idx="12" formatCode="General">
                  <c:v>6.5</c:v>
                </c:pt>
                <c:pt idx="13" formatCode="General">
                  <c:v>7.5</c:v>
                </c:pt>
                <c:pt idx="14" formatCode="General">
                  <c:v>8.5</c:v>
                </c:pt>
                <c:pt idx="15" formatCode="General">
                  <c:v>9.5</c:v>
                </c:pt>
                <c:pt idx="16" formatCode="General">
                  <c:v>12.5</c:v>
                </c:pt>
              </c:numCache>
            </c:numRef>
          </c:cat>
          <c:val>
            <c:numRef>
              <c:f>BasisRisk!$C$50:$S$50</c:f>
              <c:numCache>
                <c:formatCode>General</c:formatCode>
                <c:ptCount val="17"/>
                <c:pt idx="0">
                  <c:v>4.9531009341594645</c:v>
                </c:pt>
                <c:pt idx="1">
                  <c:v>5.0433330932905829</c:v>
                </c:pt>
                <c:pt idx="2">
                  <c:v>5.3190843220515909</c:v>
                </c:pt>
                <c:pt idx="3">
                  <c:v>5.7344007311439613</c:v>
                </c:pt>
                <c:pt idx="4">
                  <c:v>6.1689718307886752</c:v>
                </c:pt>
                <c:pt idx="5">
                  <c:v>6.5441435248464845</c:v>
                </c:pt>
                <c:pt idx="6">
                  <c:v>7.0151615533165153</c:v>
                </c:pt>
                <c:pt idx="7">
                  <c:v>7.5088875776394932</c:v>
                </c:pt>
                <c:pt idx="8">
                  <c:v>8.0445504613100258</c:v>
                </c:pt>
                <c:pt idx="9">
                  <c:v>8.514481666005036</c:v>
                </c:pt>
                <c:pt idx="10">
                  <c:v>8.8191039193486631</c:v>
                </c:pt>
                <c:pt idx="11">
                  <c:v>9.0270299287193474</c:v>
                </c:pt>
                <c:pt idx="12">
                  <c:v>9.1756826226239578</c:v>
                </c:pt>
                <c:pt idx="13">
                  <c:v>9.2863043978883706</c:v>
                </c:pt>
                <c:pt idx="14">
                  <c:v>9.3714582899189978</c:v>
                </c:pt>
                <c:pt idx="15">
                  <c:v>9.4388830891454205</c:v>
                </c:pt>
                <c:pt idx="16">
                  <c:v>9.576663977206632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71-4434-94DE-B55D62BCF0C6}"/>
            </c:ext>
          </c:extLst>
        </c:ser>
        <c:ser>
          <c:idx val="4"/>
          <c:order val="4"/>
          <c:tx>
            <c:strRef>
              <c:f>BasisRisk!$B$51</c:f>
              <c:strCache>
                <c:ptCount val="1"/>
                <c:pt idx="0">
                  <c:v>COP 4/11/2023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BasisRisk!$C$45:$S$45</c:f>
              <c:numCache>
                <c:formatCode>0.00</c:formatCode>
                <c:ptCount val="17"/>
                <c:pt idx="0">
                  <c:v>2.8E-3</c:v>
                </c:pt>
                <c:pt idx="1">
                  <c:v>4.1700000000000001E-2</c:v>
                </c:pt>
                <c:pt idx="2">
                  <c:v>0.16669999999999999</c:v>
                </c:pt>
                <c:pt idx="3">
                  <c:v>0.375</c:v>
                </c:pt>
                <c:pt idx="4">
                  <c:v>0.625</c:v>
                </c:pt>
                <c:pt idx="5">
                  <c:v>0.875</c:v>
                </c:pt>
                <c:pt idx="6" formatCode="General">
                  <c:v>1.25</c:v>
                </c:pt>
                <c:pt idx="7" formatCode="General">
                  <c:v>1.75</c:v>
                </c:pt>
                <c:pt idx="8" formatCode="General">
                  <c:v>2.5</c:v>
                </c:pt>
                <c:pt idx="9" formatCode="General">
                  <c:v>3.5</c:v>
                </c:pt>
                <c:pt idx="10" formatCode="General">
                  <c:v>4.5</c:v>
                </c:pt>
                <c:pt idx="11" formatCode="General">
                  <c:v>5.5</c:v>
                </c:pt>
                <c:pt idx="12" formatCode="General">
                  <c:v>6.5</c:v>
                </c:pt>
                <c:pt idx="13" formatCode="General">
                  <c:v>7.5</c:v>
                </c:pt>
                <c:pt idx="14" formatCode="General">
                  <c:v>8.5</c:v>
                </c:pt>
                <c:pt idx="15" formatCode="General">
                  <c:v>9.5</c:v>
                </c:pt>
                <c:pt idx="16" formatCode="General">
                  <c:v>12.5</c:v>
                </c:pt>
              </c:numCache>
            </c:numRef>
          </c:cat>
          <c:val>
            <c:numRef>
              <c:f>BasisRisk!$C$51:$S$51</c:f>
              <c:numCache>
                <c:formatCode>General</c:formatCode>
                <c:ptCount val="17"/>
                <c:pt idx="0">
                  <c:v>9.64412975243871</c:v>
                </c:pt>
                <c:pt idx="1">
                  <c:v>9.7386751200951593</c:v>
                </c:pt>
                <c:pt idx="2">
                  <c:v>10.016784719632053</c:v>
                </c:pt>
                <c:pt idx="3">
                  <c:v>10.402849604291649</c:v>
                </c:pt>
                <c:pt idx="4">
                  <c:v>10.760297205676492</c:v>
                </c:pt>
                <c:pt idx="5">
                  <c:v>11.026028042292044</c:v>
                </c:pt>
                <c:pt idx="6">
                  <c:v>11.295609376560277</c:v>
                </c:pt>
                <c:pt idx="7">
                  <c:v>11.489269045988969</c:v>
                </c:pt>
                <c:pt idx="8">
                  <c:v>11.575584997542302</c:v>
                </c:pt>
                <c:pt idx="9">
                  <c:v>11.522452460423072</c:v>
                </c:pt>
                <c:pt idx="10">
                  <c:v>11.413142744479511</c:v>
                </c:pt>
                <c:pt idx="11">
                  <c:v>11.302950198656232</c:v>
                </c:pt>
                <c:pt idx="12">
                  <c:v>11.207645990465341</c:v>
                </c:pt>
                <c:pt idx="13">
                  <c:v>11.129210233162963</c:v>
                </c:pt>
                <c:pt idx="14">
                  <c:v>11.065476515815845</c:v>
                </c:pt>
                <c:pt idx="15">
                  <c:v>11.013535235197258</c:v>
                </c:pt>
                <c:pt idx="16">
                  <c:v>10.905146125347381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71-4434-94DE-B55D62BCF0C6}"/>
            </c:ext>
          </c:extLst>
        </c:ser>
        <c:ser>
          <c:idx val="5"/>
          <c:order val="5"/>
          <c:tx>
            <c:strRef>
              <c:f>BasisRisk!$B$52</c:f>
              <c:strCache>
                <c:ptCount val="1"/>
                <c:pt idx="0">
                  <c:v>COP 4/11/2024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BasisRisk!$C$45:$S$45</c:f>
              <c:numCache>
                <c:formatCode>0.00</c:formatCode>
                <c:ptCount val="17"/>
                <c:pt idx="0">
                  <c:v>2.8E-3</c:v>
                </c:pt>
                <c:pt idx="1">
                  <c:v>4.1700000000000001E-2</c:v>
                </c:pt>
                <c:pt idx="2">
                  <c:v>0.16669999999999999</c:v>
                </c:pt>
                <c:pt idx="3">
                  <c:v>0.375</c:v>
                </c:pt>
                <c:pt idx="4">
                  <c:v>0.625</c:v>
                </c:pt>
                <c:pt idx="5">
                  <c:v>0.875</c:v>
                </c:pt>
                <c:pt idx="6" formatCode="General">
                  <c:v>1.25</c:v>
                </c:pt>
                <c:pt idx="7" formatCode="General">
                  <c:v>1.75</c:v>
                </c:pt>
                <c:pt idx="8" formatCode="General">
                  <c:v>2.5</c:v>
                </c:pt>
                <c:pt idx="9" formatCode="General">
                  <c:v>3.5</c:v>
                </c:pt>
                <c:pt idx="10" formatCode="General">
                  <c:v>4.5</c:v>
                </c:pt>
                <c:pt idx="11" formatCode="General">
                  <c:v>5.5</c:v>
                </c:pt>
                <c:pt idx="12" formatCode="General">
                  <c:v>6.5</c:v>
                </c:pt>
                <c:pt idx="13" formatCode="General">
                  <c:v>7.5</c:v>
                </c:pt>
                <c:pt idx="14" formatCode="General">
                  <c:v>8.5</c:v>
                </c:pt>
                <c:pt idx="15" formatCode="General">
                  <c:v>9.5</c:v>
                </c:pt>
                <c:pt idx="16" formatCode="General">
                  <c:v>12.5</c:v>
                </c:pt>
              </c:numCache>
            </c:numRef>
          </c:cat>
          <c:val>
            <c:numRef>
              <c:f>BasisRisk!$C$52:$S$52</c:f>
              <c:numCache>
                <c:formatCode>General</c:formatCode>
                <c:ptCount val="17"/>
                <c:pt idx="0">
                  <c:v>8.9006038041636799</c:v>
                </c:pt>
                <c:pt idx="1">
                  <c:v>8.8757161850111146</c:v>
                </c:pt>
                <c:pt idx="2">
                  <c:v>8.8087363117920781</c:v>
                </c:pt>
                <c:pt idx="3">
                  <c:v>8.7353982219399082</c:v>
                </c:pt>
                <c:pt idx="4">
                  <c:v>8.6977805597288889</c:v>
                </c:pt>
                <c:pt idx="5">
                  <c:v>8.7014221222491202</c:v>
                </c:pt>
                <c:pt idx="6">
                  <c:v>8.760088061617342</c:v>
                </c:pt>
                <c:pt idx="7" formatCode="0.00">
                  <c:v>8.8969191212256415</c:v>
                </c:pt>
                <c:pt idx="8" formatCode="0.00">
                  <c:v>9.1506889524229234</c:v>
                </c:pt>
                <c:pt idx="9" formatCode="0.00">
                  <c:v>9.4835308553547719</c:v>
                </c:pt>
                <c:pt idx="10" formatCode="0.00">
                  <c:v>9.7637285995933905</c:v>
                </c:pt>
                <c:pt idx="11">
                  <c:v>9.9858140149371479</c:v>
                </c:pt>
                <c:pt idx="12" formatCode="0.00">
                  <c:v>10.158999880928668</c:v>
                </c:pt>
                <c:pt idx="13" formatCode="0.00">
                  <c:v>10.294471818085819</c:v>
                </c:pt>
                <c:pt idx="14">
                  <c:v>10.401717463435974</c:v>
                </c:pt>
                <c:pt idx="15" formatCode="0.00">
                  <c:v>10.487946300910428</c:v>
                </c:pt>
                <c:pt idx="16" formatCode="0.00">
                  <c:v>10.66616564979193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71-4434-94DE-B55D62BCF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743631"/>
        <c:axId val="732745071"/>
      </c:lineChart>
      <c:catAx>
        <c:axId val="732743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años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745071"/>
        <c:crosses val="autoZero"/>
        <c:auto val="1"/>
        <c:lblAlgn val="ctr"/>
        <c:lblOffset val="100"/>
        <c:noMultiLvlLbl val="0"/>
      </c:catAx>
      <c:valAx>
        <c:axId val="73274507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Tasas de rendimiento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74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BasisRisk!$B$56</c:f>
              <c:strCache>
                <c:ptCount val="1"/>
                <c:pt idx="0">
                  <c:v>4/11/2022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BasisRisk!$C$45:$S$45</c:f>
              <c:numCache>
                <c:formatCode>0.00</c:formatCode>
                <c:ptCount val="17"/>
                <c:pt idx="0">
                  <c:v>2.8E-3</c:v>
                </c:pt>
                <c:pt idx="1">
                  <c:v>4.1700000000000001E-2</c:v>
                </c:pt>
                <c:pt idx="2">
                  <c:v>0.16669999999999999</c:v>
                </c:pt>
                <c:pt idx="3">
                  <c:v>0.375</c:v>
                </c:pt>
                <c:pt idx="4">
                  <c:v>0.625</c:v>
                </c:pt>
                <c:pt idx="5">
                  <c:v>0.875</c:v>
                </c:pt>
                <c:pt idx="6" formatCode="General">
                  <c:v>1.25</c:v>
                </c:pt>
                <c:pt idx="7" formatCode="General">
                  <c:v>1.75</c:v>
                </c:pt>
                <c:pt idx="8" formatCode="General">
                  <c:v>2.5</c:v>
                </c:pt>
                <c:pt idx="9" formatCode="General">
                  <c:v>3.5</c:v>
                </c:pt>
                <c:pt idx="10" formatCode="General">
                  <c:v>4.5</c:v>
                </c:pt>
                <c:pt idx="11" formatCode="General">
                  <c:v>5.5</c:v>
                </c:pt>
                <c:pt idx="12" formatCode="General">
                  <c:v>6.5</c:v>
                </c:pt>
                <c:pt idx="13" formatCode="General">
                  <c:v>7.5</c:v>
                </c:pt>
                <c:pt idx="14" formatCode="General">
                  <c:v>8.5</c:v>
                </c:pt>
                <c:pt idx="15" formatCode="General">
                  <c:v>9.5</c:v>
                </c:pt>
                <c:pt idx="16" formatCode="General">
                  <c:v>12.5</c:v>
                </c:pt>
              </c:numCache>
            </c:numRef>
          </c:cat>
          <c:val>
            <c:numRef>
              <c:f>BasisRisk!$C$56:$S$56</c:f>
              <c:numCache>
                <c:formatCode>0</c:formatCode>
                <c:ptCount val="17"/>
                <c:pt idx="0">
                  <c:v>38368.939197949592</c:v>
                </c:pt>
                <c:pt idx="1">
                  <c:v>50535.493604461422</c:v>
                </c:pt>
                <c:pt idx="2">
                  <c:v>96120.183491826741</c:v>
                </c:pt>
                <c:pt idx="3">
                  <c:v>159628.78717788067</c:v>
                </c:pt>
                <c:pt idx="4">
                  <c:v>222286.00850551229</c:v>
                </c:pt>
                <c:pt idx="5">
                  <c:v>285067.01265056938</c:v>
                </c:pt>
                <c:pt idx="6">
                  <c:v>335155.35339538881</c:v>
                </c:pt>
                <c:pt idx="7">
                  <c:v>375964.98385773023</c:v>
                </c:pt>
                <c:pt idx="8">
                  <c:v>410973.92153517285</c:v>
                </c:pt>
                <c:pt idx="9">
                  <c:v>441861.76260084688</c:v>
                </c:pt>
                <c:pt idx="10">
                  <c:v>470086.74400938366</c:v>
                </c:pt>
                <c:pt idx="11">
                  <c:v>496438.50115375163</c:v>
                </c:pt>
                <c:pt idx="12">
                  <c:v>521375.33819666586</c:v>
                </c:pt>
                <c:pt idx="13">
                  <c:v>545381.6111590279</c:v>
                </c:pt>
                <c:pt idx="14">
                  <c:v>568789.14173807006</c:v>
                </c:pt>
                <c:pt idx="15">
                  <c:v>-400650.49994021922</c:v>
                </c:pt>
                <c:pt idx="16">
                  <c:v>738147.7157855652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84-4ED8-BFE4-CCAEF743E1D5}"/>
            </c:ext>
          </c:extLst>
        </c:ser>
        <c:ser>
          <c:idx val="1"/>
          <c:order val="1"/>
          <c:tx>
            <c:strRef>
              <c:f>BasisRisk!$B$57</c:f>
              <c:strCache>
                <c:ptCount val="1"/>
                <c:pt idx="0">
                  <c:v>4/11/2023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BasisRisk!$C$45:$S$45</c:f>
              <c:numCache>
                <c:formatCode>0.00</c:formatCode>
                <c:ptCount val="17"/>
                <c:pt idx="0">
                  <c:v>2.8E-3</c:v>
                </c:pt>
                <c:pt idx="1">
                  <c:v>4.1700000000000001E-2</c:v>
                </c:pt>
                <c:pt idx="2">
                  <c:v>0.16669999999999999</c:v>
                </c:pt>
                <c:pt idx="3">
                  <c:v>0.375</c:v>
                </c:pt>
                <c:pt idx="4">
                  <c:v>0.625</c:v>
                </c:pt>
                <c:pt idx="5">
                  <c:v>0.875</c:v>
                </c:pt>
                <c:pt idx="6" formatCode="General">
                  <c:v>1.25</c:v>
                </c:pt>
                <c:pt idx="7" formatCode="General">
                  <c:v>1.75</c:v>
                </c:pt>
                <c:pt idx="8" formatCode="General">
                  <c:v>2.5</c:v>
                </c:pt>
                <c:pt idx="9" formatCode="General">
                  <c:v>3.5</c:v>
                </c:pt>
                <c:pt idx="10" formatCode="General">
                  <c:v>4.5</c:v>
                </c:pt>
                <c:pt idx="11" formatCode="General">
                  <c:v>5.5</c:v>
                </c:pt>
                <c:pt idx="12" formatCode="General">
                  <c:v>6.5</c:v>
                </c:pt>
                <c:pt idx="13" formatCode="General">
                  <c:v>7.5</c:v>
                </c:pt>
                <c:pt idx="14" formatCode="General">
                  <c:v>8.5</c:v>
                </c:pt>
                <c:pt idx="15" formatCode="General">
                  <c:v>9.5</c:v>
                </c:pt>
                <c:pt idx="16" formatCode="General">
                  <c:v>12.5</c:v>
                </c:pt>
              </c:numCache>
            </c:numRef>
          </c:cat>
          <c:val>
            <c:numRef>
              <c:f>BasisRisk!$C$57:$S$57</c:f>
              <c:numCache>
                <c:formatCode>0</c:formatCode>
                <c:ptCount val="17"/>
                <c:pt idx="0">
                  <c:v>63888.487219603594</c:v>
                </c:pt>
                <c:pt idx="1">
                  <c:v>119999.0802694911</c:v>
                </c:pt>
                <c:pt idx="2">
                  <c:v>177569.9314248157</c:v>
                </c:pt>
                <c:pt idx="3">
                  <c:v>237295.27140677621</c:v>
                </c:pt>
                <c:pt idx="4">
                  <c:v>295375.26815301983</c:v>
                </c:pt>
                <c:pt idx="5">
                  <c:v>350341.03846132546</c:v>
                </c:pt>
                <c:pt idx="6">
                  <c:v>394718.97610005597</c:v>
                </c:pt>
                <c:pt idx="7">
                  <c:v>425688.11462187499</c:v>
                </c:pt>
                <c:pt idx="8">
                  <c:v>452544.22996942187</c:v>
                </c:pt>
                <c:pt idx="9">
                  <c:v>477888.22844280605</c:v>
                </c:pt>
                <c:pt idx="10">
                  <c:v>502650.2818842635</c:v>
                </c:pt>
                <c:pt idx="11">
                  <c:v>527427.03171788983</c:v>
                </c:pt>
                <c:pt idx="12">
                  <c:v>552795.96027439786</c:v>
                </c:pt>
                <c:pt idx="13">
                  <c:v>578676.66136105696</c:v>
                </c:pt>
                <c:pt idx="14">
                  <c:v>604954.63639116904</c:v>
                </c:pt>
                <c:pt idx="15">
                  <c:v>-358729.05643505394</c:v>
                </c:pt>
                <c:pt idx="16">
                  <c:v>794015.14511324931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84-4ED8-BFE4-CCAEF743E1D5}"/>
            </c:ext>
          </c:extLst>
        </c:ser>
        <c:ser>
          <c:idx val="2"/>
          <c:order val="2"/>
          <c:tx>
            <c:strRef>
              <c:f>BasisRisk!$B$58</c:f>
              <c:strCache>
                <c:ptCount val="1"/>
                <c:pt idx="0">
                  <c:v>4/11/2024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BasisRisk!$C$45:$S$45</c:f>
              <c:numCache>
                <c:formatCode>0.00</c:formatCode>
                <c:ptCount val="17"/>
                <c:pt idx="0">
                  <c:v>2.8E-3</c:v>
                </c:pt>
                <c:pt idx="1">
                  <c:v>4.1700000000000001E-2</c:v>
                </c:pt>
                <c:pt idx="2">
                  <c:v>0.16669999999999999</c:v>
                </c:pt>
                <c:pt idx="3">
                  <c:v>0.375</c:v>
                </c:pt>
                <c:pt idx="4">
                  <c:v>0.625</c:v>
                </c:pt>
                <c:pt idx="5">
                  <c:v>0.875</c:v>
                </c:pt>
                <c:pt idx="6" formatCode="General">
                  <c:v>1.25</c:v>
                </c:pt>
                <c:pt idx="7" formatCode="General">
                  <c:v>1.75</c:v>
                </c:pt>
                <c:pt idx="8" formatCode="General">
                  <c:v>2.5</c:v>
                </c:pt>
                <c:pt idx="9" formatCode="General">
                  <c:v>3.5</c:v>
                </c:pt>
                <c:pt idx="10" formatCode="General">
                  <c:v>4.5</c:v>
                </c:pt>
                <c:pt idx="11" formatCode="General">
                  <c:v>5.5</c:v>
                </c:pt>
                <c:pt idx="12" formatCode="General">
                  <c:v>6.5</c:v>
                </c:pt>
                <c:pt idx="13" formatCode="General">
                  <c:v>7.5</c:v>
                </c:pt>
                <c:pt idx="14" formatCode="General">
                  <c:v>8.5</c:v>
                </c:pt>
                <c:pt idx="15" formatCode="General">
                  <c:v>9.5</c:v>
                </c:pt>
                <c:pt idx="16" formatCode="General">
                  <c:v>12.5</c:v>
                </c:pt>
              </c:numCache>
            </c:numRef>
          </c:cat>
          <c:val>
            <c:numRef>
              <c:f>BasisRisk!$C$58:$S$58</c:f>
              <c:numCache>
                <c:formatCode>0</c:formatCode>
                <c:ptCount val="17"/>
                <c:pt idx="0">
                  <c:v>64863.755149031145</c:v>
                </c:pt>
                <c:pt idx="1">
                  <c:v>137902.88350355683</c:v>
                </c:pt>
                <c:pt idx="2">
                  <c:v>212850.14530042739</c:v>
                </c:pt>
                <c:pt idx="3">
                  <c:v>292199.52006716887</c:v>
                </c:pt>
                <c:pt idx="4">
                  <c:v>370937.62275584874</c:v>
                </c:pt>
                <c:pt idx="5">
                  <c:v>447878.25853457651</c:v>
                </c:pt>
                <c:pt idx="6">
                  <c:v>515224.8670728695</c:v>
                </c:pt>
                <c:pt idx="7">
                  <c:v>565540.69865739474</c:v>
                </c:pt>
                <c:pt idx="8">
                  <c:v>605639.29290153843</c:v>
                </c:pt>
                <c:pt idx="9">
                  <c:v>638851.66629606066</c:v>
                </c:pt>
                <c:pt idx="10">
                  <c:v>667573.36717245926</c:v>
                </c:pt>
                <c:pt idx="11">
                  <c:v>693249.49727685272</c:v>
                </c:pt>
                <c:pt idx="12">
                  <c:v>716846.62447942561</c:v>
                </c:pt>
                <c:pt idx="13">
                  <c:v>739007.53762014303</c:v>
                </c:pt>
                <c:pt idx="14">
                  <c:v>759976.98021058773</c:v>
                </c:pt>
                <c:pt idx="15">
                  <c:v>-210912.54253546614</c:v>
                </c:pt>
                <c:pt idx="16">
                  <c:v>933950.69826214015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84-4ED8-BFE4-CCAEF743E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5315984"/>
        <c:axId val="1705327504"/>
      </c:barChart>
      <c:catAx>
        <c:axId val="170531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años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327504"/>
        <c:crosses val="autoZero"/>
        <c:auto val="1"/>
        <c:lblAlgn val="ctr"/>
        <c:lblOffset val="100"/>
        <c:noMultiLvlLbl val="0"/>
      </c:catAx>
      <c:valAx>
        <c:axId val="170532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31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A$8" fmlaRange="$B$5:$B$7" noThreeD="1" sel="1" val="0"/>
</file>

<file path=xl/ctrlProps/ctrlProp2.xml><?xml version="1.0" encoding="utf-8"?>
<formControlPr xmlns="http://schemas.microsoft.com/office/spreadsheetml/2009/9/main" objectType="Drop" dropStyle="combo" dx="22" fmlaLink="$A$10" fmlaRange="$A$2:$A$6" noThreeD="1" sel="1" val="0"/>
</file>

<file path=xl/ctrlProps/ctrlProp3.xml><?xml version="1.0" encoding="utf-8"?>
<formControlPr xmlns="http://schemas.microsoft.com/office/spreadsheetml/2009/9/main" objectType="Drop" dropStyle="combo" dx="22" fmlaLink="$B$23" fmlaRange="$B$6:$B$8" noThreeD="1" sel="3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28575</xdr:colOff>
      <xdr:row>1</xdr:row>
      <xdr:rowOff>4762</xdr:rowOff>
    </xdr:from>
    <xdr:to>
      <xdr:col>29</xdr:col>
      <xdr:colOff>666751</xdr:colOff>
      <xdr:row>21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3D1A4D7-E2C4-46A8-A6FA-218311E62D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295275</xdr:colOff>
          <xdr:row>24</xdr:row>
          <xdr:rowOff>9525</xdr:rowOff>
        </xdr:from>
        <xdr:to>
          <xdr:col>28</xdr:col>
          <xdr:colOff>180975</xdr:colOff>
          <xdr:row>25</xdr:row>
          <xdr:rowOff>28575</xdr:rowOff>
        </xdr:to>
        <xdr:sp macro="" textlink="">
          <xdr:nvSpPr>
            <xdr:cNvPr id="4097" name="Drop Dow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2D0017F-0835-4866-82C9-400EC6ABF1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161924</xdr:colOff>
      <xdr:row>1</xdr:row>
      <xdr:rowOff>90487</xdr:rowOff>
    </xdr:from>
    <xdr:to>
      <xdr:col>19</xdr:col>
      <xdr:colOff>190499</xdr:colOff>
      <xdr:row>21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904875</xdr:colOff>
          <xdr:row>1</xdr:row>
          <xdr:rowOff>28575</xdr:rowOff>
        </xdr:from>
        <xdr:to>
          <xdr:col>6</xdr:col>
          <xdr:colOff>76200</xdr:colOff>
          <xdr:row>2</xdr:row>
          <xdr:rowOff>85725</xdr:rowOff>
        </xdr:to>
        <xdr:sp macro="" textlink="">
          <xdr:nvSpPr>
            <xdr:cNvPr id="2049" name="Drop Dow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127423</xdr:colOff>
      <xdr:row>4</xdr:row>
      <xdr:rowOff>110808</xdr:rowOff>
    </xdr:from>
    <xdr:to>
      <xdr:col>27</xdr:col>
      <xdr:colOff>55033</xdr:colOff>
      <xdr:row>34</xdr:row>
      <xdr:rowOff>174202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219075</xdr:colOff>
          <xdr:row>0</xdr:row>
          <xdr:rowOff>85725</xdr:rowOff>
        </xdr:from>
        <xdr:to>
          <xdr:col>26</xdr:col>
          <xdr:colOff>180975</xdr:colOff>
          <xdr:row>2</xdr:row>
          <xdr:rowOff>19050</xdr:rowOff>
        </xdr:to>
        <xdr:sp macro="" textlink="">
          <xdr:nvSpPr>
            <xdr:cNvPr id="3073" name="Drop Dow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19</xdr:col>
      <xdr:colOff>105835</xdr:colOff>
      <xdr:row>35</xdr:row>
      <xdr:rowOff>177800</xdr:rowOff>
    </xdr:from>
    <xdr:to>
      <xdr:col>25</xdr:col>
      <xdr:colOff>719667</xdr:colOff>
      <xdr:row>52</xdr:row>
      <xdr:rowOff>93135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76202</xdr:colOff>
      <xdr:row>53</xdr:row>
      <xdr:rowOff>60854</xdr:rowOff>
    </xdr:from>
    <xdr:to>
      <xdr:col>26</xdr:col>
      <xdr:colOff>93134</xdr:colOff>
      <xdr:row>72</xdr:row>
      <xdr:rowOff>160868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arlos%20Castro\Dropbox\IRRBB\Excel\EjemplosRTILBV4.xlsx" TargetMode="External"/><Relationship Id="rId1" Type="http://schemas.openxmlformats.org/officeDocument/2006/relationships/externalLinkPath" Target="/Users/Carlos%20Castro/Dropbox/IRRBB/Excel/EjemplosRTILB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sas de Interes Curvas"/>
      <sheetName val="Castagna2018"/>
      <sheetName val="Balance y flujos"/>
      <sheetName val="Metrics and Escenarios"/>
      <sheetName val="MonteCarloDeltaVE"/>
      <sheetName val="GapRisk yield"/>
      <sheetName val="GapRisk repricing"/>
      <sheetName val="Panel6.1Example Newson 2021"/>
      <sheetName val="BasisRisk"/>
      <sheetName val="GapRepricingSwapCurva"/>
      <sheetName val="GapRepricingSwapIBR1mes"/>
    </sheetNames>
    <sheetDataSet>
      <sheetData sheetId="0"/>
      <sheetData sheetId="1"/>
      <sheetData sheetId="2"/>
      <sheetData sheetId="3"/>
      <sheetData sheetId="4"/>
      <sheetData sheetId="5">
        <row r="3">
          <cell r="C3">
            <v>2.8E-3</v>
          </cell>
          <cell r="D3">
            <v>4.1700000000000001E-2</v>
          </cell>
          <cell r="E3">
            <v>0.16669999999999999</v>
          </cell>
          <cell r="F3">
            <v>0.375</v>
          </cell>
          <cell r="G3">
            <v>0.625</v>
          </cell>
          <cell r="H3">
            <v>0.875</v>
          </cell>
          <cell r="I3">
            <v>1.25</v>
          </cell>
          <cell r="J3">
            <v>1.75</v>
          </cell>
          <cell r="K3">
            <v>2.5</v>
          </cell>
          <cell r="L3">
            <v>3.5</v>
          </cell>
          <cell r="M3">
            <v>4.5</v>
          </cell>
          <cell r="N3">
            <v>5.5</v>
          </cell>
          <cell r="O3">
            <v>6.5</v>
          </cell>
          <cell r="P3">
            <v>7.5</v>
          </cell>
          <cell r="Q3">
            <v>8.5</v>
          </cell>
          <cell r="R3">
            <v>9.5</v>
          </cell>
          <cell r="S3">
            <v>12.5</v>
          </cell>
          <cell r="T3">
            <v>17.5</v>
          </cell>
          <cell r="U3">
            <v>25</v>
          </cell>
        </row>
        <row r="9">
          <cell r="A9" t="str">
            <v>esc. Base</v>
          </cell>
          <cell r="C9">
            <v>4.79</v>
          </cell>
          <cell r="D9">
            <v>2.2599999999999998</v>
          </cell>
          <cell r="E9">
            <v>5.8780000000000001</v>
          </cell>
          <cell r="F9">
            <v>7.1050000000000004</v>
          </cell>
          <cell r="G9">
            <v>7.7549999999999999</v>
          </cell>
          <cell r="H9">
            <v>8.2650000000000006</v>
          </cell>
          <cell r="I9">
            <v>8.6950000000000003</v>
          </cell>
          <cell r="J9">
            <v>8.3049999999999997</v>
          </cell>
          <cell r="K9">
            <v>8.1950000000000003</v>
          </cell>
          <cell r="L9">
            <v>8.1549999999999994</v>
          </cell>
          <cell r="M9">
            <v>8.1150000000000002</v>
          </cell>
          <cell r="N9">
            <v>8.0749999999999993</v>
          </cell>
          <cell r="O9">
            <v>8.0350000000000001</v>
          </cell>
          <cell r="P9">
            <v>8.0150000000000006</v>
          </cell>
          <cell r="Q9">
            <v>8.01</v>
          </cell>
          <cell r="R9">
            <v>8.01</v>
          </cell>
          <cell r="S9">
            <v>7.9950000000000001</v>
          </cell>
          <cell r="T9">
            <v>7.98</v>
          </cell>
          <cell r="U9">
            <v>7.9550000000000001</v>
          </cell>
        </row>
        <row r="13">
          <cell r="C13">
            <v>8.7899999999999991</v>
          </cell>
          <cell r="D13">
            <v>6.26</v>
          </cell>
          <cell r="E13">
            <v>9.8780000000000001</v>
          </cell>
          <cell r="F13">
            <v>11.105</v>
          </cell>
          <cell r="G13">
            <v>11.754999999999999</v>
          </cell>
          <cell r="H13">
            <v>12.265000000000001</v>
          </cell>
          <cell r="I13">
            <v>12.695</v>
          </cell>
          <cell r="J13">
            <v>12.305</v>
          </cell>
          <cell r="K13">
            <v>12.195</v>
          </cell>
          <cell r="L13">
            <v>12.154999999999999</v>
          </cell>
          <cell r="M13">
            <v>12.115</v>
          </cell>
          <cell r="N13">
            <v>12.074999999999999</v>
          </cell>
          <cell r="O13">
            <v>12.035</v>
          </cell>
          <cell r="P13">
            <v>12.015000000000001</v>
          </cell>
          <cell r="Q13">
            <v>12.01</v>
          </cell>
          <cell r="R13">
            <v>12.01</v>
          </cell>
          <cell r="S13">
            <v>11.995000000000001</v>
          </cell>
          <cell r="T13">
            <v>11.98</v>
          </cell>
          <cell r="U13">
            <v>11.955</v>
          </cell>
        </row>
        <row r="14">
          <cell r="C14">
            <v>0.79</v>
          </cell>
          <cell r="D14">
            <v>-1.7400000000000002</v>
          </cell>
          <cell r="E14">
            <v>1.8780000000000001</v>
          </cell>
          <cell r="F14">
            <v>3.1050000000000004</v>
          </cell>
          <cell r="G14">
            <v>3.7549999999999999</v>
          </cell>
          <cell r="H14">
            <v>4.2650000000000006</v>
          </cell>
          <cell r="I14">
            <v>4.6950000000000003</v>
          </cell>
          <cell r="J14">
            <v>4.3049999999999997</v>
          </cell>
          <cell r="K14">
            <v>4.1950000000000003</v>
          </cell>
          <cell r="L14">
            <v>4.1549999999999994</v>
          </cell>
          <cell r="M14">
            <v>4.1150000000000002</v>
          </cell>
          <cell r="N14">
            <v>4.0749999999999993</v>
          </cell>
          <cell r="O14">
            <v>4.0350000000000001</v>
          </cell>
          <cell r="P14">
            <v>4.0150000000000006</v>
          </cell>
          <cell r="Q14">
            <v>4.01</v>
          </cell>
          <cell r="R14">
            <v>4.01</v>
          </cell>
          <cell r="S14">
            <v>3.9950000000000001</v>
          </cell>
          <cell r="T14">
            <v>3.9800000000000004</v>
          </cell>
          <cell r="U14">
            <v>3.9550000000000001</v>
          </cell>
        </row>
        <row r="16">
          <cell r="C16">
            <v>9.7865012247142165</v>
          </cell>
          <cell r="D16">
            <v>7.2081457598551726</v>
          </cell>
          <cell r="E16">
            <v>10.673907319484837</v>
          </cell>
          <cell r="F16">
            <v>11.657551806900171</v>
          </cell>
          <cell r="G16">
            <v>12.031726636537112</v>
          </cell>
          <cell r="H16">
            <v>12.282612868445305</v>
          </cell>
          <cell r="I16">
            <v>12.35307814473321</v>
          </cell>
          <cell r="J16">
            <v>11.53324263213946</v>
          </cell>
          <cell r="K16">
            <v>10.871307142594951</v>
          </cell>
          <cell r="L16">
            <v>10.239310098392542</v>
          </cell>
          <cell r="M16">
            <v>9.7382623367917489</v>
          </cell>
          <cell r="N16">
            <v>9.3391979790237318</v>
          </cell>
          <cell r="O16">
            <v>9.0195583760209708</v>
          </cell>
          <cell r="P16">
            <v>8.7817748342246436</v>
          </cell>
          <cell r="Q16">
            <v>8.6071648413335975</v>
          </cell>
          <cell r="R16">
            <v>8.4750724460533178</v>
          </cell>
          <cell r="S16">
            <v>8.2146846681170373</v>
          </cell>
          <cell r="T16">
            <v>8.0429407112121698</v>
          </cell>
          <cell r="U16">
            <v>7.9646522706811389</v>
          </cell>
        </row>
        <row r="17">
          <cell r="C17">
            <v>-0.20650122471421639</v>
          </cell>
          <cell r="D17">
            <v>-2.688145759855173</v>
          </cell>
          <cell r="E17">
            <v>1.0820926805151636</v>
          </cell>
          <cell r="F17">
            <v>2.5524481930998295</v>
          </cell>
          <cell r="G17">
            <v>3.4782733634628871</v>
          </cell>
          <cell r="H17">
            <v>4.2473871315546967</v>
          </cell>
          <cell r="I17">
            <v>5.0369218552667911</v>
          </cell>
          <cell r="J17">
            <v>5.0767573678605391</v>
          </cell>
          <cell r="K17">
            <v>5.5186928574050489</v>
          </cell>
          <cell r="L17">
            <v>6.0706899016074569</v>
          </cell>
          <cell r="M17">
            <v>6.4917376632082515</v>
          </cell>
          <cell r="N17">
            <v>6.8108020209762667</v>
          </cell>
          <cell r="O17">
            <v>7.0504416239790295</v>
          </cell>
          <cell r="P17">
            <v>7.2482251657753585</v>
          </cell>
          <cell r="Q17">
            <v>7.4128351586664021</v>
          </cell>
          <cell r="R17">
            <v>7.5449275539466827</v>
          </cell>
          <cell r="S17">
            <v>7.7753153318829629</v>
          </cell>
          <cell r="T17">
            <v>7.9170592887878302</v>
          </cell>
          <cell r="U17">
            <v>7.9453477293188612</v>
          </cell>
        </row>
        <row r="19">
          <cell r="C19">
            <v>4.79209926517147</v>
          </cell>
          <cell r="D19">
            <v>2.291112544086896</v>
          </cell>
          <cell r="E19">
            <v>6.0004556083090979</v>
          </cell>
          <cell r="F19">
            <v>7.3734689158598981</v>
          </cell>
          <cell r="G19">
            <v>8.1889640180777317</v>
          </cell>
          <cell r="H19">
            <v>8.8544322789328191</v>
          </cell>
          <cell r="I19">
            <v>9.5001531131600743</v>
          </cell>
          <cell r="J19">
            <v>9.368054420716323</v>
          </cell>
          <cell r="K19">
            <v>9.5892157144430286</v>
          </cell>
          <cell r="L19">
            <v>9.9044139409644742</v>
          </cell>
          <cell r="M19">
            <v>10.141042597924951</v>
          </cell>
          <cell r="N19">
            <v>10.31648121258576</v>
          </cell>
          <cell r="O19">
            <v>10.444264974387417</v>
          </cell>
          <cell r="P19">
            <v>10.554935099465215</v>
          </cell>
          <cell r="Q19">
            <v>10.65170109519984</v>
          </cell>
          <cell r="R19">
            <v>10.730956532368008</v>
          </cell>
          <cell r="S19">
            <v>10.863189199129778</v>
          </cell>
          <cell r="T19">
            <v>10.942235573272699</v>
          </cell>
          <cell r="U19">
            <v>10.949208637591317</v>
          </cell>
        </row>
        <row r="20">
          <cell r="C20">
            <v>4.7879007348285301</v>
          </cell>
          <cell r="D20">
            <v>2.2288874559131036</v>
          </cell>
          <cell r="E20">
            <v>5.7555443916909024</v>
          </cell>
          <cell r="F20">
            <v>6.8365310841401028</v>
          </cell>
          <cell r="G20">
            <v>7.3210359819222672</v>
          </cell>
          <cell r="H20">
            <v>7.6755677210671829</v>
          </cell>
          <cell r="I20">
            <v>7.8898468868399254</v>
          </cell>
          <cell r="J20">
            <v>7.2419455792836764</v>
          </cell>
          <cell r="K20">
            <v>6.8007842855569711</v>
          </cell>
          <cell r="L20">
            <v>6.4055860590355245</v>
          </cell>
          <cell r="M20">
            <v>6.0889574020750494</v>
          </cell>
          <cell r="N20">
            <v>5.8335187874142385</v>
          </cell>
          <cell r="O20">
            <v>5.6257350256125829</v>
          </cell>
          <cell r="P20">
            <v>5.475064900534786</v>
          </cell>
          <cell r="Q20">
            <v>5.3682989048001586</v>
          </cell>
          <cell r="R20">
            <v>5.2890434676319904</v>
          </cell>
          <cell r="S20">
            <v>5.1268108008702225</v>
          </cell>
          <cell r="T20">
            <v>5.0177644267273021</v>
          </cell>
          <cell r="U20">
            <v>4.960791362408683</v>
          </cell>
        </row>
        <row r="22">
          <cell r="C22">
            <v>1.5441635425900824</v>
          </cell>
          <cell r="D22">
            <v>-0.92829345422765597</v>
          </cell>
          <cell r="E22">
            <v>2.8708702898130443</v>
          </cell>
          <cell r="F22">
            <v>4.3874633497887974</v>
          </cell>
          <cell r="G22">
            <v>5.3656953025208356</v>
          </cell>
          <cell r="H22">
            <v>6.1840406865500892</v>
          </cell>
          <cell r="I22">
            <v>7.0418870077674818</v>
          </cell>
          <cell r="J22">
            <v>7.1633912677540419</v>
          </cell>
          <cell r="K22">
            <v>7.7101945003120083</v>
          </cell>
          <cell r="L22">
            <v>8.3746709829128747</v>
          </cell>
          <cell r="M22">
            <v>8.8833178192178188</v>
          </cell>
          <cell r="N22">
            <v>9.2706044049617589</v>
          </cell>
          <cell r="O22">
            <v>9.563375532535046</v>
          </cell>
          <cell r="P22">
            <v>9.8025379472726755</v>
          </cell>
          <cell r="Q22">
            <v>9.9993738388130176</v>
          </cell>
          <cell r="R22">
            <v>10.156563789196552</v>
          </cell>
          <cell r="S22">
            <v>10.433575244940727</v>
          </cell>
          <cell r="T22">
            <v>10.605100553657518</v>
          </cell>
          <cell r="U22">
            <v>10.643513797889446</v>
          </cell>
        </row>
        <row r="23">
          <cell r="C23">
            <v>8.7859414206684914</v>
          </cell>
          <cell r="D23">
            <v>6.1998490814320011</v>
          </cell>
          <cell r="E23">
            <v>9.6412524906024117</v>
          </cell>
          <cell r="F23">
            <v>10.585960096004198</v>
          </cell>
          <cell r="G23">
            <v>10.91600289838305</v>
          </cell>
          <cell r="H23">
            <v>11.125430927396554</v>
          </cell>
          <cell r="I23">
            <v>11.138370647890524</v>
          </cell>
          <cell r="J23">
            <v>10.249761453281774</v>
          </cell>
          <cell r="K23">
            <v>9.4995162854101434</v>
          </cell>
          <cell r="L23">
            <v>8.7727997141353491</v>
          </cell>
          <cell r="M23">
            <v>8.1979843106784287</v>
          </cell>
          <cell r="N23">
            <v>7.7414696556675286</v>
          </cell>
          <cell r="O23">
            <v>7.3770877161843256</v>
          </cell>
          <cell r="P23">
            <v>7.1044588077005857</v>
          </cell>
          <cell r="Q23">
            <v>6.9027112159469741</v>
          </cell>
          <cell r="R23">
            <v>6.7494840374218477</v>
          </cell>
          <cell r="S23">
            <v>6.4498342150157626</v>
          </cell>
          <cell r="T23">
            <v>6.2530112250061176</v>
          </cell>
          <cell r="U23">
            <v>6.1661966339901211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36F1F-3969-48FB-B63E-60D8177A7D59}">
  <dimension ref="A1:Y39"/>
  <sheetViews>
    <sheetView tabSelected="1" workbookViewId="0">
      <selection activeCell="AB28" sqref="AB28"/>
    </sheetView>
  </sheetViews>
  <sheetFormatPr baseColWidth="10" defaultRowHeight="15" x14ac:dyDescent="0.25"/>
  <cols>
    <col min="1" max="1" width="10.7109375" customWidth="1"/>
    <col min="2" max="2" width="15.28515625" customWidth="1"/>
    <col min="3" max="8" width="8.42578125" customWidth="1"/>
    <col min="9" max="12" width="6.85546875" customWidth="1"/>
    <col min="13" max="13" width="7.85546875" customWidth="1"/>
    <col min="14" max="20" width="6.85546875" customWidth="1"/>
    <col min="21" max="21" width="8.42578125" customWidth="1"/>
  </cols>
  <sheetData>
    <row r="1" spans="1:21" x14ac:dyDescent="0.25">
      <c r="A1" t="s">
        <v>0</v>
      </c>
    </row>
    <row r="2" spans="1:21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</row>
    <row r="3" spans="1:21" x14ac:dyDescent="0.25">
      <c r="B3" t="s">
        <v>21</v>
      </c>
      <c r="C3">
        <v>2.8E-3</v>
      </c>
      <c r="D3">
        <v>4.1700000000000001E-2</v>
      </c>
      <c r="E3">
        <v>0.16669999999999999</v>
      </c>
      <c r="F3">
        <v>0.375</v>
      </c>
      <c r="G3">
        <v>0.625</v>
      </c>
      <c r="H3">
        <v>0.875</v>
      </c>
      <c r="I3">
        <v>1.25</v>
      </c>
      <c r="J3">
        <v>1.75</v>
      </c>
      <c r="K3">
        <v>2.5</v>
      </c>
      <c r="L3">
        <v>3.5</v>
      </c>
      <c r="M3">
        <v>4.5</v>
      </c>
      <c r="N3">
        <v>5.5</v>
      </c>
      <c r="O3">
        <v>6.5</v>
      </c>
      <c r="P3">
        <v>7.5</v>
      </c>
      <c r="Q3">
        <v>8.5</v>
      </c>
      <c r="R3">
        <v>9.5</v>
      </c>
      <c r="S3">
        <v>12.5</v>
      </c>
      <c r="T3">
        <v>17.5</v>
      </c>
      <c r="U3">
        <v>25</v>
      </c>
    </row>
    <row r="4" spans="1:21" x14ac:dyDescent="0.25">
      <c r="A4" t="s">
        <v>22</v>
      </c>
      <c r="C4">
        <f>ROUNDDOWN(C3*365,0)</f>
        <v>1</v>
      </c>
      <c r="D4">
        <f t="shared" ref="D4:U4" si="0">ROUNDDOWN(D3*365,0)</f>
        <v>15</v>
      </c>
      <c r="E4">
        <f t="shared" si="0"/>
        <v>60</v>
      </c>
      <c r="F4">
        <f t="shared" si="0"/>
        <v>136</v>
      </c>
      <c r="G4">
        <f t="shared" si="0"/>
        <v>228</v>
      </c>
      <c r="H4">
        <f t="shared" si="0"/>
        <v>319</v>
      </c>
      <c r="I4">
        <f t="shared" si="0"/>
        <v>456</v>
      </c>
      <c r="J4">
        <f t="shared" si="0"/>
        <v>638</v>
      </c>
      <c r="K4">
        <f t="shared" si="0"/>
        <v>912</v>
      </c>
      <c r="L4">
        <f t="shared" si="0"/>
        <v>1277</v>
      </c>
      <c r="M4">
        <f t="shared" si="0"/>
        <v>1642</v>
      </c>
      <c r="N4">
        <f t="shared" si="0"/>
        <v>2007</v>
      </c>
      <c r="O4">
        <f t="shared" si="0"/>
        <v>2372</v>
      </c>
      <c r="P4">
        <f t="shared" si="0"/>
        <v>2737</v>
      </c>
      <c r="Q4">
        <f t="shared" si="0"/>
        <v>3102</v>
      </c>
      <c r="R4">
        <f t="shared" si="0"/>
        <v>3467</v>
      </c>
      <c r="S4">
        <f>ROUNDDOWN(S3*365,0)</f>
        <v>4562</v>
      </c>
      <c r="T4">
        <f t="shared" si="0"/>
        <v>6387</v>
      </c>
      <c r="U4">
        <f t="shared" si="0"/>
        <v>9125</v>
      </c>
    </row>
    <row r="5" spans="1:21" x14ac:dyDescent="0.25">
      <c r="B5" s="1">
        <v>44662</v>
      </c>
      <c r="C5" s="2">
        <v>4.79</v>
      </c>
      <c r="D5" s="2">
        <v>2.2599999999999998</v>
      </c>
      <c r="E5" s="2">
        <v>5.8780000000000001</v>
      </c>
      <c r="F5" s="2">
        <v>7.1050000000000004</v>
      </c>
      <c r="G5" s="2">
        <v>7.7549999999999999</v>
      </c>
      <c r="H5" s="2">
        <v>8.2650000000000006</v>
      </c>
      <c r="I5" s="2">
        <v>8.6950000000000003</v>
      </c>
      <c r="J5" s="2">
        <v>8.3049999999999997</v>
      </c>
      <c r="K5" s="2">
        <v>8.1950000000000003</v>
      </c>
      <c r="L5" s="2">
        <v>8.1549999999999994</v>
      </c>
      <c r="M5" s="2">
        <v>8.1150000000000002</v>
      </c>
      <c r="N5" s="2">
        <v>8.0749999999999993</v>
      </c>
      <c r="O5" s="2">
        <v>8.0350000000000001</v>
      </c>
      <c r="P5" s="2">
        <v>8.0150000000000006</v>
      </c>
      <c r="Q5" s="2">
        <v>8.01</v>
      </c>
      <c r="R5" s="2">
        <v>8.01</v>
      </c>
      <c r="S5" s="2">
        <v>7.9950000000000001</v>
      </c>
      <c r="T5" s="2">
        <v>7.98</v>
      </c>
      <c r="U5" s="2">
        <v>7.9550000000000001</v>
      </c>
    </row>
    <row r="6" spans="1:21" x14ac:dyDescent="0.25">
      <c r="B6" s="1">
        <v>45027</v>
      </c>
      <c r="C6" s="3">
        <v>12.032999999999999</v>
      </c>
      <c r="D6">
        <v>11.35</v>
      </c>
      <c r="E6">
        <v>11.775</v>
      </c>
      <c r="F6">
        <v>12.11</v>
      </c>
      <c r="G6">
        <v>12.36</v>
      </c>
      <c r="H6">
        <v>12.385</v>
      </c>
      <c r="I6">
        <v>12.29</v>
      </c>
      <c r="J6">
        <v>11.124000000000001</v>
      </c>
      <c r="K6">
        <v>10.645</v>
      </c>
      <c r="L6">
        <v>10.305</v>
      </c>
      <c r="M6">
        <v>10.06</v>
      </c>
      <c r="N6">
        <v>9.9049999999999994</v>
      </c>
      <c r="O6">
        <v>9.84</v>
      </c>
      <c r="P6">
        <v>9.7949999999999999</v>
      </c>
      <c r="Q6">
        <v>9.76</v>
      </c>
      <c r="R6">
        <v>9.7799999999999994</v>
      </c>
      <c r="S6">
        <v>9.7100000000000009</v>
      </c>
      <c r="T6">
        <v>9.66</v>
      </c>
      <c r="U6">
        <v>9.49</v>
      </c>
    </row>
    <row r="7" spans="1:21" x14ac:dyDescent="0.25">
      <c r="B7" s="1">
        <v>45393</v>
      </c>
      <c r="C7">
        <v>11.387</v>
      </c>
      <c r="D7">
        <v>12.18</v>
      </c>
      <c r="E7">
        <v>12.305</v>
      </c>
      <c r="F7">
        <v>12.51</v>
      </c>
      <c r="G7">
        <v>12.505000000000001</v>
      </c>
      <c r="H7">
        <v>12.385</v>
      </c>
      <c r="I7">
        <v>11.73</v>
      </c>
      <c r="J7">
        <v>10.34</v>
      </c>
      <c r="K7">
        <v>9.6050000000000004</v>
      </c>
      <c r="L7">
        <v>9.23</v>
      </c>
      <c r="M7">
        <v>9.0299999999999994</v>
      </c>
      <c r="N7">
        <v>8.9149999999999991</v>
      </c>
      <c r="O7">
        <v>8.85</v>
      </c>
      <c r="P7">
        <v>8.8149999999999995</v>
      </c>
      <c r="Q7">
        <v>8.7799999999999994</v>
      </c>
      <c r="R7">
        <v>8.8249999999999993</v>
      </c>
      <c r="S7">
        <v>8.8000000000000007</v>
      </c>
      <c r="T7">
        <v>8.77</v>
      </c>
      <c r="U7">
        <v>8.64</v>
      </c>
    </row>
    <row r="8" spans="1:21" x14ac:dyDescent="0.25">
      <c r="A8">
        <v>1</v>
      </c>
    </row>
    <row r="9" spans="1:21" x14ac:dyDescent="0.25">
      <c r="A9" t="s">
        <v>23</v>
      </c>
      <c r="B9" t="s">
        <v>24</v>
      </c>
      <c r="C9">
        <f ca="1">OFFSET(C4,$A$8,0)</f>
        <v>4.79</v>
      </c>
      <c r="D9">
        <f t="shared" ref="D9:U9" ca="1" si="1">OFFSET(D4,$A$8,0)</f>
        <v>2.2599999999999998</v>
      </c>
      <c r="E9">
        <f t="shared" ca="1" si="1"/>
        <v>5.8780000000000001</v>
      </c>
      <c r="F9">
        <f t="shared" ca="1" si="1"/>
        <v>7.1050000000000004</v>
      </c>
      <c r="G9">
        <f t="shared" ca="1" si="1"/>
        <v>7.7549999999999999</v>
      </c>
      <c r="H9">
        <f t="shared" ca="1" si="1"/>
        <v>8.2650000000000006</v>
      </c>
      <c r="I9">
        <f t="shared" ca="1" si="1"/>
        <v>8.6950000000000003</v>
      </c>
      <c r="J9">
        <f t="shared" ca="1" si="1"/>
        <v>8.3049999999999997</v>
      </c>
      <c r="K9">
        <f t="shared" ca="1" si="1"/>
        <v>8.1950000000000003</v>
      </c>
      <c r="L9">
        <f t="shared" ca="1" si="1"/>
        <v>8.1549999999999994</v>
      </c>
      <c r="M9">
        <f t="shared" ca="1" si="1"/>
        <v>8.1150000000000002</v>
      </c>
      <c r="N9">
        <f t="shared" ca="1" si="1"/>
        <v>8.0749999999999993</v>
      </c>
      <c r="O9">
        <f t="shared" ca="1" si="1"/>
        <v>8.0350000000000001</v>
      </c>
      <c r="P9">
        <f t="shared" ca="1" si="1"/>
        <v>8.0150000000000006</v>
      </c>
      <c r="Q9">
        <f t="shared" ca="1" si="1"/>
        <v>8.01</v>
      </c>
      <c r="R9">
        <f t="shared" ca="1" si="1"/>
        <v>8.01</v>
      </c>
      <c r="S9">
        <f t="shared" ca="1" si="1"/>
        <v>7.9950000000000001</v>
      </c>
      <c r="T9">
        <f t="shared" ca="1" si="1"/>
        <v>7.98</v>
      </c>
      <c r="U9">
        <f t="shared" ca="1" si="1"/>
        <v>7.9550000000000001</v>
      </c>
    </row>
    <row r="11" spans="1:21" x14ac:dyDescent="0.25">
      <c r="A11" t="s">
        <v>25</v>
      </c>
    </row>
    <row r="12" spans="1:21" x14ac:dyDescent="0.25">
      <c r="A12" t="s">
        <v>26</v>
      </c>
      <c r="B12">
        <v>400</v>
      </c>
    </row>
    <row r="13" spans="1:21" x14ac:dyDescent="0.25">
      <c r="B13" t="s">
        <v>27</v>
      </c>
      <c r="C13" s="2">
        <f ca="1">C$9+($B$12/100)</f>
        <v>8.7899999999999991</v>
      </c>
      <c r="D13" s="2">
        <f t="shared" ref="D13:U13" ca="1" si="2">D$9+($B$12/100)</f>
        <v>6.26</v>
      </c>
      <c r="E13" s="2">
        <f t="shared" ca="1" si="2"/>
        <v>9.8780000000000001</v>
      </c>
      <c r="F13" s="2">
        <f t="shared" ca="1" si="2"/>
        <v>11.105</v>
      </c>
      <c r="G13" s="2">
        <f t="shared" ca="1" si="2"/>
        <v>11.754999999999999</v>
      </c>
      <c r="H13" s="2">
        <f t="shared" ca="1" si="2"/>
        <v>12.265000000000001</v>
      </c>
      <c r="I13" s="2">
        <f t="shared" ca="1" si="2"/>
        <v>12.695</v>
      </c>
      <c r="J13" s="2">
        <f t="shared" ca="1" si="2"/>
        <v>12.305</v>
      </c>
      <c r="K13" s="2">
        <f t="shared" ca="1" si="2"/>
        <v>12.195</v>
      </c>
      <c r="L13" s="2">
        <f t="shared" ca="1" si="2"/>
        <v>12.154999999999999</v>
      </c>
      <c r="M13" s="2">
        <f t="shared" ca="1" si="2"/>
        <v>12.115</v>
      </c>
      <c r="N13" s="2">
        <f t="shared" ca="1" si="2"/>
        <v>12.074999999999999</v>
      </c>
      <c r="O13" s="2">
        <f t="shared" ca="1" si="2"/>
        <v>12.035</v>
      </c>
      <c r="P13" s="2">
        <f t="shared" ca="1" si="2"/>
        <v>12.015000000000001</v>
      </c>
      <c r="Q13" s="2">
        <f t="shared" ca="1" si="2"/>
        <v>12.01</v>
      </c>
      <c r="R13" s="2">
        <f t="shared" ca="1" si="2"/>
        <v>12.01</v>
      </c>
      <c r="S13" s="2">
        <f t="shared" ca="1" si="2"/>
        <v>11.995000000000001</v>
      </c>
      <c r="T13" s="2">
        <f t="shared" ca="1" si="2"/>
        <v>11.98</v>
      </c>
      <c r="U13" s="2">
        <f t="shared" ca="1" si="2"/>
        <v>11.955</v>
      </c>
    </row>
    <row r="14" spans="1:21" x14ac:dyDescent="0.25">
      <c r="B14" t="s">
        <v>28</v>
      </c>
      <c r="C14" s="2">
        <f ca="1">C$9-($B$12/100)</f>
        <v>0.79</v>
      </c>
      <c r="D14" s="2">
        <f t="shared" ref="D14:U14" ca="1" si="3">D$9-($B$12/100)</f>
        <v>-1.7400000000000002</v>
      </c>
      <c r="E14" s="2">
        <f t="shared" ca="1" si="3"/>
        <v>1.8780000000000001</v>
      </c>
      <c r="F14" s="2">
        <f t="shared" ca="1" si="3"/>
        <v>3.1050000000000004</v>
      </c>
      <c r="G14" s="2">
        <f t="shared" ca="1" si="3"/>
        <v>3.7549999999999999</v>
      </c>
      <c r="H14" s="2">
        <f t="shared" ca="1" si="3"/>
        <v>4.2650000000000006</v>
      </c>
      <c r="I14" s="2">
        <f t="shared" ca="1" si="3"/>
        <v>4.6950000000000003</v>
      </c>
      <c r="J14" s="2">
        <f t="shared" ca="1" si="3"/>
        <v>4.3049999999999997</v>
      </c>
      <c r="K14" s="2">
        <f t="shared" ca="1" si="3"/>
        <v>4.1950000000000003</v>
      </c>
      <c r="L14" s="2">
        <f t="shared" ca="1" si="3"/>
        <v>4.1549999999999994</v>
      </c>
      <c r="M14" s="2">
        <f t="shared" ca="1" si="3"/>
        <v>4.1150000000000002</v>
      </c>
      <c r="N14" s="2">
        <f t="shared" ca="1" si="3"/>
        <v>4.0749999999999993</v>
      </c>
      <c r="O14" s="2">
        <f t="shared" ca="1" si="3"/>
        <v>4.0350000000000001</v>
      </c>
      <c r="P14" s="2">
        <f t="shared" ca="1" si="3"/>
        <v>4.0150000000000006</v>
      </c>
      <c r="Q14" s="2">
        <f t="shared" ca="1" si="3"/>
        <v>4.01</v>
      </c>
      <c r="R14" s="2">
        <f t="shared" ca="1" si="3"/>
        <v>4.01</v>
      </c>
      <c r="S14" s="2">
        <f t="shared" ca="1" si="3"/>
        <v>3.9950000000000001</v>
      </c>
      <c r="T14" s="2">
        <f t="shared" ca="1" si="3"/>
        <v>3.9800000000000004</v>
      </c>
      <c r="U14" s="2">
        <f t="shared" ca="1" si="3"/>
        <v>3.9550000000000001</v>
      </c>
    </row>
    <row r="15" spans="1:21" x14ac:dyDescent="0.25">
      <c r="A15" t="s">
        <v>29</v>
      </c>
      <c r="B15">
        <v>500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25">
      <c r="B16" t="s">
        <v>30</v>
      </c>
      <c r="C16" s="2">
        <f ca="1">C$9+($B$15/100)*EXP(-C$3/4)</f>
        <v>9.7865012247142165</v>
      </c>
      <c r="D16" s="2">
        <f t="shared" ref="D16:U16" ca="1" si="4">D$9+($B$15/100)*EXP(-D$3/4)</f>
        <v>7.2081457598551726</v>
      </c>
      <c r="E16" s="2">
        <f t="shared" ca="1" si="4"/>
        <v>10.673907319484837</v>
      </c>
      <c r="F16" s="2">
        <f t="shared" ca="1" si="4"/>
        <v>11.657551806900171</v>
      </c>
      <c r="G16" s="2">
        <f t="shared" ca="1" si="4"/>
        <v>12.031726636537112</v>
      </c>
      <c r="H16" s="2">
        <f t="shared" ca="1" si="4"/>
        <v>12.282612868445305</v>
      </c>
      <c r="I16" s="2">
        <f t="shared" ca="1" si="4"/>
        <v>12.35307814473321</v>
      </c>
      <c r="J16" s="2">
        <f t="shared" ca="1" si="4"/>
        <v>11.53324263213946</v>
      </c>
      <c r="K16" s="2">
        <f t="shared" ca="1" si="4"/>
        <v>10.871307142594951</v>
      </c>
      <c r="L16" s="2">
        <f t="shared" ca="1" si="4"/>
        <v>10.239310098392542</v>
      </c>
      <c r="M16" s="2">
        <f t="shared" ca="1" si="4"/>
        <v>9.7382623367917489</v>
      </c>
      <c r="N16" s="2">
        <f t="shared" ca="1" si="4"/>
        <v>9.3391979790237318</v>
      </c>
      <c r="O16" s="2">
        <f t="shared" ca="1" si="4"/>
        <v>9.0195583760209708</v>
      </c>
      <c r="P16" s="2">
        <f t="shared" ca="1" si="4"/>
        <v>8.7817748342246436</v>
      </c>
      <c r="Q16" s="2">
        <f t="shared" ca="1" si="4"/>
        <v>8.6071648413335975</v>
      </c>
      <c r="R16" s="2">
        <f t="shared" ca="1" si="4"/>
        <v>8.4750724460533178</v>
      </c>
      <c r="S16" s="2">
        <f t="shared" ca="1" si="4"/>
        <v>8.2146846681170373</v>
      </c>
      <c r="T16" s="2">
        <f t="shared" ca="1" si="4"/>
        <v>8.0429407112121698</v>
      </c>
      <c r="U16" s="2">
        <f t="shared" ca="1" si="4"/>
        <v>7.9646522706811389</v>
      </c>
    </row>
    <row r="17" spans="1:25" x14ac:dyDescent="0.25">
      <c r="B17" t="s">
        <v>31</v>
      </c>
      <c r="C17" s="2">
        <f ca="1">C$9-($B$15/100)*EXP(-C$3/4)</f>
        <v>-0.20650122471421639</v>
      </c>
      <c r="D17" s="2">
        <f t="shared" ref="D17:U17" ca="1" si="5">D$9-($B$15/100)*EXP(-D$3/4)</f>
        <v>-2.688145759855173</v>
      </c>
      <c r="E17" s="2">
        <f t="shared" ca="1" si="5"/>
        <v>1.0820926805151636</v>
      </c>
      <c r="F17" s="2">
        <f t="shared" ca="1" si="5"/>
        <v>2.5524481930998295</v>
      </c>
      <c r="G17" s="2">
        <f t="shared" ca="1" si="5"/>
        <v>3.4782733634628871</v>
      </c>
      <c r="H17" s="2">
        <f t="shared" ca="1" si="5"/>
        <v>4.2473871315546967</v>
      </c>
      <c r="I17" s="2">
        <f t="shared" ca="1" si="5"/>
        <v>5.0369218552667911</v>
      </c>
      <c r="J17" s="2">
        <f t="shared" ca="1" si="5"/>
        <v>5.0767573678605391</v>
      </c>
      <c r="K17" s="2">
        <f t="shared" ca="1" si="5"/>
        <v>5.5186928574050489</v>
      </c>
      <c r="L17" s="2">
        <f t="shared" ca="1" si="5"/>
        <v>6.0706899016074569</v>
      </c>
      <c r="M17" s="2">
        <f t="shared" ca="1" si="5"/>
        <v>6.4917376632082515</v>
      </c>
      <c r="N17" s="2">
        <f t="shared" ca="1" si="5"/>
        <v>6.8108020209762667</v>
      </c>
      <c r="O17" s="2">
        <f t="shared" ca="1" si="5"/>
        <v>7.0504416239790295</v>
      </c>
      <c r="P17" s="2">
        <f t="shared" ca="1" si="5"/>
        <v>7.2482251657753585</v>
      </c>
      <c r="Q17" s="2">
        <f t="shared" ca="1" si="5"/>
        <v>7.4128351586664021</v>
      </c>
      <c r="R17" s="2">
        <f t="shared" ca="1" si="5"/>
        <v>7.5449275539466827</v>
      </c>
      <c r="S17" s="2">
        <f t="shared" ca="1" si="5"/>
        <v>7.7753153318829629</v>
      </c>
      <c r="T17" s="2">
        <f t="shared" ca="1" si="5"/>
        <v>7.9170592887878302</v>
      </c>
      <c r="U17" s="2">
        <f t="shared" ca="1" si="5"/>
        <v>7.9453477293188612</v>
      </c>
    </row>
    <row r="18" spans="1:25" x14ac:dyDescent="0.25">
      <c r="A18" t="s">
        <v>32</v>
      </c>
      <c r="B18">
        <v>300</v>
      </c>
    </row>
    <row r="19" spans="1:25" x14ac:dyDescent="0.25">
      <c r="B19" t="s">
        <v>33</v>
      </c>
      <c r="C19" s="2">
        <f ca="1">C$9+($B$18/100)*(1-EXP(-C$3/4))</f>
        <v>4.79209926517147</v>
      </c>
      <c r="D19" s="2">
        <f t="shared" ref="D19:U19" ca="1" si="6">D$9+($B$18/100)*(1-EXP(-D$3/4))</f>
        <v>2.291112544086896</v>
      </c>
      <c r="E19" s="2">
        <f t="shared" ca="1" si="6"/>
        <v>6.0004556083090979</v>
      </c>
      <c r="F19" s="2">
        <f t="shared" ca="1" si="6"/>
        <v>7.3734689158598981</v>
      </c>
      <c r="G19" s="2">
        <f t="shared" ca="1" si="6"/>
        <v>8.1889640180777317</v>
      </c>
      <c r="H19" s="2">
        <f t="shared" ca="1" si="6"/>
        <v>8.8544322789328191</v>
      </c>
      <c r="I19" s="2">
        <f t="shared" ca="1" si="6"/>
        <v>9.5001531131600743</v>
      </c>
      <c r="J19" s="2">
        <f t="shared" ca="1" si="6"/>
        <v>9.368054420716323</v>
      </c>
      <c r="K19" s="2">
        <f t="shared" ca="1" si="6"/>
        <v>9.5892157144430286</v>
      </c>
      <c r="L19" s="2">
        <f t="shared" ca="1" si="6"/>
        <v>9.9044139409644742</v>
      </c>
      <c r="M19" s="2">
        <f t="shared" ca="1" si="6"/>
        <v>10.141042597924951</v>
      </c>
      <c r="N19" s="2">
        <f t="shared" ca="1" si="6"/>
        <v>10.31648121258576</v>
      </c>
      <c r="O19" s="2">
        <f t="shared" ca="1" si="6"/>
        <v>10.444264974387417</v>
      </c>
      <c r="P19" s="2">
        <f t="shared" ca="1" si="6"/>
        <v>10.554935099465215</v>
      </c>
      <c r="Q19" s="2">
        <f t="shared" ca="1" si="6"/>
        <v>10.65170109519984</v>
      </c>
      <c r="R19" s="2">
        <f t="shared" ca="1" si="6"/>
        <v>10.730956532368008</v>
      </c>
      <c r="S19" s="2">
        <f t="shared" ca="1" si="6"/>
        <v>10.863189199129778</v>
      </c>
      <c r="T19" s="2">
        <f t="shared" ca="1" si="6"/>
        <v>10.942235573272699</v>
      </c>
      <c r="U19" s="2">
        <f t="shared" ca="1" si="6"/>
        <v>10.949208637591317</v>
      </c>
    </row>
    <row r="20" spans="1:25" x14ac:dyDescent="0.25">
      <c r="B20" t="s">
        <v>34</v>
      </c>
      <c r="C20" s="2">
        <f ca="1">C$9-($B$18/100)*(1-EXP(-C$3/4))</f>
        <v>4.7879007348285301</v>
      </c>
      <c r="D20" s="2">
        <f t="shared" ref="D20:U20" ca="1" si="7">D$9-($B$18/100)*(1-EXP(-D$3/4))</f>
        <v>2.2288874559131036</v>
      </c>
      <c r="E20" s="2">
        <f t="shared" ca="1" si="7"/>
        <v>5.7555443916909024</v>
      </c>
      <c r="F20" s="2">
        <f t="shared" ca="1" si="7"/>
        <v>6.8365310841401028</v>
      </c>
      <c r="G20" s="2">
        <f t="shared" ca="1" si="7"/>
        <v>7.3210359819222672</v>
      </c>
      <c r="H20" s="2">
        <f t="shared" ca="1" si="7"/>
        <v>7.6755677210671829</v>
      </c>
      <c r="I20" s="2">
        <f t="shared" ca="1" si="7"/>
        <v>7.8898468868399254</v>
      </c>
      <c r="J20" s="2">
        <f t="shared" ca="1" si="7"/>
        <v>7.2419455792836764</v>
      </c>
      <c r="K20" s="2">
        <f t="shared" ca="1" si="7"/>
        <v>6.8007842855569711</v>
      </c>
      <c r="L20" s="2">
        <f t="shared" ca="1" si="7"/>
        <v>6.4055860590355245</v>
      </c>
      <c r="M20" s="2">
        <f t="shared" ca="1" si="7"/>
        <v>6.0889574020750494</v>
      </c>
      <c r="N20" s="2">
        <f t="shared" ca="1" si="7"/>
        <v>5.8335187874142385</v>
      </c>
      <c r="O20" s="2">
        <f t="shared" ca="1" si="7"/>
        <v>5.6257350256125829</v>
      </c>
      <c r="P20" s="2">
        <f t="shared" ca="1" si="7"/>
        <v>5.475064900534786</v>
      </c>
      <c r="Q20" s="2">
        <f t="shared" ca="1" si="7"/>
        <v>5.3682989048001586</v>
      </c>
      <c r="R20" s="2">
        <f t="shared" ca="1" si="7"/>
        <v>5.2890434676319904</v>
      </c>
      <c r="S20" s="2">
        <f t="shared" ca="1" si="7"/>
        <v>5.1268108008702225</v>
      </c>
      <c r="T20" s="2">
        <f t="shared" ca="1" si="7"/>
        <v>5.0177644267273021</v>
      </c>
      <c r="U20" s="2">
        <f t="shared" ca="1" si="7"/>
        <v>4.960791362408683</v>
      </c>
    </row>
    <row r="21" spans="1:25" x14ac:dyDescent="0.25">
      <c r="A21" t="s">
        <v>35</v>
      </c>
    </row>
    <row r="22" spans="1:25" x14ac:dyDescent="0.25">
      <c r="A22" t="s">
        <v>36</v>
      </c>
      <c r="B22" t="s">
        <v>37</v>
      </c>
      <c r="C22" s="2">
        <f ca="1">C$9+((-0.65*ABS(($B$15/100)*EXP(-C$3/4)))+(0.9*ABS(($B$18/100)*(1-EXP(-C$3/4)))))</f>
        <v>1.5441635425900824</v>
      </c>
      <c r="D22" s="2">
        <f ca="1">D$9+((-0.65*ABS(($B$15/100)*EXP(-D$3/4)))+(0.9*ABS(($B$18/100)*(1-EXP(-D$3/4)))))</f>
        <v>-0.92829345422765597</v>
      </c>
      <c r="E22" s="2">
        <f t="shared" ref="E22:U22" ca="1" si="8">E$9+((-0.65*ABS(($B$15/100)*EXP(-E$3/4)))+(0.9*ABS(($B$18/100)*(1-EXP(-E$3/4)))))</f>
        <v>2.8708702898130443</v>
      </c>
      <c r="F22" s="2">
        <f t="shared" ca="1" si="8"/>
        <v>4.3874633497887974</v>
      </c>
      <c r="G22" s="2">
        <f t="shared" ca="1" si="8"/>
        <v>5.3656953025208356</v>
      </c>
      <c r="H22" s="2">
        <f t="shared" ca="1" si="8"/>
        <v>6.1840406865500892</v>
      </c>
      <c r="I22" s="2">
        <f t="shared" ca="1" si="8"/>
        <v>7.0418870077674818</v>
      </c>
      <c r="J22" s="2">
        <f t="shared" ca="1" si="8"/>
        <v>7.1633912677540419</v>
      </c>
      <c r="K22" s="2">
        <f t="shared" ca="1" si="8"/>
        <v>7.7101945003120083</v>
      </c>
      <c r="L22" s="2">
        <f t="shared" ca="1" si="8"/>
        <v>8.3746709829128747</v>
      </c>
      <c r="M22" s="2">
        <f t="shared" ca="1" si="8"/>
        <v>8.8833178192178188</v>
      </c>
      <c r="N22" s="2">
        <f t="shared" ca="1" si="8"/>
        <v>9.2706044049617589</v>
      </c>
      <c r="O22" s="2">
        <f t="shared" ca="1" si="8"/>
        <v>9.563375532535046</v>
      </c>
      <c r="P22" s="2">
        <f t="shared" ca="1" si="8"/>
        <v>9.8025379472726755</v>
      </c>
      <c r="Q22" s="2">
        <f t="shared" ca="1" si="8"/>
        <v>9.9993738388130176</v>
      </c>
      <c r="R22" s="2">
        <f t="shared" ca="1" si="8"/>
        <v>10.156563789196552</v>
      </c>
      <c r="S22" s="2">
        <f t="shared" ca="1" si="8"/>
        <v>10.433575244940727</v>
      </c>
      <c r="T22" s="2">
        <f t="shared" ca="1" si="8"/>
        <v>10.605100553657518</v>
      </c>
      <c r="U22" s="2">
        <f t="shared" ca="1" si="8"/>
        <v>10.643513797889446</v>
      </c>
    </row>
    <row r="23" spans="1:25" x14ac:dyDescent="0.25">
      <c r="A23" t="s">
        <v>38</v>
      </c>
      <c r="B23" t="s">
        <v>39</v>
      </c>
      <c r="C23" s="2">
        <f ca="1">C$9+((0.8*ABS(($B$15/100)*EXP(-C$3/4)))-(0.6*ABS(($B$18/100)*(1-EXP(-C$3/4)))))</f>
        <v>8.7859414206684914</v>
      </c>
      <c r="D23" s="2">
        <f t="shared" ref="D23:U23" ca="1" si="9">D$9+((0.8*ABS(($B$15/100)*EXP(-D$3/4)))-(0.6*ABS(($B$18/100)*(1-EXP(-D$3/4)))))</f>
        <v>6.1998490814320011</v>
      </c>
      <c r="E23" s="2">
        <f t="shared" ca="1" si="9"/>
        <v>9.6412524906024117</v>
      </c>
      <c r="F23" s="2">
        <f t="shared" ca="1" si="9"/>
        <v>10.585960096004198</v>
      </c>
      <c r="G23" s="2">
        <f t="shared" ca="1" si="9"/>
        <v>10.91600289838305</v>
      </c>
      <c r="H23" s="2">
        <f t="shared" ca="1" si="9"/>
        <v>11.125430927396554</v>
      </c>
      <c r="I23" s="2">
        <f t="shared" ca="1" si="9"/>
        <v>11.138370647890524</v>
      </c>
      <c r="J23" s="2">
        <f t="shared" ca="1" si="9"/>
        <v>10.249761453281774</v>
      </c>
      <c r="K23" s="2">
        <f t="shared" ca="1" si="9"/>
        <v>9.4995162854101434</v>
      </c>
      <c r="L23" s="2">
        <f t="shared" ca="1" si="9"/>
        <v>8.7727997141353491</v>
      </c>
      <c r="M23" s="2">
        <f t="shared" ca="1" si="9"/>
        <v>8.1979843106784287</v>
      </c>
      <c r="N23" s="2">
        <f t="shared" ca="1" si="9"/>
        <v>7.7414696556675286</v>
      </c>
      <c r="O23" s="2">
        <f t="shared" ca="1" si="9"/>
        <v>7.3770877161843256</v>
      </c>
      <c r="P23" s="2">
        <f t="shared" ca="1" si="9"/>
        <v>7.1044588077005857</v>
      </c>
      <c r="Q23" s="2">
        <f t="shared" ca="1" si="9"/>
        <v>6.9027112159469741</v>
      </c>
      <c r="R23" s="2">
        <f t="shared" ca="1" si="9"/>
        <v>6.7494840374218477</v>
      </c>
      <c r="S23" s="2">
        <f t="shared" ca="1" si="9"/>
        <v>6.4498342150157626</v>
      </c>
      <c r="T23" s="2">
        <f t="shared" ca="1" si="9"/>
        <v>6.2530112250061176</v>
      </c>
      <c r="U23" s="2">
        <f t="shared" ca="1" si="9"/>
        <v>6.1661966339901211</v>
      </c>
    </row>
    <row r="24" spans="1:25" x14ac:dyDescent="0.25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5" ht="18.75" x14ac:dyDescent="0.3">
      <c r="B25" s="4">
        <v>0.14499999999999999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W25" s="5" t="s">
        <v>40</v>
      </c>
      <c r="X25" s="5"/>
      <c r="Y25" s="6">
        <f ca="1">MAX(W32:W39)</f>
        <v>146202.92257764674</v>
      </c>
    </row>
    <row r="26" spans="1:25" x14ac:dyDescent="0.25">
      <c r="A26" t="s">
        <v>41</v>
      </c>
      <c r="B26" s="7">
        <v>1000000</v>
      </c>
      <c r="C26" s="8">
        <f>($B$25*$B$26)</f>
        <v>145000</v>
      </c>
      <c r="D26" s="8">
        <f t="shared" ref="D26:T26" si="10">($B$25*$B$26)</f>
        <v>145000</v>
      </c>
      <c r="E26" s="8">
        <f t="shared" si="10"/>
        <v>145000</v>
      </c>
      <c r="F26" s="8">
        <f t="shared" si="10"/>
        <v>145000</v>
      </c>
      <c r="G26" s="8">
        <f t="shared" si="10"/>
        <v>145000</v>
      </c>
      <c r="H26" s="8">
        <f t="shared" si="10"/>
        <v>145000</v>
      </c>
      <c r="I26" s="8">
        <f t="shared" si="10"/>
        <v>145000</v>
      </c>
      <c r="J26" s="8">
        <f t="shared" si="10"/>
        <v>145000</v>
      </c>
      <c r="K26" s="8">
        <f t="shared" si="10"/>
        <v>145000</v>
      </c>
      <c r="L26" s="8">
        <f t="shared" si="10"/>
        <v>145000</v>
      </c>
      <c r="M26" s="8">
        <f t="shared" si="10"/>
        <v>145000</v>
      </c>
      <c r="N26" s="8">
        <f t="shared" si="10"/>
        <v>145000</v>
      </c>
      <c r="O26" s="8">
        <f t="shared" si="10"/>
        <v>145000</v>
      </c>
      <c r="P26" s="8">
        <f t="shared" si="10"/>
        <v>145000</v>
      </c>
      <c r="Q26" s="8">
        <f t="shared" si="10"/>
        <v>145000</v>
      </c>
      <c r="R26" s="8">
        <f t="shared" si="10"/>
        <v>145000</v>
      </c>
      <c r="S26" s="8">
        <f t="shared" si="10"/>
        <v>145000</v>
      </c>
      <c r="T26" s="8">
        <f t="shared" si="10"/>
        <v>145000</v>
      </c>
      <c r="U26" s="8">
        <f>($B$25*$B$26)+B26</f>
        <v>1145000</v>
      </c>
    </row>
    <row r="27" spans="1:25" x14ac:dyDescent="0.25">
      <c r="B27" s="9">
        <v>0.1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5" x14ac:dyDescent="0.25">
      <c r="A28" t="s">
        <v>42</v>
      </c>
      <c r="B28" s="7">
        <v>1000000</v>
      </c>
      <c r="C28" s="8">
        <f>($B$27*$B$28)</f>
        <v>100000</v>
      </c>
      <c r="D28" s="8">
        <f t="shared" ref="D28:L28" si="11">($B$27*$B$28)</f>
        <v>100000</v>
      </c>
      <c r="E28" s="8">
        <f t="shared" si="11"/>
        <v>100000</v>
      </c>
      <c r="F28" s="8">
        <f t="shared" si="11"/>
        <v>100000</v>
      </c>
      <c r="G28" s="8">
        <f t="shared" si="11"/>
        <v>100000</v>
      </c>
      <c r="H28" s="8">
        <f t="shared" si="11"/>
        <v>100000</v>
      </c>
      <c r="I28" s="8">
        <f t="shared" si="11"/>
        <v>100000</v>
      </c>
      <c r="J28" s="8">
        <f t="shared" si="11"/>
        <v>100000</v>
      </c>
      <c r="K28" s="8">
        <f t="shared" si="11"/>
        <v>100000</v>
      </c>
      <c r="L28" s="8">
        <f t="shared" si="11"/>
        <v>100000</v>
      </c>
      <c r="M28" s="8">
        <f>($B$27*$B$28)+B28</f>
        <v>1100000</v>
      </c>
      <c r="N28" s="8"/>
      <c r="O28" s="8"/>
      <c r="P28" s="8"/>
      <c r="Q28" s="8"/>
      <c r="R28" s="8"/>
      <c r="S28" s="8"/>
      <c r="T28" s="8"/>
      <c r="U28" s="8"/>
    </row>
    <row r="29" spans="1:25" x14ac:dyDescent="0.25">
      <c r="A29" t="s">
        <v>43</v>
      </c>
      <c r="B29" t="s">
        <v>44</v>
      </c>
      <c r="C29" s="8">
        <f>C26-C28</f>
        <v>45000</v>
      </c>
      <c r="D29" s="8">
        <f t="shared" ref="D29:U29" si="12">D26-D28</f>
        <v>45000</v>
      </c>
      <c r="E29" s="8">
        <f t="shared" si="12"/>
        <v>45000</v>
      </c>
      <c r="F29" s="8">
        <f t="shared" si="12"/>
        <v>45000</v>
      </c>
      <c r="G29" s="8">
        <f t="shared" si="12"/>
        <v>45000</v>
      </c>
      <c r="H29" s="8">
        <f t="shared" si="12"/>
        <v>45000</v>
      </c>
      <c r="I29" s="8">
        <f t="shared" si="12"/>
        <v>45000</v>
      </c>
      <c r="J29" s="8">
        <f t="shared" si="12"/>
        <v>45000</v>
      </c>
      <c r="K29" s="8">
        <f t="shared" si="12"/>
        <v>45000</v>
      </c>
      <c r="L29" s="8">
        <f t="shared" si="12"/>
        <v>45000</v>
      </c>
      <c r="M29" s="8">
        <f t="shared" si="12"/>
        <v>-955000</v>
      </c>
      <c r="N29" s="8">
        <f t="shared" si="12"/>
        <v>145000</v>
      </c>
      <c r="O29" s="8">
        <f t="shared" si="12"/>
        <v>145000</v>
      </c>
      <c r="P29" s="8">
        <f t="shared" si="12"/>
        <v>145000</v>
      </c>
      <c r="Q29" s="8">
        <f t="shared" si="12"/>
        <v>145000</v>
      </c>
      <c r="R29" s="8">
        <f t="shared" si="12"/>
        <v>145000</v>
      </c>
      <c r="S29" s="8">
        <f t="shared" si="12"/>
        <v>145000</v>
      </c>
      <c r="T29" s="8">
        <f t="shared" si="12"/>
        <v>145000</v>
      </c>
      <c r="U29" s="8">
        <f t="shared" si="12"/>
        <v>1145000</v>
      </c>
    </row>
    <row r="30" spans="1:25" ht="30" x14ac:dyDescent="0.25">
      <c r="A30" s="10"/>
      <c r="B30" s="10" t="s">
        <v>45</v>
      </c>
      <c r="V30" t="s">
        <v>46</v>
      </c>
      <c r="W30" s="11" t="s">
        <v>47</v>
      </c>
    </row>
    <row r="31" spans="1:25" ht="15.75" x14ac:dyDescent="0.25">
      <c r="A31" t="s">
        <v>48</v>
      </c>
      <c r="B31" t="s">
        <v>49</v>
      </c>
      <c r="C31" s="8">
        <f ca="1">(EXP(-(C$9/100)*C$3))*C$29</f>
        <v>44993.965004715828</v>
      </c>
      <c r="D31" s="8">
        <f t="shared" ref="D31:U31" ca="1" si="13">(EXP(-(D$9/100)*D$3))*D$29</f>
        <v>44957.611077221634</v>
      </c>
      <c r="E31" s="8">
        <f t="shared" ca="1" si="13"/>
        <v>44561.21508538803</v>
      </c>
      <c r="F31" s="8">
        <f t="shared" ca="1" si="13"/>
        <v>43816.862845826101</v>
      </c>
      <c r="G31" s="8">
        <f t="shared" ca="1" si="13"/>
        <v>42870.919964078603</v>
      </c>
      <c r="H31" s="8">
        <f t="shared" ca="1" si="13"/>
        <v>41860.545135967812</v>
      </c>
      <c r="I31" s="8">
        <f t="shared" ca="1" si="13"/>
        <v>40365.481029476847</v>
      </c>
      <c r="J31" s="8">
        <f t="shared" ca="1" si="13"/>
        <v>38912.867880614882</v>
      </c>
      <c r="K31" s="8">
        <f t="shared" ca="1" si="13"/>
        <v>36663.711916079847</v>
      </c>
      <c r="L31" s="8">
        <f t="shared" ca="1" si="13"/>
        <v>33826.262227558371</v>
      </c>
      <c r="M31" s="8">
        <f t="shared" ca="1" si="13"/>
        <v>-662841.79412414099</v>
      </c>
      <c r="N31" s="8">
        <f t="shared" ca="1" si="13"/>
        <v>93000.860185838668</v>
      </c>
      <c r="O31" s="8">
        <f t="shared" ca="1" si="13"/>
        <v>86009.584904458243</v>
      </c>
      <c r="P31" s="8">
        <f t="shared" ca="1" si="13"/>
        <v>79488.212674372349</v>
      </c>
      <c r="Q31" s="8">
        <f t="shared" ca="1" si="13"/>
        <v>73397.049878415462</v>
      </c>
      <c r="R31" s="8">
        <f t="shared" ca="1" si="13"/>
        <v>67747.241456427422</v>
      </c>
      <c r="S31" s="8">
        <f t="shared" ca="1" si="13"/>
        <v>53375.868464846877</v>
      </c>
      <c r="T31" s="8">
        <f t="shared" ca="1" si="13"/>
        <v>35881.926995396047</v>
      </c>
      <c r="U31" s="8">
        <f t="shared" ca="1" si="13"/>
        <v>156712.02979208878</v>
      </c>
      <c r="V31" s="8">
        <f ca="1">SUM(C31:U31)</f>
        <v>395600.42239463079</v>
      </c>
      <c r="W31" s="12">
        <f ca="1">V$31-V31</f>
        <v>0</v>
      </c>
    </row>
    <row r="32" spans="1:25" ht="15.75" x14ac:dyDescent="0.25">
      <c r="B32" t="s">
        <v>50</v>
      </c>
      <c r="C32" s="8">
        <f ca="1">(EXP(-(C$13/100)*C$3))*C$29</f>
        <v>44988.925962826914</v>
      </c>
      <c r="D32" s="8">
        <f t="shared" ref="D32:U32" ca="1" si="14">(EXP(-(D$13/100)*D$3))*D$29</f>
        <v>44882.684288258744</v>
      </c>
      <c r="E32" s="8">
        <f t="shared" ca="1" si="14"/>
        <v>44265.069350353289</v>
      </c>
      <c r="F32" s="8">
        <f t="shared" ca="1" si="14"/>
        <v>43164.514745373126</v>
      </c>
      <c r="G32" s="8">
        <f t="shared" ca="1" si="14"/>
        <v>41812.433178739193</v>
      </c>
      <c r="H32" s="8">
        <f t="shared" ca="1" si="14"/>
        <v>40420.769110784844</v>
      </c>
      <c r="I32" s="8">
        <f t="shared" ca="1" si="14"/>
        <v>38396.833289363749</v>
      </c>
      <c r="J32" s="8">
        <f t="shared" ca="1" si="14"/>
        <v>36282.117526701986</v>
      </c>
      <c r="K32" s="8">
        <f t="shared" ca="1" si="14"/>
        <v>33174.698425759932</v>
      </c>
      <c r="L32" s="8">
        <f t="shared" ca="1" si="14"/>
        <v>29407.139640287423</v>
      </c>
      <c r="M32" s="8">
        <f t="shared" ca="1" si="14"/>
        <v>-553652.00551029807</v>
      </c>
      <c r="N32" s="8">
        <f t="shared" ca="1" si="14"/>
        <v>74634.938525815771</v>
      </c>
      <c r="O32" s="8">
        <f t="shared" ca="1" si="14"/>
        <v>66317.826834889012</v>
      </c>
      <c r="P32" s="8">
        <f t="shared" ca="1" si="14"/>
        <v>58886.316278598497</v>
      </c>
      <c r="Q32" s="8">
        <f t="shared" ca="1" si="14"/>
        <v>52241.841881783148</v>
      </c>
      <c r="R32" s="8">
        <f t="shared" ca="1" si="14"/>
        <v>46329.724012642204</v>
      </c>
      <c r="S32" s="8">
        <f t="shared" ca="1" si="14"/>
        <v>32374.100712718326</v>
      </c>
      <c r="T32" s="8">
        <f t="shared" ca="1" si="14"/>
        <v>17818.437617629919</v>
      </c>
      <c r="U32" s="8">
        <f t="shared" ca="1" si="14"/>
        <v>57651.133944756024</v>
      </c>
      <c r="V32" s="8">
        <f t="shared" ref="V32:V39" ca="1" si="15">SUM(C32:U32)</f>
        <v>249397.49981698405</v>
      </c>
      <c r="W32" s="12">
        <f ca="1">V$31-V32</f>
        <v>146202.92257764674</v>
      </c>
    </row>
    <row r="33" spans="2:23" ht="15.75" x14ac:dyDescent="0.25">
      <c r="B33" t="s">
        <v>51</v>
      </c>
      <c r="C33" s="8">
        <f ca="1">(EXP(-(C$14/100)*C$3))*C$29</f>
        <v>44999.004611009041</v>
      </c>
      <c r="D33" s="8">
        <f t="shared" ref="D33:U33" ca="1" si="16">(EXP(-(D$14/100)*D$3))*D$29</f>
        <v>45032.66294835804</v>
      </c>
      <c r="E33" s="8">
        <f t="shared" ca="1" si="16"/>
        <v>44859.342118490669</v>
      </c>
      <c r="F33" s="8">
        <f t="shared" ca="1" si="16"/>
        <v>44479.069925273165</v>
      </c>
      <c r="G33" s="8">
        <f t="shared" ca="1" si="16"/>
        <v>43956.202469962394</v>
      </c>
      <c r="H33" s="8">
        <f t="shared" ca="1" si="16"/>
        <v>43351.605563904464</v>
      </c>
      <c r="I33" s="8">
        <f t="shared" ca="1" si="16"/>
        <v>42435.063497603725</v>
      </c>
      <c r="J33" s="8">
        <f t="shared" ca="1" si="16"/>
        <v>41734.369158023881</v>
      </c>
      <c r="K33" s="8">
        <f t="shared" ca="1" si="16"/>
        <v>40519.668158355031</v>
      </c>
      <c r="L33" s="8">
        <f t="shared" ca="1" si="16"/>
        <v>38909.4631536343</v>
      </c>
      <c r="M33" s="8">
        <f t="shared" ca="1" si="16"/>
        <v>-793565.70492823387</v>
      </c>
      <c r="N33" s="8">
        <f t="shared" ca="1" si="16"/>
        <v>115886.20780218396</v>
      </c>
      <c r="O33" s="8">
        <f t="shared" ca="1" si="16"/>
        <v>111548.41840422609</v>
      </c>
      <c r="P33" s="8">
        <f t="shared" ca="1" si="16"/>
        <v>107297.86397697599</v>
      </c>
      <c r="Q33" s="8">
        <f t="shared" ca="1" si="16"/>
        <v>103119.00838115576</v>
      </c>
      <c r="R33" s="8">
        <f t="shared" ca="1" si="16"/>
        <v>99065.747158413258</v>
      </c>
      <c r="S33" s="8">
        <f t="shared" ca="1" si="16"/>
        <v>88001.929680085246</v>
      </c>
      <c r="T33" s="8">
        <f t="shared" ca="1" si="16"/>
        <v>72257.327636236776</v>
      </c>
      <c r="U33" s="8">
        <f t="shared" ca="1" si="16"/>
        <v>425987.46288476733</v>
      </c>
      <c r="V33" s="8">
        <f t="shared" ca="1" si="15"/>
        <v>759874.71260042523</v>
      </c>
      <c r="W33" s="12">
        <f t="shared" ref="W33:W39" ca="1" si="17">V$31-V33</f>
        <v>-364274.29020579444</v>
      </c>
    </row>
    <row r="34" spans="2:23" ht="15.75" x14ac:dyDescent="0.25">
      <c r="B34" t="s">
        <v>52</v>
      </c>
      <c r="C34" s="8">
        <f ca="1">(EXP(-(C$16/100)*C$3))*C$29</f>
        <v>44987.670697784248</v>
      </c>
      <c r="D34" s="8">
        <f t="shared" ref="D34:U34" ca="1" si="18">(EXP(-(D$16/100)*D$3))*D$29</f>
        <v>44864.942224614766</v>
      </c>
      <c r="E34" s="8">
        <f t="shared" ca="1" si="18"/>
        <v>44206.378395762011</v>
      </c>
      <c r="F34" s="8">
        <f t="shared" ca="1" si="18"/>
        <v>43075.167479391006</v>
      </c>
      <c r="G34" s="8">
        <f t="shared" ca="1" si="18"/>
        <v>41740.179342260271</v>
      </c>
      <c r="H34" s="8">
        <f t="shared" ca="1" si="18"/>
        <v>40414.540240993774</v>
      </c>
      <c r="I34" s="8">
        <f t="shared" ca="1" si="18"/>
        <v>38561.293448210388</v>
      </c>
      <c r="J34" s="8">
        <f t="shared" ca="1" si="18"/>
        <v>36775.458852641998</v>
      </c>
      <c r="K34" s="8">
        <f t="shared" ca="1" si="18"/>
        <v>34290.893085442891</v>
      </c>
      <c r="L34" s="8">
        <f t="shared" ca="1" si="18"/>
        <v>31446.466890985626</v>
      </c>
      <c r="M34" s="8">
        <f t="shared" ca="1" si="18"/>
        <v>-616149.44234813075</v>
      </c>
      <c r="N34" s="8">
        <f t="shared" ca="1" si="18"/>
        <v>86754.115061926015</v>
      </c>
      <c r="O34" s="8">
        <f t="shared" ca="1" si="18"/>
        <v>80677.719603411359</v>
      </c>
      <c r="P34" s="8">
        <f t="shared" ca="1" si="18"/>
        <v>75045.952795788093</v>
      </c>
      <c r="Q34" s="8">
        <f t="shared" ca="1" si="18"/>
        <v>69764.46138579525</v>
      </c>
      <c r="R34" s="8">
        <f t="shared" ca="1" si="18"/>
        <v>64819.200277300602</v>
      </c>
      <c r="S34" s="8">
        <f t="shared" ca="1" si="18"/>
        <v>51930.077949570317</v>
      </c>
      <c r="T34" s="8">
        <f t="shared" ca="1" si="18"/>
        <v>35488.86970763767</v>
      </c>
      <c r="U34" s="8">
        <f t="shared" ca="1" si="18"/>
        <v>156334.32895157242</v>
      </c>
      <c r="V34" s="8">
        <f t="shared" ca="1" si="15"/>
        <v>405028.27404295793</v>
      </c>
      <c r="W34" s="12">
        <f t="shared" ca="1" si="17"/>
        <v>-9427.8516483271378</v>
      </c>
    </row>
    <row r="35" spans="2:23" ht="15.75" x14ac:dyDescent="0.25">
      <c r="B35" t="s">
        <v>53</v>
      </c>
      <c r="C35" s="8">
        <f ca="1">(EXP(-(C$17/100)*C$3))*C$29</f>
        <v>45000.260192295362</v>
      </c>
      <c r="D35" s="8">
        <f t="shared" ref="D35:U35" ca="1" si="19">(EXP(-(D$17/100)*D$3))*D$29</f>
        <v>45050.471337993033</v>
      </c>
      <c r="E35" s="8">
        <f t="shared" ca="1" si="19"/>
        <v>44918.899985631462</v>
      </c>
      <c r="F35" s="8">
        <f t="shared" ca="1" si="19"/>
        <v>44571.329190269687</v>
      </c>
      <c r="G35" s="8">
        <f t="shared" ca="1" si="19"/>
        <v>44032.292326679504</v>
      </c>
      <c r="H35" s="8">
        <f t="shared" ca="1" si="19"/>
        <v>43358.287107346041</v>
      </c>
      <c r="I35" s="8">
        <f t="shared" ca="1" si="19"/>
        <v>42254.082086986462</v>
      </c>
      <c r="J35" s="8">
        <f t="shared" ca="1" si="19"/>
        <v>41174.504246475393</v>
      </c>
      <c r="K35" s="8">
        <f t="shared" ca="1" si="19"/>
        <v>39200.722130971408</v>
      </c>
      <c r="L35" s="8">
        <f t="shared" ca="1" si="19"/>
        <v>36386.154929714554</v>
      </c>
      <c r="M35" s="8">
        <f t="shared" ca="1" si="19"/>
        <v>-713072.53377252538</v>
      </c>
      <c r="N35" s="8">
        <f t="shared" ca="1" si="19"/>
        <v>99697.403277435849</v>
      </c>
      <c r="O35" s="8">
        <f t="shared" ca="1" si="19"/>
        <v>91693.824909800867</v>
      </c>
      <c r="P35" s="8">
        <f t="shared" ca="1" si="19"/>
        <v>84193.427077400804</v>
      </c>
      <c r="Q35" s="8">
        <f t="shared" ca="1" si="19"/>
        <v>77218.784805976931</v>
      </c>
      <c r="R35" s="8">
        <f t="shared" ca="1" si="19"/>
        <v>70807.549388460568</v>
      </c>
      <c r="S35" s="8">
        <f t="shared" ca="1" si="19"/>
        <v>54861.911379052908</v>
      </c>
      <c r="T35" s="8">
        <f t="shared" ca="1" si="19"/>
        <v>36279.337592592929</v>
      </c>
      <c r="U35" s="8">
        <f t="shared" ca="1" si="19"/>
        <v>157090.6431508337</v>
      </c>
      <c r="V35" s="8">
        <f t="shared" ca="1" si="15"/>
        <v>384717.35134339216</v>
      </c>
      <c r="W35" s="12">
        <f t="shared" ca="1" si="17"/>
        <v>10883.071051238629</v>
      </c>
    </row>
    <row r="36" spans="2:23" ht="15.75" x14ac:dyDescent="0.25">
      <c r="B36" t="s">
        <v>54</v>
      </c>
      <c r="C36" s="8">
        <f ca="1">(EXP(-(C$19/100)*C$3))*C$29</f>
        <v>44993.962359996527</v>
      </c>
      <c r="D36" s="8">
        <f t="shared" ref="D36:U36" ca="1" si="20">(EXP(-(D$19/100)*D$3))*D$29</f>
        <v>44957.027804066478</v>
      </c>
      <c r="E36" s="8">
        <f t="shared" ca="1" si="20"/>
        <v>44552.119577011232</v>
      </c>
      <c r="F36" s="8">
        <f t="shared" ca="1" si="20"/>
        <v>43772.772047699356</v>
      </c>
      <c r="G36" s="8">
        <f t="shared" ca="1" si="20"/>
        <v>42754.799780916561</v>
      </c>
      <c r="H36" s="8">
        <f t="shared" ca="1" si="20"/>
        <v>41645.203808728038</v>
      </c>
      <c r="I36" s="8">
        <f t="shared" ca="1" si="20"/>
        <v>39961.26363811495</v>
      </c>
      <c r="J36" s="8">
        <f t="shared" ca="1" si="20"/>
        <v>38195.646280697991</v>
      </c>
      <c r="K36" s="8">
        <f t="shared" ca="1" si="20"/>
        <v>35407.798656540741</v>
      </c>
      <c r="L36" s="8">
        <f t="shared" ca="1" si="20"/>
        <v>31817.231109932309</v>
      </c>
      <c r="M36" s="8">
        <f t="shared" ca="1" si="20"/>
        <v>-605082.26474613452</v>
      </c>
      <c r="N36" s="8">
        <f t="shared" ca="1" si="20"/>
        <v>82214.137450963375</v>
      </c>
      <c r="O36" s="8">
        <f t="shared" ca="1" si="20"/>
        <v>73541.988784721514</v>
      </c>
      <c r="P36" s="8">
        <f t="shared" ca="1" si="20"/>
        <v>65700.964776770372</v>
      </c>
      <c r="Q36" s="8">
        <f t="shared" ca="1" si="20"/>
        <v>58635.431638190101</v>
      </c>
      <c r="R36" s="8">
        <f t="shared" ca="1" si="20"/>
        <v>52315.5092896633</v>
      </c>
      <c r="S36" s="8">
        <f t="shared" ca="1" si="20"/>
        <v>37294.098334243179</v>
      </c>
      <c r="T36" s="8">
        <f t="shared" ca="1" si="20"/>
        <v>21366.889775132004</v>
      </c>
      <c r="U36" s="8">
        <f t="shared" ca="1" si="20"/>
        <v>74132.776066427774</v>
      </c>
      <c r="V36" s="8">
        <f t="shared" ca="1" si="15"/>
        <v>268177.35643368133</v>
      </c>
      <c r="W36" s="12">
        <f t="shared" ca="1" si="17"/>
        <v>127423.06596094946</v>
      </c>
    </row>
    <row r="37" spans="2:23" ht="15.75" x14ac:dyDescent="0.25">
      <c r="B37" t="s">
        <v>55</v>
      </c>
      <c r="C37" s="8">
        <f ca="1">(EXP(-(C$20/100)*C$3))*C$29</f>
        <v>44993.96764943529</v>
      </c>
      <c r="D37" s="8">
        <f t="shared" ref="D37:U37" ca="1" si="21">(EXP(-(D$20/100)*D$3))*D$29</f>
        <v>44958.194357944187</v>
      </c>
      <c r="E37" s="8">
        <f t="shared" ca="1" si="21"/>
        <v>44570.312450652295</v>
      </c>
      <c r="F37" s="8">
        <f t="shared" ca="1" si="21"/>
        <v>43860.998055087628</v>
      </c>
      <c r="G37" s="8">
        <f t="shared" ca="1" si="21"/>
        <v>42987.355524625324</v>
      </c>
      <c r="H37" s="8">
        <f t="shared" ca="1" si="21"/>
        <v>42076.999962073627</v>
      </c>
      <c r="I37" s="8">
        <f t="shared" ca="1" si="21"/>
        <v>40773.787172910233</v>
      </c>
      <c r="J37" s="8">
        <f t="shared" ca="1" si="21"/>
        <v>39643.557162675606</v>
      </c>
      <c r="K37" s="8">
        <f t="shared" ca="1" si="21"/>
        <v>37964.172370737928</v>
      </c>
      <c r="L37" s="8">
        <f t="shared" ca="1" si="21"/>
        <v>35962.149325129518</v>
      </c>
      <c r="M37" s="8">
        <f t="shared" ca="1" si="21"/>
        <v>-726114.89319067309</v>
      </c>
      <c r="N37" s="8">
        <f t="shared" ca="1" si="21"/>
        <v>105202.83084481308</v>
      </c>
      <c r="O37" s="8">
        <f t="shared" ca="1" si="21"/>
        <v>100590.81645306398</v>
      </c>
      <c r="P37" s="8">
        <f t="shared" ca="1" si="21"/>
        <v>96168.693650602378</v>
      </c>
      <c r="Q37" s="8">
        <f t="shared" ca="1" si="21"/>
        <v>91874.942851889864</v>
      </c>
      <c r="R37" s="8">
        <f t="shared" ca="1" si="21"/>
        <v>87730.938440129612</v>
      </c>
      <c r="S37" s="8">
        <f t="shared" ca="1" si="21"/>
        <v>76392.337169356353</v>
      </c>
      <c r="T37" s="8">
        <f t="shared" ca="1" si="21"/>
        <v>60257.374772504867</v>
      </c>
      <c r="U37" s="8">
        <f t="shared" ca="1" si="21"/>
        <v>331279.38254396891</v>
      </c>
      <c r="V37" s="8">
        <f t="shared" ca="1" si="15"/>
        <v>641173.91756692762</v>
      </c>
      <c r="W37" s="12">
        <f t="shared" ca="1" si="17"/>
        <v>-245573.49517229683</v>
      </c>
    </row>
    <row r="38" spans="2:23" ht="15.75" x14ac:dyDescent="0.25">
      <c r="B38" t="s">
        <v>56</v>
      </c>
      <c r="C38" s="8">
        <f ca="1">(EXP(-(C$22/100)*C$3))*C$29</f>
        <v>44998.054395997271</v>
      </c>
      <c r="D38" s="8">
        <f t="shared" ref="D38:U38" ca="1" si="22">(EXP(-(D$22/100)*D$3))*D$29</f>
        <v>45017.422798619496</v>
      </c>
      <c r="E38" s="8">
        <f t="shared" ca="1" si="22"/>
        <v>44785.156168704154</v>
      </c>
      <c r="F38" s="8">
        <f t="shared" ca="1" si="22"/>
        <v>44265.673060886933</v>
      </c>
      <c r="G38" s="8">
        <f t="shared" ca="1" si="22"/>
        <v>43515.922000717714</v>
      </c>
      <c r="H38" s="8">
        <f t="shared" ca="1" si="22"/>
        <v>42629.740085080739</v>
      </c>
      <c r="I38" s="8">
        <f t="shared" ca="1" si="22"/>
        <v>41208.26743707672</v>
      </c>
      <c r="J38" s="8">
        <f t="shared" ca="1" si="22"/>
        <v>39698.092655011395</v>
      </c>
      <c r="K38" s="8">
        <f t="shared" ca="1" si="22"/>
        <v>37110.784966073239</v>
      </c>
      <c r="L38" s="8">
        <f t="shared" ca="1" si="22"/>
        <v>33567.186763100792</v>
      </c>
      <c r="M38" s="8">
        <f t="shared" ca="1" si="22"/>
        <v>-640316.1499086438</v>
      </c>
      <c r="N38" s="8">
        <f t="shared" ca="1" si="22"/>
        <v>87082.025833642489</v>
      </c>
      <c r="O38" s="8">
        <f t="shared" ca="1" si="22"/>
        <v>77875.728578403883</v>
      </c>
      <c r="P38" s="8">
        <f t="shared" ca="1" si="22"/>
        <v>69515.058375497203</v>
      </c>
      <c r="Q38" s="8">
        <f t="shared" ca="1" si="22"/>
        <v>61978.463767999216</v>
      </c>
      <c r="R38" s="8">
        <f t="shared" ca="1" si="22"/>
        <v>55249.549275047953</v>
      </c>
      <c r="S38" s="8">
        <f t="shared" ca="1" si="22"/>
        <v>39351.607950173886</v>
      </c>
      <c r="T38" s="8">
        <f t="shared" ca="1" si="22"/>
        <v>22665.436557890171</v>
      </c>
      <c r="U38" s="8">
        <f t="shared" ca="1" si="22"/>
        <v>80020.389145159133</v>
      </c>
      <c r="V38" s="8">
        <f t="shared" ca="1" si="15"/>
        <v>270218.40990643861</v>
      </c>
      <c r="W38" s="12">
        <f t="shared" ca="1" si="17"/>
        <v>125382.01248819218</v>
      </c>
    </row>
    <row r="39" spans="2:23" ht="15.75" x14ac:dyDescent="0.25">
      <c r="B39" t="s">
        <v>38</v>
      </c>
      <c r="C39" s="8">
        <f ca="1">(EXP(-(C$23/100)*C$3))*C$29</f>
        <v>44988.931075378707</v>
      </c>
      <c r="D39" s="8">
        <f t="shared" ref="D39:U39" ca="1" si="23">(EXP(-(D$23/100)*D$3))*D$29</f>
        <v>44883.8100917427</v>
      </c>
      <c r="E39" s="8">
        <f t="shared" ca="1" si="23"/>
        <v>44282.54236614507</v>
      </c>
      <c r="F39" s="8">
        <f t="shared" ca="1" si="23"/>
        <v>43248.611958175985</v>
      </c>
      <c r="G39" s="8">
        <f t="shared" ca="1" si="23"/>
        <v>42032.26222637092</v>
      </c>
      <c r="H39" s="8">
        <f t="shared" ca="1" si="23"/>
        <v>40825.82999289655</v>
      </c>
      <c r="I39" s="8">
        <f t="shared" ca="1" si="23"/>
        <v>39151.269820888127</v>
      </c>
      <c r="J39" s="8">
        <f t="shared" ca="1" si="23"/>
        <v>37610.81583953926</v>
      </c>
      <c r="K39" s="8">
        <f t="shared" ca="1" si="23"/>
        <v>35487.289234542608</v>
      </c>
      <c r="L39" s="8">
        <f t="shared" ca="1" si="23"/>
        <v>33102.688404865054</v>
      </c>
      <c r="M39" s="8">
        <f t="shared" ca="1" si="23"/>
        <v>-660371.16390314873</v>
      </c>
      <c r="N39" s="8">
        <f t="shared" ca="1" si="23"/>
        <v>94722.627590382966</v>
      </c>
      <c r="O39" s="8">
        <f t="shared" ca="1" si="23"/>
        <v>89767.504168362488</v>
      </c>
      <c r="P39" s="8">
        <f t="shared" ca="1" si="23"/>
        <v>85106.152634444603</v>
      </c>
      <c r="Q39" s="8">
        <f t="shared" ca="1" si="23"/>
        <v>80640.684212499429</v>
      </c>
      <c r="R39" s="8">
        <f t="shared" ca="1" si="23"/>
        <v>76365.632521932101</v>
      </c>
      <c r="S39" s="8">
        <f t="shared" ca="1" si="23"/>
        <v>64748.10705908644</v>
      </c>
      <c r="T39" s="8">
        <f t="shared" ca="1" si="23"/>
        <v>48543.328877935361</v>
      </c>
      <c r="U39" s="8">
        <f t="shared" ca="1" si="23"/>
        <v>245086.38922902494</v>
      </c>
      <c r="V39" s="8">
        <f t="shared" ca="1" si="15"/>
        <v>530223.3134010646</v>
      </c>
      <c r="W39" s="12">
        <f t="shared" ca="1" si="17"/>
        <v>-134622.89100643381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Drop Down 1">
              <controlPr defaultSize="0" autoLine="0" autoPict="0">
                <anchor moveWithCells="1">
                  <from>
                    <xdr:col>25</xdr:col>
                    <xdr:colOff>295275</xdr:colOff>
                    <xdr:row>24</xdr:row>
                    <xdr:rowOff>9525</xdr:rowOff>
                  </from>
                  <to>
                    <xdr:col>28</xdr:col>
                    <xdr:colOff>180975</xdr:colOff>
                    <xdr:row>25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"/>
  <sheetViews>
    <sheetView workbookViewId="0">
      <selection activeCell="C31" sqref="C31"/>
    </sheetView>
  </sheetViews>
  <sheetFormatPr baseColWidth="10" defaultRowHeight="15" x14ac:dyDescent="0.25"/>
  <cols>
    <col min="2" max="2" width="16.5703125" customWidth="1"/>
    <col min="3" max="3" width="15.7109375" customWidth="1"/>
    <col min="4" max="4" width="15.28515625" customWidth="1"/>
    <col min="5" max="5" width="14" bestFit="1" customWidth="1"/>
    <col min="6" max="6" width="14.7109375" customWidth="1"/>
    <col min="7" max="7" width="12.85546875" bestFit="1" customWidth="1"/>
    <col min="8" max="8" width="14" bestFit="1" customWidth="1"/>
  </cols>
  <sheetData>
    <row r="1" spans="1:9" x14ac:dyDescent="0.25">
      <c r="B1" t="s">
        <v>57</v>
      </c>
      <c r="C1" t="s">
        <v>58</v>
      </c>
    </row>
    <row r="2" spans="1:9" x14ac:dyDescent="0.25">
      <c r="A2" s="1">
        <v>45393</v>
      </c>
      <c r="B2" s="13">
        <v>12.236000000000001</v>
      </c>
      <c r="C2" s="2">
        <v>17.777026123950801</v>
      </c>
    </row>
    <row r="3" spans="1:9" x14ac:dyDescent="0.25">
      <c r="A3" s="1">
        <v>45027</v>
      </c>
      <c r="B3" s="13">
        <v>12.973000000000001</v>
      </c>
      <c r="C3" s="2">
        <v>21.0444298581784</v>
      </c>
    </row>
    <row r="4" spans="1:9" x14ac:dyDescent="0.25">
      <c r="A4" s="1">
        <v>44662</v>
      </c>
      <c r="B4" s="13">
        <v>4.976</v>
      </c>
      <c r="C4" s="2">
        <v>12.904674702549</v>
      </c>
    </row>
    <row r="5" spans="1:9" x14ac:dyDescent="0.25">
      <c r="A5" s="1">
        <v>44294</v>
      </c>
      <c r="B5" s="13">
        <v>1.728</v>
      </c>
      <c r="C5" s="2">
        <v>8.6593744988741594</v>
      </c>
    </row>
    <row r="6" spans="1:9" x14ac:dyDescent="0.25">
      <c r="A6" s="1">
        <v>43928</v>
      </c>
      <c r="B6" s="13">
        <v>3.5710000000000002</v>
      </c>
      <c r="C6" s="2">
        <v>9.2965009349644507</v>
      </c>
    </row>
    <row r="8" spans="1:9" x14ac:dyDescent="0.25"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</row>
    <row r="9" spans="1:9" x14ac:dyDescent="0.25">
      <c r="B9" t="s">
        <v>21</v>
      </c>
      <c r="C9">
        <v>2.8E-3</v>
      </c>
      <c r="D9">
        <v>4.1700000000000001E-2</v>
      </c>
      <c r="E9">
        <v>0.16669999999999999</v>
      </c>
      <c r="F9">
        <v>0.375</v>
      </c>
      <c r="G9">
        <v>0.625</v>
      </c>
      <c r="H9">
        <v>0.875</v>
      </c>
    </row>
    <row r="10" spans="1:9" x14ac:dyDescent="0.25">
      <c r="A10">
        <v>1</v>
      </c>
      <c r="B10" s="14">
        <f ca="1">OFFSET($C$1,A10,0)/100</f>
        <v>0.17777026123950801</v>
      </c>
    </row>
    <row r="11" spans="1:9" x14ac:dyDescent="0.25">
      <c r="A11" t="s">
        <v>41</v>
      </c>
      <c r="B11" s="7">
        <v>1000000</v>
      </c>
      <c r="C11" s="15">
        <f ca="1">$B$10*$B$11</f>
        <v>177770.26123950802</v>
      </c>
      <c r="D11" s="15">
        <f t="shared" ref="D11:H11" ca="1" si="0">$B$10*$B$11</f>
        <v>177770.26123950802</v>
      </c>
      <c r="E11" s="15">
        <f t="shared" ca="1" si="0"/>
        <v>177770.26123950802</v>
      </c>
      <c r="F11" s="15">
        <f t="shared" ca="1" si="0"/>
        <v>177770.26123950802</v>
      </c>
      <c r="G11" s="15">
        <f t="shared" ca="1" si="0"/>
        <v>177770.26123950802</v>
      </c>
      <c r="H11" s="15">
        <f t="shared" ca="1" si="0"/>
        <v>177770.26123950802</v>
      </c>
    </row>
    <row r="12" spans="1:9" x14ac:dyDescent="0.25">
      <c r="B12" s="9">
        <f ca="1">OFFSET($B$1,A10,0)/100</f>
        <v>0.12236000000000001</v>
      </c>
      <c r="C12" s="15"/>
      <c r="D12" s="15"/>
      <c r="E12" s="15"/>
      <c r="F12" s="15"/>
      <c r="G12" s="15"/>
      <c r="H12" s="15"/>
    </row>
    <row r="13" spans="1:9" x14ac:dyDescent="0.25">
      <c r="A13" t="s">
        <v>42</v>
      </c>
      <c r="B13" s="7">
        <v>500000</v>
      </c>
      <c r="C13" s="16">
        <f ca="1">$B$13*$B$12</f>
        <v>61180.000000000007</v>
      </c>
      <c r="D13" s="16">
        <f t="shared" ref="D13" ca="1" si="1">$B$13*$B$12</f>
        <v>61180.000000000007</v>
      </c>
      <c r="E13" s="16">
        <f ca="1">$B$13*$B$12</f>
        <v>61180.000000000007</v>
      </c>
      <c r="F13" s="16">
        <f ca="1">($B$12+($B$14/10000))*$B$13</f>
        <v>71180</v>
      </c>
      <c r="G13" s="16">
        <f t="shared" ref="G13" ca="1" si="2">($B$12+($B$14/10000))*$B$13</f>
        <v>71180</v>
      </c>
      <c r="H13" s="16">
        <f ca="1">($B$12+($B$14/10000))*$B$13</f>
        <v>71180</v>
      </c>
    </row>
    <row r="14" spans="1:9" x14ac:dyDescent="0.25">
      <c r="A14" t="s">
        <v>59</v>
      </c>
      <c r="B14">
        <v>200</v>
      </c>
      <c r="C14" s="15"/>
      <c r="D14" s="15"/>
      <c r="E14" s="15"/>
      <c r="F14" s="15"/>
      <c r="G14" s="15"/>
      <c r="H14" s="15"/>
    </row>
    <row r="15" spans="1:9" x14ac:dyDescent="0.25">
      <c r="B15" t="s">
        <v>44</v>
      </c>
      <c r="C15" s="15">
        <f ca="1">C11-C13</f>
        <v>116590.26123950802</v>
      </c>
      <c r="D15" s="15">
        <f t="shared" ref="D15:H15" ca="1" si="3">D11-D13</f>
        <v>116590.26123950802</v>
      </c>
      <c r="E15" s="15">
        <f t="shared" ca="1" si="3"/>
        <v>116590.26123950802</v>
      </c>
      <c r="F15" s="15">
        <f t="shared" ca="1" si="3"/>
        <v>106590.26123950802</v>
      </c>
      <c r="G15" s="15">
        <f t="shared" ca="1" si="3"/>
        <v>106590.26123950802</v>
      </c>
      <c r="H15" s="15">
        <f t="shared" ca="1" si="3"/>
        <v>106590.26123950802</v>
      </c>
      <c r="I15" s="15"/>
    </row>
    <row r="16" spans="1:9" x14ac:dyDescent="0.25">
      <c r="A16" t="s">
        <v>60</v>
      </c>
      <c r="C16" s="15">
        <f ca="1">C15</f>
        <v>116590.26123950802</v>
      </c>
      <c r="D16" s="15">
        <f ca="1">SUM($C$15:D15)</f>
        <v>233180.52247901604</v>
      </c>
      <c r="E16" s="15">
        <f ca="1">SUM($C$15:E15)</f>
        <v>349770.78371852404</v>
      </c>
      <c r="F16" s="15">
        <f ca="1">SUM($C$15:F15)</f>
        <v>456361.04495803209</v>
      </c>
      <c r="G16" s="15">
        <f ca="1">SUM($C$15:G15)</f>
        <v>562951.30619754014</v>
      </c>
      <c r="H16" s="17">
        <f ca="1">SUM($C$15:H15)</f>
        <v>669541.56743704819</v>
      </c>
    </row>
    <row r="17" spans="1:8" x14ac:dyDescent="0.25">
      <c r="H17" s="18" t="s">
        <v>61</v>
      </c>
    </row>
    <row r="18" spans="1:8" x14ac:dyDescent="0.25">
      <c r="A18" t="s">
        <v>62</v>
      </c>
      <c r="B18" s="15">
        <v>500000</v>
      </c>
    </row>
    <row r="19" spans="1:8" ht="15.75" x14ac:dyDescent="0.25">
      <c r="A19" s="19" t="s">
        <v>63</v>
      </c>
      <c r="B19" s="20">
        <f ca="1">B18-$H$16</f>
        <v>-169541.56743704819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Drop Down 1">
              <controlPr defaultSize="0" autoLine="0" autoPict="0">
                <anchor moveWithCells="1">
                  <from>
                    <xdr:col>3</xdr:col>
                    <xdr:colOff>904875</xdr:colOff>
                    <xdr:row>1</xdr:row>
                    <xdr:rowOff>28575</xdr:rowOff>
                  </from>
                  <to>
                    <xdr:col>6</xdr:col>
                    <xdr:colOff>76200</xdr:colOff>
                    <xdr:row>2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8"/>
  <sheetViews>
    <sheetView zoomScale="90" zoomScaleNormal="90" workbookViewId="0">
      <pane xSplit="2" ySplit="2" topLeftCell="C36" activePane="bottomRight" state="frozen"/>
      <selection activeCell="C31" sqref="C31"/>
      <selection pane="topRight" activeCell="C31" sqref="C31"/>
      <selection pane="bottomLeft" activeCell="C31" sqref="C31"/>
      <selection pane="bottomRight" activeCell="C31" sqref="C31"/>
    </sheetView>
  </sheetViews>
  <sheetFormatPr baseColWidth="10" defaultRowHeight="15" x14ac:dyDescent="0.25"/>
  <cols>
    <col min="1" max="1" width="18.28515625" customWidth="1"/>
    <col min="2" max="2" width="14.42578125" customWidth="1"/>
    <col min="3" max="4" width="10.7109375" customWidth="1"/>
    <col min="5" max="18" width="9.5703125" customWidth="1"/>
    <col min="19" max="19" width="10.7109375" customWidth="1"/>
    <col min="20" max="21" width="9.5703125" customWidth="1"/>
  </cols>
  <sheetData>
    <row r="1" spans="1:22" x14ac:dyDescent="0.25">
      <c r="A1" t="s">
        <v>64</v>
      </c>
    </row>
    <row r="2" spans="1:22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65</v>
      </c>
    </row>
    <row r="3" spans="1:22" x14ac:dyDescent="0.25">
      <c r="B3" t="s">
        <v>21</v>
      </c>
      <c r="C3">
        <v>2.8E-3</v>
      </c>
      <c r="D3">
        <v>4.1700000000000001E-2</v>
      </c>
      <c r="E3">
        <v>0.16669999999999999</v>
      </c>
      <c r="F3">
        <v>0.375</v>
      </c>
      <c r="G3">
        <v>0.625</v>
      </c>
      <c r="H3">
        <v>0.875</v>
      </c>
      <c r="I3">
        <v>1.25</v>
      </c>
      <c r="J3">
        <v>1.75</v>
      </c>
      <c r="K3">
        <v>2.5</v>
      </c>
      <c r="L3">
        <v>3.5</v>
      </c>
      <c r="M3">
        <v>4.5</v>
      </c>
      <c r="N3">
        <v>5.5</v>
      </c>
      <c r="O3">
        <v>6.5</v>
      </c>
      <c r="P3">
        <v>7.5</v>
      </c>
      <c r="Q3">
        <v>8.5</v>
      </c>
      <c r="R3">
        <v>9.5</v>
      </c>
      <c r="S3">
        <v>12.5</v>
      </c>
      <c r="T3">
        <v>17.5</v>
      </c>
      <c r="U3">
        <v>25</v>
      </c>
    </row>
    <row r="4" spans="1:22" x14ac:dyDescent="0.25">
      <c r="A4" t="s">
        <v>22</v>
      </c>
      <c r="B4" t="s">
        <v>66</v>
      </c>
      <c r="C4">
        <f>ROUNDDOWN(C3*365,0)</f>
        <v>1</v>
      </c>
      <c r="D4">
        <f t="shared" ref="D4:U4" si="0">ROUNDDOWN(D3*365,0)</f>
        <v>15</v>
      </c>
      <c r="E4">
        <f t="shared" si="0"/>
        <v>60</v>
      </c>
      <c r="F4">
        <f t="shared" si="0"/>
        <v>136</v>
      </c>
      <c r="G4">
        <f t="shared" si="0"/>
        <v>228</v>
      </c>
      <c r="H4">
        <f t="shared" si="0"/>
        <v>319</v>
      </c>
      <c r="I4">
        <f t="shared" si="0"/>
        <v>456</v>
      </c>
      <c r="J4">
        <f t="shared" si="0"/>
        <v>638</v>
      </c>
      <c r="K4">
        <f t="shared" si="0"/>
        <v>912</v>
      </c>
      <c r="L4">
        <f t="shared" si="0"/>
        <v>1277</v>
      </c>
      <c r="M4">
        <f t="shared" si="0"/>
        <v>1642</v>
      </c>
      <c r="N4">
        <f t="shared" si="0"/>
        <v>2007</v>
      </c>
      <c r="O4">
        <f t="shared" si="0"/>
        <v>2372</v>
      </c>
      <c r="P4">
        <f t="shared" si="0"/>
        <v>2737</v>
      </c>
      <c r="Q4">
        <f t="shared" si="0"/>
        <v>3102</v>
      </c>
      <c r="R4">
        <f t="shared" si="0"/>
        <v>3467</v>
      </c>
      <c r="S4">
        <f t="shared" si="0"/>
        <v>4562</v>
      </c>
      <c r="T4">
        <f t="shared" si="0"/>
        <v>6387</v>
      </c>
      <c r="U4">
        <f t="shared" si="0"/>
        <v>9125</v>
      </c>
    </row>
    <row r="5" spans="1:22" x14ac:dyDescent="0.25">
      <c r="B5" t="s">
        <v>67</v>
      </c>
    </row>
    <row r="6" spans="1:22" x14ac:dyDescent="0.25">
      <c r="B6" s="1">
        <v>44662</v>
      </c>
      <c r="C6" s="2">
        <v>4.79</v>
      </c>
      <c r="D6" s="2">
        <v>2.2599999999999998</v>
      </c>
      <c r="E6" s="2">
        <v>5.8780000000000001</v>
      </c>
      <c r="F6" s="2">
        <v>7.1050000000000004</v>
      </c>
      <c r="G6" s="2">
        <v>7.7549999999999999</v>
      </c>
      <c r="H6" s="2">
        <v>8.2650000000000006</v>
      </c>
      <c r="I6" s="2">
        <v>8.6950000000000003</v>
      </c>
      <c r="J6" s="2">
        <v>8.3049999999999997</v>
      </c>
      <c r="K6" s="2">
        <v>8.1950000000000003</v>
      </c>
      <c r="L6" s="2">
        <v>8.1549999999999994</v>
      </c>
      <c r="M6" s="2">
        <v>8.1150000000000002</v>
      </c>
      <c r="N6" s="2">
        <v>8.0749999999999993</v>
      </c>
      <c r="O6" s="2">
        <v>8.0350000000000001</v>
      </c>
      <c r="P6" s="2">
        <v>8.0150000000000006</v>
      </c>
      <c r="Q6" s="2">
        <v>8.01</v>
      </c>
      <c r="R6" s="2">
        <v>8.01</v>
      </c>
      <c r="S6" s="2">
        <v>7.9950000000000001</v>
      </c>
      <c r="T6" s="2">
        <v>7.98</v>
      </c>
      <c r="U6" s="2">
        <v>7.9550000000000001</v>
      </c>
    </row>
    <row r="7" spans="1:22" x14ac:dyDescent="0.25">
      <c r="B7" s="1">
        <v>45027</v>
      </c>
      <c r="C7" s="3">
        <v>12.032999999999999</v>
      </c>
      <c r="D7">
        <v>11.35</v>
      </c>
      <c r="E7">
        <v>11.775</v>
      </c>
      <c r="F7">
        <v>12.11</v>
      </c>
      <c r="G7">
        <v>12.36</v>
      </c>
      <c r="H7">
        <v>12.385</v>
      </c>
      <c r="I7">
        <v>12.29</v>
      </c>
      <c r="J7">
        <v>11.124000000000001</v>
      </c>
      <c r="K7">
        <v>10.645</v>
      </c>
      <c r="L7">
        <v>10.305</v>
      </c>
      <c r="M7">
        <v>10.06</v>
      </c>
      <c r="N7">
        <v>9.9049999999999994</v>
      </c>
      <c r="O7">
        <v>9.84</v>
      </c>
      <c r="P7">
        <v>9.7949999999999999</v>
      </c>
      <c r="Q7">
        <v>9.76</v>
      </c>
      <c r="R7">
        <v>9.7799999999999994</v>
      </c>
      <c r="S7">
        <v>9.7100000000000009</v>
      </c>
      <c r="T7">
        <v>9.66</v>
      </c>
      <c r="U7">
        <v>9.49</v>
      </c>
    </row>
    <row r="8" spans="1:22" x14ac:dyDescent="0.25">
      <c r="B8" s="1">
        <v>45393</v>
      </c>
      <c r="C8">
        <v>11.387</v>
      </c>
      <c r="D8">
        <v>12.18</v>
      </c>
      <c r="E8">
        <v>12.305</v>
      </c>
      <c r="F8">
        <v>12.51</v>
      </c>
      <c r="G8">
        <v>12.505000000000001</v>
      </c>
      <c r="H8">
        <v>12.385</v>
      </c>
      <c r="I8">
        <v>11.73</v>
      </c>
      <c r="J8">
        <v>10.34</v>
      </c>
      <c r="K8" s="2">
        <v>9.6050000000000004</v>
      </c>
      <c r="L8" s="2">
        <v>9.23</v>
      </c>
      <c r="M8" s="2">
        <v>9.0299999999999994</v>
      </c>
      <c r="N8" s="2">
        <v>8.9149999999999991</v>
      </c>
      <c r="O8" s="2">
        <v>8.85</v>
      </c>
      <c r="P8" s="2">
        <v>8.8149999999999995</v>
      </c>
      <c r="Q8" s="2">
        <v>8.7799999999999994</v>
      </c>
      <c r="R8" s="2">
        <v>8.8249999999999993</v>
      </c>
      <c r="S8" s="2">
        <v>8.8000000000000007</v>
      </c>
      <c r="T8" s="2">
        <v>8.77</v>
      </c>
      <c r="U8" s="2">
        <v>8.64</v>
      </c>
      <c r="V8" s="2"/>
    </row>
    <row r="9" spans="1:22" x14ac:dyDescent="0.25">
      <c r="B9" t="s">
        <v>68</v>
      </c>
    </row>
    <row r="10" spans="1:22" x14ac:dyDescent="0.25">
      <c r="B10" s="1">
        <v>44662</v>
      </c>
      <c r="C10" s="3">
        <v>4.9531009341594645</v>
      </c>
      <c r="D10" s="3">
        <v>5.0433330932905829</v>
      </c>
      <c r="E10" s="3">
        <v>5.3190843220515909</v>
      </c>
      <c r="F10" s="3">
        <v>5.7344007311439613</v>
      </c>
      <c r="G10" s="3">
        <v>6.1689718307886752</v>
      </c>
      <c r="H10" s="3">
        <v>6.5441435248464845</v>
      </c>
      <c r="I10" s="3">
        <v>7.0151615533165153</v>
      </c>
      <c r="J10" s="3">
        <v>7.5088875776394932</v>
      </c>
      <c r="K10" s="3">
        <v>8.0445504613100258</v>
      </c>
      <c r="L10" s="3">
        <v>8.514481666005036</v>
      </c>
      <c r="M10" s="3">
        <v>8.8191039193486631</v>
      </c>
      <c r="N10" s="3">
        <v>9.0270299287193474</v>
      </c>
      <c r="O10" s="3">
        <v>9.1756826226239578</v>
      </c>
      <c r="P10" s="3">
        <v>9.2863043978883706</v>
      </c>
      <c r="Q10" s="3">
        <v>9.3714582899189978</v>
      </c>
      <c r="R10" s="3">
        <v>9.4388830891454205</v>
      </c>
      <c r="S10">
        <v>9.576663977206632</v>
      </c>
      <c r="T10">
        <v>9.7013915003238189</v>
      </c>
      <c r="U10">
        <v>9.7949400317134021</v>
      </c>
    </row>
    <row r="11" spans="1:22" x14ac:dyDescent="0.25">
      <c r="B11" s="1">
        <v>45027</v>
      </c>
      <c r="C11" s="3">
        <v>9.64412975243871</v>
      </c>
      <c r="D11" s="3">
        <v>9.7386751200951593</v>
      </c>
      <c r="E11" s="3">
        <v>10.016784719632053</v>
      </c>
      <c r="F11" s="3">
        <v>10.402849604291649</v>
      </c>
      <c r="G11" s="3">
        <v>10.760297205676492</v>
      </c>
      <c r="H11" s="3">
        <v>11.026028042292044</v>
      </c>
      <c r="I11" s="3">
        <v>11.295609376560277</v>
      </c>
      <c r="J11" s="3">
        <v>11.489269045988969</v>
      </c>
      <c r="K11" s="3">
        <v>11.575584997542302</v>
      </c>
      <c r="L11" s="3">
        <v>11.522452460423072</v>
      </c>
      <c r="M11" s="3">
        <v>11.413142744479511</v>
      </c>
      <c r="N11" s="3">
        <v>11.302950198656232</v>
      </c>
      <c r="O11" s="3">
        <v>11.207645990465341</v>
      </c>
      <c r="P11" s="3">
        <v>11.129210233162963</v>
      </c>
      <c r="Q11" s="3">
        <v>11.065476515815845</v>
      </c>
      <c r="R11" s="3">
        <v>11.013535235197258</v>
      </c>
      <c r="S11">
        <v>10.905146125347381</v>
      </c>
      <c r="T11">
        <v>10.806141118493812</v>
      </c>
      <c r="U11">
        <v>10.731825496663154</v>
      </c>
    </row>
    <row r="12" spans="1:22" x14ac:dyDescent="0.25">
      <c r="B12" s="1">
        <v>45393</v>
      </c>
      <c r="C12" s="3">
        <v>8.9006038041636799</v>
      </c>
      <c r="D12" s="3">
        <v>8.8757161850111146</v>
      </c>
      <c r="E12" s="3">
        <v>8.8087363117920781</v>
      </c>
      <c r="F12" s="3">
        <v>8.7353982219399082</v>
      </c>
      <c r="G12" s="3">
        <v>8.6977805597288889</v>
      </c>
      <c r="H12" s="3">
        <v>8.7014221222491202</v>
      </c>
      <c r="I12" s="3">
        <v>8.760088061617342</v>
      </c>
      <c r="J12" s="3">
        <v>8.8969191212256415</v>
      </c>
      <c r="K12" s="3">
        <v>9.1506889524229234</v>
      </c>
      <c r="L12" s="3">
        <v>9.4835308553547719</v>
      </c>
      <c r="M12" s="3">
        <v>9.7637285995933905</v>
      </c>
      <c r="N12" s="3">
        <v>9.9858140149371479</v>
      </c>
      <c r="O12" s="3">
        <v>10.158999880928668</v>
      </c>
      <c r="P12" s="3">
        <v>10.294471818085819</v>
      </c>
      <c r="Q12" s="3">
        <v>10.401717463435974</v>
      </c>
      <c r="R12" s="3">
        <v>10.487946300910428</v>
      </c>
      <c r="S12" s="2">
        <v>10.66616564979193</v>
      </c>
      <c r="T12" s="2">
        <v>10.828301150182837</v>
      </c>
      <c r="U12" s="2">
        <v>10.949961515875881</v>
      </c>
    </row>
    <row r="13" spans="1:22" x14ac:dyDescent="0.25">
      <c r="B13" s="1" t="s">
        <v>69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2"/>
      <c r="T13" s="2"/>
      <c r="U13" s="2"/>
    </row>
    <row r="14" spans="1:22" x14ac:dyDescent="0.25">
      <c r="B14" t="s">
        <v>67</v>
      </c>
    </row>
    <row r="15" spans="1:22" x14ac:dyDescent="0.25">
      <c r="B15" s="1">
        <v>44662</v>
      </c>
      <c r="C15">
        <f>EXP(-(C6/100)*C$3)</f>
        <v>0.99986588899368511</v>
      </c>
      <c r="D15">
        <f t="shared" ref="D15:U17" si="1">EXP(-(D6/100)*D$3)</f>
        <v>0.99905802393825849</v>
      </c>
      <c r="E15">
        <f t="shared" si="1"/>
        <v>0.99024922411973393</v>
      </c>
      <c r="F15">
        <f t="shared" si="1"/>
        <v>0.97370806324058001</v>
      </c>
      <c r="G15">
        <f t="shared" si="1"/>
        <v>0.9526871103128578</v>
      </c>
      <c r="H15">
        <f t="shared" si="1"/>
        <v>0.93023433635484021</v>
      </c>
      <c r="I15">
        <f t="shared" si="1"/>
        <v>0.89701068954392993</v>
      </c>
      <c r="J15">
        <f t="shared" si="1"/>
        <v>0.8647303973469973</v>
      </c>
      <c r="K15">
        <f t="shared" si="1"/>
        <v>0.81474915369066325</v>
      </c>
      <c r="L15">
        <f t="shared" si="1"/>
        <v>0.75169471616796379</v>
      </c>
      <c r="M15">
        <f t="shared" si="1"/>
        <v>0.69407517709334132</v>
      </c>
      <c r="N15">
        <f t="shared" si="1"/>
        <v>0.64138524266095631</v>
      </c>
      <c r="O15">
        <f t="shared" si="1"/>
        <v>0.59316955106522928</v>
      </c>
      <c r="P15">
        <f t="shared" si="1"/>
        <v>0.54819457016808515</v>
      </c>
      <c r="Q15">
        <f t="shared" si="1"/>
        <v>0.50618655088562392</v>
      </c>
      <c r="R15">
        <f t="shared" si="1"/>
        <v>0.46722235487191327</v>
      </c>
      <c r="S15">
        <f t="shared" si="1"/>
        <v>0.36810943768859916</v>
      </c>
      <c r="T15">
        <f t="shared" si="1"/>
        <v>0.24746156548548998</v>
      </c>
      <c r="U15">
        <f t="shared" si="1"/>
        <v>0.13686640156514304</v>
      </c>
    </row>
    <row r="16" spans="1:22" x14ac:dyDescent="0.25">
      <c r="B16" s="1">
        <v>45027</v>
      </c>
      <c r="C16">
        <f t="shared" ref="C16:R17" si="2">EXP(-(C7/100)*C$3)</f>
        <v>0.99966313275251695</v>
      </c>
      <c r="D16">
        <f t="shared" si="2"/>
        <v>0.9952782327584162</v>
      </c>
      <c r="E16">
        <f t="shared" si="2"/>
        <v>0.98056246802284031</v>
      </c>
      <c r="F16">
        <f t="shared" si="2"/>
        <v>0.95560321419513472</v>
      </c>
      <c r="G16">
        <f t="shared" si="2"/>
        <v>0.9256584100747407</v>
      </c>
      <c r="H16">
        <f t="shared" si="2"/>
        <v>0.89729665727490793</v>
      </c>
      <c r="I16">
        <f t="shared" si="2"/>
        <v>0.85759355830381101</v>
      </c>
      <c r="J16">
        <f t="shared" si="2"/>
        <v>0.8231062383014528</v>
      </c>
      <c r="K16">
        <f t="shared" si="2"/>
        <v>0.76634332859763776</v>
      </c>
      <c r="L16">
        <f t="shared" si="2"/>
        <v>0.69720555345456581</v>
      </c>
      <c r="M16">
        <f t="shared" si="2"/>
        <v>0.63590887767667914</v>
      </c>
      <c r="N16">
        <f t="shared" si="2"/>
        <v>0.57997226241944388</v>
      </c>
      <c r="O16">
        <f t="shared" si="2"/>
        <v>0.52750338320168466</v>
      </c>
      <c r="P16">
        <f t="shared" si="2"/>
        <v>0.47968530724145209</v>
      </c>
      <c r="Q16">
        <f t="shared" si="2"/>
        <v>0.43622374092465882</v>
      </c>
      <c r="R16">
        <f t="shared" si="2"/>
        <v>0.39490896855313734</v>
      </c>
      <c r="S16">
        <f t="shared" si="1"/>
        <v>0.29708113371322697</v>
      </c>
      <c r="T16">
        <f t="shared" si="1"/>
        <v>0.18442728729208957</v>
      </c>
      <c r="U16">
        <f t="shared" si="1"/>
        <v>9.3247316346345629E-2</v>
      </c>
    </row>
    <row r="17" spans="1:21" x14ac:dyDescent="0.25">
      <c r="B17" s="1">
        <v>45393</v>
      </c>
      <c r="C17">
        <f t="shared" si="2"/>
        <v>0.99968121482279593</v>
      </c>
      <c r="D17">
        <f t="shared" si="1"/>
        <v>0.99493381661564995</v>
      </c>
      <c r="E17">
        <f t="shared" si="1"/>
        <v>0.97969651387262269</v>
      </c>
      <c r="F17">
        <f t="shared" si="1"/>
        <v>0.9541708838901326</v>
      </c>
      <c r="G17">
        <f t="shared" si="1"/>
        <v>0.92481991214237347</v>
      </c>
      <c r="H17">
        <f t="shared" si="1"/>
        <v>0.89729665727490793</v>
      </c>
      <c r="I17">
        <f t="shared" si="1"/>
        <v>0.86361777336579659</v>
      </c>
      <c r="J17">
        <f t="shared" si="1"/>
        <v>0.8344770815067859</v>
      </c>
      <c r="K17">
        <f t="shared" si="1"/>
        <v>0.78652953872919418</v>
      </c>
      <c r="L17">
        <f t="shared" si="1"/>
        <v>0.72393765658014919</v>
      </c>
      <c r="M17">
        <f t="shared" si="1"/>
        <v>0.66607699967302447</v>
      </c>
      <c r="N17">
        <f t="shared" si="1"/>
        <v>0.61242732295713287</v>
      </c>
      <c r="O17">
        <f t="shared" si="1"/>
        <v>0.56256421017281588</v>
      </c>
      <c r="P17">
        <f t="shared" si="1"/>
        <v>0.51627020368776444</v>
      </c>
      <c r="Q17">
        <f t="shared" si="1"/>
        <v>0.47411754632669861</v>
      </c>
      <c r="R17">
        <f t="shared" si="1"/>
        <v>0.43241262333132396</v>
      </c>
      <c r="S17">
        <f t="shared" si="1"/>
        <v>0.33287108369807955</v>
      </c>
      <c r="T17">
        <f t="shared" si="1"/>
        <v>0.21550956182608594</v>
      </c>
      <c r="U17">
        <f t="shared" si="1"/>
        <v>0.11532512103806251</v>
      </c>
    </row>
    <row r="18" spans="1:21" x14ac:dyDescent="0.25">
      <c r="B18" t="s">
        <v>68</v>
      </c>
    </row>
    <row r="19" spans="1:21" x14ac:dyDescent="0.25">
      <c r="B19" s="1">
        <v>44662</v>
      </c>
      <c r="C19">
        <f>EXP(-(C10/100)*C$3)</f>
        <v>0.99986132279041684</v>
      </c>
      <c r="D19">
        <f t="shared" ref="D19:U19" si="3">EXP(-(D10/100)*D$3)</f>
        <v>0.99789914000213553</v>
      </c>
      <c r="E19">
        <f t="shared" si="3"/>
        <v>0.99117228158101689</v>
      </c>
      <c r="F19">
        <f t="shared" si="3"/>
        <v>0.97872555987560772</v>
      </c>
      <c r="G19">
        <f t="shared" si="3"/>
        <v>0.96217775012734041</v>
      </c>
      <c r="H19">
        <f t="shared" si="3"/>
        <v>0.94434732088084383</v>
      </c>
      <c r="I19">
        <f t="shared" si="3"/>
        <v>0.91604524683813227</v>
      </c>
      <c r="J19">
        <f t="shared" si="3"/>
        <v>0.87686210610102355</v>
      </c>
      <c r="K19">
        <f t="shared" si="3"/>
        <v>0.81781938987437242</v>
      </c>
      <c r="L19">
        <f t="shared" si="3"/>
        <v>0.74229624883239964</v>
      </c>
      <c r="M19">
        <f t="shared" si="3"/>
        <v>0.67242837660292321</v>
      </c>
      <c r="N19">
        <f t="shared" si="3"/>
        <v>0.60866536437445784</v>
      </c>
      <c r="O19">
        <f t="shared" si="3"/>
        <v>0.55078024957883043</v>
      </c>
      <c r="P19">
        <f t="shared" si="3"/>
        <v>0.49833993728236736</v>
      </c>
      <c r="Q19">
        <f t="shared" si="3"/>
        <v>0.45087102560638648</v>
      </c>
      <c r="R19">
        <f t="shared" si="3"/>
        <v>0.40791604677115462</v>
      </c>
      <c r="S19">
        <f t="shared" si="3"/>
        <v>0.30207407894993976</v>
      </c>
      <c r="T19">
        <f t="shared" si="3"/>
        <v>0.18309621256898229</v>
      </c>
      <c r="U19">
        <f t="shared" si="3"/>
        <v>8.6402816274960631E-2</v>
      </c>
    </row>
    <row r="20" spans="1:21" x14ac:dyDescent="0.25">
      <c r="B20" s="1">
        <v>45027</v>
      </c>
      <c r="C20">
        <f t="shared" ref="C20:U21" si="4">EXP(-(C11/100)*C$3)</f>
        <v>0.99973000082327168</v>
      </c>
      <c r="D20">
        <f t="shared" si="4"/>
        <v>0.99594720729615005</v>
      </c>
      <c r="E20">
        <f t="shared" si="4"/>
        <v>0.98344065840880102</v>
      </c>
      <c r="F20">
        <f t="shared" si="4"/>
        <v>0.96174043191772207</v>
      </c>
      <c r="G20">
        <f t="shared" si="4"/>
        <v>0.93495969503644005</v>
      </c>
      <c r="H20">
        <f t="shared" si="4"/>
        <v>0.90803010524886296</v>
      </c>
      <c r="I20">
        <f t="shared" si="4"/>
        <v>0.86831987101979058</v>
      </c>
      <c r="J20">
        <f t="shared" si="4"/>
        <v>0.81786155219058776</v>
      </c>
      <c r="K20">
        <f t="shared" si="4"/>
        <v>0.74872042841364728</v>
      </c>
      <c r="L20">
        <f t="shared" si="4"/>
        <v>0.66812109888832238</v>
      </c>
      <c r="M20">
        <f t="shared" si="4"/>
        <v>0.59834281293882341</v>
      </c>
      <c r="N20">
        <f t="shared" si="4"/>
        <v>0.53705097636422583</v>
      </c>
      <c r="O20">
        <f t="shared" si="4"/>
        <v>0.48263384901893902</v>
      </c>
      <c r="P20">
        <f t="shared" si="4"/>
        <v>0.4340086702758218</v>
      </c>
      <c r="Q20">
        <f t="shared" si="4"/>
        <v>0.39040699626448055</v>
      </c>
      <c r="R20">
        <f t="shared" si="4"/>
        <v>0.35123988800595057</v>
      </c>
      <c r="S20">
        <f t="shared" si="4"/>
        <v>0.25585529053701855</v>
      </c>
      <c r="T20">
        <f t="shared" si="4"/>
        <v>0.15090953981805066</v>
      </c>
      <c r="U20">
        <f t="shared" si="4"/>
        <v>6.836075514762488E-2</v>
      </c>
    </row>
    <row r="21" spans="1:21" x14ac:dyDescent="0.25">
      <c r="B21" s="1">
        <v>45393</v>
      </c>
      <c r="C21">
        <f t="shared" si="4"/>
        <v>0.99975081414543709</v>
      </c>
      <c r="D21">
        <f t="shared" si="4"/>
        <v>0.99630566725165126</v>
      </c>
      <c r="E21">
        <f t="shared" si="4"/>
        <v>0.98542312311638136</v>
      </c>
      <c r="F21">
        <f t="shared" si="4"/>
        <v>0.96777298065025996</v>
      </c>
      <c r="G21">
        <f t="shared" si="4"/>
        <v>0.9470900235396017</v>
      </c>
      <c r="H21">
        <f t="shared" si="4"/>
        <v>0.9266888303852342</v>
      </c>
      <c r="I21">
        <f t="shared" si="4"/>
        <v>0.89628117776193961</v>
      </c>
      <c r="J21">
        <f t="shared" si="4"/>
        <v>0.85581924748190907</v>
      </c>
      <c r="K21">
        <f t="shared" si="4"/>
        <v>0.79551368859947835</v>
      </c>
      <c r="L21">
        <f t="shared" si="4"/>
        <v>0.717542155375684</v>
      </c>
      <c r="M21">
        <f t="shared" si="4"/>
        <v>0.64444371802845724</v>
      </c>
      <c r="N21">
        <f t="shared" si="4"/>
        <v>0.57740013911401455</v>
      </c>
      <c r="O21">
        <f t="shared" si="4"/>
        <v>0.51667822229212845</v>
      </c>
      <c r="P21">
        <f t="shared" si="4"/>
        <v>0.46204851326024937</v>
      </c>
      <c r="Q21">
        <f t="shared" si="4"/>
        <v>0.41306678817252884</v>
      </c>
      <c r="R21">
        <f t="shared" si="4"/>
        <v>0.36922284597837945</v>
      </c>
      <c r="S21">
        <f t="shared" si="4"/>
        <v>0.26361364695946299</v>
      </c>
      <c r="T21">
        <f t="shared" si="4"/>
        <v>0.15032544507908685</v>
      </c>
      <c r="U21">
        <f t="shared" si="4"/>
        <v>6.4732597502325809E-2</v>
      </c>
    </row>
    <row r="22" spans="1:21" x14ac:dyDescent="0.25">
      <c r="H22" s="21"/>
    </row>
    <row r="23" spans="1:21" x14ac:dyDescent="0.25">
      <c r="A23" t="s">
        <v>70</v>
      </c>
      <c r="B23" s="8">
        <v>3</v>
      </c>
    </row>
    <row r="24" spans="1:21" x14ac:dyDescent="0.25">
      <c r="B24" s="1">
        <f ca="1">OFFSET(B5,$B$23,0)</f>
        <v>45393</v>
      </c>
      <c r="C24" s="22">
        <f ca="1">OFFSET(C14,$B$23,0)</f>
        <v>0.99968121482279593</v>
      </c>
      <c r="D24" s="22">
        <f t="shared" ref="D24:U24" ca="1" si="5">OFFSET(D14,$B$23,0)</f>
        <v>0.99493381661564995</v>
      </c>
      <c r="E24" s="22">
        <f t="shared" ca="1" si="5"/>
        <v>0.97969651387262269</v>
      </c>
      <c r="F24" s="22">
        <f t="shared" ca="1" si="5"/>
        <v>0.9541708838901326</v>
      </c>
      <c r="G24" s="22">
        <f t="shared" ca="1" si="5"/>
        <v>0.92481991214237347</v>
      </c>
      <c r="H24" s="22">
        <f t="shared" ca="1" si="5"/>
        <v>0.89729665727490793</v>
      </c>
      <c r="I24" s="22">
        <f t="shared" ca="1" si="5"/>
        <v>0.86361777336579659</v>
      </c>
      <c r="J24" s="22">
        <f t="shared" ca="1" si="5"/>
        <v>0.8344770815067859</v>
      </c>
      <c r="K24" s="22">
        <f t="shared" ca="1" si="5"/>
        <v>0.78652953872919418</v>
      </c>
      <c r="L24" s="22">
        <f t="shared" ca="1" si="5"/>
        <v>0.72393765658014919</v>
      </c>
      <c r="M24" s="22">
        <f t="shared" ca="1" si="5"/>
        <v>0.66607699967302447</v>
      </c>
      <c r="N24" s="22">
        <f t="shared" ca="1" si="5"/>
        <v>0.61242732295713287</v>
      </c>
      <c r="O24" s="22">
        <f t="shared" ca="1" si="5"/>
        <v>0.56256421017281588</v>
      </c>
      <c r="P24" s="22">
        <f t="shared" ca="1" si="5"/>
        <v>0.51627020368776444</v>
      </c>
      <c r="Q24" s="22">
        <f t="shared" ca="1" si="5"/>
        <v>0.47411754632669861</v>
      </c>
      <c r="R24" s="22">
        <f t="shared" ca="1" si="5"/>
        <v>0.43241262333132396</v>
      </c>
      <c r="S24" s="22">
        <f t="shared" ca="1" si="5"/>
        <v>0.33287108369807955</v>
      </c>
      <c r="T24" s="22">
        <f t="shared" ca="1" si="5"/>
        <v>0.21550956182608594</v>
      </c>
      <c r="U24" s="22">
        <f t="shared" ca="1" si="5"/>
        <v>0.11532512103806251</v>
      </c>
    </row>
    <row r="25" spans="1:21" x14ac:dyDescent="0.25">
      <c r="A25" t="s">
        <v>71</v>
      </c>
      <c r="B25" s="4"/>
      <c r="C25" s="9">
        <f ca="1">OFFSET(C$5,$B$23,0)/100</f>
        <v>0.11387</v>
      </c>
      <c r="D25" s="9">
        <f t="shared" ref="D25:E25" ca="1" si="6">OFFSET(D$5,$B$23,0)/100</f>
        <v>0.12179999999999999</v>
      </c>
      <c r="E25" s="9">
        <f t="shared" ca="1" si="6"/>
        <v>0.12304999999999999</v>
      </c>
      <c r="F25" s="9">
        <f ca="1">LN($E$24/F24)/(F3-$E$3)</f>
        <v>0.12674059049447992</v>
      </c>
      <c r="G25" s="9">
        <f t="shared" ref="G25:U25" ca="1" si="7">LN($E$24/G24)/(G3-$E$3)</f>
        <v>0.12577747108880669</v>
      </c>
      <c r="H25" s="9">
        <f t="shared" ca="1" si="7"/>
        <v>0.12403828180149666</v>
      </c>
      <c r="I25" s="9">
        <f t="shared" ca="1" si="7"/>
        <v>0.11641518046709141</v>
      </c>
      <c r="J25" s="9">
        <f t="shared" ca="1" si="7"/>
        <v>0.1013311217078255</v>
      </c>
      <c r="K25" s="9">
        <f t="shared" ca="1" si="7"/>
        <v>9.4121015300218602E-2</v>
      </c>
      <c r="L25" s="9">
        <f t="shared" ca="1" si="7"/>
        <v>9.076217712177119E-2</v>
      </c>
      <c r="M25" s="9">
        <f t="shared" ca="1" si="7"/>
        <v>8.9040123000946145E-2</v>
      </c>
      <c r="N25" s="9">
        <f t="shared" ca="1" si="7"/>
        <v>8.8090406502540616E-2</v>
      </c>
      <c r="O25" s="9">
        <f t="shared" ca="1" si="7"/>
        <v>8.7590602845278115E-2</v>
      </c>
      <c r="P25" s="9">
        <f t="shared" ca="1" si="7"/>
        <v>8.735665593934519E-2</v>
      </c>
      <c r="Q25" s="9">
        <f t="shared" ca="1" si="7"/>
        <v>8.7094856179424723E-2</v>
      </c>
      <c r="R25" s="9">
        <f t="shared" ca="1" si="7"/>
        <v>8.7628444923017593E-2</v>
      </c>
      <c r="S25" s="9">
        <f t="shared" ca="1" si="7"/>
        <v>8.7526255341230652E-2</v>
      </c>
      <c r="T25" s="9">
        <f t="shared" ca="1" si="7"/>
        <v>8.7360027519283692E-2</v>
      </c>
      <c r="U25" s="9">
        <f t="shared" ca="1" si="7"/>
        <v>8.6153977320774927E-2</v>
      </c>
    </row>
    <row r="26" spans="1:21" x14ac:dyDescent="0.25">
      <c r="A26" t="s">
        <v>72</v>
      </c>
      <c r="B26" s="23">
        <v>7.0000000000000007E-2</v>
      </c>
      <c r="C26" s="14">
        <f ca="1">$B$26+C25</f>
        <v>0.18387000000000001</v>
      </c>
      <c r="D26" s="14">
        <f t="shared" ref="D26:U26" ca="1" si="8">$B$26+D25</f>
        <v>0.1918</v>
      </c>
      <c r="E26" s="14">
        <f t="shared" ca="1" si="8"/>
        <v>0.19305</v>
      </c>
      <c r="F26" s="14">
        <f t="shared" ca="1" si="8"/>
        <v>0.19674059049447992</v>
      </c>
      <c r="G26" s="14">
        <f t="shared" ca="1" si="8"/>
        <v>0.19577747108880669</v>
      </c>
      <c r="H26" s="14">
        <f t="shared" ca="1" si="8"/>
        <v>0.19403828180149668</v>
      </c>
      <c r="I26" s="14">
        <f t="shared" ca="1" si="8"/>
        <v>0.18641518046709143</v>
      </c>
      <c r="J26" s="14">
        <f t="shared" ca="1" si="8"/>
        <v>0.1713311217078255</v>
      </c>
      <c r="K26" s="14">
        <f t="shared" ca="1" si="8"/>
        <v>0.16412101530021861</v>
      </c>
      <c r="L26" s="14">
        <f t="shared" ca="1" si="8"/>
        <v>0.16076217712177121</v>
      </c>
      <c r="M26" s="14">
        <f t="shared" ca="1" si="8"/>
        <v>0.15904012300094617</v>
      </c>
      <c r="N26" s="14">
        <f t="shared" ca="1" si="8"/>
        <v>0.15809040650254064</v>
      </c>
      <c r="O26" s="14">
        <f t="shared" ca="1" si="8"/>
        <v>0.15759060284527812</v>
      </c>
      <c r="P26" s="14">
        <f t="shared" ca="1" si="8"/>
        <v>0.1573566559393452</v>
      </c>
      <c r="Q26" s="14">
        <f t="shared" ca="1" si="8"/>
        <v>0.15709485617942473</v>
      </c>
      <c r="R26" s="14">
        <f t="shared" ca="1" si="8"/>
        <v>0.15762844492301759</v>
      </c>
      <c r="S26" s="14">
        <f t="shared" ca="1" si="8"/>
        <v>0.15752625534123066</v>
      </c>
      <c r="T26" s="14">
        <f t="shared" ca="1" si="8"/>
        <v>0.15736002751928369</v>
      </c>
      <c r="U26" s="14">
        <f t="shared" ca="1" si="8"/>
        <v>0.15615397732077493</v>
      </c>
    </row>
    <row r="27" spans="1:21" x14ac:dyDescent="0.25">
      <c r="A27" t="s">
        <v>41</v>
      </c>
      <c r="B27" s="7">
        <v>1000000</v>
      </c>
      <c r="C27" s="8">
        <f ca="1">(C26*$B$27)</f>
        <v>183870</v>
      </c>
      <c r="D27" s="8">
        <f ca="1">(D26*$B$27)</f>
        <v>191800</v>
      </c>
      <c r="E27" s="8">
        <f t="shared" ref="E27:R27" ca="1" si="9">(E26*$B$27)</f>
        <v>193050</v>
      </c>
      <c r="F27" s="8">
        <f t="shared" ca="1" si="9"/>
        <v>196740.59049447993</v>
      </c>
      <c r="G27" s="8">
        <f t="shared" ca="1" si="9"/>
        <v>195777.47108880669</v>
      </c>
      <c r="H27" s="8">
        <f t="shared" ca="1" si="9"/>
        <v>194038.28180149669</v>
      </c>
      <c r="I27" s="8">
        <f t="shared" ca="1" si="9"/>
        <v>186415.18046709144</v>
      </c>
      <c r="J27" s="8">
        <f t="shared" ca="1" si="9"/>
        <v>171331.12170782548</v>
      </c>
      <c r="K27" s="8">
        <f t="shared" ca="1" si="9"/>
        <v>164121.0153002186</v>
      </c>
      <c r="L27" s="8">
        <f t="shared" ca="1" si="9"/>
        <v>160762.17712177121</v>
      </c>
      <c r="M27" s="8">
        <f t="shared" ca="1" si="9"/>
        <v>159040.12300094616</v>
      </c>
      <c r="N27" s="8">
        <f t="shared" ca="1" si="9"/>
        <v>158090.40650254063</v>
      </c>
      <c r="O27" s="8">
        <f t="shared" ca="1" si="9"/>
        <v>157590.60284527813</v>
      </c>
      <c r="P27" s="8">
        <f t="shared" ca="1" si="9"/>
        <v>157356.65593934519</v>
      </c>
      <c r="Q27" s="8">
        <f t="shared" ca="1" si="9"/>
        <v>157094.85617942474</v>
      </c>
      <c r="R27" s="8">
        <f t="shared" ca="1" si="9"/>
        <v>157628.44492301758</v>
      </c>
      <c r="S27" s="8">
        <f ca="1">(S26*$B$27)+B27</f>
        <v>1157526.2553412307</v>
      </c>
      <c r="T27" s="8"/>
      <c r="U27" s="8"/>
    </row>
    <row r="28" spans="1:21" x14ac:dyDescent="0.25">
      <c r="B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spans="1:21" x14ac:dyDescent="0.25">
      <c r="B29" s="1">
        <f ca="1">OFFSET(B9,$B$23,0)</f>
        <v>45393</v>
      </c>
      <c r="C29" s="22">
        <f ca="1">OFFSET(C18,$B$23,0)</f>
        <v>0.99975081414543709</v>
      </c>
      <c r="D29" s="22">
        <f t="shared" ref="D29:U29" ca="1" si="10">OFFSET(D18,$B$23,0)</f>
        <v>0.99630566725165126</v>
      </c>
      <c r="E29" s="22">
        <f t="shared" ca="1" si="10"/>
        <v>0.98542312311638136</v>
      </c>
      <c r="F29" s="22">
        <f t="shared" ca="1" si="10"/>
        <v>0.96777298065025996</v>
      </c>
      <c r="G29" s="22">
        <f t="shared" ca="1" si="10"/>
        <v>0.9470900235396017</v>
      </c>
      <c r="H29" s="22">
        <f t="shared" ca="1" si="10"/>
        <v>0.9266888303852342</v>
      </c>
      <c r="I29" s="22">
        <f t="shared" ca="1" si="10"/>
        <v>0.89628117776193961</v>
      </c>
      <c r="J29" s="22">
        <f t="shared" ca="1" si="10"/>
        <v>0.85581924748190907</v>
      </c>
      <c r="K29" s="22">
        <f t="shared" ca="1" si="10"/>
        <v>0.79551368859947835</v>
      </c>
      <c r="L29" s="22">
        <f t="shared" ca="1" si="10"/>
        <v>0.717542155375684</v>
      </c>
      <c r="M29" s="22">
        <f t="shared" ca="1" si="10"/>
        <v>0.64444371802845724</v>
      </c>
      <c r="N29" s="22">
        <f t="shared" ca="1" si="10"/>
        <v>0.57740013911401455</v>
      </c>
      <c r="O29" s="22">
        <f t="shared" ca="1" si="10"/>
        <v>0.51667822229212845</v>
      </c>
      <c r="P29" s="22">
        <f t="shared" ca="1" si="10"/>
        <v>0.46204851326024937</v>
      </c>
      <c r="Q29" s="22">
        <f t="shared" ca="1" si="10"/>
        <v>0.41306678817252884</v>
      </c>
      <c r="R29" s="22">
        <f t="shared" ca="1" si="10"/>
        <v>0.36922284597837945</v>
      </c>
      <c r="S29" s="22">
        <f t="shared" ca="1" si="10"/>
        <v>0.26361364695946299</v>
      </c>
      <c r="T29" s="22">
        <f t="shared" ca="1" si="10"/>
        <v>0.15032544507908685</v>
      </c>
      <c r="U29" s="22">
        <f t="shared" ca="1" si="10"/>
        <v>6.4732597502325809E-2</v>
      </c>
    </row>
    <row r="30" spans="1:21" x14ac:dyDescent="0.25">
      <c r="A30" t="s">
        <v>73</v>
      </c>
      <c r="B30" s="1"/>
      <c r="C30" s="24">
        <f ca="1">OFFSET(C$9,$B$23,0)/100</f>
        <v>8.9006038041636801E-2</v>
      </c>
      <c r="D30" s="24">
        <f t="shared" ref="D30:H30" ca="1" si="11">OFFSET(D$9,$B$23,0)/100</f>
        <v>8.8757161850111149E-2</v>
      </c>
      <c r="E30" s="24">
        <f t="shared" ca="1" si="11"/>
        <v>8.8087363117920786E-2</v>
      </c>
      <c r="F30" s="24">
        <f t="shared" ca="1" si="11"/>
        <v>8.7353982219399079E-2</v>
      </c>
      <c r="G30" s="24">
        <f t="shared" ca="1" si="11"/>
        <v>8.697780559728889E-2</v>
      </c>
      <c r="H30" s="24">
        <f t="shared" ca="1" si="11"/>
        <v>8.7014221222491195E-2</v>
      </c>
      <c r="I30" s="9">
        <f ca="1">LN($H$29/I$29)/(I$3-$H$3)</f>
        <v>8.8969752534765176E-2</v>
      </c>
      <c r="J30" s="9">
        <f t="shared" ref="J30:U30" ca="1" si="12">LN($H$29/J$29)/(J$3-$H$3)</f>
        <v>9.0924161202021722E-2</v>
      </c>
      <c r="K30" s="9">
        <f t="shared" ca="1" si="12"/>
        <v>9.392601860978049E-2</v>
      </c>
      <c r="L30" s="9">
        <f t="shared" ca="1" si="12"/>
        <v>9.7442337663899911E-2</v>
      </c>
      <c r="M30" s="9">
        <f t="shared" ca="1" si="12"/>
        <v>0.10020147404469591</v>
      </c>
      <c r="N30" s="9">
        <f t="shared" ca="1" si="12"/>
        <v>0.10228807075715962</v>
      </c>
      <c r="O30" s="9">
        <f t="shared" ca="1" si="12"/>
        <v>0.10385734198945487</v>
      </c>
      <c r="P30" s="9">
        <f t="shared" ca="1" si="12"/>
        <v>0.10504874608101988</v>
      </c>
      <c r="Q30" s="9">
        <f t="shared" ca="1" si="12"/>
        <v>0.10596833322260696</v>
      </c>
      <c r="R30" s="9">
        <f t="shared" ca="1" si="12"/>
        <v>0.1066918788425288</v>
      </c>
      <c r="S30" s="9">
        <f t="shared" ca="1" si="12"/>
        <v>0.10814049571219883</v>
      </c>
      <c r="T30" s="9">
        <f t="shared" ca="1" si="12"/>
        <v>0.10940242151653033</v>
      </c>
      <c r="U30" s="9">
        <f t="shared" ca="1" si="12"/>
        <v>0.11031514758131773</v>
      </c>
    </row>
    <row r="31" spans="1:21" x14ac:dyDescent="0.25">
      <c r="A31" t="s">
        <v>74</v>
      </c>
      <c r="B31" s="21">
        <v>0.03</v>
      </c>
      <c r="C31" s="9">
        <f ca="1">C30+$B$31</f>
        <v>0.1190060380416368</v>
      </c>
      <c r="D31" s="9">
        <f t="shared" ref="D31:U31" ca="1" si="13">D30+$B$31</f>
        <v>0.11875716185011115</v>
      </c>
      <c r="E31" s="9">
        <f t="shared" ca="1" si="13"/>
        <v>0.11808736311792078</v>
      </c>
      <c r="F31" s="9">
        <f t="shared" ca="1" si="13"/>
        <v>0.11735398221939908</v>
      </c>
      <c r="G31" s="9">
        <f t="shared" ca="1" si="13"/>
        <v>0.11697780559728889</v>
      </c>
      <c r="H31" s="9">
        <f t="shared" ca="1" si="13"/>
        <v>0.11701422122249119</v>
      </c>
      <c r="I31" s="9">
        <f t="shared" ca="1" si="13"/>
        <v>0.11896975253476517</v>
      </c>
      <c r="J31" s="9">
        <f t="shared" ca="1" si="13"/>
        <v>0.12092416120202172</v>
      </c>
      <c r="K31" s="9">
        <f t="shared" ca="1" si="13"/>
        <v>0.12392601860978049</v>
      </c>
      <c r="L31" s="9">
        <f t="shared" ca="1" si="13"/>
        <v>0.1274423376638999</v>
      </c>
      <c r="M31" s="9">
        <f t="shared" ca="1" si="13"/>
        <v>0.1302014740446959</v>
      </c>
      <c r="N31" s="9">
        <f t="shared" ca="1" si="13"/>
        <v>0.13228807075715962</v>
      </c>
      <c r="O31" s="9">
        <f t="shared" ca="1" si="13"/>
        <v>0.13385734198945487</v>
      </c>
      <c r="P31" s="9">
        <f t="shared" ca="1" si="13"/>
        <v>0.13504874608101988</v>
      </c>
      <c r="Q31" s="9">
        <f t="shared" ca="1" si="13"/>
        <v>0.13596833322260696</v>
      </c>
      <c r="R31" s="9">
        <f t="shared" ca="1" si="13"/>
        <v>0.13669187884252881</v>
      </c>
      <c r="S31" s="9">
        <f t="shared" ca="1" si="13"/>
        <v>0.13814049571219883</v>
      </c>
      <c r="T31" s="9">
        <f t="shared" ca="1" si="13"/>
        <v>0.13940242151653032</v>
      </c>
      <c r="U31" s="9">
        <f t="shared" ca="1" si="13"/>
        <v>0.14031514758131775</v>
      </c>
    </row>
    <row r="32" spans="1:21" x14ac:dyDescent="0.25">
      <c r="A32" t="s">
        <v>42</v>
      </c>
      <c r="B32" s="7">
        <v>1000000</v>
      </c>
      <c r="C32" s="8">
        <f ca="1">($B$32*C31)</f>
        <v>119006.0380416368</v>
      </c>
      <c r="D32" s="8">
        <f t="shared" ref="D32:Q32" ca="1" si="14">($B$32*D31)</f>
        <v>118757.16185011115</v>
      </c>
      <c r="E32" s="8">
        <f t="shared" ca="1" si="14"/>
        <v>118087.36311792079</v>
      </c>
      <c r="F32" s="8">
        <f t="shared" ca="1" si="14"/>
        <v>117353.98221939908</v>
      </c>
      <c r="G32" s="8">
        <f t="shared" ca="1" si="14"/>
        <v>116977.80559728888</v>
      </c>
      <c r="H32" s="8">
        <f t="shared" ca="1" si="14"/>
        <v>117014.22122249119</v>
      </c>
      <c r="I32" s="8">
        <f t="shared" ca="1" si="14"/>
        <v>118969.75253476517</v>
      </c>
      <c r="J32" s="8">
        <f t="shared" ca="1" si="14"/>
        <v>120924.16120202171</v>
      </c>
      <c r="K32" s="8">
        <f t="shared" ca="1" si="14"/>
        <v>123926.01860978048</v>
      </c>
      <c r="L32" s="8">
        <f t="shared" ca="1" si="14"/>
        <v>127442.3376638999</v>
      </c>
      <c r="M32" s="8">
        <f t="shared" ca="1" si="14"/>
        <v>130201.4740446959</v>
      </c>
      <c r="N32" s="8">
        <f t="shared" ca="1" si="14"/>
        <v>132288.07075715961</v>
      </c>
      <c r="O32" s="8">
        <f t="shared" ca="1" si="14"/>
        <v>133857.34198945487</v>
      </c>
      <c r="P32" s="8">
        <f t="shared" ca="1" si="14"/>
        <v>135048.74608101987</v>
      </c>
      <c r="Q32" s="8">
        <f t="shared" ca="1" si="14"/>
        <v>135968.33322260695</v>
      </c>
      <c r="R32" s="8">
        <f ca="1">($B$32*R31)+B32</f>
        <v>1136691.8788425289</v>
      </c>
      <c r="S32" s="8"/>
      <c r="T32" s="8"/>
      <c r="U32" s="8"/>
    </row>
    <row r="33" spans="1:21" x14ac:dyDescent="0.25">
      <c r="A33" t="s">
        <v>43</v>
      </c>
      <c r="B33" t="s">
        <v>44</v>
      </c>
      <c r="C33" s="8">
        <f t="shared" ref="C33:S33" ca="1" si="15">C27-C32</f>
        <v>64863.961958363201</v>
      </c>
      <c r="D33" s="8">
        <f t="shared" ca="1" si="15"/>
        <v>73042.838149888848</v>
      </c>
      <c r="E33" s="8">
        <f t="shared" ca="1" si="15"/>
        <v>74962.636882079212</v>
      </c>
      <c r="F33" s="8">
        <f t="shared" ca="1" si="15"/>
        <v>79386.608275080842</v>
      </c>
      <c r="G33" s="8">
        <f t="shared" ca="1" si="15"/>
        <v>78799.665491517808</v>
      </c>
      <c r="H33" s="8">
        <f t="shared" ca="1" si="15"/>
        <v>77024.060579005498</v>
      </c>
      <c r="I33" s="8">
        <f t="shared" ca="1" si="15"/>
        <v>67445.427932326274</v>
      </c>
      <c r="J33" s="8">
        <f t="shared" ca="1" si="15"/>
        <v>50406.960505803771</v>
      </c>
      <c r="K33" s="8">
        <f t="shared" ca="1" si="15"/>
        <v>40194.996690438114</v>
      </c>
      <c r="L33" s="8">
        <f t="shared" ca="1" si="15"/>
        <v>33319.839457871305</v>
      </c>
      <c r="M33" s="8">
        <f t="shared" ca="1" si="15"/>
        <v>28838.648956250254</v>
      </c>
      <c r="N33" s="8">
        <f t="shared" ca="1" si="15"/>
        <v>25802.335745381017</v>
      </c>
      <c r="O33" s="8">
        <f t="shared" ca="1" si="15"/>
        <v>23733.26085582326</v>
      </c>
      <c r="P33" s="8">
        <f t="shared" ca="1" si="15"/>
        <v>22307.909858325322</v>
      </c>
      <c r="Q33" s="8">
        <f t="shared" ca="1" si="15"/>
        <v>21126.522956817789</v>
      </c>
      <c r="R33" s="8">
        <f t="shared" ca="1" si="15"/>
        <v>-979063.43391951127</v>
      </c>
      <c r="S33" s="8">
        <f t="shared" ca="1" si="15"/>
        <v>1157526.2553412307</v>
      </c>
      <c r="T33" s="8"/>
      <c r="U33" s="8"/>
    </row>
    <row r="34" spans="1:21" x14ac:dyDescent="0.25">
      <c r="A34" t="s">
        <v>60</v>
      </c>
      <c r="C34" s="15">
        <f ca="1">C33</f>
        <v>64863.961958363201</v>
      </c>
      <c r="D34" s="15">
        <f ca="1">SUM($C$33:D33)</f>
        <v>137906.80010825203</v>
      </c>
      <c r="E34" s="15">
        <f ca="1">SUM($C$33:E33)</f>
        <v>212869.43699033125</v>
      </c>
      <c r="F34" s="15">
        <f ca="1">SUM($C$33:F33)</f>
        <v>292256.04526541207</v>
      </c>
      <c r="G34" s="15">
        <f ca="1">SUM($C$33:G33)</f>
        <v>371055.71075692988</v>
      </c>
      <c r="H34" s="15">
        <f ca="1">SUM($C$33:H33)</f>
        <v>448079.77133593539</v>
      </c>
      <c r="I34" s="15">
        <f ca="1">SUM($C$33:I33)</f>
        <v>515525.19926826167</v>
      </c>
      <c r="J34" s="15">
        <f ca="1">SUM($C$33:J33)</f>
        <v>565932.15977406548</v>
      </c>
      <c r="K34" s="15">
        <f ca="1">SUM($C$33:K33)</f>
        <v>606127.15646450361</v>
      </c>
      <c r="L34" s="15">
        <f ca="1">SUM($C$33:L33)</f>
        <v>639446.99592237489</v>
      </c>
      <c r="M34" s="15">
        <f ca="1">SUM($C$33:M33)</f>
        <v>668285.64487862517</v>
      </c>
      <c r="N34" s="15">
        <f ca="1">SUM($C$33:N33)</f>
        <v>694087.98062400613</v>
      </c>
      <c r="O34" s="15">
        <f ca="1">SUM($C$33:O33)</f>
        <v>717821.24147982942</v>
      </c>
      <c r="P34" s="15">
        <f ca="1">SUM($C$33:P33)</f>
        <v>740129.15133815468</v>
      </c>
      <c r="Q34" s="15">
        <f ca="1">SUM($C$33:Q33)</f>
        <v>761255.67429497244</v>
      </c>
      <c r="R34" s="15">
        <f ca="1">SUM($C$33:R33)</f>
        <v>-217807.75962453883</v>
      </c>
      <c r="S34" s="25">
        <f ca="1">SUM($C$33:S33)</f>
        <v>939718.49571669183</v>
      </c>
    </row>
    <row r="35" spans="1:21" x14ac:dyDescent="0.25">
      <c r="A35" t="s">
        <v>67</v>
      </c>
      <c r="B35" t="s">
        <v>75</v>
      </c>
      <c r="C35" s="9">
        <f t="shared" ref="C35:U35" ca="1" si="16">(OFFSET(C5,$B$23,0)/100)</f>
        <v>0.11387</v>
      </c>
      <c r="D35" s="9">
        <f t="shared" ca="1" si="16"/>
        <v>0.12179999999999999</v>
      </c>
      <c r="E35" s="9">
        <f t="shared" ca="1" si="16"/>
        <v>0.12304999999999999</v>
      </c>
      <c r="F35" s="9">
        <f t="shared" ca="1" si="16"/>
        <v>0.12509999999999999</v>
      </c>
      <c r="G35" s="9">
        <f t="shared" ca="1" si="16"/>
        <v>0.12504999999999999</v>
      </c>
      <c r="H35" s="9">
        <f t="shared" ca="1" si="16"/>
        <v>0.12385</v>
      </c>
      <c r="I35" s="9">
        <f t="shared" ca="1" si="16"/>
        <v>0.1173</v>
      </c>
      <c r="J35" s="9">
        <f t="shared" ca="1" si="16"/>
        <v>0.10339999999999999</v>
      </c>
      <c r="K35" s="9">
        <f t="shared" ca="1" si="16"/>
        <v>9.605000000000001E-2</v>
      </c>
      <c r="L35" s="9">
        <f t="shared" ca="1" si="16"/>
        <v>9.2300000000000007E-2</v>
      </c>
      <c r="M35" s="9">
        <f t="shared" ca="1" si="16"/>
        <v>9.0299999999999991E-2</v>
      </c>
      <c r="N35" s="9">
        <f t="shared" ca="1" si="16"/>
        <v>8.9149999999999993E-2</v>
      </c>
      <c r="O35" s="9">
        <f t="shared" ca="1" si="16"/>
        <v>8.8499999999999995E-2</v>
      </c>
      <c r="P35" s="9">
        <f t="shared" ca="1" si="16"/>
        <v>8.8149999999999992E-2</v>
      </c>
      <c r="Q35" s="9">
        <f t="shared" ca="1" si="16"/>
        <v>8.7799999999999989E-2</v>
      </c>
      <c r="R35" s="9">
        <f t="shared" ca="1" si="16"/>
        <v>8.8249999999999995E-2</v>
      </c>
      <c r="S35" s="9">
        <f t="shared" ca="1" si="16"/>
        <v>8.8000000000000009E-2</v>
      </c>
      <c r="T35" s="9">
        <f t="shared" ca="1" si="16"/>
        <v>8.77E-2</v>
      </c>
      <c r="U35" s="9">
        <f t="shared" ca="1" si="16"/>
        <v>8.6400000000000005E-2</v>
      </c>
    </row>
    <row r="36" spans="1:21" ht="30" x14ac:dyDescent="0.25">
      <c r="A36" t="s">
        <v>76</v>
      </c>
      <c r="B36" s="10" t="s">
        <v>45</v>
      </c>
      <c r="C36" s="8">
        <f t="shared" ref="C36:S36" ca="1" si="17">(EXP(-(C$35/100)*C$3))*C$33</f>
        <v>64863.755149031145</v>
      </c>
      <c r="D36" s="8">
        <f t="shared" ca="1" si="17"/>
        <v>73039.128354525674</v>
      </c>
      <c r="E36" s="8">
        <f t="shared" ca="1" si="17"/>
        <v>74947.261796870574</v>
      </c>
      <c r="F36" s="8">
        <f t="shared" ca="1" si="17"/>
        <v>79349.374766741457</v>
      </c>
      <c r="G36" s="8">
        <f t="shared" ca="1" si="17"/>
        <v>78738.102688679894</v>
      </c>
      <c r="H36" s="8">
        <f t="shared" ca="1" si="17"/>
        <v>76940.635778727767</v>
      </c>
      <c r="I36" s="8">
        <f t="shared" ca="1" si="17"/>
        <v>67346.608538292974</v>
      </c>
      <c r="J36" s="8">
        <f t="shared" ca="1" si="17"/>
        <v>50315.831584525258</v>
      </c>
      <c r="K36" s="8">
        <f t="shared" ca="1" si="17"/>
        <v>40098.594244143664</v>
      </c>
      <c r="L36" s="8">
        <f t="shared" ca="1" si="17"/>
        <v>33212.373394522278</v>
      </c>
      <c r="M36" s="8">
        <f t="shared" ca="1" si="17"/>
        <v>28721.700876398598</v>
      </c>
      <c r="N36" s="8">
        <f t="shared" ca="1" si="17"/>
        <v>25676.130104393495</v>
      </c>
      <c r="O36" s="8">
        <f t="shared" ca="1" si="17"/>
        <v>23597.12720257289</v>
      </c>
      <c r="P36" s="8">
        <f t="shared" ca="1" si="17"/>
        <v>22160.913140717439</v>
      </c>
      <c r="Q36" s="8">
        <f t="shared" ca="1" si="17"/>
        <v>20969.442590444673</v>
      </c>
      <c r="R36" s="8">
        <f t="shared" ca="1" si="17"/>
        <v>-970889.52274605387</v>
      </c>
      <c r="S36" s="8">
        <f t="shared" ca="1" si="17"/>
        <v>1144863.2407976063</v>
      </c>
    </row>
    <row r="37" spans="1:21" x14ac:dyDescent="0.25">
      <c r="A37" t="s">
        <v>60</v>
      </c>
      <c r="C37" s="15">
        <f ca="1">C36</f>
        <v>64863.755149031145</v>
      </c>
      <c r="D37" s="15">
        <f ca="1">SUM($C$36:D36)</f>
        <v>137902.88350355683</v>
      </c>
      <c r="E37" s="15">
        <f ca="1">SUM($C$36:E36)</f>
        <v>212850.14530042739</v>
      </c>
      <c r="F37" s="15">
        <f ca="1">SUM($C$36:F36)</f>
        <v>292199.52006716887</v>
      </c>
      <c r="G37" s="15">
        <f ca="1">SUM($C$36:G36)</f>
        <v>370937.62275584874</v>
      </c>
      <c r="H37" s="15">
        <f ca="1">SUM($C$36:H36)</f>
        <v>447878.25853457651</v>
      </c>
      <c r="I37" s="15">
        <f ca="1">SUM($C$36:I36)</f>
        <v>515224.8670728695</v>
      </c>
      <c r="J37" s="15">
        <f ca="1">SUM($C$36:J36)</f>
        <v>565540.69865739474</v>
      </c>
      <c r="K37" s="15">
        <f ca="1">SUM($C$36:K36)</f>
        <v>605639.29290153843</v>
      </c>
      <c r="L37" s="15">
        <f ca="1">SUM($C$36:L36)</f>
        <v>638851.66629606066</v>
      </c>
      <c r="M37" s="15">
        <f ca="1">SUM($C$36:M36)</f>
        <v>667573.36717245926</v>
      </c>
      <c r="N37" s="15">
        <f ca="1">SUM($C$36:N36)</f>
        <v>693249.49727685272</v>
      </c>
      <c r="O37" s="15">
        <f ca="1">SUM($C$36:O36)</f>
        <v>716846.62447942561</v>
      </c>
      <c r="P37" s="15">
        <f ca="1">SUM($C$36:P36)</f>
        <v>739007.53762014303</v>
      </c>
      <c r="Q37" s="15">
        <f ca="1">SUM($C$36:Q36)</f>
        <v>759976.98021058773</v>
      </c>
      <c r="R37" s="15">
        <f ca="1">SUM($C$36:R36)</f>
        <v>-210912.54253546614</v>
      </c>
      <c r="S37" s="17">
        <f ca="1">SUM($C$36:S36)</f>
        <v>933950.69826214015</v>
      </c>
    </row>
    <row r="38" spans="1:21" x14ac:dyDescent="0.25">
      <c r="B38" s="1"/>
    </row>
    <row r="39" spans="1:21" x14ac:dyDescent="0.25">
      <c r="C39" s="1" t="s">
        <v>46</v>
      </c>
      <c r="D39" t="s">
        <v>77</v>
      </c>
    </row>
    <row r="40" spans="1:21" x14ac:dyDescent="0.25">
      <c r="A40" t="s">
        <v>49</v>
      </c>
      <c r="C40" s="15">
        <v>750000</v>
      </c>
      <c r="D40" s="15">
        <f>C40-C40</f>
        <v>0</v>
      </c>
      <c r="E40" s="15"/>
    </row>
    <row r="41" spans="1:21" x14ac:dyDescent="0.25">
      <c r="A41" t="s">
        <v>70</v>
      </c>
      <c r="B41" s="1">
        <f ca="1">B24</f>
        <v>45393</v>
      </c>
      <c r="C41" s="15">
        <f ca="1">S37</f>
        <v>933950.69826214015</v>
      </c>
      <c r="D41" s="15">
        <f ca="1">$C$40-C41</f>
        <v>-183950.69826214015</v>
      </c>
      <c r="E41" s="15"/>
    </row>
    <row r="45" spans="1:21" x14ac:dyDescent="0.25">
      <c r="B45" t="s">
        <v>21</v>
      </c>
      <c r="C45" s="2">
        <v>2.8E-3</v>
      </c>
      <c r="D45" s="2">
        <v>4.1700000000000001E-2</v>
      </c>
      <c r="E45" s="2">
        <v>0.16669999999999999</v>
      </c>
      <c r="F45" s="2">
        <v>0.375</v>
      </c>
      <c r="G45" s="2">
        <v>0.625</v>
      </c>
      <c r="H45" s="2">
        <v>0.875</v>
      </c>
      <c r="I45">
        <v>1.25</v>
      </c>
      <c r="J45">
        <v>1.75</v>
      </c>
      <c r="K45">
        <v>2.5</v>
      </c>
      <c r="L45">
        <v>3.5</v>
      </c>
      <c r="M45">
        <v>4.5</v>
      </c>
      <c r="N45">
        <v>5.5</v>
      </c>
      <c r="O45">
        <v>6.5</v>
      </c>
      <c r="P45">
        <v>7.5</v>
      </c>
      <c r="Q45">
        <v>8.5</v>
      </c>
      <c r="R45">
        <v>9.5</v>
      </c>
      <c r="S45">
        <v>12.5</v>
      </c>
    </row>
    <row r="46" spans="1:21" x14ac:dyDescent="0.25">
      <c r="B46" s="1" t="s">
        <v>78</v>
      </c>
      <c r="C46">
        <v>4.79</v>
      </c>
      <c r="D46">
        <v>2.2599999999999998</v>
      </c>
      <c r="E46">
        <v>5.8780000000000001</v>
      </c>
      <c r="F46">
        <v>7.1050000000000004</v>
      </c>
      <c r="G46">
        <v>7.7549999999999999</v>
      </c>
      <c r="H46">
        <v>8.2650000000000006</v>
      </c>
      <c r="I46">
        <v>8.6950000000000003</v>
      </c>
      <c r="J46">
        <v>8.3049999999999997</v>
      </c>
      <c r="K46">
        <v>8.1950000000000003</v>
      </c>
      <c r="L46">
        <v>8.1549999999999994</v>
      </c>
      <c r="M46">
        <v>8.1150000000000002</v>
      </c>
      <c r="N46">
        <v>8.0749999999999993</v>
      </c>
      <c r="O46">
        <v>8.0350000000000001</v>
      </c>
      <c r="P46">
        <v>8.0150000000000006</v>
      </c>
      <c r="Q46">
        <v>8.01</v>
      </c>
      <c r="R46">
        <v>8.01</v>
      </c>
      <c r="S46">
        <v>7.9950000000000001</v>
      </c>
    </row>
    <row r="47" spans="1:21" x14ac:dyDescent="0.25">
      <c r="B47" s="1" t="s">
        <v>79</v>
      </c>
      <c r="C47">
        <v>12.032999999999999</v>
      </c>
      <c r="D47">
        <v>11.35</v>
      </c>
      <c r="E47">
        <v>11.775</v>
      </c>
      <c r="F47">
        <v>12.11</v>
      </c>
      <c r="G47">
        <v>12.36</v>
      </c>
      <c r="H47">
        <v>12.385</v>
      </c>
      <c r="I47">
        <v>12.29</v>
      </c>
      <c r="J47">
        <v>11.124000000000001</v>
      </c>
      <c r="K47">
        <v>10.645</v>
      </c>
      <c r="L47">
        <v>10.305</v>
      </c>
      <c r="M47">
        <v>10.06</v>
      </c>
      <c r="N47">
        <v>9.9049999999999994</v>
      </c>
      <c r="O47">
        <v>9.84</v>
      </c>
      <c r="P47">
        <v>9.7949999999999999</v>
      </c>
      <c r="Q47">
        <v>9.76</v>
      </c>
      <c r="R47">
        <v>9.7799999999999994</v>
      </c>
      <c r="S47">
        <v>9.7100000000000009</v>
      </c>
    </row>
    <row r="48" spans="1:21" x14ac:dyDescent="0.25">
      <c r="B48" s="1" t="s">
        <v>80</v>
      </c>
      <c r="C48">
        <v>11.387</v>
      </c>
      <c r="D48">
        <v>12.18</v>
      </c>
      <c r="E48">
        <v>12.305</v>
      </c>
      <c r="F48">
        <v>12.51</v>
      </c>
      <c r="G48">
        <v>12.505000000000001</v>
      </c>
      <c r="H48">
        <v>12.385</v>
      </c>
      <c r="I48">
        <v>11.73</v>
      </c>
      <c r="J48">
        <v>10.34</v>
      </c>
      <c r="K48">
        <v>9.6050000000000004</v>
      </c>
      <c r="L48">
        <v>9.23</v>
      </c>
      <c r="M48">
        <v>9.0299999999999994</v>
      </c>
      <c r="N48">
        <v>8.9149999999999991</v>
      </c>
      <c r="O48">
        <v>8.85</v>
      </c>
      <c r="P48">
        <v>8.8149999999999995</v>
      </c>
      <c r="Q48">
        <v>8.7799999999999994</v>
      </c>
      <c r="R48">
        <v>8.8249999999999993</v>
      </c>
      <c r="S48">
        <v>8.8000000000000007</v>
      </c>
    </row>
    <row r="50" spans="1:19" x14ac:dyDescent="0.25">
      <c r="B50" s="1" t="s">
        <v>81</v>
      </c>
      <c r="C50">
        <v>4.9531009341594645</v>
      </c>
      <c r="D50">
        <v>5.0433330932905829</v>
      </c>
      <c r="E50">
        <v>5.3190843220515909</v>
      </c>
      <c r="F50">
        <v>5.7344007311439613</v>
      </c>
      <c r="G50">
        <v>6.1689718307886752</v>
      </c>
      <c r="H50">
        <v>6.5441435248464845</v>
      </c>
      <c r="I50">
        <v>7.0151615533165153</v>
      </c>
      <c r="J50">
        <v>7.5088875776394932</v>
      </c>
      <c r="K50">
        <v>8.0445504613100258</v>
      </c>
      <c r="L50">
        <v>8.514481666005036</v>
      </c>
      <c r="M50">
        <v>8.8191039193486631</v>
      </c>
      <c r="N50">
        <v>9.0270299287193474</v>
      </c>
      <c r="O50">
        <v>9.1756826226239578</v>
      </c>
      <c r="P50">
        <v>9.2863043978883706</v>
      </c>
      <c r="Q50">
        <v>9.3714582899189978</v>
      </c>
      <c r="R50">
        <v>9.4388830891454205</v>
      </c>
      <c r="S50">
        <v>9.576663977206632</v>
      </c>
    </row>
    <row r="51" spans="1:19" x14ac:dyDescent="0.25">
      <c r="B51" s="1" t="s">
        <v>82</v>
      </c>
      <c r="C51">
        <v>9.64412975243871</v>
      </c>
      <c r="D51">
        <v>9.7386751200951593</v>
      </c>
      <c r="E51">
        <v>10.016784719632053</v>
      </c>
      <c r="F51">
        <v>10.402849604291649</v>
      </c>
      <c r="G51">
        <v>10.760297205676492</v>
      </c>
      <c r="H51">
        <v>11.026028042292044</v>
      </c>
      <c r="I51">
        <v>11.295609376560277</v>
      </c>
      <c r="J51">
        <v>11.489269045988969</v>
      </c>
      <c r="K51">
        <v>11.575584997542302</v>
      </c>
      <c r="L51">
        <v>11.522452460423072</v>
      </c>
      <c r="M51">
        <v>11.413142744479511</v>
      </c>
      <c r="N51">
        <v>11.302950198656232</v>
      </c>
      <c r="O51">
        <v>11.207645990465341</v>
      </c>
      <c r="P51">
        <v>11.129210233162963</v>
      </c>
      <c r="Q51">
        <v>11.065476515815845</v>
      </c>
      <c r="R51">
        <v>11.013535235197258</v>
      </c>
      <c r="S51">
        <v>10.905146125347381</v>
      </c>
    </row>
    <row r="52" spans="1:19" x14ac:dyDescent="0.25">
      <c r="B52" s="1" t="s">
        <v>83</v>
      </c>
      <c r="C52">
        <v>8.9006038041636799</v>
      </c>
      <c r="D52">
        <v>8.8757161850111146</v>
      </c>
      <c r="E52">
        <v>8.8087363117920781</v>
      </c>
      <c r="F52">
        <v>8.7353982219399082</v>
      </c>
      <c r="G52">
        <v>8.6977805597288889</v>
      </c>
      <c r="H52">
        <v>8.7014221222491202</v>
      </c>
      <c r="I52">
        <v>8.760088061617342</v>
      </c>
      <c r="J52" s="2">
        <v>8.8969191212256415</v>
      </c>
      <c r="K52" s="2">
        <v>9.1506889524229234</v>
      </c>
      <c r="L52" s="2">
        <v>9.4835308553547719</v>
      </c>
      <c r="M52" s="2">
        <v>9.7637285995933905</v>
      </c>
      <c r="N52">
        <v>9.9858140149371479</v>
      </c>
      <c r="O52" s="2">
        <v>10.158999880928668</v>
      </c>
      <c r="P52" s="2">
        <v>10.294471818085819</v>
      </c>
      <c r="Q52">
        <v>10.401717463435974</v>
      </c>
      <c r="R52" s="2">
        <v>10.487946300910428</v>
      </c>
      <c r="S52" s="2">
        <v>10.66616564979193</v>
      </c>
    </row>
    <row r="55" spans="1:19" x14ac:dyDescent="0.25">
      <c r="A55" t="s">
        <v>60</v>
      </c>
    </row>
    <row r="56" spans="1:19" x14ac:dyDescent="0.25">
      <c r="B56" s="1">
        <v>44662</v>
      </c>
      <c r="C56" s="8">
        <v>38368.939197949592</v>
      </c>
      <c r="D56" s="8">
        <v>50535.493604461422</v>
      </c>
      <c r="E56" s="8">
        <v>96120.183491826741</v>
      </c>
      <c r="F56" s="8">
        <v>159628.78717788067</v>
      </c>
      <c r="G56" s="8">
        <v>222286.00850551229</v>
      </c>
      <c r="H56" s="8">
        <v>285067.01265056938</v>
      </c>
      <c r="I56" s="8">
        <v>335155.35339538881</v>
      </c>
      <c r="J56" s="8">
        <v>375964.98385773023</v>
      </c>
      <c r="K56" s="8">
        <v>410973.92153517285</v>
      </c>
      <c r="L56" s="8">
        <v>441861.76260084688</v>
      </c>
      <c r="M56" s="8">
        <v>470086.74400938366</v>
      </c>
      <c r="N56" s="8">
        <v>496438.50115375163</v>
      </c>
      <c r="O56" s="8">
        <v>521375.33819666586</v>
      </c>
      <c r="P56" s="8">
        <v>545381.6111590279</v>
      </c>
      <c r="Q56" s="8">
        <v>568789.14173807006</v>
      </c>
      <c r="R56" s="8">
        <v>-400650.49994021922</v>
      </c>
      <c r="S56" s="8">
        <v>738147.7157855652</v>
      </c>
    </row>
    <row r="57" spans="1:19" x14ac:dyDescent="0.25">
      <c r="B57" s="1">
        <v>45027</v>
      </c>
      <c r="C57" s="8">
        <v>63888.487219603594</v>
      </c>
      <c r="D57" s="8">
        <v>119999.0802694911</v>
      </c>
      <c r="E57" s="8">
        <v>177569.9314248157</v>
      </c>
      <c r="F57" s="8">
        <v>237295.27140677621</v>
      </c>
      <c r="G57" s="8">
        <v>295375.26815301983</v>
      </c>
      <c r="H57" s="8">
        <v>350341.03846132546</v>
      </c>
      <c r="I57" s="8">
        <v>394718.97610005597</v>
      </c>
      <c r="J57" s="8">
        <v>425688.11462187499</v>
      </c>
      <c r="K57" s="8">
        <v>452544.22996942187</v>
      </c>
      <c r="L57" s="8">
        <v>477888.22844280605</v>
      </c>
      <c r="M57" s="8">
        <v>502650.2818842635</v>
      </c>
      <c r="N57" s="8">
        <v>527427.03171788983</v>
      </c>
      <c r="O57" s="8">
        <v>552795.96027439786</v>
      </c>
      <c r="P57" s="8">
        <v>578676.66136105696</v>
      </c>
      <c r="Q57" s="8">
        <v>604954.63639116904</v>
      </c>
      <c r="R57" s="8">
        <v>-358729.05643505394</v>
      </c>
      <c r="S57" s="8">
        <v>794015.14511324931</v>
      </c>
    </row>
    <row r="58" spans="1:19" x14ac:dyDescent="0.25">
      <c r="B58" s="1">
        <v>45393</v>
      </c>
      <c r="C58" s="8">
        <v>64863.755149031145</v>
      </c>
      <c r="D58" s="8">
        <v>137902.88350355683</v>
      </c>
      <c r="E58" s="8">
        <v>212850.14530042739</v>
      </c>
      <c r="F58" s="8">
        <v>292199.52006716887</v>
      </c>
      <c r="G58" s="8">
        <v>370937.62275584874</v>
      </c>
      <c r="H58" s="8">
        <v>447878.25853457651</v>
      </c>
      <c r="I58" s="8">
        <v>515224.8670728695</v>
      </c>
      <c r="J58" s="8">
        <v>565540.69865739474</v>
      </c>
      <c r="K58" s="8">
        <v>605639.29290153843</v>
      </c>
      <c r="L58" s="8">
        <v>638851.66629606066</v>
      </c>
      <c r="M58" s="8">
        <v>667573.36717245926</v>
      </c>
      <c r="N58" s="8">
        <v>693249.49727685272</v>
      </c>
      <c r="O58" s="8">
        <v>716846.62447942561</v>
      </c>
      <c r="P58" s="8">
        <v>739007.53762014303</v>
      </c>
      <c r="Q58" s="8">
        <v>759976.98021058773</v>
      </c>
      <c r="R58" s="8">
        <v>-210912.54253546614</v>
      </c>
      <c r="S58" s="8">
        <v>933950.69826214015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Drop Down 1">
              <controlPr defaultSize="0" autoLine="0" autoPict="0">
                <anchor moveWithCells="1">
                  <from>
                    <xdr:col>23</xdr:col>
                    <xdr:colOff>219075</xdr:colOff>
                    <xdr:row>0</xdr:row>
                    <xdr:rowOff>85725</xdr:rowOff>
                  </from>
                  <to>
                    <xdr:col>26</xdr:col>
                    <xdr:colOff>180975</xdr:colOff>
                    <xdr:row>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GapRisk yield</vt:lpstr>
      <vt:lpstr>GapRisk repricing</vt:lpstr>
      <vt:lpstr>BasisRisk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Alberto Castro Iragorri</dc:creator>
  <cp:lastModifiedBy>Linking data sas nit 901253313 Carlos Castro-Iragorri</cp:lastModifiedBy>
  <dcterms:created xsi:type="dcterms:W3CDTF">2024-05-17T17:45:13Z</dcterms:created>
  <dcterms:modified xsi:type="dcterms:W3CDTF">2024-05-18T23:40:01Z</dcterms:modified>
</cp:coreProperties>
</file>