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el.serrano\OneDrive - Universidad del rosario\Documentos\"/>
    </mc:Choice>
  </mc:AlternateContent>
  <bookViews>
    <workbookView xWindow="0" yWindow="0" windowWidth="19200" windowHeight="7050" activeTab="1"/>
  </bookViews>
  <sheets>
    <sheet name="Modelo 2 Balance inicial" sheetId="2" r:id="rId1"/>
    <sheet name="Balance óptimo" sheetId="1" r:id="rId2"/>
  </sheets>
  <definedNames>
    <definedName name="solver_adj" localSheetId="1" hidden="1">'Balance óptimo'!$D$3:$D$9,'Balance óptimo'!$D$11:$D$14,'Balance óptimo'!$D$16:$D$17</definedName>
    <definedName name="solver_adj" localSheetId="0" hidden="1">'Modelo 2 Balance inicial'!#REF!,'Modelo 2 Balance inicial'!#REF!,'Modelo 2 Balance inicial'!#REF!</definedName>
    <definedName name="solver_cvg" localSheetId="1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0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drv" localSheetId="1" hidden="1">2</definedName>
    <definedName name="solver_drv" localSheetId="0" hidden="1">2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'Balance óptimo'!$K$10</definedName>
    <definedName name="solver_lhs1" localSheetId="0" hidden="1">'Modelo 2 Balance inicial'!#REF!</definedName>
    <definedName name="solver_lhs2" localSheetId="1" hidden="1">'Balance óptimo'!$K$5</definedName>
    <definedName name="solver_lhs2" localSheetId="0" hidden="1">'Modelo 2 Balance inicial'!#REF!</definedName>
    <definedName name="solver_lhs3" localSheetId="1" hidden="1">'Balance óptimo'!$K$6</definedName>
    <definedName name="solver_lhs3" localSheetId="0" hidden="1">'Modelo 2 Balance inicial'!#REF!</definedName>
    <definedName name="solver_lhs4" localSheetId="1" hidden="1">'Balance óptimo'!$K$7</definedName>
    <definedName name="solver_lhs4" localSheetId="0" hidden="1">'Modelo 2 Balance inicial'!#REF!</definedName>
    <definedName name="solver_lhs5" localSheetId="1" hidden="1">'Balance óptimo'!$K$8</definedName>
    <definedName name="solver_lhs5" localSheetId="0" hidden="1">'Modelo 2 Balance inicial'!#REF!</definedName>
    <definedName name="solver_lhs6" localSheetId="1" hidden="1">'Balance óptimo'!$K$9</definedName>
    <definedName name="solver_lhs6" localSheetId="0" hidden="1">'Modelo 2 Balance inicial'!#REF!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0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6</definedName>
    <definedName name="solver_num" localSheetId="0" hidden="1">6</definedName>
    <definedName name="solver_nwt" localSheetId="1" hidden="1">1</definedName>
    <definedName name="solver_nwt" localSheetId="0" hidden="1">1</definedName>
    <definedName name="solver_opt" localSheetId="1" hidden="1">'Balance óptimo'!$K$3</definedName>
    <definedName name="solver_opt" localSheetId="0" hidden="1">'Modelo 2 Balance inicial'!#REF!</definedName>
    <definedName name="solver_pre" localSheetId="1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0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rbv" localSheetId="1" hidden="1">2</definedName>
    <definedName name="solver_rbv" localSheetId="0" hidden="1">2</definedName>
    <definedName name="solver_rel1" localSheetId="1" hidden="1">2</definedName>
    <definedName name="solver_rel1" localSheetId="0" hidden="1">2</definedName>
    <definedName name="solver_rel2" localSheetId="1" hidden="1">3</definedName>
    <definedName name="solver_rel2" localSheetId="0" hidden="1">3</definedName>
    <definedName name="solver_rel3" localSheetId="1" hidden="1">3</definedName>
    <definedName name="solver_rel3" localSheetId="0" hidden="1">3</definedName>
    <definedName name="solver_rel4" localSheetId="1" hidden="1">3</definedName>
    <definedName name="solver_rel4" localSheetId="0" hidden="1">3</definedName>
    <definedName name="solver_rel5" localSheetId="1" hidden="1">3</definedName>
    <definedName name="solver_rel5" localSheetId="0" hidden="1">3</definedName>
    <definedName name="solver_rel6" localSheetId="1" hidden="1">2</definedName>
    <definedName name="solver_rel6" localSheetId="0" hidden="1">2</definedName>
    <definedName name="solver_rhs1" localSheetId="1" hidden="1">'Balance óptimo'!$L$10</definedName>
    <definedName name="solver_rhs1" localSheetId="0" hidden="1">'Modelo 2 Balance inicial'!#REF!</definedName>
    <definedName name="solver_rhs2" localSheetId="1" hidden="1">'Balance óptimo'!$L$5</definedName>
    <definedName name="solver_rhs2" localSheetId="0" hidden="1">'Modelo 2 Balance inicial'!#REF!</definedName>
    <definedName name="solver_rhs3" localSheetId="1" hidden="1">'Balance óptimo'!$L$6</definedName>
    <definedName name="solver_rhs3" localSheetId="0" hidden="1">'Modelo 2 Balance inicial'!#REF!</definedName>
    <definedName name="solver_rhs4" localSheetId="1" hidden="1">'Balance óptimo'!$L$7</definedName>
    <definedName name="solver_rhs4" localSheetId="0" hidden="1">'Modelo 2 Balance inicial'!#REF!</definedName>
    <definedName name="solver_rhs5" localSheetId="1" hidden="1">'Balance óptimo'!$L$8</definedName>
    <definedName name="solver_rhs5" localSheetId="0" hidden="1">'Modelo 2 Balance inicial'!#REF!</definedName>
    <definedName name="solver_rhs6" localSheetId="1" hidden="1">'Balance óptimo'!$L$9</definedName>
    <definedName name="solver_rhs6" localSheetId="0" hidden="1">'Modelo 2 Balance inicial'!#REF!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2</definedName>
    <definedName name="solver_scl" localSheetId="0" hidden="1">2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1</definedName>
    <definedName name="solver_tol" localSheetId="0" hidden="1">1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2" l="1"/>
  <c r="J5" i="2"/>
  <c r="K7" i="1"/>
  <c r="J4" i="2"/>
  <c r="J3" i="2"/>
  <c r="I17" i="1"/>
  <c r="I16" i="1"/>
  <c r="I14" i="1"/>
  <c r="I13" i="1"/>
  <c r="I12" i="1"/>
  <c r="I11" i="1"/>
  <c r="K10" i="1"/>
  <c r="K9" i="1"/>
  <c r="I9" i="1"/>
  <c r="L8" i="1"/>
  <c r="K8" i="1"/>
  <c r="N8" i="1" s="1"/>
  <c r="I8" i="1"/>
  <c r="L7" i="1"/>
  <c r="N7" i="1"/>
  <c r="I7" i="1"/>
  <c r="L6" i="1"/>
  <c r="K6" i="1"/>
  <c r="N6" i="1" s="1"/>
  <c r="I6" i="1"/>
  <c r="L5" i="1"/>
  <c r="K5" i="1"/>
  <c r="N5" i="1" s="1"/>
  <c r="I5" i="1"/>
  <c r="I4" i="1"/>
  <c r="K3" i="1" a="1"/>
  <c r="K3" i="1" s="1"/>
  <c r="I3" i="1"/>
</calcChain>
</file>

<file path=xl/sharedStrings.xml><?xml version="1.0" encoding="utf-8"?>
<sst xmlns="http://schemas.openxmlformats.org/spreadsheetml/2006/main" count="58" uniqueCount="32">
  <si>
    <t>X inicial</t>
  </si>
  <si>
    <t>X</t>
  </si>
  <si>
    <t>margen</t>
  </si>
  <si>
    <t>PNRC</t>
  </si>
  <si>
    <t>NSFR</t>
  </si>
  <si>
    <t>LCR</t>
  </si>
  <si>
    <t>|X - X inicial|</t>
  </si>
  <si>
    <t>Activos</t>
  </si>
  <si>
    <t>Créditos corporativos</t>
  </si>
  <si>
    <t>función objetivo (máx)</t>
  </si>
  <si>
    <t>Créditos minoristas personales</t>
  </si>
  <si>
    <t>Créditos minoristas hipotecarios</t>
  </si>
  <si>
    <t>Solvencia</t>
  </si>
  <si>
    <t>Mercado de capitales</t>
  </si>
  <si>
    <t>Apalancamiento</t>
  </si>
  <si>
    <t>Otros</t>
  </si>
  <si>
    <t>Fondeo estable neto</t>
  </si>
  <si>
    <t>HQLA nivel 1</t>
  </si>
  <si>
    <t>Cobertura de liquidez</t>
  </si>
  <si>
    <t>HQLA nivel 2</t>
  </si>
  <si>
    <t>Pasivos</t>
  </si>
  <si>
    <t>Mercado de capitales / interbancario</t>
  </si>
  <si>
    <t>Depósitos minoristas</t>
  </si>
  <si>
    <t>Costos de ajuste</t>
  </si>
  <si>
    <t>Depósitos mayoristas</t>
  </si>
  <si>
    <t>Patrimonio</t>
  </si>
  <si>
    <t>Patrimonio básico ordinario y adicional</t>
  </si>
  <si>
    <t>Patrimonio adicional</t>
  </si>
  <si>
    <t>Reserva de liquidez</t>
  </si>
  <si>
    <t>Créditos minoristas fuera del balance</t>
  </si>
  <si>
    <t>CFEN</t>
  </si>
  <si>
    <t>Razón de solvencia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</si>
</sst>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10" fontId="0" fillId="0" borderId="0" xfId="0" applyNumberFormat="1"/>
    <xf numFmtId="10" fontId="0" fillId="2" borderId="0" xfId="0" applyNumberFormat="1" applyFill="1"/>
    <xf numFmtId="9" fontId="0" fillId="0" borderId="0" xfId="0" applyNumberFormat="1"/>
    <xf numFmtId="164" fontId="0" fillId="0" borderId="0" xfId="0" applyNumberFormat="1"/>
    <xf numFmtId="10" fontId="2" fillId="0" borderId="0" xfId="1" applyNumberFormat="1" applyFont="1"/>
    <xf numFmtId="10" fontId="0" fillId="0" borderId="0" xfId="1" applyNumberFormat="1" applyFont="1"/>
    <xf numFmtId="9" fontId="0" fillId="2" borderId="0" xfId="0" applyNumberFormat="1" applyFill="1"/>
    <xf numFmtId="10" fontId="0" fillId="3" borderId="0" xfId="0" applyNumberFormat="1" applyFill="1"/>
    <xf numFmtId="0" fontId="0" fillId="0" borderId="0" xfId="0" applyAlignment="1">
      <alignment horizontal="right"/>
    </xf>
    <xf numFmtId="9" fontId="0" fillId="3" borderId="0" xfId="0" applyNumberFormat="1" applyFill="1"/>
    <xf numFmtId="10" fontId="0" fillId="4" borderId="0" xfId="0" applyNumberFormat="1" applyFill="1"/>
    <xf numFmtId="0" fontId="2" fillId="0" borderId="0" xfId="0" applyFont="1"/>
    <xf numFmtId="9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I9" sqref="I9"/>
    </sheetView>
  </sheetViews>
  <sheetFormatPr baseColWidth="10" defaultRowHeight="14.5" x14ac:dyDescent="0.35"/>
  <cols>
    <col min="1" max="1" width="10" bestFit="1" customWidth="1"/>
    <col min="2" max="2" width="33.54296875" bestFit="1" customWidth="1"/>
    <col min="3" max="3" width="8" customWidth="1"/>
    <col min="4" max="4" width="7.1796875" bestFit="1" customWidth="1"/>
    <col min="5" max="5" width="5.26953125" bestFit="1" customWidth="1"/>
    <col min="6" max="7" width="5.26953125" customWidth="1"/>
    <col min="8" max="8" width="4" customWidth="1"/>
    <col min="9" max="9" width="21.1796875" bestFit="1" customWidth="1"/>
    <col min="10" max="10" width="7.81640625" bestFit="1" customWidth="1"/>
  </cols>
  <sheetData>
    <row r="2" spans="1:10" x14ac:dyDescent="0.35">
      <c r="C2" s="1" t="s">
        <v>0</v>
      </c>
      <c r="D2" s="1" t="s">
        <v>2</v>
      </c>
      <c r="E2" s="1" t="s">
        <v>3</v>
      </c>
      <c r="F2" s="1" t="s">
        <v>30</v>
      </c>
      <c r="G2" s="1" t="s">
        <v>5</v>
      </c>
    </row>
    <row r="3" spans="1:10" x14ac:dyDescent="0.35">
      <c r="A3" t="s">
        <v>7</v>
      </c>
      <c r="B3" t="s">
        <v>8</v>
      </c>
      <c r="C3" s="3">
        <v>0.4</v>
      </c>
      <c r="D3" s="3">
        <v>3.3399999999999999E-2</v>
      </c>
      <c r="E3" s="5">
        <v>1</v>
      </c>
      <c r="F3" s="5">
        <v>0.66</v>
      </c>
      <c r="G3" s="5">
        <v>0.19</v>
      </c>
      <c r="I3" s="14" t="s">
        <v>31</v>
      </c>
      <c r="J3" s="3">
        <f>SUM(C16:C17)/SUMPRODUCT(C3:C9,E3:E9)</f>
        <v>8.8430361090641105E-2</v>
      </c>
    </row>
    <row r="4" spans="1:10" x14ac:dyDescent="0.35">
      <c r="B4" t="s">
        <v>10</v>
      </c>
      <c r="C4" s="3">
        <v>0.27</v>
      </c>
      <c r="D4" s="3">
        <v>2.3E-2</v>
      </c>
      <c r="E4" s="5">
        <v>0.75</v>
      </c>
      <c r="F4" s="5">
        <v>0.94</v>
      </c>
      <c r="G4" s="5">
        <v>0.08</v>
      </c>
      <c r="I4" s="14" t="s">
        <v>14</v>
      </c>
      <c r="J4" s="3">
        <f>C16/SUM(C3:C9)</f>
        <v>3.9999999999999994E-2</v>
      </c>
    </row>
    <row r="5" spans="1:10" x14ac:dyDescent="0.35">
      <c r="B5" t="s">
        <v>11</v>
      </c>
      <c r="C5" s="3">
        <v>0.16</v>
      </c>
      <c r="D5" s="3">
        <v>5.0000000000000001E-3</v>
      </c>
      <c r="E5" s="5">
        <v>0.35</v>
      </c>
      <c r="F5" s="5">
        <v>0.65</v>
      </c>
      <c r="G5" s="5">
        <v>0</v>
      </c>
      <c r="I5" s="14" t="s">
        <v>16</v>
      </c>
      <c r="J5" s="3">
        <f>(SUMPRODUCT(C11:C14,F11:F14)+C16+C17)/SUMPRODUCT(C3:C9,F3:F9)</f>
        <v>0.91359177954227011</v>
      </c>
    </row>
    <row r="6" spans="1:10" x14ac:dyDescent="0.35">
      <c r="B6" t="s">
        <v>13</v>
      </c>
      <c r="C6" s="3">
        <v>0.04</v>
      </c>
      <c r="D6" s="3">
        <v>1.1000000000000001E-3</v>
      </c>
      <c r="E6" s="5">
        <v>0.2</v>
      </c>
      <c r="F6" s="5">
        <v>0.01</v>
      </c>
      <c r="G6" s="5">
        <v>0.1</v>
      </c>
      <c r="I6" s="14" t="s">
        <v>18</v>
      </c>
      <c r="J6" s="3">
        <f>SUMPRODUCT(C3:C9,G3:G9)/SUMPRODUCT(C11:C14,G11:G14)</f>
        <v>1.449929478138223</v>
      </c>
    </row>
    <row r="7" spans="1:10" x14ac:dyDescent="0.35">
      <c r="B7" t="s">
        <v>15</v>
      </c>
      <c r="C7" s="3">
        <v>0.02</v>
      </c>
      <c r="D7" s="3">
        <v>2E-3</v>
      </c>
      <c r="E7" s="5">
        <v>0.2</v>
      </c>
      <c r="F7" s="5">
        <v>0.5</v>
      </c>
      <c r="G7" s="5">
        <v>0</v>
      </c>
    </row>
    <row r="8" spans="1:10" x14ac:dyDescent="0.35">
      <c r="B8" t="s">
        <v>17</v>
      </c>
      <c r="C8" s="5">
        <v>7.0000000000000007E-2</v>
      </c>
      <c r="D8" s="3">
        <v>4.0000000000000002E-4</v>
      </c>
      <c r="E8" s="5">
        <v>0</v>
      </c>
      <c r="F8" s="5">
        <v>0.03</v>
      </c>
      <c r="G8" s="5">
        <v>1</v>
      </c>
    </row>
    <row r="9" spans="1:10" x14ac:dyDescent="0.35">
      <c r="B9" t="s">
        <v>19</v>
      </c>
      <c r="C9" s="3">
        <v>0.04</v>
      </c>
      <c r="D9" s="3">
        <v>3.0000000000000001E-3</v>
      </c>
      <c r="E9" s="5">
        <v>0.2</v>
      </c>
      <c r="F9" s="5">
        <v>0.2</v>
      </c>
      <c r="G9" s="5">
        <v>0.85</v>
      </c>
    </row>
    <row r="11" spans="1:10" x14ac:dyDescent="0.35">
      <c r="A11" t="s">
        <v>20</v>
      </c>
      <c r="B11" t="s">
        <v>21</v>
      </c>
      <c r="C11" s="3">
        <v>0.32</v>
      </c>
      <c r="D11" s="3">
        <v>6.7000000000000002E-3</v>
      </c>
      <c r="F11" s="5">
        <v>0</v>
      </c>
      <c r="G11" s="5">
        <v>0.17</v>
      </c>
    </row>
    <row r="12" spans="1:10" x14ac:dyDescent="0.35">
      <c r="B12" t="s">
        <v>22</v>
      </c>
      <c r="C12" s="3">
        <v>0.54</v>
      </c>
      <c r="D12" s="3">
        <v>5.1000000000000004E-3</v>
      </c>
      <c r="F12" s="5">
        <v>0.92</v>
      </c>
      <c r="G12" s="5">
        <v>0.06</v>
      </c>
    </row>
    <row r="13" spans="1:10" x14ac:dyDescent="0.35">
      <c r="B13" t="s">
        <v>24</v>
      </c>
      <c r="C13" s="3">
        <v>0.06</v>
      </c>
      <c r="D13" s="3">
        <v>2.5000000000000001E-3</v>
      </c>
      <c r="F13" s="5">
        <v>0.5</v>
      </c>
      <c r="G13" s="5">
        <v>0.75</v>
      </c>
    </row>
    <row r="14" spans="1:10" x14ac:dyDescent="0.35">
      <c r="B14" t="s">
        <v>15</v>
      </c>
      <c r="C14" s="5">
        <v>0.02</v>
      </c>
      <c r="D14" s="3">
        <v>0</v>
      </c>
      <c r="F14" s="5">
        <v>0</v>
      </c>
      <c r="G14" s="5">
        <v>0.5</v>
      </c>
    </row>
    <row r="15" spans="1:10" x14ac:dyDescent="0.35">
      <c r="C15" s="5"/>
      <c r="D15" s="3"/>
    </row>
    <row r="16" spans="1:10" x14ac:dyDescent="0.35">
      <c r="A16" t="s">
        <v>25</v>
      </c>
      <c r="B16" t="s">
        <v>26</v>
      </c>
      <c r="C16" s="3">
        <v>0.04</v>
      </c>
      <c r="D16" s="5">
        <v>-7.0000000000000007E-2</v>
      </c>
      <c r="F16" s="5">
        <v>1</v>
      </c>
    </row>
    <row r="17" spans="2:7" x14ac:dyDescent="0.35">
      <c r="B17" t="s">
        <v>27</v>
      </c>
      <c r="C17" s="3">
        <v>0.02</v>
      </c>
      <c r="D17" s="5">
        <v>-0.1</v>
      </c>
      <c r="F17" s="5">
        <v>1</v>
      </c>
    </row>
    <row r="19" spans="2:7" x14ac:dyDescent="0.35">
      <c r="B19" t="s">
        <v>28</v>
      </c>
      <c r="C19" s="3">
        <v>5.2999999999999999E-2</v>
      </c>
    </row>
    <row r="20" spans="2:7" x14ac:dyDescent="0.35">
      <c r="B20" t="s">
        <v>29</v>
      </c>
      <c r="C20" s="3">
        <v>0.22</v>
      </c>
      <c r="D20">
        <v>0</v>
      </c>
      <c r="E20" s="5">
        <v>0.6</v>
      </c>
      <c r="F20" s="5">
        <v>0.05</v>
      </c>
      <c r="G20" s="5">
        <v>0.08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0"/>
  <sheetViews>
    <sheetView tabSelected="1" workbookViewId="0">
      <selection activeCell="O17" sqref="O17"/>
    </sheetView>
  </sheetViews>
  <sheetFormatPr baseColWidth="10" defaultRowHeight="14.5" x14ac:dyDescent="0.35"/>
  <cols>
    <col min="1" max="1" width="10" bestFit="1" customWidth="1"/>
    <col min="2" max="2" width="33.54296875" bestFit="1" customWidth="1"/>
    <col min="3" max="3" width="8" customWidth="1"/>
    <col min="4" max="4" width="8.08984375" customWidth="1"/>
    <col min="5" max="5" width="7.1796875" bestFit="1" customWidth="1"/>
    <col min="6" max="6" width="5.26953125" bestFit="1" customWidth="1"/>
    <col min="7" max="8" width="5.26953125" customWidth="1"/>
    <col min="9" max="9" width="11.54296875" bestFit="1" customWidth="1"/>
    <col min="12" max="12" width="6.81640625" bestFit="1" customWidth="1"/>
    <col min="13" max="13" width="5.26953125" bestFit="1" customWidth="1"/>
    <col min="14" max="14" width="5.81640625" customWidth="1"/>
  </cols>
  <sheetData>
    <row r="2" spans="1:15" x14ac:dyDescent="0.35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2" t="s">
        <v>6</v>
      </c>
    </row>
    <row r="3" spans="1:15" x14ac:dyDescent="0.35">
      <c r="A3" t="s">
        <v>7</v>
      </c>
      <c r="B3" t="s">
        <v>8</v>
      </c>
      <c r="C3" s="3">
        <v>0.4</v>
      </c>
      <c r="D3" s="4">
        <v>0.40000108655030536</v>
      </c>
      <c r="E3" s="3">
        <v>3.3399999999999999E-2</v>
      </c>
      <c r="F3" s="5">
        <v>1</v>
      </c>
      <c r="G3" s="5">
        <v>0.66</v>
      </c>
      <c r="H3" s="5">
        <v>0.19</v>
      </c>
      <c r="I3" s="6">
        <f>ABS(D3-C3)</f>
        <v>1.086550305340328E-6</v>
      </c>
      <c r="K3" s="7">
        <f t="array" ref="K3">SUMPRODUCT(D3:D9,E3:E9)+SUMPRODUCT(D11:D14,E11:E14)+SUMPRODUCT(D16:D17,E16:E17)-L12*SUM(I3:I9,I11:I14,I16:I17)</f>
        <v>1.9872630669516188E-2</v>
      </c>
      <c r="L3" t="s">
        <v>9</v>
      </c>
    </row>
    <row r="4" spans="1:15" x14ac:dyDescent="0.35">
      <c r="B4" t="s">
        <v>10</v>
      </c>
      <c r="C4" s="3">
        <v>0.27</v>
      </c>
      <c r="D4" s="4">
        <v>0.27000020415272052</v>
      </c>
      <c r="E4" s="3">
        <v>2.3E-2</v>
      </c>
      <c r="F4" s="5">
        <v>0.75</v>
      </c>
      <c r="G4" s="5">
        <v>0.94</v>
      </c>
      <c r="H4" s="5">
        <v>0.08</v>
      </c>
      <c r="I4" s="6">
        <f t="shared" ref="I4:I17" si="0">ABS(D4-C4)</f>
        <v>2.0415272050655631E-7</v>
      </c>
    </row>
    <row r="5" spans="1:15" x14ac:dyDescent="0.35">
      <c r="B5" t="s">
        <v>11</v>
      </c>
      <c r="C5" s="3">
        <v>0.16</v>
      </c>
      <c r="D5" s="4">
        <v>0.1599998143343063</v>
      </c>
      <c r="E5" s="3">
        <v>5.0000000000000001E-3</v>
      </c>
      <c r="F5" s="5">
        <v>0.35</v>
      </c>
      <c r="G5" s="5">
        <v>0.65</v>
      </c>
      <c r="H5" s="5">
        <v>0</v>
      </c>
      <c r="I5" s="6">
        <f t="shared" si="0"/>
        <v>1.8566569370825903E-7</v>
      </c>
      <c r="K5" s="3">
        <f>D16+D17</f>
        <v>6.1065085928257476E-2</v>
      </c>
      <c r="L5">
        <f>(SUMPRODUCT(D3:D9,F3:F9))*M5</f>
        <v>6.1065085911384792E-2</v>
      </c>
      <c r="M5" s="5">
        <v>0.09</v>
      </c>
      <c r="N5" s="8">
        <f>(K5/L5)*M5</f>
        <v>9.0000000024867591E-2</v>
      </c>
      <c r="O5" t="s">
        <v>12</v>
      </c>
    </row>
    <row r="6" spans="1:15" x14ac:dyDescent="0.35">
      <c r="B6" t="s">
        <v>13</v>
      </c>
      <c r="C6" s="3">
        <v>0.04</v>
      </c>
      <c r="D6" s="4">
        <v>3.9999129059872116E-2</v>
      </c>
      <c r="E6" s="3">
        <v>1.1000000000000001E-3</v>
      </c>
      <c r="F6" s="5">
        <v>0.2</v>
      </c>
      <c r="G6" s="5">
        <v>0.01</v>
      </c>
      <c r="H6" s="5">
        <v>0.1</v>
      </c>
      <c r="I6" s="6">
        <f t="shared" si="0"/>
        <v>8.7094012788530017E-7</v>
      </c>
      <c r="K6" s="3">
        <f>D16</f>
        <v>6.0065972995130598E-2</v>
      </c>
      <c r="L6">
        <f>(SUM(D3:D9))*M6</f>
        <v>3.0000000000000013E-2</v>
      </c>
      <c r="M6" s="5">
        <v>0.03</v>
      </c>
      <c r="N6" s="8">
        <f>(K6/L6)*M6</f>
        <v>6.006597299513057E-2</v>
      </c>
      <c r="O6" t="s">
        <v>14</v>
      </c>
    </row>
    <row r="7" spans="1:15" x14ac:dyDescent="0.35">
      <c r="B7" t="s">
        <v>15</v>
      </c>
      <c r="C7" s="3">
        <v>0.02</v>
      </c>
      <c r="D7" s="4">
        <v>1.9999757469800913E-2</v>
      </c>
      <c r="E7" s="3">
        <v>2E-3</v>
      </c>
      <c r="F7" s="5">
        <v>0.2</v>
      </c>
      <c r="G7" s="5">
        <v>0.5</v>
      </c>
      <c r="H7" s="5">
        <v>0</v>
      </c>
      <c r="I7" s="6">
        <f t="shared" si="0"/>
        <v>2.4253019908701545E-7</v>
      </c>
      <c r="K7" s="8">
        <f>SUMPRODUCT(D11:D14,G11:G14)+D16+D17</f>
        <v>0.64230066104547678</v>
      </c>
      <c r="L7" s="8">
        <f>SUMPRODUCT(D3:D9,G3:G9)</f>
        <v>0.64230066081822856</v>
      </c>
      <c r="M7" s="5"/>
      <c r="N7" s="15">
        <f>K7/L7</f>
        <v>1.0000000003538034</v>
      </c>
      <c r="O7" t="s">
        <v>16</v>
      </c>
    </row>
    <row r="8" spans="1:15" x14ac:dyDescent="0.35">
      <c r="B8" t="s">
        <v>17</v>
      </c>
      <c r="C8" s="5">
        <v>7.0000000000000007E-2</v>
      </c>
      <c r="D8" s="9">
        <v>6.9999995517221761E-2</v>
      </c>
      <c r="E8" s="3">
        <v>4.0000000000000002E-4</v>
      </c>
      <c r="F8" s="5">
        <v>0</v>
      </c>
      <c r="G8" s="5">
        <v>0.03</v>
      </c>
      <c r="H8" s="5">
        <v>1</v>
      </c>
      <c r="I8" s="6">
        <f t="shared" si="0"/>
        <v>4.4827782458289889E-9</v>
      </c>
      <c r="K8" s="8">
        <f>SUMPRODUCT(D3:D9,H3:H9)</f>
        <v>0.20560014217839204</v>
      </c>
      <c r="L8" s="8">
        <f>SUMPRODUCT(D11:D14,H11:H14)</f>
        <v>0.11199089574808867</v>
      </c>
      <c r="N8" s="15">
        <f>K8/L8</f>
        <v>1.8358647888741526</v>
      </c>
      <c r="O8" t="s">
        <v>18</v>
      </c>
    </row>
    <row r="9" spans="1:15" x14ac:dyDescent="0.35">
      <c r="B9" t="s">
        <v>19</v>
      </c>
      <c r="C9" s="3">
        <v>0.04</v>
      </c>
      <c r="D9" s="4">
        <v>4.000001291577341E-2</v>
      </c>
      <c r="E9" s="3">
        <v>3.0000000000000001E-3</v>
      </c>
      <c r="F9" s="5">
        <v>0.2</v>
      </c>
      <c r="G9" s="5">
        <v>0.2</v>
      </c>
      <c r="H9" s="5">
        <v>0.85</v>
      </c>
      <c r="I9" s="6">
        <f t="shared" si="0"/>
        <v>1.291577340911676E-8</v>
      </c>
      <c r="K9">
        <f>SUM(D3:D9)</f>
        <v>1.0000000000000004</v>
      </c>
      <c r="L9">
        <v>1</v>
      </c>
    </row>
    <row r="10" spans="1:15" x14ac:dyDescent="0.35">
      <c r="D10" s="8"/>
      <c r="K10">
        <f>SUM(D11:D14,D16:D17)</f>
        <v>0.99999999999999845</v>
      </c>
      <c r="L10">
        <v>1</v>
      </c>
    </row>
    <row r="11" spans="1:15" x14ac:dyDescent="0.35">
      <c r="A11" t="s">
        <v>20</v>
      </c>
      <c r="B11" t="s">
        <v>21</v>
      </c>
      <c r="C11" s="3">
        <v>0.28720000000000001</v>
      </c>
      <c r="D11" s="10">
        <v>0.28719931359734913</v>
      </c>
      <c r="E11" s="3">
        <v>6.7000000000000002E-3</v>
      </c>
      <c r="G11" s="5">
        <v>0</v>
      </c>
      <c r="H11" s="5">
        <v>0.17</v>
      </c>
      <c r="I11" s="6">
        <f t="shared" si="0"/>
        <v>6.8640265088459884E-7</v>
      </c>
    </row>
    <row r="12" spans="1:15" x14ac:dyDescent="0.35">
      <c r="B12" t="s">
        <v>22</v>
      </c>
      <c r="C12" s="3">
        <v>0.61480000000000001</v>
      </c>
      <c r="D12" s="10">
        <v>0.61479841706585148</v>
      </c>
      <c r="E12" s="3">
        <v>5.1000000000000004E-3</v>
      </c>
      <c r="G12" s="5">
        <v>0.92</v>
      </c>
      <c r="H12" s="5">
        <v>0.06</v>
      </c>
      <c r="I12" s="6">
        <f t="shared" si="0"/>
        <v>1.5829341485362747E-6</v>
      </c>
      <c r="K12" s="11" t="s">
        <v>23</v>
      </c>
      <c r="L12">
        <v>0.02</v>
      </c>
    </row>
    <row r="13" spans="1:15" x14ac:dyDescent="0.35">
      <c r="B13" t="s">
        <v>24</v>
      </c>
      <c r="C13" s="3">
        <v>6.6000000000000003E-2</v>
      </c>
      <c r="D13" s="10">
        <v>3.1242062833271956E-2</v>
      </c>
      <c r="E13" s="3">
        <v>2.5000000000000001E-3</v>
      </c>
      <c r="G13" s="5">
        <v>0.5</v>
      </c>
      <c r="H13" s="5">
        <v>0.75</v>
      </c>
      <c r="I13" s="6">
        <f t="shared" si="0"/>
        <v>3.4757937166728051E-2</v>
      </c>
    </row>
    <row r="14" spans="1:15" x14ac:dyDescent="0.35">
      <c r="B14" t="s">
        <v>15</v>
      </c>
      <c r="C14" s="5">
        <v>0.01</v>
      </c>
      <c r="D14" s="12">
        <v>5.6951205752685157E-3</v>
      </c>
      <c r="E14" s="3">
        <v>0</v>
      </c>
      <c r="G14" s="5">
        <v>0</v>
      </c>
      <c r="H14" s="5">
        <v>0.5</v>
      </c>
      <c r="I14" s="6">
        <f t="shared" si="0"/>
        <v>4.3048794247314845E-3</v>
      </c>
    </row>
    <row r="15" spans="1:15" x14ac:dyDescent="0.35">
      <c r="C15" s="5"/>
      <c r="D15" s="8"/>
      <c r="E15" s="3"/>
    </row>
    <row r="16" spans="1:15" x14ac:dyDescent="0.35">
      <c r="A16" t="s">
        <v>25</v>
      </c>
      <c r="B16" t="s">
        <v>26</v>
      </c>
      <c r="C16" s="3">
        <v>2.1000000000000001E-2</v>
      </c>
      <c r="D16" s="13">
        <v>6.0065972995130598E-2</v>
      </c>
      <c r="E16" s="5">
        <v>-7.0000000000000007E-2</v>
      </c>
      <c r="G16" s="5">
        <v>1</v>
      </c>
      <c r="I16" s="6">
        <f t="shared" si="0"/>
        <v>3.9065972995130593E-2</v>
      </c>
    </row>
    <row r="17" spans="2:9" x14ac:dyDescent="0.35">
      <c r="B17" t="s">
        <v>27</v>
      </c>
      <c r="C17" s="3">
        <v>1E-3</v>
      </c>
      <c r="D17" s="13">
        <v>9.991129331268769E-4</v>
      </c>
      <c r="E17" s="5">
        <v>-0.1</v>
      </c>
      <c r="G17" s="5">
        <v>1</v>
      </c>
      <c r="I17" s="6">
        <f t="shared" si="0"/>
        <v>8.8706687312312127E-7</v>
      </c>
    </row>
    <row r="19" spans="2:9" x14ac:dyDescent="0.35">
      <c r="B19" t="s">
        <v>28</v>
      </c>
      <c r="C19" s="3">
        <v>5.2999999999999999E-2</v>
      </c>
    </row>
    <row r="20" spans="2:9" x14ac:dyDescent="0.35">
      <c r="B20" t="s">
        <v>29</v>
      </c>
      <c r="C20" s="3">
        <v>0.22</v>
      </c>
      <c r="D20">
        <v>0</v>
      </c>
      <c r="E20">
        <v>0</v>
      </c>
      <c r="F20" s="5">
        <v>0.6</v>
      </c>
      <c r="G20" s="5">
        <v>0.05</v>
      </c>
      <c r="H20" s="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Modelo 2 Balance inicial</vt:lpstr>
      <vt:lpstr>Balance óptimo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Antonio Serrano Perdomo</dc:creator>
  <cp:lastModifiedBy>Rafael Antonio Serrano Perdomo</cp:lastModifiedBy>
  <dcterms:created xsi:type="dcterms:W3CDTF">2024-07-08T16:46:25Z</dcterms:created>
  <dcterms:modified xsi:type="dcterms:W3CDTF">2024-07-08T17:06:24Z</dcterms:modified>
</cp:coreProperties>
</file>