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20.xml" ContentType="application/vnd.openxmlformats-officedocument.drawingml.chart+xml"/>
  <Override PartName="/xl/drawings/drawing10.xml" ContentType="application/vnd.openxmlformats-officedocument.drawing+xml"/>
  <Override PartName="/xl/charts/chart21.xml" ContentType="application/vnd.openxmlformats-officedocument.drawingml.chart+xml"/>
  <Override PartName="/xl/drawings/drawing11.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5.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16.xml" ContentType="application/vnd.openxmlformats-officedocument.drawing+xml"/>
  <Override PartName="/xl/charts/chart3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workspaces\ms_datascience_su\MBC638\process project\"/>
    </mc:Choice>
  </mc:AlternateContent>
  <xr:revisionPtr revIDLastSave="0" documentId="10_ncr:100000_{1591F8F8-9D47-44F3-A1CA-9A7EFEA41B8B}" xr6:coauthVersionLast="31" xr6:coauthVersionMax="31" xr10:uidLastSave="{00000000-0000-0000-0000-000000000000}"/>
  <bookViews>
    <workbookView xWindow="-15" yWindow="-15" windowWidth="10320" windowHeight="8175" tabRatio="731" firstSheet="24" activeTab="28" xr2:uid="{00000000-000D-0000-FFFF-FFFF00000000}"/>
  </bookViews>
  <sheets>
    <sheet name="Summary" sheetId="29" r:id="rId1"/>
    <sheet name="Define" sheetId="30" r:id="rId2"/>
    <sheet name="Measure" sheetId="31" r:id="rId3"/>
    <sheet name="Measure-SQL" sheetId="37" r:id="rId4"/>
    <sheet name="Measure-Data Measurement Plan" sheetId="35" r:id="rId5"/>
    <sheet name="Measure-Data Collection" sheetId="36" r:id="rId6"/>
    <sheet name="Measure-SoftTools" sheetId="38" r:id="rId7"/>
    <sheet name="Analyze" sheetId="32" r:id="rId8"/>
    <sheet name="Analyze-POInvoiceApprovalCycleT" sheetId="50" r:id="rId9"/>
    <sheet name="Analyze-CorrectionVsWithinThrsh" sheetId="57" r:id="rId10"/>
    <sheet name="Analyze-POInvoiceCorrectionFrq" sheetId="49" r:id="rId11"/>
    <sheet name="Analyze-DevMgrCycleTime" sheetId="47" r:id="rId12"/>
    <sheet name="Analyze-DevTeamCycleTime" sheetId="48" r:id="rId13"/>
    <sheet name="Analyze-ValidationCyTVsApprova" sheetId="56" r:id="rId14"/>
    <sheet name="Analyze-CorrectionVsApprovalCyT" sheetId="51" r:id="rId15"/>
    <sheet name="Analyze-UserStoryVsApprovalCyT" sheetId="52" r:id="rId16"/>
    <sheet name="Analyze-UserStoryVsCorrection" sheetId="53" r:id="rId17"/>
    <sheet name="Analyze-UniquePrjVsApprovalCyT" sheetId="54" r:id="rId18"/>
    <sheet name="Analyze-UniquePrjVsCorrection" sheetId="55" r:id="rId19"/>
    <sheet name="Analyze-HypothesisTesting" sheetId="46" r:id="rId20"/>
    <sheet name="Analyze-Correlation Analysis" sheetId="39" r:id="rId21"/>
    <sheet name="Analyze-Simple Linear Regressio" sheetId="40" r:id="rId22"/>
    <sheet name="Analyze-Control Chart Analysis" sheetId="41" r:id="rId23"/>
    <sheet name="Improve" sheetId="33" r:id="rId24"/>
    <sheet name="Improve-Implemented Solution" sheetId="42" r:id="rId25"/>
    <sheet name="Improve-New SQL, Hypothesis Tes" sheetId="43" r:id="rId26"/>
    <sheet name="Improve-New Control Charts" sheetId="44" r:id="rId27"/>
    <sheet name="Control" sheetId="34" r:id="rId28"/>
    <sheet name="Control (2)" sheetId="58" r:id="rId29"/>
    <sheet name="Control-Time Series, Next Steps" sheetId="45" r:id="rId30"/>
    <sheet name="timeseries_questions" sheetId="23" r:id="rId31"/>
    <sheet name="data" sheetId="20" r:id="rId32"/>
    <sheet name="A1" sheetId="24" r:id="rId33"/>
    <sheet name="A2" sheetId="25" r:id="rId34"/>
    <sheet name="A3" sheetId="26" r:id="rId35"/>
    <sheet name="A4" sheetId="27" r:id="rId36"/>
    <sheet name="A5" sheetId="28" r:id="rId37"/>
  </sheets>
  <definedNames>
    <definedName name="_xlchart.v1.0" hidden="1">'Analyze-POInvoiceApprovalCycleT'!$B$10:$B$46</definedName>
    <definedName name="_xlchart.v1.1" hidden="1">'Analyze-POInvoiceApprovalCycleT'!$B$9</definedName>
    <definedName name="_xlchart.v1.2" hidden="1">'Analyze-POInvoiceApprovalCycleT'!$B$10:$B$46</definedName>
    <definedName name="_xlchart.v1.3" hidden="1">'Analyze-POInvoiceApprovalCycleT'!$B$9</definedName>
    <definedName name="_xlnm.Print_Area" localSheetId="31">data!$A$1:$M$66</definedName>
    <definedName name="_xlnm.Print_Area" localSheetId="30">timeseries_questions!$A$1:$B$14</definedName>
  </definedNames>
  <calcPr calcId="179017"/>
</workbook>
</file>

<file path=xl/calcChain.xml><?xml version="1.0" encoding="utf-8"?>
<calcChain xmlns="http://schemas.openxmlformats.org/spreadsheetml/2006/main">
  <c r="N39" i="58" l="1"/>
  <c r="N40" i="58"/>
  <c r="N41" i="58"/>
  <c r="N42" i="58"/>
  <c r="N43" i="58"/>
  <c r="N44" i="58"/>
  <c r="N45" i="58"/>
  <c r="N46" i="58"/>
  <c r="N47" i="58"/>
  <c r="N48" i="58"/>
  <c r="N49" i="58"/>
  <c r="N50" i="58"/>
  <c r="N51" i="58"/>
  <c r="N52" i="58"/>
  <c r="N53" i="58"/>
  <c r="N54" i="58"/>
  <c r="M40" i="58"/>
  <c r="M41" i="58"/>
  <c r="M42" i="58"/>
  <c r="M43" i="58"/>
  <c r="M44" i="58"/>
  <c r="M45" i="58"/>
  <c r="M46" i="58"/>
  <c r="M47" i="58"/>
  <c r="M48" i="58"/>
  <c r="M49" i="58"/>
  <c r="M50" i="58"/>
  <c r="M51" i="58"/>
  <c r="M52" i="58"/>
  <c r="M53" i="58"/>
  <c r="M54" i="58"/>
  <c r="H42" i="58"/>
  <c r="H41" i="58"/>
  <c r="H40" i="58"/>
  <c r="H43" i="58"/>
  <c r="H44" i="58"/>
  <c r="H45" i="58"/>
  <c r="H46" i="58"/>
  <c r="H47" i="58"/>
  <c r="H48" i="58"/>
  <c r="H49" i="58"/>
  <c r="H50" i="58"/>
  <c r="H51" i="58"/>
  <c r="H52" i="58"/>
  <c r="H53" i="58"/>
  <c r="H54" i="58"/>
  <c r="Q7" i="58"/>
  <c r="Q4" i="58"/>
  <c r="L5" i="58"/>
  <c r="L6" i="58"/>
  <c r="L7" i="58"/>
  <c r="L8" i="58"/>
  <c r="L9" i="58"/>
  <c r="L10" i="58"/>
  <c r="L11" i="58"/>
  <c r="L12" i="58"/>
  <c r="L13" i="58"/>
  <c r="L14" i="58"/>
  <c r="L15" i="58"/>
  <c r="L16" i="58"/>
  <c r="L17" i="58"/>
  <c r="L18" i="58"/>
  <c r="L19" i="58"/>
  <c r="L20" i="58"/>
  <c r="L21" i="58"/>
  <c r="L22" i="58"/>
  <c r="L23" i="58"/>
  <c r="L24" i="58"/>
  <c r="L25" i="58"/>
  <c r="L26" i="58"/>
  <c r="L27" i="58"/>
  <c r="L28" i="58"/>
  <c r="L29" i="58"/>
  <c r="L30" i="58"/>
  <c r="L31" i="58"/>
  <c r="L32" i="58"/>
  <c r="L33" i="58"/>
  <c r="L34" i="58"/>
  <c r="L35" i="58"/>
  <c r="L36" i="58"/>
  <c r="L37" i="58"/>
  <c r="L38" i="58"/>
  <c r="L39" i="58"/>
  <c r="L40" i="58"/>
  <c r="L41" i="58"/>
  <c r="L42" i="58"/>
  <c r="L43" i="58"/>
  <c r="L44" i="58"/>
  <c r="L45" i="58"/>
  <c r="L46" i="58"/>
  <c r="L47" i="58"/>
  <c r="L48" i="58"/>
  <c r="L49" i="58"/>
  <c r="L50" i="58"/>
  <c r="L51" i="58"/>
  <c r="L52" i="58"/>
  <c r="L53" i="58"/>
  <c r="L54" i="58"/>
  <c r="L4" i="58"/>
  <c r="G5" i="58"/>
  <c r="G6" i="58"/>
  <c r="G7" i="58"/>
  <c r="G8" i="58"/>
  <c r="G9" i="58"/>
  <c r="G10" i="58"/>
  <c r="G11" i="58"/>
  <c r="G12" i="58"/>
  <c r="G13" i="58"/>
  <c r="G14" i="58"/>
  <c r="G15" i="58"/>
  <c r="G16" i="58"/>
  <c r="G17" i="58"/>
  <c r="G18" i="58"/>
  <c r="G19" i="58"/>
  <c r="G20" i="58"/>
  <c r="G21" i="58"/>
  <c r="G22" i="58"/>
  <c r="G23" i="58"/>
  <c r="G24" i="58"/>
  <c r="G25" i="58"/>
  <c r="G26" i="58"/>
  <c r="G27" i="58"/>
  <c r="G28" i="58"/>
  <c r="G29" i="58"/>
  <c r="G30" i="58"/>
  <c r="G31" i="58"/>
  <c r="G32" i="58"/>
  <c r="G33" i="58"/>
  <c r="G34" i="58"/>
  <c r="G35" i="58"/>
  <c r="G36" i="58"/>
  <c r="G37" i="58"/>
  <c r="G38" i="58"/>
  <c r="G39" i="58"/>
  <c r="G40" i="58"/>
  <c r="G41" i="58"/>
  <c r="G42" i="58"/>
  <c r="G43" i="58"/>
  <c r="G44" i="58"/>
  <c r="G45" i="58"/>
  <c r="G46" i="58"/>
  <c r="G47" i="58"/>
  <c r="G48" i="58"/>
  <c r="G49" i="58"/>
  <c r="G50" i="58"/>
  <c r="G51" i="58"/>
  <c r="G52" i="58"/>
  <c r="G53" i="58"/>
  <c r="G54" i="58"/>
  <c r="G4" i="58"/>
  <c r="C55" i="58"/>
  <c r="B55" i="58"/>
  <c r="C40" i="58"/>
  <c r="C41" i="58"/>
  <c r="C42" i="58"/>
  <c r="C43" i="58"/>
  <c r="C44" i="58"/>
  <c r="C45" i="58"/>
  <c r="C46" i="58"/>
  <c r="C47" i="58"/>
  <c r="C48" i="58"/>
  <c r="C49" i="58"/>
  <c r="C50" i="58"/>
  <c r="C51" i="58"/>
  <c r="C52" i="58"/>
  <c r="C53" i="58"/>
  <c r="C54" i="58"/>
  <c r="C39" i="58"/>
  <c r="C38" i="58"/>
  <c r="C37" i="58"/>
  <c r="C36" i="58"/>
  <c r="C35" i="58"/>
  <c r="C34" i="58"/>
  <c r="C33" i="58"/>
  <c r="C32" i="58"/>
  <c r="C31" i="58"/>
  <c r="C30" i="58"/>
  <c r="C29" i="58"/>
  <c r="C28" i="58"/>
  <c r="C27" i="58"/>
  <c r="C26" i="58"/>
  <c r="C25" i="58"/>
  <c r="C24" i="58"/>
  <c r="C23" i="58"/>
  <c r="C22" i="58"/>
  <c r="C21" i="58"/>
  <c r="C20" i="58"/>
  <c r="C19" i="58"/>
  <c r="C18" i="58"/>
  <c r="C17" i="58"/>
  <c r="C16" i="58"/>
  <c r="C15" i="58"/>
  <c r="C14" i="58"/>
  <c r="C13" i="58"/>
  <c r="C12" i="58"/>
  <c r="C11" i="58"/>
  <c r="C10" i="58"/>
  <c r="C9" i="58"/>
  <c r="C8" i="58"/>
  <c r="C7" i="58"/>
  <c r="C6" i="58"/>
  <c r="C5" i="58"/>
  <c r="R14" i="58" s="1"/>
  <c r="H11" i="58" s="1"/>
  <c r="N48" i="34"/>
  <c r="N49" i="34"/>
  <c r="N50" i="34"/>
  <c r="N51" i="34"/>
  <c r="N52" i="34"/>
  <c r="N53" i="34"/>
  <c r="N54" i="34"/>
  <c r="N55" i="34"/>
  <c r="N56" i="34"/>
  <c r="N57" i="34"/>
  <c r="N58" i="34"/>
  <c r="N59" i="34"/>
  <c r="N60" i="34"/>
  <c r="N61" i="34"/>
  <c r="M48" i="34"/>
  <c r="M49" i="34"/>
  <c r="M50" i="34"/>
  <c r="M51" i="34"/>
  <c r="M52" i="34"/>
  <c r="M53" i="34"/>
  <c r="M54" i="34"/>
  <c r="M55" i="34"/>
  <c r="M56" i="34"/>
  <c r="M57" i="34"/>
  <c r="M58" i="34"/>
  <c r="M59" i="34"/>
  <c r="M60" i="34"/>
  <c r="M61" i="34"/>
  <c r="N47" i="34"/>
  <c r="M47" i="34"/>
  <c r="H48" i="34"/>
  <c r="H49" i="34"/>
  <c r="H50" i="34"/>
  <c r="H51" i="34"/>
  <c r="H52" i="34"/>
  <c r="H53" i="34"/>
  <c r="H54" i="34"/>
  <c r="H55" i="34"/>
  <c r="H56" i="34"/>
  <c r="H57" i="34"/>
  <c r="H58" i="34"/>
  <c r="H59" i="34"/>
  <c r="H60" i="34"/>
  <c r="H61" i="34"/>
  <c r="H47" i="34"/>
  <c r="S57" i="34"/>
  <c r="S54" i="34"/>
  <c r="S53" i="34"/>
  <c r="R50" i="34"/>
  <c r="Q7" i="34"/>
  <c r="R47" i="34"/>
  <c r="Q4" i="34"/>
  <c r="L48" i="34"/>
  <c r="L49" i="34"/>
  <c r="L50" i="34"/>
  <c r="L51" i="34"/>
  <c r="L52" i="34"/>
  <c r="L53" i="34"/>
  <c r="L54" i="34"/>
  <c r="L55" i="34"/>
  <c r="L56" i="34"/>
  <c r="L57" i="34"/>
  <c r="L58" i="34"/>
  <c r="L59" i="34"/>
  <c r="L60" i="34"/>
  <c r="L61" i="34"/>
  <c r="L47" i="34"/>
  <c r="G48" i="34"/>
  <c r="G49" i="34"/>
  <c r="G50" i="34"/>
  <c r="G51" i="34"/>
  <c r="G52" i="34"/>
  <c r="G53" i="34"/>
  <c r="G54" i="34"/>
  <c r="G55" i="34"/>
  <c r="G56" i="34"/>
  <c r="G57" i="34"/>
  <c r="G58" i="34"/>
  <c r="G59" i="34"/>
  <c r="G60" i="34"/>
  <c r="G61" i="34"/>
  <c r="G47" i="34"/>
  <c r="C62" i="34"/>
  <c r="C49" i="34"/>
  <c r="C50" i="34"/>
  <c r="C51" i="34"/>
  <c r="C52" i="34"/>
  <c r="C53" i="34"/>
  <c r="C54" i="34"/>
  <c r="C55" i="34"/>
  <c r="C56" i="34"/>
  <c r="C57" i="34"/>
  <c r="C58" i="34"/>
  <c r="C59" i="34"/>
  <c r="C60" i="34"/>
  <c r="C61" i="34"/>
  <c r="C48" i="34"/>
  <c r="C5" i="34"/>
  <c r="B62" i="34"/>
  <c r="F40" i="34"/>
  <c r="C40"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L6" i="34"/>
  <c r="L14" i="34"/>
  <c r="L22" i="34"/>
  <c r="L30" i="34"/>
  <c r="L38" i="34"/>
  <c r="B40" i="34"/>
  <c r="L12" i="34" s="1"/>
  <c r="R10" i="58" l="1"/>
  <c r="H36" i="58"/>
  <c r="H28" i="58"/>
  <c r="H20" i="58"/>
  <c r="H39" i="58"/>
  <c r="H31" i="58"/>
  <c r="H23" i="58"/>
  <c r="H15" i="58"/>
  <c r="H12" i="58"/>
  <c r="H37" i="58"/>
  <c r="H29" i="58"/>
  <c r="H21" i="58"/>
  <c r="H35" i="58"/>
  <c r="H7" i="58"/>
  <c r="H4" i="58"/>
  <c r="H30" i="58"/>
  <c r="H34" i="58"/>
  <c r="H26" i="58"/>
  <c r="H18" i="58"/>
  <c r="H9" i="58"/>
  <c r="H6" i="58"/>
  <c r="H32" i="58"/>
  <c r="H24" i="58"/>
  <c r="H16" i="58"/>
  <c r="H13" i="58"/>
  <c r="H27" i="58"/>
  <c r="H19" i="58"/>
  <c r="H10" i="58"/>
  <c r="H38" i="58"/>
  <c r="H22" i="58"/>
  <c r="H33" i="58"/>
  <c r="H25" i="58"/>
  <c r="H17" i="58"/>
  <c r="H14" i="58"/>
  <c r="H8" i="58"/>
  <c r="H5" i="58"/>
  <c r="R14" i="34"/>
  <c r="R11" i="34"/>
  <c r="R10" i="34"/>
  <c r="L34" i="34"/>
  <c r="L26" i="34"/>
  <c r="L18" i="34"/>
  <c r="L10" i="34"/>
  <c r="L33" i="34"/>
  <c r="L25" i="34"/>
  <c r="L17" i="34"/>
  <c r="L9" i="34"/>
  <c r="L4" i="34"/>
  <c r="L32" i="34"/>
  <c r="L16" i="34"/>
  <c r="L8" i="34"/>
  <c r="L37" i="34"/>
  <c r="L29" i="34"/>
  <c r="L21" i="34"/>
  <c r="L13" i="34"/>
  <c r="L36" i="34"/>
  <c r="L28" i="34"/>
  <c r="L20" i="34"/>
  <c r="L35" i="34"/>
  <c r="L27" i="34"/>
  <c r="L19" i="34"/>
  <c r="L11" i="34"/>
  <c r="L24" i="34"/>
  <c r="L39" i="34"/>
  <c r="L31" i="34"/>
  <c r="L23" i="34"/>
  <c r="L15" i="34"/>
  <c r="L7" i="34"/>
  <c r="L5" i="34"/>
  <c r="R11" i="58" l="1"/>
  <c r="H5" i="34"/>
  <c r="H13" i="34"/>
  <c r="H21" i="34"/>
  <c r="H29" i="34"/>
  <c r="H37" i="34"/>
  <c r="H6" i="34"/>
  <c r="H14" i="34"/>
  <c r="H22" i="34"/>
  <c r="H30" i="34"/>
  <c r="H38" i="34"/>
  <c r="H10" i="34"/>
  <c r="H26" i="34"/>
  <c r="H7" i="34"/>
  <c r="H15" i="34"/>
  <c r="H23" i="34"/>
  <c r="H31" i="34"/>
  <c r="H39" i="34"/>
  <c r="H18" i="34"/>
  <c r="H8" i="34"/>
  <c r="H16" i="34"/>
  <c r="H24" i="34"/>
  <c r="H32" i="34"/>
  <c r="H4" i="34"/>
  <c r="H9" i="34"/>
  <c r="H17" i="34"/>
  <c r="H25" i="34"/>
  <c r="H33" i="34"/>
  <c r="H34" i="34"/>
  <c r="H11" i="34"/>
  <c r="H19" i="34"/>
  <c r="H27" i="34"/>
  <c r="H35" i="34"/>
  <c r="H12" i="34"/>
  <c r="H20" i="34"/>
  <c r="H28" i="34"/>
  <c r="H36" i="34"/>
  <c r="N6" i="34"/>
  <c r="N14" i="34"/>
  <c r="N22" i="34"/>
  <c r="N30" i="34"/>
  <c r="N38" i="34"/>
  <c r="N4" i="34"/>
  <c r="N7" i="34"/>
  <c r="N15" i="34"/>
  <c r="N23" i="34"/>
  <c r="N31" i="34"/>
  <c r="N39" i="34"/>
  <c r="N11" i="34"/>
  <c r="N8" i="34"/>
  <c r="N16" i="34"/>
  <c r="N24" i="34"/>
  <c r="N32" i="34"/>
  <c r="N19" i="34"/>
  <c r="N35" i="34"/>
  <c r="N9" i="34"/>
  <c r="N17" i="34"/>
  <c r="N25" i="34"/>
  <c r="N33" i="34"/>
  <c r="N10" i="34"/>
  <c r="N18" i="34"/>
  <c r="N26" i="34"/>
  <c r="N34" i="34"/>
  <c r="N27" i="34"/>
  <c r="N12" i="34"/>
  <c r="N20" i="34"/>
  <c r="N28" i="34"/>
  <c r="N36" i="34"/>
  <c r="N13" i="34"/>
  <c r="N5" i="34"/>
  <c r="N21" i="34"/>
  <c r="N29" i="34"/>
  <c r="N37" i="34"/>
  <c r="M11" i="34"/>
  <c r="M19" i="34"/>
  <c r="M27" i="34"/>
  <c r="M35" i="34"/>
  <c r="M8" i="34"/>
  <c r="M12" i="34"/>
  <c r="M20" i="34"/>
  <c r="M28" i="34"/>
  <c r="M36" i="34"/>
  <c r="M16" i="34"/>
  <c r="M5" i="34"/>
  <c r="M13" i="34"/>
  <c r="M21" i="34"/>
  <c r="M29" i="34"/>
  <c r="M37" i="34"/>
  <c r="M24" i="34"/>
  <c r="M6" i="34"/>
  <c r="M14" i="34"/>
  <c r="M22" i="34"/>
  <c r="M30" i="34"/>
  <c r="M38" i="34"/>
  <c r="M7" i="34"/>
  <c r="M15" i="34"/>
  <c r="M23" i="34"/>
  <c r="M31" i="34"/>
  <c r="M39" i="34"/>
  <c r="M32" i="34"/>
  <c r="M9" i="34"/>
  <c r="M17" i="34"/>
  <c r="M25" i="34"/>
  <c r="M33" i="34"/>
  <c r="M4" i="34"/>
  <c r="M34" i="34"/>
  <c r="M10" i="34"/>
  <c r="M18" i="34"/>
  <c r="M26" i="34"/>
  <c r="N37" i="58" l="1"/>
  <c r="N29" i="58"/>
  <c r="N21" i="58"/>
  <c r="N32" i="58"/>
  <c r="N24" i="58"/>
  <c r="N16" i="58"/>
  <c r="N13" i="58"/>
  <c r="N38" i="58"/>
  <c r="N30" i="58"/>
  <c r="N25" i="58"/>
  <c r="N17" i="58"/>
  <c r="N36" i="58"/>
  <c r="N28" i="58"/>
  <c r="N35" i="58"/>
  <c r="N27" i="58"/>
  <c r="N19" i="58"/>
  <c r="N10" i="58"/>
  <c r="N7" i="58"/>
  <c r="N4" i="58"/>
  <c r="N22" i="58"/>
  <c r="N33" i="58"/>
  <c r="N14" i="58"/>
  <c r="N11" i="58"/>
  <c r="N8" i="58"/>
  <c r="N5" i="58"/>
  <c r="N20" i="58"/>
  <c r="N31" i="58"/>
  <c r="N23" i="58"/>
  <c r="N15" i="58"/>
  <c r="N12" i="58"/>
  <c r="N34" i="58"/>
  <c r="N26" i="58"/>
  <c r="N18" i="58"/>
  <c r="N9" i="58"/>
  <c r="N6" i="58"/>
  <c r="M34" i="58"/>
  <c r="M26" i="58"/>
  <c r="M18" i="58"/>
  <c r="M9" i="58"/>
  <c r="M6" i="58"/>
  <c r="M39" i="58"/>
  <c r="M37" i="58"/>
  <c r="M29" i="58"/>
  <c r="M21" i="58"/>
  <c r="M35" i="58"/>
  <c r="M27" i="58"/>
  <c r="M19" i="58"/>
  <c r="M7" i="58"/>
  <c r="M4" i="58"/>
  <c r="M33" i="58"/>
  <c r="M25" i="58"/>
  <c r="M17" i="58"/>
  <c r="M11" i="58"/>
  <c r="M36" i="58"/>
  <c r="M20" i="58"/>
  <c r="M32" i="58"/>
  <c r="M24" i="58"/>
  <c r="M16" i="58"/>
  <c r="M13" i="58"/>
  <c r="M10" i="58"/>
  <c r="M38" i="58"/>
  <c r="M30" i="58"/>
  <c r="M22" i="58"/>
  <c r="M14" i="58"/>
  <c r="M8" i="58"/>
  <c r="M5" i="58"/>
  <c r="M28" i="58"/>
  <c r="M31" i="58"/>
  <c r="M23" i="58"/>
  <c r="M12" i="58"/>
  <c r="M15" i="58"/>
  <c r="AG84" i="36" l="1"/>
  <c r="AG83" i="36"/>
  <c r="AG82" i="36"/>
  <c r="AG81" i="36"/>
  <c r="AG73" i="36"/>
  <c r="AG74" i="36"/>
  <c r="AG72" i="36"/>
  <c r="AG71" i="36"/>
  <c r="M70" i="36"/>
  <c r="L70" i="36"/>
  <c r="D18" i="47"/>
  <c r="E55" i="47"/>
  <c r="E58" i="47" s="1"/>
  <c r="D55" i="47"/>
  <c r="D58" i="47" s="1"/>
  <c r="D15" i="47"/>
  <c r="Z56" i="36"/>
  <c r="L123" i="38"/>
  <c r="I122" i="38"/>
  <c r="C143" i="38"/>
  <c r="H122" i="38"/>
  <c r="B143" i="38"/>
  <c r="I121" i="38"/>
  <c r="H121" i="38"/>
  <c r="C142" i="38"/>
  <c r="B142" i="38"/>
  <c r="I120" i="38"/>
  <c r="I119" i="38"/>
  <c r="I118" i="38"/>
  <c r="I117" i="38"/>
  <c r="I116" i="38"/>
  <c r="I115" i="38"/>
  <c r="I114" i="38"/>
  <c r="I113" i="38"/>
  <c r="I112" i="38"/>
  <c r="I111" i="38"/>
  <c r="I110" i="38"/>
  <c r="I109" i="38"/>
  <c r="I108" i="38"/>
  <c r="I107" i="38"/>
  <c r="I106" i="38"/>
  <c r="E18" i="48"/>
  <c r="D18" i="48"/>
  <c r="E15" i="48"/>
  <c r="D15" i="48"/>
  <c r="E18" i="47"/>
  <c r="E15" i="47"/>
  <c r="D13" i="49"/>
  <c r="S4" i="36"/>
  <c r="AG75" i="36" l="1"/>
  <c r="N22" i="55"/>
  <c r="R19" i="55"/>
  <c r="Q19" i="55"/>
  <c r="P19" i="55"/>
  <c r="R18" i="55"/>
  <c r="Q18" i="55"/>
  <c r="P18" i="55"/>
  <c r="F18" i="55"/>
  <c r="F19" i="55"/>
  <c r="F20" i="55"/>
  <c r="F21" i="55"/>
  <c r="F22" i="55"/>
  <c r="F23" i="55"/>
  <c r="F24" i="55"/>
  <c r="F25" i="55"/>
  <c r="F26" i="55"/>
  <c r="F27" i="55"/>
  <c r="F28" i="55"/>
  <c r="F29" i="55"/>
  <c r="F30" i="55"/>
  <c r="F31" i="55"/>
  <c r="F32" i="55"/>
  <c r="F33" i="55"/>
  <c r="F34" i="55"/>
  <c r="F35" i="55"/>
  <c r="F36" i="55"/>
  <c r="F37" i="55"/>
  <c r="F38" i="55"/>
  <c r="F39" i="55"/>
  <c r="F40" i="55"/>
  <c r="F41" i="55"/>
  <c r="F42" i="55"/>
  <c r="F43" i="55"/>
  <c r="F44" i="55"/>
  <c r="F45" i="55"/>
  <c r="F46" i="55"/>
  <c r="F47" i="55"/>
  <c r="F48" i="55"/>
  <c r="F49" i="55"/>
  <c r="F50" i="55"/>
  <c r="F51" i="55"/>
  <c r="F52" i="55"/>
  <c r="E18" i="55"/>
  <c r="E19" i="55"/>
  <c r="E20" i="55"/>
  <c r="E21" i="55"/>
  <c r="E22" i="55"/>
  <c r="E23" i="55"/>
  <c r="E24" i="55"/>
  <c r="E25" i="55"/>
  <c r="E26" i="55"/>
  <c r="E27" i="55"/>
  <c r="E28" i="55"/>
  <c r="E29" i="55"/>
  <c r="E30" i="55"/>
  <c r="E31" i="55"/>
  <c r="E32" i="55"/>
  <c r="E33" i="55"/>
  <c r="E34" i="55"/>
  <c r="E35" i="55"/>
  <c r="E36" i="55"/>
  <c r="E37" i="55"/>
  <c r="E38" i="55"/>
  <c r="E39" i="55"/>
  <c r="E40" i="55"/>
  <c r="E41" i="55"/>
  <c r="E42" i="55"/>
  <c r="E43" i="55"/>
  <c r="E44" i="55"/>
  <c r="E45" i="55"/>
  <c r="E46" i="55"/>
  <c r="E47" i="55"/>
  <c r="E48" i="55"/>
  <c r="E49" i="55"/>
  <c r="E50" i="55"/>
  <c r="E51" i="55"/>
  <c r="E52" i="55"/>
  <c r="D18" i="55"/>
  <c r="D19" i="55"/>
  <c r="D20" i="55"/>
  <c r="D21" i="55"/>
  <c r="D22" i="55"/>
  <c r="D23" i="55"/>
  <c r="D24" i="55"/>
  <c r="D25" i="55"/>
  <c r="D26" i="55"/>
  <c r="D27" i="55"/>
  <c r="D28" i="55"/>
  <c r="D29" i="55"/>
  <c r="D30" i="55"/>
  <c r="D31" i="55"/>
  <c r="D32" i="55"/>
  <c r="D33" i="55"/>
  <c r="D34" i="55"/>
  <c r="D35" i="55"/>
  <c r="D36" i="55"/>
  <c r="D37" i="55"/>
  <c r="D38" i="55"/>
  <c r="D39" i="55"/>
  <c r="D40" i="55"/>
  <c r="D41" i="55"/>
  <c r="D42" i="55"/>
  <c r="D43" i="55"/>
  <c r="D44" i="55"/>
  <c r="D45" i="55"/>
  <c r="D46" i="55"/>
  <c r="D47" i="55"/>
  <c r="D48" i="55"/>
  <c r="D49" i="55"/>
  <c r="D50" i="55"/>
  <c r="D51" i="55"/>
  <c r="D52" i="55"/>
  <c r="F17" i="55"/>
  <c r="E17" i="55"/>
  <c r="D17" i="55"/>
  <c r="L20" i="55"/>
  <c r="K20" i="55"/>
  <c r="J20" i="55"/>
  <c r="M19" i="55"/>
  <c r="M18" i="55"/>
  <c r="AB4" i="53"/>
  <c r="M19" i="53"/>
  <c r="M20" i="55" l="1"/>
  <c r="R20" i="55"/>
  <c r="Q20" i="55"/>
  <c r="P20" i="55" l="1"/>
  <c r="S20" i="55" s="1"/>
  <c r="S18" i="55"/>
  <c r="S19" i="55"/>
  <c r="Q16" i="53" l="1"/>
  <c r="P16" i="53"/>
  <c r="Q15" i="53"/>
  <c r="P15" i="53"/>
  <c r="O16" i="53"/>
  <c r="O15" i="53"/>
  <c r="L15" i="53"/>
  <c r="L16" i="53"/>
  <c r="I17" i="53"/>
  <c r="L17" i="53" s="1"/>
  <c r="J17" i="53"/>
  <c r="K17" i="53"/>
  <c r="F16" i="53"/>
  <c r="F17" i="53"/>
  <c r="F18" i="53"/>
  <c r="F19" i="53"/>
  <c r="F20" i="53"/>
  <c r="F21" i="53"/>
  <c r="F22" i="53"/>
  <c r="F23" i="53"/>
  <c r="F24" i="53"/>
  <c r="F25" i="53"/>
  <c r="F26" i="53"/>
  <c r="F27" i="53"/>
  <c r="F28" i="53"/>
  <c r="F29" i="53"/>
  <c r="F30" i="53"/>
  <c r="F31" i="53"/>
  <c r="F32" i="53"/>
  <c r="F33" i="53"/>
  <c r="F34" i="53"/>
  <c r="F35" i="53"/>
  <c r="F36" i="53"/>
  <c r="F37" i="53"/>
  <c r="F38" i="53"/>
  <c r="F39" i="53"/>
  <c r="F40" i="53"/>
  <c r="F41" i="53"/>
  <c r="F42" i="53"/>
  <c r="F43" i="53"/>
  <c r="F44" i="53"/>
  <c r="F45" i="53"/>
  <c r="F46" i="53"/>
  <c r="F47" i="53"/>
  <c r="F48" i="53"/>
  <c r="F49" i="53"/>
  <c r="F50"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F15" i="53"/>
  <c r="E15" i="53"/>
  <c r="D15" i="53"/>
  <c r="G51" i="51"/>
  <c r="F51" i="51"/>
  <c r="G50" i="51"/>
  <c r="F50" i="51"/>
  <c r="G21" i="51"/>
  <c r="G25" i="51"/>
  <c r="G31" i="51"/>
  <c r="G34" i="51"/>
  <c r="G36" i="51"/>
  <c r="G39" i="51"/>
  <c r="G40" i="51"/>
  <c r="G42" i="51"/>
  <c r="G43" i="51"/>
  <c r="G45" i="51"/>
  <c r="G49" i="51"/>
  <c r="F15" i="51"/>
  <c r="F16" i="51"/>
  <c r="F17" i="51"/>
  <c r="F18" i="51"/>
  <c r="F19" i="51"/>
  <c r="F20" i="51"/>
  <c r="F22" i="51"/>
  <c r="F23" i="51"/>
  <c r="F24" i="51"/>
  <c r="F26" i="51"/>
  <c r="F27" i="51"/>
  <c r="F28" i="51"/>
  <c r="F29" i="51"/>
  <c r="F30" i="51"/>
  <c r="F32" i="51"/>
  <c r="F33" i="51"/>
  <c r="F35" i="51"/>
  <c r="F37" i="51"/>
  <c r="F38" i="51"/>
  <c r="F41" i="51"/>
  <c r="F44" i="51"/>
  <c r="F46" i="51"/>
  <c r="F47" i="51"/>
  <c r="F48" i="51"/>
  <c r="F14" i="51"/>
  <c r="E49" i="57"/>
  <c r="D14" i="57"/>
  <c r="D15" i="57"/>
  <c r="D16" i="57"/>
  <c r="D17" i="57"/>
  <c r="D18" i="57"/>
  <c r="D19" i="57"/>
  <c r="D20" i="57"/>
  <c r="D21" i="57"/>
  <c r="D22" i="57"/>
  <c r="D23" i="57"/>
  <c r="D24" i="57"/>
  <c r="D25" i="57"/>
  <c r="D26" i="57"/>
  <c r="D27" i="57"/>
  <c r="D28" i="57"/>
  <c r="D29" i="57"/>
  <c r="D30" i="57"/>
  <c r="D31" i="57"/>
  <c r="D32" i="57"/>
  <c r="D33" i="57"/>
  <c r="D34" i="57"/>
  <c r="D35" i="57"/>
  <c r="D36" i="57"/>
  <c r="D37" i="57"/>
  <c r="D38" i="57"/>
  <c r="D39" i="57"/>
  <c r="D40" i="57"/>
  <c r="D41" i="57"/>
  <c r="D42" i="57"/>
  <c r="D43" i="57"/>
  <c r="D44" i="57"/>
  <c r="D45" i="57"/>
  <c r="D46" i="57"/>
  <c r="D47" i="57"/>
  <c r="D48" i="57"/>
  <c r="D13" i="57"/>
  <c r="C47" i="57"/>
  <c r="C46" i="57"/>
  <c r="C45" i="57"/>
  <c r="C44" i="57"/>
  <c r="C43" i="57"/>
  <c r="C42" i="57"/>
  <c r="C41" i="57"/>
  <c r="C40" i="57"/>
  <c r="C39" i="57"/>
  <c r="C38" i="57"/>
  <c r="C37" i="57"/>
  <c r="C36" i="57"/>
  <c r="C35" i="57"/>
  <c r="C34" i="57"/>
  <c r="C33" i="57"/>
  <c r="C32" i="57"/>
  <c r="C31" i="57"/>
  <c r="C30" i="57"/>
  <c r="C29" i="57"/>
  <c r="C28" i="57"/>
  <c r="C27" i="57"/>
  <c r="C26" i="57"/>
  <c r="C25" i="57"/>
  <c r="C24" i="57"/>
  <c r="C23" i="57"/>
  <c r="C22" i="57"/>
  <c r="C21" i="57"/>
  <c r="C20" i="57"/>
  <c r="C19" i="57"/>
  <c r="C18" i="57"/>
  <c r="C17" i="57"/>
  <c r="C16" i="57"/>
  <c r="C15" i="57"/>
  <c r="C14" i="57"/>
  <c r="C13" i="57"/>
  <c r="B49" i="57"/>
  <c r="Q13" i="57"/>
  <c r="S13" i="57" s="1"/>
  <c r="P13" i="57"/>
  <c r="R13" i="57" s="1"/>
  <c r="M12" i="57"/>
  <c r="M12" i="49"/>
  <c r="G13" i="49"/>
  <c r="F13" i="49"/>
  <c r="B49" i="49"/>
  <c r="E13" i="49"/>
  <c r="Q17" i="53" l="1"/>
  <c r="R16" i="53"/>
  <c r="P17" i="53"/>
  <c r="R17" i="53" s="1"/>
  <c r="R15" i="53"/>
  <c r="O17" i="53"/>
  <c r="T9" i="50"/>
  <c r="A29" i="31" l="1"/>
  <c r="U4" i="36"/>
  <c r="U5" i="36"/>
  <c r="U6" i="36"/>
  <c r="U7" i="36"/>
  <c r="U8" i="36"/>
  <c r="U9" i="36"/>
  <c r="U10" i="36"/>
  <c r="U11" i="36"/>
  <c r="U12" i="36"/>
  <c r="U13" i="36"/>
  <c r="U14" i="36"/>
  <c r="U15" i="36"/>
  <c r="U16" i="36"/>
  <c r="U17" i="36"/>
  <c r="U18" i="36"/>
  <c r="U19" i="36"/>
  <c r="U20" i="36"/>
  <c r="U21" i="36"/>
  <c r="U22" i="36"/>
  <c r="U23" i="36"/>
  <c r="U24" i="36"/>
  <c r="U25" i="36"/>
  <c r="U26" i="36"/>
  <c r="U27" i="36"/>
  <c r="U28" i="36"/>
  <c r="U29" i="36"/>
  <c r="U30" i="36"/>
  <c r="U31" i="36"/>
  <c r="U32" i="36"/>
  <c r="U33" i="36"/>
  <c r="U34" i="36"/>
  <c r="U35" i="36"/>
  <c r="U36" i="36"/>
  <c r="U37" i="36"/>
  <c r="U38" i="36"/>
  <c r="U39" i="36"/>
  <c r="R43" i="36"/>
  <c r="I12" i="37" l="1"/>
  <c r="I11" i="37"/>
  <c r="AR64" i="36" l="1"/>
  <c r="AR63" i="36"/>
  <c r="AR62" i="36"/>
  <c r="AR61" i="36"/>
  <c r="AR57" i="36"/>
  <c r="AR56" i="36"/>
  <c r="AR55" i="36"/>
  <c r="AR54" i="36"/>
  <c r="BA50" i="36"/>
  <c r="BA49" i="36"/>
  <c r="BA48" i="36"/>
  <c r="BA47" i="36"/>
  <c r="AR50" i="36"/>
  <c r="AR49" i="36"/>
  <c r="AR48" i="36"/>
  <c r="AR47" i="36"/>
  <c r="AH50" i="36"/>
  <c r="AH49" i="36"/>
  <c r="AH45" i="36"/>
  <c r="AH48" i="36"/>
  <c r="AH51" i="36" s="1"/>
  <c r="AH47" i="36"/>
  <c r="T38" i="36"/>
  <c r="S38" i="36"/>
  <c r="L14" i="37" l="1"/>
  <c r="I14" i="37"/>
  <c r="AR65" i="36"/>
  <c r="AR58" i="36"/>
  <c r="J14" i="37" s="1"/>
  <c r="BA51" i="36"/>
  <c r="AR51" i="36"/>
  <c r="K14" i="37" s="1"/>
  <c r="I13" i="37"/>
  <c r="M69" i="36"/>
  <c r="J69" i="36"/>
  <c r="I69" i="36"/>
  <c r="H69" i="36"/>
  <c r="G69" i="36"/>
  <c r="O70" i="36"/>
  <c r="N71" i="36"/>
  <c r="G71" i="36"/>
  <c r="H71" i="36"/>
  <c r="I71" i="36"/>
  <c r="J71" i="36"/>
  <c r="J72" i="36"/>
  <c r="I72" i="36"/>
  <c r="H72" i="36"/>
  <c r="G72" i="36"/>
  <c r="N72" i="36"/>
  <c r="M72" i="36"/>
  <c r="O72" i="36"/>
  <c r="W72" i="36"/>
  <c r="M71" i="36"/>
  <c r="O71" i="36"/>
  <c r="W71" i="36"/>
  <c r="J70" i="36"/>
  <c r="I70" i="36"/>
  <c r="H70" i="36"/>
  <c r="G70" i="36"/>
  <c r="N70" i="36"/>
  <c r="T67" i="36"/>
  <c r="T66" i="36"/>
  <c r="T65" i="36"/>
  <c r="T64" i="36"/>
  <c r="T63" i="36"/>
  <c r="T62" i="36"/>
  <c r="U57" i="36"/>
  <c r="T59" i="36"/>
  <c r="T60" i="36"/>
  <c r="S59" i="36"/>
  <c r="U59" i="36" s="1"/>
  <c r="T58" i="36"/>
  <c r="S58" i="36"/>
  <c r="U58" i="36" s="1"/>
  <c r="L58" i="36" s="1"/>
  <c r="T57" i="36"/>
  <c r="T56" i="36"/>
  <c r="T55" i="36"/>
  <c r="S55" i="36"/>
  <c r="T54" i="36"/>
  <c r="T61" i="36"/>
  <c r="T53" i="36"/>
  <c r="S65" i="36"/>
  <c r="U65" i="36" s="1"/>
  <c r="S62" i="36"/>
  <c r="U62" i="36" s="1"/>
  <c r="S56" i="36"/>
  <c r="U56" i="36" s="1"/>
  <c r="S66" i="36"/>
  <c r="U66" i="36" s="1"/>
  <c r="S63" i="36"/>
  <c r="U63" i="36" s="1"/>
  <c r="S60" i="36"/>
  <c r="U60" i="36" s="1"/>
  <c r="S57" i="36"/>
  <c r="S54" i="36"/>
  <c r="S67" i="36"/>
  <c r="U67" i="36" s="1"/>
  <c r="S64" i="36"/>
  <c r="U64" i="36" s="1"/>
  <c r="S61" i="36"/>
  <c r="U61" i="36" s="1"/>
  <c r="L61" i="36" s="1"/>
  <c r="S53" i="36"/>
  <c r="R73" i="36"/>
  <c r="R70" i="36"/>
  <c r="R44" i="36"/>
  <c r="R47" i="36" s="1"/>
  <c r="R69" i="36"/>
  <c r="W70" i="36"/>
  <c r="K67" i="36"/>
  <c r="K64" i="36"/>
  <c r="K61" i="36"/>
  <c r="K58" i="36"/>
  <c r="K55" i="36"/>
  <c r="K66" i="36"/>
  <c r="K65" i="36"/>
  <c r="K63" i="36"/>
  <c r="K62" i="36"/>
  <c r="K60" i="36"/>
  <c r="K59" i="36"/>
  <c r="K57" i="36"/>
  <c r="K56" i="36"/>
  <c r="K54" i="36"/>
  <c r="K53" i="36"/>
  <c r="K71" i="36" l="1"/>
  <c r="K72" i="36"/>
  <c r="K70" i="36"/>
  <c r="K69" i="36"/>
  <c r="I15" i="37"/>
  <c r="I16" i="37" s="1"/>
  <c r="L67" i="36"/>
  <c r="L64" i="36"/>
  <c r="L57" i="36"/>
  <c r="T70" i="36"/>
  <c r="S72" i="36"/>
  <c r="U53" i="36"/>
  <c r="L53" i="36" s="1"/>
  <c r="S70" i="36"/>
  <c r="S71" i="36"/>
  <c r="L60" i="36"/>
  <c r="L62" i="36"/>
  <c r="L63" i="36"/>
  <c r="L65" i="36"/>
  <c r="L66" i="36"/>
  <c r="L56" i="36"/>
  <c r="U55" i="36"/>
  <c r="L55" i="36" s="1"/>
  <c r="U54" i="36"/>
  <c r="L54" i="36" s="1"/>
  <c r="U69" i="36"/>
  <c r="U70" i="36"/>
  <c r="L59" i="36"/>
  <c r="L71" i="36" l="1"/>
  <c r="L72" i="36"/>
  <c r="L69" i="36"/>
  <c r="L6" i="36" l="1"/>
  <c r="L9" i="36"/>
  <c r="L12" i="36"/>
  <c r="L15" i="36"/>
  <c r="L18" i="36"/>
  <c r="L21" i="36"/>
  <c r="L24" i="36"/>
  <c r="L27" i="36"/>
  <c r="L30" i="36"/>
  <c r="L33" i="36"/>
  <c r="L36" i="36"/>
  <c r="L39" i="36"/>
  <c r="L37" i="36"/>
  <c r="L35" i="36"/>
  <c r="L34" i="36"/>
  <c r="L32" i="36"/>
  <c r="L31" i="36"/>
  <c r="L29" i="36"/>
  <c r="L28" i="36"/>
  <c r="L26" i="36"/>
  <c r="L25" i="36"/>
  <c r="L23" i="36"/>
  <c r="L22" i="36"/>
  <c r="L20" i="36"/>
  <c r="L19" i="36"/>
  <c r="L17" i="36"/>
  <c r="L16" i="36"/>
  <c r="L14" i="36"/>
  <c r="L13" i="36"/>
  <c r="L11" i="36"/>
  <c r="L10" i="36"/>
  <c r="L8" i="36"/>
  <c r="L7" i="36"/>
  <c r="L5" i="36"/>
  <c r="L4" i="36"/>
  <c r="K6" i="36"/>
  <c r="K9" i="36"/>
  <c r="K12" i="36"/>
  <c r="K15" i="36"/>
  <c r="K18" i="36"/>
  <c r="K21" i="36"/>
  <c r="K24" i="36"/>
  <c r="K27" i="36"/>
  <c r="K30" i="36"/>
  <c r="K33" i="36"/>
  <c r="K42" i="36"/>
  <c r="K41" i="36"/>
  <c r="K40" i="36"/>
  <c r="K39" i="36"/>
  <c r="K38" i="36"/>
  <c r="K37" i="36"/>
  <c r="K36" i="36"/>
  <c r="K35" i="36"/>
  <c r="K34" i="36"/>
  <c r="K32" i="36"/>
  <c r="K31" i="36"/>
  <c r="K29" i="36"/>
  <c r="K28" i="36"/>
  <c r="K26" i="36"/>
  <c r="K25" i="36"/>
  <c r="K23" i="36"/>
  <c r="K22" i="36"/>
  <c r="K20" i="36"/>
  <c r="K19" i="36"/>
  <c r="K17" i="36"/>
  <c r="K16" i="36"/>
  <c r="K14" i="36"/>
  <c r="K13" i="36"/>
  <c r="K11" i="36"/>
  <c r="K10" i="36"/>
  <c r="K8" i="36"/>
  <c r="K7" i="36"/>
  <c r="K5" i="36"/>
  <c r="K4" i="36"/>
  <c r="G46" i="36"/>
  <c r="H46" i="36"/>
  <c r="I46" i="36"/>
  <c r="J46" i="36"/>
  <c r="G45" i="36"/>
  <c r="H45" i="36"/>
  <c r="I45" i="36"/>
  <c r="J45" i="36"/>
  <c r="G44" i="36"/>
  <c r="H44" i="36"/>
  <c r="I44" i="36"/>
  <c r="J44" i="36"/>
  <c r="H43" i="36"/>
  <c r="J43" i="36"/>
  <c r="G43" i="36"/>
  <c r="I43" i="36"/>
  <c r="O46" i="36"/>
  <c r="O45" i="36"/>
  <c r="O44" i="36"/>
  <c r="N46" i="36"/>
  <c r="N45" i="36"/>
  <c r="N44" i="36"/>
  <c r="M46" i="36"/>
  <c r="M45" i="36"/>
  <c r="M44" i="36"/>
  <c r="V44" i="36"/>
  <c r="W44" i="36"/>
  <c r="V43" i="36"/>
  <c r="W43" i="36"/>
  <c r="T4" i="36"/>
  <c r="T42" i="36"/>
  <c r="T41" i="36"/>
  <c r="T40" i="36"/>
  <c r="T39" i="36"/>
  <c r="T37" i="36"/>
  <c r="T36" i="36"/>
  <c r="T35" i="36"/>
  <c r="T34" i="36"/>
  <c r="T33" i="36"/>
  <c r="T32" i="36"/>
  <c r="T31" i="36"/>
  <c r="T30" i="36"/>
  <c r="T29" i="36"/>
  <c r="T28" i="36"/>
  <c r="T27" i="36"/>
  <c r="T26" i="36"/>
  <c r="T25" i="36"/>
  <c r="T24" i="36"/>
  <c r="T23" i="36"/>
  <c r="T22" i="36"/>
  <c r="T21" i="36"/>
  <c r="T20" i="36"/>
  <c r="T19" i="36"/>
  <c r="T18" i="36"/>
  <c r="T17" i="36"/>
  <c r="T16" i="36"/>
  <c r="T15" i="36"/>
  <c r="T14" i="36"/>
  <c r="T13" i="36"/>
  <c r="T12" i="36"/>
  <c r="T11" i="36"/>
  <c r="T10" i="36"/>
  <c r="T9" i="36"/>
  <c r="T8" i="36"/>
  <c r="T7" i="36"/>
  <c r="S42" i="36"/>
  <c r="U42" i="36" s="1"/>
  <c r="L42" i="36" s="1"/>
  <c r="S41" i="36"/>
  <c r="U41" i="36" s="1"/>
  <c r="L41" i="36" s="1"/>
  <c r="S40" i="36"/>
  <c r="U40" i="36" s="1"/>
  <c r="L40" i="36" s="1"/>
  <c r="S39" i="36"/>
  <c r="L38" i="36"/>
  <c r="S37" i="36"/>
  <c r="S36" i="36"/>
  <c r="S35" i="36"/>
  <c r="S34" i="36"/>
  <c r="S33" i="36"/>
  <c r="S32" i="36"/>
  <c r="S31" i="36"/>
  <c r="S30" i="36"/>
  <c r="S29" i="36"/>
  <c r="S28" i="36"/>
  <c r="S27" i="36"/>
  <c r="S26" i="36"/>
  <c r="S25" i="36"/>
  <c r="S24" i="36"/>
  <c r="S23" i="36"/>
  <c r="S22" i="36"/>
  <c r="S21" i="36"/>
  <c r="S20" i="36"/>
  <c r="S19" i="36"/>
  <c r="S18" i="36"/>
  <c r="S17" i="36"/>
  <c r="S16" i="36"/>
  <c r="S15" i="36"/>
  <c r="S14" i="36"/>
  <c r="S13" i="36"/>
  <c r="S12" i="36"/>
  <c r="S11" i="36"/>
  <c r="S10" i="36"/>
  <c r="S9" i="36"/>
  <c r="S8" i="36"/>
  <c r="S7" i="36"/>
  <c r="S6" i="36"/>
  <c r="S5" i="36"/>
  <c r="K43" i="36" l="1"/>
  <c r="K44" i="36"/>
  <c r="U43" i="36"/>
  <c r="U44" i="36"/>
  <c r="L46" i="36"/>
  <c r="L45" i="36"/>
  <c r="L44" i="36"/>
  <c r="K47" i="36" s="1"/>
  <c r="L43" i="36"/>
  <c r="S44" i="36"/>
  <c r="S45" i="36"/>
  <c r="S46" i="36"/>
  <c r="V46" i="36"/>
  <c r="V45" i="36"/>
  <c r="T72" i="36"/>
  <c r="T71" i="36"/>
  <c r="W46" i="36"/>
  <c r="W45" i="36"/>
  <c r="T6" i="36"/>
  <c r="T5" i="36"/>
  <c r="T44" i="36" s="1"/>
  <c r="V72" i="36"/>
  <c r="V71" i="36"/>
  <c r="T45" i="36" l="1"/>
  <c r="T46" i="36"/>
  <c r="W69" i="36" l="1"/>
  <c r="V70" i="36"/>
  <c r="P26" i="27" l="1"/>
  <c r="P7" i="27"/>
  <c r="E35" i="27"/>
  <c r="D35" i="27"/>
  <c r="E8" i="27"/>
  <c r="E9" i="27" s="1"/>
  <c r="E10" i="27" s="1"/>
  <c r="E11" i="27" s="1"/>
  <c r="E12" i="27" s="1"/>
  <c r="E13" i="27" s="1"/>
  <c r="E14" i="27" s="1"/>
  <c r="E15" i="27" s="1"/>
  <c r="E16" i="27" s="1"/>
  <c r="E17" i="27" s="1"/>
  <c r="E18" i="27" s="1"/>
  <c r="E19" i="27" s="1"/>
  <c r="E20" i="27" s="1"/>
  <c r="E21" i="27" s="1"/>
  <c r="E22" i="27" s="1"/>
  <c r="E23" i="27" s="1"/>
  <c r="E24" i="27" s="1"/>
  <c r="E25" i="27" s="1"/>
  <c r="E26" i="27" s="1"/>
  <c r="E27" i="27" s="1"/>
  <c r="E28" i="27" s="1"/>
  <c r="E29" i="27" s="1"/>
  <c r="E30" i="27" s="1"/>
  <c r="E31" i="27" s="1"/>
  <c r="E32" i="27" s="1"/>
  <c r="E33" i="27" s="1"/>
  <c r="E34" i="27" s="1"/>
  <c r="E7" i="27"/>
  <c r="D8" i="27"/>
  <c r="D9" i="27"/>
  <c r="D10" i="27" s="1"/>
  <c r="D11" i="27" s="1"/>
  <c r="D12" i="27" s="1"/>
  <c r="D13" i="27" s="1"/>
  <c r="D14" i="27" s="1"/>
  <c r="D15" i="27" s="1"/>
  <c r="D16" i="27" s="1"/>
  <c r="D17" i="27" s="1"/>
  <c r="D18" i="27" s="1"/>
  <c r="D19" i="27" s="1"/>
  <c r="D20" i="27" s="1"/>
  <c r="D21" i="27" s="1"/>
  <c r="D22" i="27" s="1"/>
  <c r="D23" i="27" s="1"/>
  <c r="D24" i="27" s="1"/>
  <c r="D25" i="27" s="1"/>
  <c r="D26" i="27" s="1"/>
  <c r="D27" i="27" s="1"/>
  <c r="D28" i="27" s="1"/>
  <c r="D29" i="27" s="1"/>
  <c r="D30" i="27" s="1"/>
  <c r="D31" i="27" s="1"/>
  <c r="D32" i="27" s="1"/>
  <c r="D33" i="27" s="1"/>
  <c r="D34" i="27" s="1"/>
  <c r="D7" i="27"/>
  <c r="F29"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F10" i="26"/>
  <c r="G29" i="25"/>
</calcChain>
</file>

<file path=xl/sharedStrings.xml><?xml version="1.0" encoding="utf-8"?>
<sst xmlns="http://schemas.openxmlformats.org/spreadsheetml/2006/main" count="2124" uniqueCount="530">
  <si>
    <t>Year (x)</t>
  </si>
  <si>
    <t>Rushing yards/Game (y)</t>
  </si>
  <si>
    <t>The next tab of this Excel spreadsheet contains the NFL raw data for these problems.</t>
  </si>
  <si>
    <t>In the National Football League, the philosophy for winning (rushing, passing, defense) seems to go through cycles. Consider a time series of the average number of rushing yards in the NFL per regular season from 1980 to 2008.</t>
  </si>
  <si>
    <t>1) Make a time series plot. Is there evidence that the average rushing yards is trending in one direction? Describe the general movement of the series.</t>
  </si>
  <si>
    <r>
      <t xml:space="preserve">2) Fit a </t>
    </r>
    <r>
      <rPr>
        <b/>
        <i/>
        <sz val="12"/>
        <color theme="1"/>
        <rFont val="Arial"/>
        <family val="2"/>
      </rPr>
      <t>first order autoregressive model</t>
    </r>
    <r>
      <rPr>
        <i/>
        <sz val="12"/>
        <color theme="1"/>
        <rFont val="Arial"/>
        <family val="2"/>
      </rPr>
      <t xml:space="preserve"> [</t>
    </r>
    <r>
      <rPr>
        <b/>
        <i/>
        <sz val="12"/>
        <color theme="1"/>
        <rFont val="Arial"/>
        <family val="2"/>
      </rPr>
      <t>AR(1)</t>
    </r>
    <r>
      <rPr>
        <i/>
        <sz val="12"/>
        <color theme="1"/>
        <rFont val="Arial"/>
        <family val="2"/>
      </rPr>
      <t>] using y(t) as the response variable and y (t-1) as the input variable. Record the regression equation.</t>
    </r>
  </si>
  <si>
    <r>
      <t xml:space="preserve">3) Based on the </t>
    </r>
    <r>
      <rPr>
        <b/>
        <i/>
        <sz val="12"/>
        <color theme="1"/>
        <rFont val="Arial"/>
        <family val="2"/>
      </rPr>
      <t>AR(1) model</t>
    </r>
    <r>
      <rPr>
        <i/>
        <sz val="12"/>
        <color theme="1"/>
        <rFont val="Arial"/>
        <family val="2"/>
      </rPr>
      <t>, forecast the average number of rushing yards in the NFL for the 2009 regular season.</t>
    </r>
  </si>
  <si>
    <t>Data Source: The Practice of Statistics for Business and Economics 3rd edition, Moore, McCabe, Alwan, Craig, Duckworth</t>
  </si>
  <si>
    <t>NFL data</t>
  </si>
  <si>
    <r>
      <t xml:space="preserve">4) Calculate the </t>
    </r>
    <r>
      <rPr>
        <b/>
        <i/>
        <sz val="12"/>
        <color theme="1"/>
        <rFont val="Arial"/>
        <family val="2"/>
      </rPr>
      <t>exponential smoothing models</t>
    </r>
    <r>
      <rPr>
        <i/>
        <sz val="12"/>
        <color theme="1"/>
        <rFont val="Arial"/>
        <family val="2"/>
      </rPr>
      <t xml:space="preserve"> using Excel damping factors 0.8 and 0.2 For each of the exponential smoothing models forecast the average number of rushing yards in the NFL for the 2009 season.</t>
    </r>
  </si>
  <si>
    <r>
      <t xml:space="preserve">5) Calculate a </t>
    </r>
    <r>
      <rPr>
        <b/>
        <i/>
        <sz val="12"/>
        <color theme="1"/>
        <rFont val="Arial"/>
        <family val="2"/>
      </rPr>
      <t xml:space="preserve">moving average model </t>
    </r>
    <r>
      <rPr>
        <i/>
        <sz val="12"/>
        <color theme="1"/>
        <rFont val="Arial"/>
        <family val="2"/>
      </rPr>
      <t>using k=5 (Excel interval). Forecast the average number of rushing yards in the NFL for the 2009 season.</t>
    </r>
  </si>
  <si>
    <t>2) Fit a first order autoregressive model [AR(1)] using y(t) as the response variable and y (t-1) as the input variable. Record the regression equation.</t>
  </si>
  <si>
    <t>3) Based on the AR(1) model, forecast the average number of rushing yards in the NFL for the 2009 regular season.</t>
  </si>
  <si>
    <t>4) Calculate the exponential smoothing models using Excel damping factors 0.8 and 0.2 For each of the exponential smoothing models forecast the average number of rushing yards in the NFL for the 2009 season.</t>
  </si>
  <si>
    <t>5) Calculate a moving average model using k=5 (Excel interval). Forecast the average number of rushing yards in the NFL for the 2009 season.</t>
  </si>
  <si>
    <t>The avg rushing yards per game, from 1980 to 2008, has a negative linear trend. 
The avg rushing yards per year shows random positive and negative fluxuations year over year,
but with an overall negative linear trend.</t>
  </si>
  <si>
    <t>Lagged output</t>
  </si>
  <si>
    <t>(x)</t>
  </si>
  <si>
    <t>output(y)</t>
  </si>
  <si>
    <t>(this is Yt-1)</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</si>
  <si>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</si>
  <si>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</si>
  <si>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</si>
  <si>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</si>
  <si>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</si>
  <si>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</si>
  <si>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</si>
  <si>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</si>
  <si>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</si>
  <si>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</si>
  <si>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</si>
  <si>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</si>
  <si>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</si>
  <si>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</si>
  <si>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</si>
  <si>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</si>
  <si>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</si>
  <si>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</si>
  <si>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</si>
  <si>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</si>
  <si>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</si>
  <si>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</si>
  <si>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</si>
  <si>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</si>
  <si>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</si>
  <si>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0.66888x + 37.908 =  y predicted = y hat</t>
  </si>
  <si>
    <t>Regression Equation:</t>
  </si>
  <si>
    <t>Forecast 2009 using 2008 data as the input for x:</t>
  </si>
  <si>
    <t>k=5</t>
  </si>
  <si>
    <t>moving avg</t>
  </si>
  <si>
    <t>2009 NFL Season, Forecasted Avg Rushing Yards:</t>
  </si>
  <si>
    <t>dampfact=0.8</t>
  </si>
  <si>
    <t>dampfact=0.2</t>
  </si>
  <si>
    <t>smoother</t>
  </si>
  <si>
    <t>more weight on most recent value</t>
  </si>
  <si>
    <t>Forecast for 2009 with 0.8 damping factor:</t>
  </si>
  <si>
    <t>Forecast for 2009 with 0.2 damping factor:</t>
  </si>
  <si>
    <t>Questions About Process</t>
  </si>
  <si>
    <t>Stratification factors</t>
  </si>
  <si>
    <t>X Variables</t>
  </si>
  <si>
    <t>Measurements</t>
  </si>
  <si>
    <t>Thoughts on questions?</t>
  </si>
  <si>
    <t>Number of Sprint Teams?</t>
  </si>
  <si>
    <t>Agile Sprint Cycle Time (2 weeks vs 3 or 4)</t>
  </si>
  <si>
    <t>Agile Sprint Team Size?</t>
  </si>
  <si>
    <t>Number of User Stories per Sprint?</t>
  </si>
  <si>
    <t>Number of different projects per Sprint?</t>
  </si>
  <si>
    <t>Is the data complete in Rally?</t>
  </si>
  <si>
    <t>Are project and SAP codes correctly assigned?</t>
  </si>
  <si>
    <t>Is cycle time effected by manually sending email notifications?</t>
  </si>
  <si>
    <t>Is the current PO broken down by Sprint team?</t>
  </si>
  <si>
    <t>Is the current PO identifiable to a sprint and team for it's user stories?</t>
  </si>
  <si>
    <t>Sigma Quality Level (SQL)</t>
  </si>
  <si>
    <t>After:</t>
  </si>
  <si>
    <t>Before:</t>
  </si>
  <si>
    <t>Defect Definition</t>
  </si>
  <si>
    <t>SQL Before</t>
  </si>
  <si>
    <t xml:space="preserve">Defect opportunities per unit: D = </t>
  </si>
  <si>
    <t xml:space="preserve">Total possible defects per timeframe: D * U = </t>
  </si>
  <si>
    <t xml:space="preserve">Total actual defects in timeframe: A = </t>
  </si>
  <si>
    <t xml:space="preserve">Units produced per timeframe: U = </t>
  </si>
  <si>
    <t xml:space="preserve">Defect-per-opportunity rate: A / DU = DPO = </t>
  </si>
  <si>
    <t xml:space="preserve">Defects per million opportunities (DPMO): DPO x 1,000,000 = </t>
  </si>
  <si>
    <t xml:space="preserve">SQL value = </t>
  </si>
  <si>
    <t>SQL After</t>
  </si>
  <si>
    <t>Operational Definitions</t>
  </si>
  <si>
    <t>What is the measurement process?</t>
  </si>
  <si>
    <t>8 Types of WASTE</t>
  </si>
  <si>
    <r>
      <t xml:space="preserve">The GOAL is to </t>
    </r>
    <r>
      <rPr>
        <b/>
        <sz val="11"/>
        <color rgb="FFC00000"/>
        <rFont val="Calibri"/>
        <family val="2"/>
        <scheme val="minor"/>
      </rPr>
      <t>REMOVE WASTE</t>
    </r>
  </si>
  <si>
    <r>
      <t xml:space="preserve">This will </t>
    </r>
    <r>
      <rPr>
        <sz val="11"/>
        <color rgb="FFC00000"/>
        <rFont val="Calibri"/>
        <family val="2"/>
        <scheme val="minor"/>
      </rPr>
      <t>improve</t>
    </r>
    <r>
      <rPr>
        <sz val="11"/>
        <color theme="1"/>
        <rFont val="Calibri"/>
        <family val="2"/>
        <scheme val="minor"/>
      </rPr>
      <t xml:space="preserve"> </t>
    </r>
    <r>
      <rPr>
        <b/>
        <sz val="11"/>
        <color rgb="FFC00000"/>
        <rFont val="Calibri"/>
        <family val="2"/>
        <scheme val="minor"/>
      </rPr>
      <t>EFFICIENCY</t>
    </r>
    <r>
      <rPr>
        <sz val="11"/>
        <color theme="1"/>
        <rFont val="Calibri"/>
        <family val="2"/>
        <scheme val="minor"/>
      </rPr>
      <t xml:space="preserve"> and </t>
    </r>
    <r>
      <rPr>
        <b/>
        <sz val="11"/>
        <color rgb="FFC00000"/>
        <rFont val="Calibri"/>
        <family val="2"/>
        <scheme val="minor"/>
      </rPr>
      <t>PRODUCTIVITY</t>
    </r>
  </si>
  <si>
    <t>Wastes: DOWNTIME</t>
  </si>
  <si>
    <t>Services Industry</t>
  </si>
  <si>
    <t>Defects</t>
  </si>
  <si>
    <t>Overproduction</t>
  </si>
  <si>
    <t>Waiting</t>
  </si>
  <si>
    <t>Non-utilized Skills</t>
  </si>
  <si>
    <t>Transportation</t>
  </si>
  <si>
    <t>Inventory</t>
  </si>
  <si>
    <t>Motion</t>
  </si>
  <si>
    <t>Excess Processing</t>
  </si>
  <si>
    <t>errors, missinformation</t>
  </si>
  <si>
    <t>information overload</t>
  </si>
  <si>
    <t>delays, meeting overrun</t>
  </si>
  <si>
    <t>wrong resource allocation</t>
  </si>
  <si>
    <t>travel/ search activities</t>
  </si>
  <si>
    <t>excessive multitasking</t>
  </si>
  <si>
    <t>unnecessary action</t>
  </si>
  <si>
    <t>duplication/ excess work</t>
  </si>
  <si>
    <t xml:space="preserve">How to do it?
When to do it?
Who does it?
</t>
  </si>
  <si>
    <t>Data Collection</t>
  </si>
  <si>
    <t>Sample</t>
  </si>
  <si>
    <t>Sprint</t>
  </si>
  <si>
    <r>
      <rPr>
        <sz val="9"/>
        <color theme="1"/>
        <rFont val="Calibri"/>
        <family val="2"/>
        <scheme val="minor"/>
      </rPr>
      <t>PO process is not complete in 15 days
PO information is not correct</t>
    </r>
    <r>
      <rPr>
        <sz val="11"/>
        <color theme="1"/>
        <rFont val="Calibri"/>
        <family val="2"/>
        <scheme val="minor"/>
      </rPr>
      <t xml:space="preserve">
</t>
    </r>
  </si>
  <si>
    <t xml:space="preserve">ACTION REQUIRED: Please validate that the PO information is correct. If this Purchase Order needs to be corrected, please edit or cancel your PO in Procurement OnDemand. 
</t>
  </si>
  <si>
    <r>
      <t xml:space="preserve">For questions regarding Training, FAQs, How to Videos, </t>
    </r>
    <r>
      <rPr>
        <b/>
        <sz val="11"/>
        <color rgb="FFC00000"/>
        <rFont val="Calibri"/>
        <family val="2"/>
        <scheme val="minor"/>
      </rPr>
      <t>Business Processes and Procurement Policies</t>
    </r>
    <r>
      <rPr>
        <sz val="11"/>
        <color theme="1"/>
        <rFont val="Calibri"/>
        <family val="2"/>
        <scheme val="minor"/>
      </rPr>
      <t xml:space="preserve">, visit the Procurement OnDemand Resource Page. 
</t>
    </r>
  </si>
  <si>
    <t>Payment Terms 2% disc in 15 days rct date else 60 days</t>
  </si>
  <si>
    <t>Sprint Start Date</t>
  </si>
  <si>
    <t>Sprint 
End Date</t>
  </si>
  <si>
    <t>PO Line Item 
Count</t>
  </si>
  <si>
    <t>PO Submition 
Date</t>
  </si>
  <si>
    <t>PO Approved 
Date</t>
  </si>
  <si>
    <t>EIT 1</t>
  </si>
  <si>
    <t>EIT 2</t>
  </si>
  <si>
    <t>EIT 3</t>
  </si>
  <si>
    <t>EIT 4</t>
  </si>
  <si>
    <t>EIT 5</t>
  </si>
  <si>
    <t>EIT 6</t>
  </si>
  <si>
    <t>EIT 7</t>
  </si>
  <si>
    <t>EIT 8</t>
  </si>
  <si>
    <t>EIT 9</t>
  </si>
  <si>
    <t xml:space="preserve">EIT 10 </t>
  </si>
  <si>
    <t>EIT 11</t>
  </si>
  <si>
    <t>EIT 12</t>
  </si>
  <si>
    <t>EIT 13</t>
  </si>
  <si>
    <t>PO Cycle Time 
(days)</t>
  </si>
  <si>
    <t>Cycle Time Definition</t>
  </si>
  <si>
    <r>
      <rPr>
        <b/>
        <sz val="11"/>
        <color rgb="FFFF0000"/>
        <rFont val="Calibri"/>
        <family val="2"/>
        <scheme val="minor"/>
      </rPr>
      <t>Start Cycle Time</t>
    </r>
    <r>
      <rPr>
        <sz val="11"/>
        <color theme="1"/>
        <rFont val="Calibri"/>
        <family val="2"/>
        <scheme val="minor"/>
      </rPr>
      <t xml:space="preserve"> = PO Sprint End Date + 1 day.
</t>
    </r>
    <r>
      <rPr>
        <b/>
        <sz val="11"/>
        <color rgb="FFFF0000"/>
        <rFont val="Calibri"/>
        <family val="2"/>
        <scheme val="minor"/>
      </rPr>
      <t>End Cycle Time</t>
    </r>
    <r>
      <rPr>
        <sz val="11"/>
        <color theme="1"/>
        <rFont val="Calibri"/>
        <family val="2"/>
        <scheme val="minor"/>
      </rPr>
      <t xml:space="preserve"> = PO Approved/Received Date by Dev Manager
</t>
    </r>
    <r>
      <rPr>
        <b/>
        <sz val="11"/>
        <color rgb="FFFF0000"/>
        <rFont val="Calibri"/>
        <family val="2"/>
        <scheme val="minor"/>
      </rPr>
      <t>Cycle Time</t>
    </r>
    <r>
      <rPr>
        <sz val="11"/>
        <color theme="1"/>
        <rFont val="Calibri"/>
        <family val="2"/>
        <scheme val="minor"/>
      </rPr>
      <t xml:space="preserve"> = days between Start Cycle Time Date and End Cycle Time Date</t>
    </r>
  </si>
  <si>
    <t>Mgr Validation Time (hrs)</t>
  </si>
  <si>
    <t>Needed Correction (Y/N)</t>
  </si>
  <si>
    <t>Totals:</t>
  </si>
  <si>
    <t>std dev</t>
  </si>
  <si>
    <t>range</t>
  </si>
  <si>
    <t>POST-Process Improvement</t>
  </si>
  <si>
    <t>PRE-Process Improvement</t>
  </si>
  <si>
    <t>EIT 14</t>
  </si>
  <si>
    <t>EIT 15</t>
  </si>
  <si>
    <t>EIT 16</t>
  </si>
  <si>
    <t>EIT 17</t>
  </si>
  <si>
    <t>EIT 18</t>
  </si>
  <si>
    <t>Sprint Team Count</t>
  </si>
  <si>
    <t>User Stories Count</t>
  </si>
  <si>
    <t>PO Cycle Time</t>
  </si>
  <si>
    <t>Sprint Team</t>
  </si>
  <si>
    <t>Gamma Squad</t>
  </si>
  <si>
    <t>Omega Squad</t>
  </si>
  <si>
    <t>Theta Squad</t>
  </si>
  <si>
    <t>Unique Project Count</t>
  </si>
  <si>
    <t>EIT17</t>
  </si>
  <si>
    <t>N</t>
  </si>
  <si>
    <t>Y</t>
  </si>
  <si>
    <t>Is the time to submit a PO a factor on cycle time?</t>
  </si>
  <si>
    <t>(Output Y)</t>
  </si>
  <si>
    <t>*1 Resources total time</t>
  </si>
  <si>
    <t>PO Approval Cycle Time (days)</t>
  </si>
  <si>
    <t>Team Validation Meetings Time (hrs)</t>
  </si>
  <si>
    <t>*3 Resources total time</t>
  </si>
  <si>
    <t>Within Disc Threshold</t>
  </si>
  <si>
    <t>Within Disc Threshold (Y/N)</t>
  </si>
  <si>
    <t>*Within 15 biz day goal</t>
  </si>
  <si>
    <t>Disc Threshold Days</t>
  </si>
  <si>
    <t>Column Definitions</t>
  </si>
  <si>
    <t>Sprint End Date</t>
  </si>
  <si>
    <t>PO Line Item Count</t>
  </si>
  <si>
    <t>PO Approved Date</t>
  </si>
  <si>
    <t>Needed Correction</t>
  </si>
  <si>
    <t>PO Approval Cycle Time</t>
  </si>
  <si>
    <t>Team Validation Meetings</t>
  </si>
  <si>
    <t>Mgr Validation Time</t>
  </si>
  <si>
    <t>Sprint squence name for the EIT department</t>
  </si>
  <si>
    <t>Sprints are in two week cycles starting wednesdays</t>
  </si>
  <si>
    <t>Sprint cycle end date, every other Tuesday</t>
  </si>
  <si>
    <t>Name of the Sprint Team the PO is billed for</t>
  </si>
  <si>
    <t>Number of Rally User Stories complete for given sprint</t>
  </si>
  <si>
    <t>Number of Unique Projects the User Stories align to</t>
  </si>
  <si>
    <t>Number of line items displayed on Arabia PO invoice</t>
  </si>
  <si>
    <t>Date the PO was approved by Dev Manager of Sprint Team</t>
  </si>
  <si>
    <t>Date the PO was submitted by the Vendor</t>
  </si>
  <si>
    <t>Flag specifing if the PO had errors and needed correction</t>
  </si>
  <si>
    <t>Days between PO submission date and the Dev Manager approving the PO</t>
  </si>
  <si>
    <t>Total cycle time to complete the PO billing process. Starts 1 day post sprint end date</t>
  </si>
  <si>
    <t>Flag indicator specifing if the PO cycle time was within the discount threshold of 15 biz days</t>
  </si>
  <si>
    <t>Cumilative team time to conduct meetings to validate PO line item data</t>
  </si>
  <si>
    <t>avg</t>
  </si>
  <si>
    <t>sum or count</t>
  </si>
  <si>
    <t xml:space="preserve">PO Est. Cost ($) </t>
  </si>
  <si>
    <t>PO Act. Cost ($)</t>
  </si>
  <si>
    <t>PO Act. LOE (hrs)</t>
  </si>
  <si>
    <t>PO Est. LOE (hrs)</t>
  </si>
  <si>
    <t>Disc Opportunity (2%)</t>
  </si>
  <si>
    <t>Disc Achieved ($)</t>
  </si>
  <si>
    <t>total or count</t>
  </si>
  <si>
    <t>Accuracy Rate:</t>
  </si>
  <si>
    <t xml:space="preserve">Accuracy Rate: </t>
  </si>
  <si>
    <t>Is cycle time impacted by the correctness of the PO?</t>
  </si>
  <si>
    <t>Does the submitter have all necessary data requirements for DevManager approvals?</t>
  </si>
  <si>
    <t>Does the number of different projects a Sprint team works on effect the approval cycle time?</t>
  </si>
  <si>
    <r>
      <rPr>
        <b/>
        <sz val="11"/>
        <color rgb="FFFF0000"/>
        <rFont val="Calibri"/>
        <family val="2"/>
        <scheme val="minor"/>
      </rPr>
      <t>PO Approval Cycle Time</t>
    </r>
    <r>
      <rPr>
        <sz val="11"/>
        <color theme="1"/>
        <rFont val="Calibri"/>
        <family val="2"/>
        <scheme val="minor"/>
      </rPr>
      <t xml:space="preserve"> -&gt; Referes to the vendor's PO invoice submission till the Dev Manager approves the invoice in Ariaba</t>
    </r>
  </si>
  <si>
    <t>1) How are defects defined? How could you calculate SQL?</t>
  </si>
  <si>
    <t>2) What is broken in this process?</t>
  </si>
  <si>
    <t>3) What are some potential solutions to Hank's problems?</t>
  </si>
  <si>
    <t>4) How might you calculate a business case / ROI? Is this problem worth fixing? Worth how much?</t>
  </si>
  <si>
    <t>Questions to consider:</t>
  </si>
  <si>
    <t>A PO invoice needing correction after submission in Ariaba</t>
  </si>
  <si>
    <t>A PO invoice not approved in Ariaba within discount threshold time</t>
  </si>
  <si>
    <t>A Dev Manager spending more than 2 hours to validate and approve a PO invoice</t>
  </si>
  <si>
    <t>A Dev Team spending more than 3 hours to validate and or correct a PO invoice</t>
  </si>
  <si>
    <r>
      <rPr>
        <b/>
        <sz val="14"/>
        <color rgb="FFFF0000"/>
        <rFont val="Calibri"/>
        <family val="2"/>
        <scheme val="minor"/>
      </rPr>
      <t>Define</t>
    </r>
    <r>
      <rPr>
        <sz val="14"/>
        <color theme="1"/>
        <rFont val="Calibri"/>
        <family val="2"/>
        <scheme val="minor"/>
      </rPr>
      <t>: Identify the problem and the teams's scope.</t>
    </r>
  </si>
  <si>
    <r>
      <rPr>
        <b/>
        <sz val="14"/>
        <color rgb="FFFF0000"/>
        <rFont val="Calibri"/>
        <family val="2"/>
        <scheme val="minor"/>
      </rPr>
      <t>Measure</t>
    </r>
    <r>
      <rPr>
        <sz val="14"/>
        <color theme="1"/>
        <rFont val="Calibri"/>
        <family val="2"/>
        <scheme val="minor"/>
      </rPr>
      <t>: Develop data collection plan and implement it.</t>
    </r>
  </si>
  <si>
    <t>SQL Definitions</t>
  </si>
  <si>
    <t>Unit:</t>
  </si>
  <si>
    <t>Timeframe:</t>
  </si>
  <si>
    <t>Two week Sprint Cycle</t>
  </si>
  <si>
    <t>SQL for H1 of 2018</t>
  </si>
  <si>
    <t>End of H1 2018</t>
  </si>
  <si>
    <t>Counts</t>
  </si>
  <si>
    <t>Total Cycles:</t>
  </si>
  <si>
    <r>
      <t xml:space="preserve">Defects, </t>
    </r>
    <r>
      <rPr>
        <b/>
        <u/>
        <sz val="16"/>
        <color rgb="FFFF0000"/>
        <rFont val="Calibri"/>
        <family val="2"/>
        <scheme val="minor"/>
      </rPr>
      <t>H1</t>
    </r>
    <r>
      <rPr>
        <b/>
        <u/>
        <sz val="14"/>
        <color theme="1"/>
        <rFont val="Calibri"/>
        <family val="2"/>
        <scheme val="minor"/>
      </rPr>
      <t xml:space="preserve"> 2018 (12 Sprints, 36 POs)</t>
    </r>
  </si>
  <si>
    <r>
      <t xml:space="preserve">Defects, </t>
    </r>
    <r>
      <rPr>
        <b/>
        <u/>
        <sz val="16"/>
        <color rgb="FFFF0000"/>
        <rFont val="Calibri"/>
        <family val="2"/>
        <scheme val="minor"/>
      </rPr>
      <t>H1-Q1</t>
    </r>
    <r>
      <rPr>
        <b/>
        <u/>
        <sz val="14"/>
        <color theme="1"/>
        <rFont val="Calibri"/>
        <family val="2"/>
        <scheme val="minor"/>
      </rPr>
      <t xml:space="preserve"> 2018 (6 Sprints, 18 POs)</t>
    </r>
  </si>
  <si>
    <r>
      <t xml:space="preserve">Defects, </t>
    </r>
    <r>
      <rPr>
        <b/>
        <u/>
        <sz val="16"/>
        <color rgb="FFFF0000"/>
        <rFont val="Calibri"/>
        <family val="2"/>
        <scheme val="minor"/>
      </rPr>
      <t>H1-Q2</t>
    </r>
    <r>
      <rPr>
        <b/>
        <u/>
        <sz val="14"/>
        <color theme="1"/>
        <rFont val="Calibri"/>
        <family val="2"/>
        <scheme val="minor"/>
      </rPr>
      <t xml:space="preserve"> 2018 (6 Sprints, 18 POs)</t>
    </r>
  </si>
  <si>
    <t>Units per timeframe:</t>
  </si>
  <si>
    <t>3 PO Invoices are created each Sprint Cycle based on the number of Sprint Teams managed by one Dev Manager</t>
  </si>
  <si>
    <t>Total:</t>
  </si>
  <si>
    <r>
      <t xml:space="preserve">Defects, </t>
    </r>
    <r>
      <rPr>
        <b/>
        <u/>
        <sz val="16"/>
        <color rgb="FFFF0000"/>
        <rFont val="Calibri"/>
        <family val="2"/>
        <scheme val="minor"/>
      </rPr>
      <t>H1-Q1:H1</t>
    </r>
    <r>
      <rPr>
        <b/>
        <u/>
        <sz val="14"/>
        <color theme="1"/>
        <rFont val="Calibri"/>
        <family val="2"/>
        <scheme val="minor"/>
      </rPr>
      <t xml:space="preserve"> 2018 (3 Sprints, 9 POs)</t>
    </r>
  </si>
  <si>
    <r>
      <t xml:space="preserve">Defects, </t>
    </r>
    <r>
      <rPr>
        <b/>
        <u/>
        <sz val="16"/>
        <color rgb="FFFF0000"/>
        <rFont val="Calibri"/>
        <family val="2"/>
        <scheme val="minor"/>
      </rPr>
      <t>H1-Q1:H2</t>
    </r>
    <r>
      <rPr>
        <b/>
        <u/>
        <sz val="14"/>
        <color theme="1"/>
        <rFont val="Calibri"/>
        <family val="2"/>
        <scheme val="minor"/>
      </rPr>
      <t xml:space="preserve"> 2018 (3 Sprints, 9 POs)</t>
    </r>
  </si>
  <si>
    <t>6 Sprints</t>
  </si>
  <si>
    <t>3 Sprints</t>
  </si>
  <si>
    <t>12 Sprints</t>
  </si>
  <si>
    <t>H1-Q1</t>
  </si>
  <si>
    <t>H1-Q2</t>
  </si>
  <si>
    <t>H1-Total</t>
  </si>
  <si>
    <r>
      <t xml:space="preserve">A </t>
    </r>
    <r>
      <rPr>
        <sz val="11"/>
        <color rgb="FFC00000"/>
        <rFont val="Calibri"/>
        <family val="2"/>
        <scheme val="minor"/>
      </rPr>
      <t>Unit is a PO</t>
    </r>
    <r>
      <rPr>
        <sz val="11"/>
        <color theme="1"/>
        <rFont val="Calibri"/>
        <family val="2"/>
        <scheme val="minor"/>
      </rPr>
      <t>; 4 possible Defect Units have been identified per PO Invoice Submission</t>
    </r>
  </si>
  <si>
    <t>H2-Q1</t>
  </si>
  <si>
    <t>1: Write a null and alternative hypothesis statement</t>
  </si>
  <si>
    <t>2: Utilize the sample size formula.</t>
  </si>
  <si>
    <t>3: Use regression to identify relationships between the output (y) and inputs (x’s)</t>
  </si>
  <si>
    <t>Project Requirements:</t>
  </si>
  <si>
    <t>-What tools did you use to analyze the data? Why?</t>
  </si>
  <si>
    <t>-What is the data telling you? What did you discover?</t>
  </si>
  <si>
    <t>-What is the SQL for the old and new process?</t>
  </si>
  <si>
    <r>
      <t>Key Concepts</t>
    </r>
    <r>
      <rPr>
        <sz val="12"/>
        <color rgb="FF000000"/>
        <rFont val="Times New Roman"/>
        <family val="1"/>
      </rPr>
      <t>:</t>
    </r>
  </si>
  <si>
    <t>1: Inferential statistics, common distributions, developing a hypothesis, determining the likelihood some event happens based on a sample (calculating probabilities), Using the normal distribution as the ‘go to’ distribution.</t>
  </si>
  <si>
    <t>2: Collecting sample data, how confidence intervals and sample size are related</t>
  </si>
  <si>
    <t>3: Determining input’s (x) impact on the output (y).</t>
  </si>
  <si>
    <t>1: Hypothesis testing, Chi-square test for independence</t>
  </si>
  <si>
    <t>2: Confidence intervals</t>
  </si>
  <si>
    <t>3: Correlation, Simple linear regression, Multiple regression, Scatterplot, Trend/line chart, Pareto chart, Fishbone (cause/effect) diagram</t>
  </si>
  <si>
    <t>PO ID</t>
  </si>
  <si>
    <t>PO1</t>
  </si>
  <si>
    <t>PO2</t>
  </si>
  <si>
    <t>PO3</t>
  </si>
  <si>
    <t>PO4</t>
  </si>
  <si>
    <t>PO5</t>
  </si>
  <si>
    <t>PO6</t>
  </si>
  <si>
    <t>PO7</t>
  </si>
  <si>
    <t>PO8</t>
  </si>
  <si>
    <t>PO9</t>
  </si>
  <si>
    <t>PO10</t>
  </si>
  <si>
    <t>PO11</t>
  </si>
  <si>
    <t>PO12</t>
  </si>
  <si>
    <t>PO13</t>
  </si>
  <si>
    <t>PO14</t>
  </si>
  <si>
    <t>PO15</t>
  </si>
  <si>
    <t>PO16</t>
  </si>
  <si>
    <t>PO17</t>
  </si>
  <si>
    <t>PO18</t>
  </si>
  <si>
    <t>PO19</t>
  </si>
  <si>
    <t>PO20</t>
  </si>
  <si>
    <t>PO21</t>
  </si>
  <si>
    <t>PO22</t>
  </si>
  <si>
    <t>PO23</t>
  </si>
  <si>
    <t>PO24</t>
  </si>
  <si>
    <t>PO25</t>
  </si>
  <si>
    <t>PO26</t>
  </si>
  <si>
    <t>PO27</t>
  </si>
  <si>
    <t>PO28</t>
  </si>
  <si>
    <t>PO29</t>
  </si>
  <si>
    <t>PO30</t>
  </si>
  <si>
    <t>PO31</t>
  </si>
  <si>
    <t>PO32</t>
  </si>
  <si>
    <t>PO33</t>
  </si>
  <si>
    <t>PO34</t>
  </si>
  <si>
    <t>PO35</t>
  </si>
  <si>
    <t>PO36</t>
  </si>
  <si>
    <t>PO37</t>
  </si>
  <si>
    <t>PO38</t>
  </si>
  <si>
    <t>PO39</t>
  </si>
  <si>
    <t>PO40</t>
  </si>
  <si>
    <t>PO41</t>
  </si>
  <si>
    <t>PO43</t>
  </si>
  <si>
    <t>PO48</t>
  </si>
  <si>
    <t>PO42</t>
  </si>
  <si>
    <t>PO44</t>
  </si>
  <si>
    <t>PO45</t>
  </si>
  <si>
    <t>PO46</t>
  </si>
  <si>
    <t>PO47</t>
  </si>
  <si>
    <t>PO49</t>
  </si>
  <si>
    <t>PO50</t>
  </si>
  <si>
    <t>PO51</t>
  </si>
  <si>
    <t>PO52</t>
  </si>
  <si>
    <t>PO53</t>
  </si>
  <si>
    <t>PO54</t>
  </si>
  <si>
    <t>Discount Threshold (days)</t>
  </si>
  <si>
    <t>Mean</t>
  </si>
  <si>
    <t>Median</t>
  </si>
  <si>
    <t>Mode</t>
  </si>
  <si>
    <t>Standard Deviation</t>
  </si>
  <si>
    <t>Sample Variance</t>
  </si>
  <si>
    <t>Kurtosis</t>
  </si>
  <si>
    <t>Skewness</t>
  </si>
  <si>
    <t>Range</t>
  </si>
  <si>
    <t>Minimum</t>
  </si>
  <si>
    <t>Maximum</t>
  </si>
  <si>
    <t>Sum</t>
  </si>
  <si>
    <t>Count</t>
  </si>
  <si>
    <t>Histogram?</t>
  </si>
  <si>
    <t>Correction</t>
  </si>
  <si>
    <t>Yes</t>
  </si>
  <si>
    <t>No</t>
  </si>
  <si>
    <t>Within Threshold</t>
  </si>
  <si>
    <t>Type</t>
  </si>
  <si>
    <t>Percent Yes</t>
  </si>
  <si>
    <t>Percent No</t>
  </si>
  <si>
    <r>
      <rPr>
        <b/>
        <sz val="14"/>
        <color rgb="FFFF0000"/>
        <rFont val="Calibri"/>
        <family val="2"/>
        <scheme val="minor"/>
      </rPr>
      <t>Hypothesis Testing</t>
    </r>
    <r>
      <rPr>
        <sz val="14"/>
        <color theme="1"/>
        <rFont val="Calibri"/>
        <family val="2"/>
        <scheme val="minor"/>
      </rPr>
      <t>: Means and Proportions</t>
    </r>
  </si>
  <si>
    <t>Project:</t>
  </si>
  <si>
    <r>
      <t>Identify potential inputs</t>
    </r>
    <r>
      <rPr>
        <sz val="12"/>
        <color rgb="FF000000"/>
        <rFont val="Times New Roman"/>
        <family val="1"/>
      </rPr>
      <t xml:space="preserve">, </t>
    </r>
    <r>
      <rPr>
        <b/>
        <sz val="12"/>
        <color rgb="FF000000"/>
        <rFont val="Times New Roman"/>
        <family val="1"/>
      </rPr>
      <t>develop operational definitions</t>
    </r>
    <r>
      <rPr>
        <sz val="12"/>
        <color rgb="FF000000"/>
        <rFont val="Times New Roman"/>
        <family val="1"/>
      </rPr>
      <t xml:space="preserve">, </t>
    </r>
    <r>
      <rPr>
        <b/>
        <sz val="12"/>
        <color rgb="FF000000"/>
        <rFont val="Times New Roman"/>
        <family val="1"/>
      </rPr>
      <t>develop data measurement/collection plan</t>
    </r>
    <r>
      <rPr>
        <sz val="12"/>
        <color rgb="FF000000"/>
        <rFont val="Times New Roman"/>
        <family val="1"/>
      </rPr>
      <t xml:space="preserve">, </t>
    </r>
    <r>
      <rPr>
        <b/>
        <sz val="12"/>
        <color rgb="FF000000"/>
        <rFont val="Times New Roman"/>
        <family val="1"/>
      </rPr>
      <t>validate measurement sys</t>
    </r>
    <r>
      <rPr>
        <sz val="12"/>
        <color rgb="FF000000"/>
        <rFont val="Times New Roman"/>
        <family val="1"/>
      </rPr>
      <t xml:space="preserve">tem, </t>
    </r>
  </si>
  <si>
    <r>
      <t xml:space="preserve">collect baseline data, </t>
    </r>
    <r>
      <rPr>
        <b/>
        <sz val="12"/>
        <color rgb="FF000000"/>
        <rFont val="Times New Roman"/>
        <family val="1"/>
      </rPr>
      <t>calculate SQL (required for final project)</t>
    </r>
  </si>
  <si>
    <t>-Include Data Measurement Plan or Data Stratification Tree</t>
  </si>
  <si>
    <t>-What type of data did you collect (cost, cycle time, changeover time, yield, machine utilization, inventory, etc.)?</t>
  </si>
  <si>
    <t>-Was that data continuous or discrete?</t>
  </si>
  <si>
    <t>-Did you collect your own data or did you use existing data?</t>
  </si>
  <si>
    <t>-How much data did you collect and why? What is your ideal sample size using the sample size formula? Risks if you collected fewer samples?</t>
  </si>
  <si>
    <t>-How was your data collected? Describe the methods you used to collect it.</t>
  </si>
  <si>
    <t>-Where could you have measurement error? How much measurement error do you have? What did you do to minimize your measurement error?</t>
  </si>
  <si>
    <r>
      <t xml:space="preserve">Description: </t>
    </r>
    <r>
      <rPr>
        <sz val="12"/>
        <color rgb="FF000000"/>
        <rFont val="Times New Roman"/>
        <family val="1"/>
      </rPr>
      <t xml:space="preserve">Validate your </t>
    </r>
    <r>
      <rPr>
        <b/>
        <sz val="12"/>
        <color rgb="FF000000"/>
        <rFont val="Times New Roman"/>
        <family val="1"/>
      </rPr>
      <t xml:space="preserve">measurement system </t>
    </r>
    <r>
      <rPr>
        <sz val="12"/>
        <color rgb="FF000000"/>
        <rFont val="Times New Roman"/>
        <family val="1"/>
      </rPr>
      <t xml:space="preserve">and </t>
    </r>
    <r>
      <rPr>
        <b/>
        <sz val="12"/>
        <color rgb="FF000000"/>
        <rFont val="Times New Roman"/>
        <family val="1"/>
      </rPr>
      <t>collect baseline data.</t>
    </r>
  </si>
  <si>
    <t>Mapping the process/value-stream, forms of waste, measurement error, reproducibility, repeatability</t>
  </si>
  <si>
    <t>Tools:</t>
  </si>
  <si>
    <t>-Operational definitions</t>
  </si>
  <si>
    <t>-Kappa</t>
  </si>
  <si>
    <r>
      <t>-</t>
    </r>
    <r>
      <rPr>
        <b/>
        <sz val="12"/>
        <color rgb="FF000000"/>
        <rFont val="Times New Roman"/>
        <family val="1"/>
      </rPr>
      <t>Process map (detailed) -&gt; Required</t>
    </r>
  </si>
  <si>
    <r>
      <t>-</t>
    </r>
    <r>
      <rPr>
        <b/>
        <sz val="12"/>
        <color rgb="FF000000"/>
        <rFont val="Times New Roman"/>
        <family val="1"/>
      </rPr>
      <t>Data measurement plan -&gt; Required</t>
    </r>
  </si>
  <si>
    <r>
      <t>-</t>
    </r>
    <r>
      <rPr>
        <b/>
        <sz val="12"/>
        <color rgb="FF000000"/>
        <rFont val="Times New Roman"/>
        <family val="1"/>
      </rPr>
      <t>Data stratification tree -&gt; Required</t>
    </r>
  </si>
  <si>
    <t>-Trendline chart</t>
  </si>
  <si>
    <t>-Pareto chart</t>
  </si>
  <si>
    <t>-Fishbone (cause/effect) diagram</t>
  </si>
  <si>
    <t>Hypothesis Statements</t>
  </si>
  <si>
    <r>
      <t>Project</t>
    </r>
    <r>
      <rPr>
        <sz val="9"/>
        <color rgb="FF000000"/>
        <rFont val="Times New Roman"/>
        <family val="1"/>
      </rPr>
      <t xml:space="preserve">: </t>
    </r>
  </si>
  <si>
    <r>
      <t>Description</t>
    </r>
    <r>
      <rPr>
        <sz val="9"/>
        <color rgb="FF000000"/>
        <rFont val="Times New Roman"/>
        <family val="1"/>
      </rPr>
      <t xml:space="preserve">: </t>
    </r>
  </si>
  <si>
    <r>
      <t xml:space="preserve">Analyze, describe, and present the data to </t>
    </r>
    <r>
      <rPr>
        <b/>
        <sz val="9"/>
        <color rgb="FF000000"/>
        <rFont val="Times New Roman"/>
        <family val="1"/>
      </rPr>
      <t xml:space="preserve">discover the root causes(s), </t>
    </r>
    <r>
      <rPr>
        <sz val="9"/>
        <color rgb="FF000000"/>
        <rFont val="Times New Roman"/>
        <family val="1"/>
      </rPr>
      <t xml:space="preserve">identify/prioritize critical inputs (x’s), </t>
    </r>
    <r>
      <rPr>
        <b/>
        <sz val="9"/>
        <color rgb="FF000000"/>
        <rFont val="Times New Roman"/>
        <family val="1"/>
      </rPr>
      <t>determine the inputs impact on the output.</t>
    </r>
  </si>
  <si>
    <r>
      <t>Key Concepts</t>
    </r>
    <r>
      <rPr>
        <sz val="9"/>
        <color rgb="FF000000"/>
        <rFont val="Times New Roman"/>
        <family val="1"/>
      </rPr>
      <t>:</t>
    </r>
  </si>
  <si>
    <r>
      <t>Tools</t>
    </r>
    <r>
      <rPr>
        <sz val="9"/>
        <color rgb="FF000000"/>
        <rFont val="Times New Roman"/>
        <family val="1"/>
      </rPr>
      <t>:</t>
    </r>
  </si>
  <si>
    <r>
      <rPr>
        <b/>
        <u/>
        <sz val="16"/>
        <color rgb="FFC00000"/>
        <rFont val="Calibri"/>
        <family val="2"/>
        <scheme val="minor"/>
      </rPr>
      <t>Analyze</t>
    </r>
    <r>
      <rPr>
        <u/>
        <sz val="16"/>
        <color theme="1"/>
        <rFont val="Calibri"/>
        <family val="2"/>
        <scheme val="minor"/>
      </rPr>
      <t>: Determine root cause; identify and verify critical variables</t>
    </r>
  </si>
  <si>
    <t>Chi-Square Test: Test for Independence</t>
  </si>
  <si>
    <r>
      <t xml:space="preserve">if two variables are related or statistically independent.
</t>
    </r>
    <r>
      <rPr>
        <b/>
        <sz val="11"/>
        <color theme="1"/>
        <rFont val="Calibri"/>
        <family val="2"/>
        <scheme val="minor"/>
      </rPr>
      <t>Ho</t>
    </r>
    <r>
      <rPr>
        <sz val="11"/>
        <color theme="1"/>
        <rFont val="Calibri"/>
        <family val="2"/>
        <scheme val="minor"/>
      </rPr>
      <t xml:space="preserve">: Cat v1 and Cat v2 are independent (no relationship)
</t>
    </r>
    <r>
      <rPr>
        <b/>
        <sz val="11"/>
        <color theme="1"/>
        <rFont val="Calibri"/>
        <family val="2"/>
        <scheme val="minor"/>
      </rPr>
      <t>Ha</t>
    </r>
    <r>
      <rPr>
        <sz val="11"/>
        <color theme="1"/>
        <rFont val="Calibri"/>
        <family val="2"/>
        <scheme val="minor"/>
      </rPr>
      <t xml:space="preserve">: Categorical v1 and Categorical v2 are not independent (i.e. there is a relationship)
</t>
    </r>
  </si>
  <si>
    <t>Tools</t>
  </si>
  <si>
    <t>Confidence Intervals</t>
  </si>
  <si>
    <t>Correlation</t>
  </si>
  <si>
    <t>Simple Linear Regression</t>
  </si>
  <si>
    <r>
      <rPr>
        <b/>
        <u/>
        <sz val="9"/>
        <color theme="1"/>
        <rFont val="Calibri"/>
        <family val="2"/>
        <scheme val="minor"/>
      </rPr>
      <t>Dev Manager Validation Cycle Time</t>
    </r>
    <r>
      <rPr>
        <sz val="9"/>
        <color theme="1"/>
        <rFont val="Calibri"/>
        <family val="2"/>
        <scheme val="minor"/>
      </rPr>
      <t xml:space="preserve">:
-Is my average dev manager validation process time (avg = , std dev = , ) performing well versus our goal (avg less than 2 hrs)?
Ho = 
Ha = </t>
    </r>
  </si>
  <si>
    <r>
      <rPr>
        <b/>
        <u/>
        <sz val="9"/>
        <color theme="1"/>
        <rFont val="Calibri"/>
        <family val="2"/>
        <scheme val="minor"/>
      </rPr>
      <t>Dev Team PO Validation Cycle Time</t>
    </r>
    <r>
      <rPr>
        <sz val="9"/>
        <color theme="1"/>
        <rFont val="Calibri"/>
        <family val="2"/>
        <scheme val="minor"/>
      </rPr>
      <t xml:space="preserve">:
-Is my average dev team PO validation process cycle time (avg = , std dev = ) performing well versus our goal (avg less than 3 hrs)?
Ho = 
Ha = </t>
    </r>
  </si>
  <si>
    <r>
      <rPr>
        <b/>
        <u/>
        <sz val="9"/>
        <color theme="1"/>
        <rFont val="Calibri"/>
        <family val="2"/>
        <scheme val="minor"/>
      </rPr>
      <t>PO Invoices needing correction</t>
    </r>
    <r>
      <rPr>
        <sz val="9"/>
        <color theme="1"/>
        <rFont val="Calibri"/>
        <family val="2"/>
        <scheme val="minor"/>
      </rPr>
      <t xml:space="preserve">:
Is my average PO Invoice that need correction (avg = , std dev = ) performing well versus goal (average less than 20%)?
Ho = 
Ha = </t>
    </r>
  </si>
  <si>
    <r>
      <rPr>
        <b/>
        <u/>
        <sz val="9"/>
        <color theme="1"/>
        <rFont val="Calibri"/>
        <family val="2"/>
        <scheme val="minor"/>
      </rPr>
      <t>PO Invoices not approved within discount threshold</t>
    </r>
    <r>
      <rPr>
        <sz val="9"/>
        <color theme="1"/>
        <rFont val="Calibri"/>
        <family val="2"/>
        <scheme val="minor"/>
      </rPr>
      <t xml:space="preserve">:
Is my average PO Approval process cycle time (avg = , std dev = ) performing well versus goal (avg less than 15 days)?
Ho = 
Ha = </t>
    </r>
  </si>
  <si>
    <r>
      <t xml:space="preserve">PO Invoice Needing Correction vs. PO Invoice Approval Within Threshold:
</t>
    </r>
    <r>
      <rPr>
        <sz val="9"/>
        <color theme="1"/>
        <rFont val="Calibri"/>
        <family val="2"/>
        <scheme val="minor"/>
      </rPr>
      <t xml:space="preserve">-Is PO invoice needed correction associated with PO invoices not being approved within our threshold time?
Ho = 
Ha = 
</t>
    </r>
    <r>
      <rPr>
        <b/>
        <u/>
        <sz val="9"/>
        <color theme="1"/>
        <rFont val="Calibri"/>
        <family val="2"/>
        <scheme val="minor"/>
      </rPr>
      <t xml:space="preserve">
</t>
    </r>
  </si>
  <si>
    <r>
      <t xml:space="preserve">Number of User Stories vs. PO Invoice Approval Within Threshold:
</t>
    </r>
    <r>
      <rPr>
        <sz val="9"/>
        <color theme="1"/>
        <rFont val="Calibri"/>
        <family val="2"/>
        <scheme val="minor"/>
      </rPr>
      <t xml:space="preserve">-Is the number of User Stories for a given Sprint PO associated with PO invoices not being approved withn our threshold time?
Ho = 
Ha = </t>
    </r>
  </si>
  <si>
    <r>
      <t xml:space="preserve">Number of User Stories vs. PO Invoice Needing Correction:
</t>
    </r>
    <r>
      <rPr>
        <sz val="9"/>
        <color theme="1"/>
        <rFont val="Calibri"/>
        <family val="2"/>
        <scheme val="minor"/>
      </rPr>
      <t xml:space="preserve">-Is the number of Users Stories for a given Sprint PO associated with PO invoices needing correction?
Ho = 
Ha = 
</t>
    </r>
  </si>
  <si>
    <r>
      <t xml:space="preserve">Number of Unique Projects vs. PO Invoices Approval Within Threshold:
</t>
    </r>
    <r>
      <rPr>
        <sz val="9"/>
        <color theme="1"/>
        <rFont val="Calibri"/>
        <family val="2"/>
        <scheme val="minor"/>
      </rPr>
      <t xml:space="preserve">-Is the number of unique projects for a given Sprint PO associated with PO invoices not being approved within our threshold time?
Ho = 
Ha = </t>
    </r>
  </si>
  <si>
    <r>
      <t xml:space="preserve">Number of Unique Projects vs. PO Invoices Needing Correction:
</t>
    </r>
    <r>
      <rPr>
        <sz val="9"/>
        <color theme="1"/>
        <rFont val="Calibri"/>
        <family val="2"/>
        <scheme val="minor"/>
      </rPr>
      <t xml:space="preserve">-Is the number or unique projects for a given Sprint PO associated with PO invoices needing to be corrected?
Ho = 
Ha = </t>
    </r>
  </si>
  <si>
    <t>Bins</t>
  </si>
  <si>
    <t>Bin</t>
  </si>
  <si>
    <t>More</t>
  </si>
  <si>
    <t>Frequency</t>
  </si>
  <si>
    <t>Hypothesis Outcome</t>
  </si>
  <si>
    <t>Test Statistic</t>
  </si>
  <si>
    <r>
      <t>One-Tail Test
Lower/left-tail
Sample Size = 36
Test Statistic:
  Z=xBar-</t>
    </r>
    <r>
      <rPr>
        <sz val="9"/>
        <color theme="1"/>
        <rFont val="Calibri"/>
        <family val="2"/>
      </rPr>
      <t>µ / (s/</t>
    </r>
    <r>
      <rPr>
        <sz val="9"/>
        <color theme="1"/>
        <rFont val="Agency FB"/>
        <family val="2"/>
      </rPr>
      <t>√n) = (21-19) / (5.5/6) = 2 / .92 =</t>
    </r>
    <r>
      <rPr>
        <b/>
        <sz val="9"/>
        <color rgb="FFFF0000"/>
        <rFont val="Agency FB"/>
        <family val="2"/>
      </rPr>
      <t xml:space="preserve"> 2.17 = .9850
p = 0.838</t>
    </r>
  </si>
  <si>
    <t>p-value =</t>
  </si>
  <si>
    <t>We do not reject the null hypothesis, our PO Approval Process Cycle Time Avg is greather than the given threshold of 19 days</t>
  </si>
  <si>
    <t>Count =</t>
  </si>
  <si>
    <t>% Corrected</t>
  </si>
  <si>
    <t>Yes
Correction</t>
  </si>
  <si>
    <t>No
 Correction</t>
  </si>
  <si>
    <t>Data Characteristics</t>
  </si>
  <si>
    <t xml:space="preserve">&gt;&gt;&gt; Is a Discrete Categorical attribute
&gt;&gt;&gt;  </t>
  </si>
  <si>
    <t>Constructing the Hypotheses</t>
  </si>
  <si>
    <r>
      <t xml:space="preserve">&gt; The Hypotheses
&gt;&gt; The status quo hypothesis represents what has been tentatively assumed about the value of the parameter and is called the </t>
    </r>
    <r>
      <rPr>
        <sz val="9"/>
        <color rgb="FFFF0000"/>
        <rFont val="Calibri"/>
        <family val="2"/>
        <scheme val="minor"/>
      </rPr>
      <t>null hypothesis</t>
    </r>
    <r>
      <rPr>
        <sz val="9"/>
        <color theme="1"/>
        <rFont val="Calibri"/>
        <family val="2"/>
        <scheme val="minor"/>
      </rPr>
      <t>, dnoted as Ho.
&gt;&gt; The</t>
    </r>
    <r>
      <rPr>
        <sz val="9"/>
        <color rgb="FFFF0000"/>
        <rFont val="Calibri"/>
        <family val="2"/>
        <scheme val="minor"/>
      </rPr>
      <t xml:space="preserve"> alternative hypothesis</t>
    </r>
    <r>
      <rPr>
        <sz val="9"/>
        <color theme="1"/>
        <rFont val="Calibri"/>
        <family val="2"/>
        <scheme val="minor"/>
      </rPr>
      <t>, or research hypothesis, denoted as Ha represents an alternative claim about the value of the parameter.</t>
    </r>
  </si>
  <si>
    <r>
      <rPr>
        <b/>
        <u/>
        <sz val="9"/>
        <color theme="1"/>
        <rFont val="Calibri"/>
        <family val="2"/>
        <scheme val="minor"/>
      </rPr>
      <t>PO Invoices needing correction</t>
    </r>
    <r>
      <rPr>
        <sz val="9"/>
        <color theme="1"/>
        <rFont val="Calibri"/>
        <family val="2"/>
        <scheme val="minor"/>
      </rPr>
      <t xml:space="preserve">:
Is my PO Invoice that need correction ratio () performing well versus goal (20% or less of PO Invoices needing to be corrected after submission in Ariba procurment system)?
Type of Data: Discrete, </t>
    </r>
    <r>
      <rPr>
        <sz val="9"/>
        <color rgb="FFFF0000"/>
        <rFont val="Calibri"/>
        <family val="2"/>
        <scheme val="minor"/>
      </rPr>
      <t>Is it Binomial Distrobution</t>
    </r>
    <r>
      <rPr>
        <sz val="9"/>
        <color theme="1"/>
        <rFont val="Calibri"/>
        <family val="2"/>
        <scheme val="minor"/>
      </rPr>
      <t xml:space="preserve">?
Sample Size: </t>
    </r>
    <r>
      <rPr>
        <sz val="9"/>
        <color rgb="FFC00000"/>
        <rFont val="Calibri"/>
        <family val="2"/>
        <scheme val="minor"/>
      </rPr>
      <t>n = 36</t>
    </r>
    <r>
      <rPr>
        <sz val="9"/>
        <color theme="1"/>
        <rFont val="Calibri"/>
        <family val="2"/>
        <scheme val="minor"/>
      </rPr>
      <t xml:space="preserve">
Ho = Our current PO Invoice Correction frequency is 20% or less = µ &lt;= 20%
Ha = Our current PO Invoice Correction frequency is greater than 20% = µ &gt; 20%
Ho: p &lt;= p</t>
    </r>
    <r>
      <rPr>
        <vertAlign val="subscript"/>
        <sz val="9"/>
        <color theme="1"/>
        <rFont val="Calibri"/>
        <family val="2"/>
        <scheme val="minor"/>
      </rPr>
      <t xml:space="preserve">0 </t>
    </r>
    <r>
      <rPr>
        <sz val="9"/>
        <color theme="1"/>
        <rFont val="Calibri"/>
        <family val="2"/>
        <scheme val="minor"/>
      </rPr>
      <t>= 20% &lt;= 69.4%</t>
    </r>
  </si>
  <si>
    <r>
      <rPr>
        <sz val="9"/>
        <color rgb="FFFF0000"/>
        <rFont val="Calibri"/>
        <family val="2"/>
        <scheme val="minor"/>
      </rPr>
      <t xml:space="preserve">
</t>
    </r>
    <r>
      <rPr>
        <sz val="9"/>
        <rFont val="Calibri"/>
        <family val="2"/>
        <scheme val="minor"/>
      </rPr>
      <t xml:space="preserve">&gt;&gt; Discrete &gt; One Sample
&gt;&gt; Upper/right-tail
&gt;&gt; </t>
    </r>
    <r>
      <rPr>
        <sz val="9"/>
        <color rgb="FFC00000"/>
        <rFont val="Calibri"/>
        <family val="2"/>
        <scheme val="minor"/>
      </rPr>
      <t xml:space="preserve">Test Statistic
</t>
    </r>
    <r>
      <rPr>
        <sz val="9"/>
        <rFont val="Calibri"/>
        <family val="2"/>
        <scheme val="minor"/>
      </rPr>
      <t>&gt;&gt;&gt;</t>
    </r>
    <r>
      <rPr>
        <sz val="9"/>
        <color rgb="FFC00000"/>
        <rFont val="Calibri"/>
        <family val="2"/>
        <scheme val="minor"/>
      </rPr>
      <t xml:space="preserve"> </t>
    </r>
    <r>
      <rPr>
        <sz val="9"/>
        <color theme="1" tint="4.9989318521683403E-2"/>
        <rFont val="Calibri"/>
        <family val="2"/>
        <scheme val="minor"/>
      </rPr>
      <t>Z = p-p</t>
    </r>
    <r>
      <rPr>
        <vertAlign val="subscript"/>
        <sz val="9"/>
        <color theme="1" tint="4.9989318521683403E-2"/>
        <rFont val="Calibri"/>
        <family val="2"/>
        <scheme val="minor"/>
      </rPr>
      <t>0</t>
    </r>
    <r>
      <rPr>
        <sz val="9"/>
        <color theme="1" tint="4.9989318521683403E-2"/>
        <rFont val="Calibri"/>
        <family val="2"/>
        <scheme val="minor"/>
      </rPr>
      <t>/</t>
    </r>
    <r>
      <rPr>
        <sz val="9"/>
        <color theme="1" tint="4.9989318521683403E-2"/>
        <rFont val="Agency FB"/>
        <family val="2"/>
      </rPr>
      <t>√</t>
    </r>
    <r>
      <rPr>
        <sz val="9"/>
        <color theme="1" tint="4.9989318521683403E-2"/>
        <rFont val="Calibri"/>
        <family val="2"/>
        <scheme val="minor"/>
      </rPr>
      <t>p</t>
    </r>
    <r>
      <rPr>
        <vertAlign val="subscript"/>
        <sz val="9"/>
        <color theme="1" tint="4.9989318521683403E-2"/>
        <rFont val="Calibri"/>
        <family val="2"/>
        <scheme val="minor"/>
      </rPr>
      <t>0</t>
    </r>
    <r>
      <rPr>
        <sz val="9"/>
        <color theme="1" tint="4.9989318521683403E-2"/>
        <rFont val="Calibri"/>
        <family val="2"/>
        <scheme val="minor"/>
      </rPr>
      <t>(1-p</t>
    </r>
    <r>
      <rPr>
        <vertAlign val="subscript"/>
        <sz val="9"/>
        <color theme="1" tint="4.9989318521683403E-2"/>
        <rFont val="Calibri"/>
        <family val="2"/>
        <scheme val="minor"/>
      </rPr>
      <t>0</t>
    </r>
    <r>
      <rPr>
        <sz val="9"/>
        <color theme="1" tint="4.9989318521683403E-2"/>
        <rFont val="Calibri"/>
        <family val="2"/>
        <scheme val="minor"/>
      </rPr>
      <t>)/n = .20-.694</t>
    </r>
    <r>
      <rPr>
        <sz val="9"/>
        <rFont val="Calibri"/>
        <family val="2"/>
        <scheme val="minor"/>
      </rPr>
      <t xml:space="preserve">
&gt;&gt;&gt; Z = -6.432
&gt;&gt;&gt; p-value = 1</t>
    </r>
  </si>
  <si>
    <t>% Not Corrected</t>
  </si>
  <si>
    <r>
      <rPr>
        <b/>
        <u/>
        <sz val="9"/>
        <color theme="1"/>
        <rFont val="Calibri"/>
        <family val="2"/>
        <scheme val="minor"/>
      </rPr>
      <t>Dev Manager Validation Cycle Time</t>
    </r>
    <r>
      <rPr>
        <sz val="9"/>
        <color theme="1"/>
        <rFont val="Calibri"/>
        <family val="2"/>
        <scheme val="minor"/>
      </rPr>
      <t xml:space="preserve">:
-Is my average dev manager validation process time (avg = , std dev = , ) performing well versus our goal (avg less than or equal to 2 hrs)?
</t>
    </r>
    <r>
      <rPr>
        <b/>
        <sz val="9"/>
        <color theme="1"/>
        <rFont val="Calibri"/>
        <family val="2"/>
        <scheme val="minor"/>
      </rPr>
      <t>Type of Data</t>
    </r>
    <r>
      <rPr>
        <sz val="9"/>
        <color theme="1"/>
        <rFont val="Calibri"/>
        <family val="2"/>
        <scheme val="minor"/>
      </rPr>
      <t xml:space="preserve">: Continuous, One Sample
</t>
    </r>
    <r>
      <rPr>
        <b/>
        <sz val="9"/>
        <color theme="1"/>
        <rFont val="Calibri"/>
        <family val="2"/>
        <scheme val="minor"/>
      </rPr>
      <t>Sample Size</t>
    </r>
    <r>
      <rPr>
        <sz val="9"/>
        <color theme="1"/>
        <rFont val="Calibri"/>
        <family val="2"/>
        <scheme val="minor"/>
      </rPr>
      <t xml:space="preserve">: n = 36
Ho = Mgr Validation Process Cycle Time Avg is less than or equal to 2 hrs = µ &lt;= 2 hrs
Ha = Mgr Validation Process Cycle Time Avg is greater than 2 hrs = µ &gt; 2 hrs
Data is </t>
    </r>
  </si>
  <si>
    <t xml:space="preserve">&gt;&gt;&gt; Continuous, Time
&gt;&gt;&gt;  </t>
  </si>
  <si>
    <t xml:space="preserve">&gt;&gt; </t>
  </si>
  <si>
    <r>
      <rPr>
        <b/>
        <u/>
        <sz val="9"/>
        <color theme="1"/>
        <rFont val="Calibri"/>
        <family val="2"/>
        <scheme val="minor"/>
      </rPr>
      <t>Dev Team PO Validation Cycle Time</t>
    </r>
    <r>
      <rPr>
        <sz val="9"/>
        <color theme="1"/>
        <rFont val="Calibri"/>
        <family val="2"/>
        <scheme val="minor"/>
      </rPr>
      <t xml:space="preserve">:
-Is my average dev team PO validation process cycle time (avg = , std dev = ) performing well versus our goal (avg less than or equal to 3 hrs)?
</t>
    </r>
    <r>
      <rPr>
        <b/>
        <sz val="9"/>
        <color theme="1"/>
        <rFont val="Calibri"/>
        <family val="2"/>
        <scheme val="minor"/>
      </rPr>
      <t>Type of Data</t>
    </r>
    <r>
      <rPr>
        <sz val="9"/>
        <color theme="1"/>
        <rFont val="Calibri"/>
        <family val="2"/>
        <scheme val="minor"/>
      </rPr>
      <t xml:space="preserve">: Continuous, One Sample
</t>
    </r>
    <r>
      <rPr>
        <b/>
        <sz val="9"/>
        <color theme="1"/>
        <rFont val="Calibri"/>
        <family val="2"/>
        <scheme val="minor"/>
      </rPr>
      <t>Sample Size</t>
    </r>
    <r>
      <rPr>
        <sz val="9"/>
        <color theme="1"/>
        <rFont val="Calibri"/>
        <family val="2"/>
        <scheme val="minor"/>
      </rPr>
      <t xml:space="preserve">: n = 36
</t>
    </r>
    <r>
      <rPr>
        <b/>
        <sz val="9"/>
        <color theme="1"/>
        <rFont val="Calibri"/>
        <family val="2"/>
        <scheme val="minor"/>
      </rPr>
      <t>Ho</t>
    </r>
    <r>
      <rPr>
        <sz val="9"/>
        <color theme="1"/>
        <rFont val="Calibri"/>
        <family val="2"/>
        <scheme val="minor"/>
      </rPr>
      <t xml:space="preserve"> = DevTeam Validation Process Cycle Time Avg is less than or equal to 3 hrs = µ &lt;= 3 hrs
</t>
    </r>
    <r>
      <rPr>
        <b/>
        <sz val="9"/>
        <color theme="1"/>
        <rFont val="Calibri"/>
        <family val="2"/>
        <scheme val="minor"/>
      </rPr>
      <t>Ha</t>
    </r>
    <r>
      <rPr>
        <sz val="9"/>
        <color theme="1"/>
        <rFont val="Calibri"/>
        <family val="2"/>
        <scheme val="minor"/>
      </rPr>
      <t xml:space="preserve"> = DevTeam Validation Process Cycle Time Avg is greater than 3 hrs = µ &gt; 3 hrs
Data is</t>
    </r>
  </si>
  <si>
    <r>
      <t xml:space="preserve">PO Invoice Needing Correction vs. PO Invoice Approval Within Threshold:
</t>
    </r>
    <r>
      <rPr>
        <sz val="9"/>
        <color theme="1"/>
        <rFont val="Calibri"/>
        <family val="2"/>
        <scheme val="minor"/>
      </rPr>
      <t xml:space="preserve">-Is PO invoice needed correction associated with PO invoices not being approved within our threshold time?
Type of Data: 
Sample Size: n = 36
Ho = Having to correct a PO Invoice after submission has no impact on a PO being approved within our threshold time  = µ &lt;= 
Ha =  = µ &gt; 20%
Ho: 
</t>
    </r>
    <r>
      <rPr>
        <b/>
        <u/>
        <sz val="9"/>
        <color theme="1"/>
        <rFont val="Calibri"/>
        <family val="2"/>
        <scheme val="minor"/>
      </rPr>
      <t xml:space="preserve">
</t>
    </r>
  </si>
  <si>
    <r>
      <t xml:space="preserve">PO Invoice Validation Time vs. PO Invoice Approval Time Within Threshold:
</t>
    </r>
    <r>
      <rPr>
        <sz val="9"/>
        <color theme="1"/>
        <rFont val="Calibri"/>
        <family val="2"/>
        <scheme val="minor"/>
      </rPr>
      <t xml:space="preserve">-Is PO invoice validation time associated with PO invoices not being approved within our threshold time?
Type of Data: 
Sample Size: n = 36
Ho = Having to correct a PO Invoice after submission has no impact on a PO being approved within our threshold time  = µ &lt;= 
Ha =  = µ &gt; 20%
Ho: 
</t>
    </r>
    <r>
      <rPr>
        <b/>
        <u/>
        <sz val="9"/>
        <color theme="1"/>
        <rFont val="Calibri"/>
        <family val="2"/>
        <scheme val="minor"/>
      </rPr>
      <t xml:space="preserve">
</t>
    </r>
  </si>
  <si>
    <t xml:space="preserve"> Statistical hypothesis testing - The explanation of a confidence interval can amount to something like: "The confidence interval represents values for the population parameter for which the difference between the parameter and the observed estimate is not statistically significant at the 10% level".</t>
  </si>
  <si>
    <t>Confidence Level(95.0%)</t>
  </si>
  <si>
    <t>Team Validation Cycyle Time</t>
  </si>
  <si>
    <t>Mgr Validation Cycle Time</t>
  </si>
  <si>
    <t>Correlation Analysis</t>
  </si>
  <si>
    <t>PO Approval Cycle Time (Y) / Mgr Validation Cycle Time (X)</t>
  </si>
  <si>
    <t>slope&gt;&gt;</t>
  </si>
  <si>
    <t>&lt;&lt;</t>
  </si>
  <si>
    <t>PO Approval Cycle Time (Y) / Team Validation Cycle Time (X)</t>
  </si>
  <si>
    <r>
      <rPr>
        <b/>
        <u/>
        <sz val="9"/>
        <color theme="1"/>
        <rFont val="Calibri"/>
        <family val="2"/>
        <scheme val="minor"/>
      </rPr>
      <t>PO Invoices needing correction</t>
    </r>
    <r>
      <rPr>
        <sz val="9"/>
        <color theme="1"/>
        <rFont val="Calibri"/>
        <family val="2"/>
        <scheme val="minor"/>
      </rPr>
      <t xml:space="preserve">:
Is my PO Invoice 
Type of Data: 
Sample Size: </t>
    </r>
    <r>
      <rPr>
        <sz val="9"/>
        <color rgb="FFC00000"/>
        <rFont val="Calibri"/>
        <family val="2"/>
        <scheme val="minor"/>
      </rPr>
      <t>n = 36</t>
    </r>
    <r>
      <rPr>
        <sz val="9"/>
        <color theme="1"/>
        <rFont val="Calibri"/>
        <family val="2"/>
        <scheme val="minor"/>
      </rPr>
      <t xml:space="preserve">
Ho =  = µ &lt;= 20%
Ha =  = µ &gt; 20%
Ho: </t>
    </r>
  </si>
  <si>
    <t xml:space="preserve">&gt;&gt;&gt; Is a Discrete Categorical attribute
&gt;&gt;&gt; Test for Independence, Chi-Squared
&gt;&gt;&gt; Ho: Variable A and Variable B are independent
&gt;&gt;&gt; Ha: Variable A and Variable B are dependent
</t>
  </si>
  <si>
    <t>Class</t>
  </si>
  <si>
    <t>rang</t>
  </si>
  <si>
    <t>y hat = 14.32 + 0.69x</t>
  </si>
  <si>
    <t>Low
1-5</t>
  </si>
  <si>
    <t>Med
6-10</t>
  </si>
  <si>
    <t>High
11-15</t>
  </si>
  <si>
    <t>PO Invoice User Story Count Groupings</t>
  </si>
  <si>
    <t>Actual (observed) Frequencies</t>
  </si>
  <si>
    <t>Expected Frequencies</t>
  </si>
  <si>
    <t>p-value:</t>
  </si>
  <si>
    <r>
      <t xml:space="preserve">&gt;&gt;&gt; Is a Discrete Categorical attribute
&gt;&gt;&gt;  If group data into categories, can use chi-squared test for independence
&gt;&gt;&gt; Calculate degrees of freedom (df)
df = (r-1) * (c-1) = (2-1) * (3-1) = 1 * 2 = 2
</t>
    </r>
    <r>
      <rPr>
        <b/>
        <sz val="9"/>
        <color rgb="FFC00000"/>
        <rFont val="Calibri"/>
        <family val="2"/>
        <scheme val="minor"/>
      </rPr>
      <t>df = 2</t>
    </r>
  </si>
  <si>
    <t>Returns the right-tailed probability of the chi-squared distribution.</t>
  </si>
  <si>
    <t>Chi-square</t>
  </si>
  <si>
    <t>= CHISQ.DIST.RT(3.955, 4)</t>
  </si>
  <si>
    <t>Distribution</t>
  </si>
  <si>
    <t>3.955 = calculated chi-square value</t>
  </si>
  <si>
    <t>(probability)</t>
  </si>
  <si>
    <t>4 = degrees of freedom = (r-1) x (c-1)</t>
  </si>
  <si>
    <t>r = number of rows in the two-way table = 3</t>
  </si>
  <si>
    <t>c = number of columns in the two-way table = 3</t>
  </si>
  <si>
    <t>Returns the probability for the chi-square test for independence.</t>
  </si>
  <si>
    <t>pvalue =</t>
  </si>
  <si>
    <t>CHISQ.TEST(data range1, data range2)</t>
  </si>
  <si>
    <t>data range 1 = observed (actual) values in the two-way table</t>
  </si>
  <si>
    <t>data range 2 = expected (calculated) values in the two-way table</t>
  </si>
  <si>
    <r>
      <t xml:space="preserve">&gt;&gt;&gt; </t>
    </r>
    <r>
      <rPr>
        <b/>
        <sz val="9"/>
        <color theme="1"/>
        <rFont val="Calibri"/>
        <family val="2"/>
        <scheme val="minor"/>
      </rPr>
      <t>p-value</t>
    </r>
    <r>
      <rPr>
        <sz val="9"/>
        <color theme="1"/>
        <rFont val="Calibri"/>
        <family val="2"/>
        <scheme val="minor"/>
      </rPr>
      <t xml:space="preserve"> = </t>
    </r>
    <r>
      <rPr>
        <sz val="9"/>
        <color rgb="FFC00000"/>
        <rFont val="Calibri"/>
        <family val="2"/>
        <scheme val="minor"/>
      </rPr>
      <t>0.005587
&gt;&gt;&gt; p is low, Ho must go. Reject Null Hypothesis
&gt;&gt;&gt; There is a relationship between the Number of User Stories and PO Invoice needing correction</t>
    </r>
    <r>
      <rPr>
        <sz val="9"/>
        <color theme="1"/>
        <rFont val="Calibri"/>
        <family val="2"/>
        <scheme val="minor"/>
      </rPr>
      <t xml:space="preserve">
</t>
    </r>
  </si>
  <si>
    <t>Low
1-2</t>
  </si>
  <si>
    <t>Med
3-4</t>
  </si>
  <si>
    <t>High
5-6</t>
  </si>
  <si>
    <t>PO Invoice Unique Prj Count Groupings</t>
  </si>
  <si>
    <r>
      <t xml:space="preserve">&gt;&gt;&gt; p-value = 0.019063
&gt;&gt;&gt; alph (confidence level) = .05
&gt;&gt;&gt; </t>
    </r>
    <r>
      <rPr>
        <sz val="9"/>
        <color rgb="FFC00000"/>
        <rFont val="Calibri"/>
        <family val="2"/>
        <scheme val="minor"/>
      </rPr>
      <t>p-value (0.019063) is less than alpha (0.05), we reject the Null Hypothesis that these factors are independent.</t>
    </r>
  </si>
  <si>
    <t>Slope</t>
  </si>
  <si>
    <t>Standard Error of Slope</t>
  </si>
  <si>
    <t>Standard Error of Intercept</t>
  </si>
  <si>
    <r>
      <t>r</t>
    </r>
    <r>
      <rPr>
        <b/>
        <vertAlign val="superscript"/>
        <sz val="11"/>
        <color theme="1"/>
        <rFont val="Calibri"/>
        <family val="2"/>
        <scheme val="minor"/>
      </rPr>
      <t>2</t>
    </r>
  </si>
  <si>
    <t>Standard Error of Estimate</t>
  </si>
  <si>
    <t>degrees of freedom</t>
  </si>
  <si>
    <t>Sum of Squares Regression</t>
  </si>
  <si>
    <t>Sum of Squares Residual</t>
  </si>
  <si>
    <t>PO Est. Cost ($)</t>
  </si>
  <si>
    <t>Vendor estimated calculated cost based on Sprint Team Resources needed to deliver User Stories for Sprint</t>
  </si>
  <si>
    <t>Vendor actual calculated cost based on Sprint Team Resources needed to deliver User Stories for Sprint</t>
  </si>
  <si>
    <t>Vendor calculated sum of estimated level of efforts to deliver each User Story for a Sprint</t>
  </si>
  <si>
    <t>Vendor calculated sum of actual level of efforts to deliver each User Story for a Sprint</t>
  </si>
  <si>
    <t>PO Invoice Approval Cycle Time</t>
  </si>
  <si>
    <t>PO Invoice Needed Correction (Y/N)</t>
  </si>
  <si>
    <t>PO Invoice Approval Cycle Time (days)</t>
  </si>
  <si>
    <t>Team PO Invoice Validation Time (hrs)</t>
  </si>
  <si>
    <t>Mgr PO Invoice Validation Time (hrs)</t>
  </si>
  <si>
    <t>PO Invoice User Story Count</t>
  </si>
  <si>
    <t>PO Invoice Unique Project Count</t>
  </si>
  <si>
    <t xml:space="preserve">Does the PO invoice needing to be corrected indicate that the PO Invoice Approval Cycle time will exceed the discount threshold?
</t>
  </si>
  <si>
    <t xml:space="preserve">Does the number of different projects a Sprint team works on effect the approval cycle time?
</t>
  </si>
  <si>
    <t xml:space="preserve">Does the number of User Stories per Sprint have an effect on the correctness of the PO Invoices?
</t>
  </si>
  <si>
    <t xml:space="preserve">Does the number of Unique Projects per Sprint have an effect on the correctness of the PO Invoices?
</t>
  </si>
  <si>
    <t xml:space="preserve">Does the number of User Stories per Sprint have an effect on the time Managers spend validating a PO invoice?
</t>
  </si>
  <si>
    <t xml:space="preserve">Does the number of Unique Stories per Sprint have effect on the time Managers spend validating a PO invoice?
</t>
  </si>
  <si>
    <t xml:space="preserve">  New PO Invoice</t>
  </si>
  <si>
    <t>PO Submission
Date</t>
  </si>
  <si>
    <t>PO Submission Date</t>
  </si>
  <si>
    <t>Count of Days between the ‘PO Submission Date’ and the ‘PO Approved Date’ minus 1 day</t>
  </si>
  <si>
    <t>Indicator flag signifying if the PO invoice had to be sent back for correction</t>
  </si>
  <si>
    <t>Hours recorded by the Manager</t>
  </si>
  <si>
    <t>Hours recorded by the Team</t>
  </si>
  <si>
    <t>Count of User Stories delivered for a given Sprint</t>
  </si>
  <si>
    <t>Count of unique Projects that User Stories are aligned to as Project Deliverable Work</t>
  </si>
  <si>
    <t>Sources of Records</t>
  </si>
  <si>
    <r>
      <rPr>
        <b/>
        <sz val="9"/>
        <rFont val="Calibri"/>
        <family val="2"/>
        <scheme val="minor"/>
      </rPr>
      <t>PO Invoice Approval Cycle Time (days)</t>
    </r>
    <r>
      <rPr>
        <sz val="9"/>
        <color theme="1"/>
        <rFont val="Calibri"/>
        <family val="2"/>
        <scheme val="minor"/>
      </rPr>
      <t xml:space="preserve"> &gt;&gt;&gt; Ariaba Procurement System
</t>
    </r>
  </si>
  <si>
    <r>
      <rPr>
        <b/>
        <sz val="9"/>
        <color theme="1"/>
        <rFont val="Calibri"/>
        <family val="2"/>
        <scheme val="minor"/>
      </rPr>
      <t>PO Invoice Needed Correction (Y/N)</t>
    </r>
    <r>
      <rPr>
        <sz val="9"/>
        <color theme="1"/>
        <rFont val="Calibri"/>
        <family val="2"/>
        <scheme val="minor"/>
      </rPr>
      <t xml:space="preserve"> &gt;&gt;&gt; Ariaba Procurement System </t>
    </r>
  </si>
  <si>
    <r>
      <rPr>
        <b/>
        <sz val="9"/>
        <color theme="1"/>
        <rFont val="Calibri"/>
        <family val="2"/>
        <scheme val="minor"/>
      </rPr>
      <t>PO Invoice User Story Count</t>
    </r>
    <r>
      <rPr>
        <sz val="9"/>
        <color theme="1"/>
        <rFont val="Calibri"/>
        <family val="2"/>
        <scheme val="minor"/>
      </rPr>
      <t xml:space="preserve"> &gt;&gt;&gt; Rally&gt;Delivery Team Sprint Project Repositories&gt;Sprints Dashboard</t>
    </r>
  </si>
  <si>
    <r>
      <rPr>
        <b/>
        <sz val="9"/>
        <color theme="1"/>
        <rFont val="Calibri"/>
        <family val="2"/>
        <scheme val="minor"/>
      </rPr>
      <t>Team PO Invoice Validation Time (hrs)</t>
    </r>
    <r>
      <rPr>
        <sz val="9"/>
        <color theme="1"/>
        <rFont val="Calibri"/>
        <family val="2"/>
        <scheme val="minor"/>
      </rPr>
      <t xml:space="preserve"> &gt;&gt;&gt; Clarity&gt;Team PO Invoice Validation Tasks </t>
    </r>
  </si>
  <si>
    <r>
      <rPr>
        <b/>
        <sz val="9"/>
        <color theme="1"/>
        <rFont val="Calibri"/>
        <family val="2"/>
        <scheme val="minor"/>
      </rPr>
      <t>Mgr PO Invoice Validation Time (hrs)</t>
    </r>
    <r>
      <rPr>
        <sz val="9"/>
        <color theme="1"/>
        <rFont val="Calibri"/>
        <family val="2"/>
        <scheme val="minor"/>
      </rPr>
      <t xml:space="preserve"> &gt;&gt;&gt; Clarity&gt;Manager PO Invoice Approval &amp; Validation Tasks </t>
    </r>
  </si>
  <si>
    <r>
      <rPr>
        <b/>
        <sz val="9"/>
        <color theme="1"/>
        <rFont val="Calibri"/>
        <family val="2"/>
        <scheme val="minor"/>
      </rPr>
      <t>PO Invoice Unique Project Count</t>
    </r>
    <r>
      <rPr>
        <sz val="9"/>
        <color theme="1"/>
        <rFont val="Calibri"/>
        <family val="2"/>
        <scheme val="minor"/>
      </rPr>
      <t xml:space="preserve"> &gt;&gt;&gt; Rally&gt;Delivery Team Sprint Project Repositories&gt;User Story&gt;Project ID field</t>
    </r>
  </si>
  <si>
    <t>Manager time to pull User Story data from Rally and validate it against PO line items</t>
  </si>
  <si>
    <t>Data Type</t>
  </si>
  <si>
    <t>Discrete</t>
  </si>
  <si>
    <t>Continuous</t>
  </si>
  <si>
    <t>Data Attribute</t>
  </si>
  <si>
    <t>A Manager spending more than 2 hours to validate and approve a PO invoice</t>
  </si>
  <si>
    <t>A Team spending more than 3 hours to validate and or correct a PO invoice</t>
  </si>
  <si>
    <t>Threshold</t>
  </si>
  <si>
    <t>% Above Threshold</t>
  </si>
  <si>
    <t>% Below Threshold</t>
  </si>
  <si>
    <t>Above Threshold</t>
  </si>
  <si>
    <t>Below Threshold</t>
  </si>
  <si>
    <r>
      <rPr>
        <b/>
        <u/>
        <sz val="9"/>
        <color theme="1"/>
        <rFont val="Calibri"/>
        <family val="2"/>
        <scheme val="minor"/>
      </rPr>
      <t>PO Invoices not approved within discount threshold</t>
    </r>
    <r>
      <rPr>
        <sz val="9"/>
        <color theme="1"/>
        <rFont val="Calibri"/>
        <family val="2"/>
        <scheme val="minor"/>
      </rPr>
      <t xml:space="preserve">:
Is my average PO Approval process cycle time (avg = 21 days , std dev = 5.5) performing well versus goal (avg less than 19 days)?
</t>
    </r>
    <r>
      <rPr>
        <b/>
        <sz val="9"/>
        <color theme="1"/>
        <rFont val="Calibri"/>
        <family val="2"/>
        <scheme val="minor"/>
      </rPr>
      <t>Type of Data</t>
    </r>
    <r>
      <rPr>
        <sz val="9"/>
        <color theme="1"/>
        <rFont val="Calibri"/>
        <family val="2"/>
        <scheme val="minor"/>
      </rPr>
      <t xml:space="preserve">: Continuous
</t>
    </r>
    <r>
      <rPr>
        <b/>
        <sz val="9"/>
        <color theme="1"/>
        <rFont val="Calibri"/>
        <family val="2"/>
        <scheme val="minor"/>
      </rPr>
      <t>Sample Size</t>
    </r>
    <r>
      <rPr>
        <sz val="9"/>
        <color theme="1"/>
        <rFont val="Calibri"/>
        <family val="2"/>
        <scheme val="minor"/>
      </rPr>
      <t xml:space="preserve">: n = 36
</t>
    </r>
    <r>
      <rPr>
        <b/>
        <sz val="9"/>
        <color theme="1"/>
        <rFont val="Calibri"/>
        <family val="2"/>
        <scheme val="minor"/>
      </rPr>
      <t>Ho</t>
    </r>
    <r>
      <rPr>
        <sz val="9"/>
        <color theme="1"/>
        <rFont val="Calibri"/>
        <family val="2"/>
        <scheme val="minor"/>
      </rPr>
      <t xml:space="preserve"> = PO Approval Process Cycle Time Avg is greater than 19 days =</t>
    </r>
    <r>
      <rPr>
        <sz val="9"/>
        <color rgb="FFFF0000"/>
        <rFont val="Calibri"/>
        <family val="2"/>
        <scheme val="minor"/>
      </rPr>
      <t xml:space="preserve"> </t>
    </r>
    <r>
      <rPr>
        <sz val="9"/>
        <color rgb="FFFF0000"/>
        <rFont val="Calibri"/>
        <family val="2"/>
      </rPr>
      <t>µ &gt;= 19 days</t>
    </r>
    <r>
      <rPr>
        <sz val="9"/>
        <color theme="1"/>
        <rFont val="Calibri"/>
        <family val="2"/>
        <scheme val="minor"/>
      </rPr>
      <t xml:space="preserve">
</t>
    </r>
    <r>
      <rPr>
        <b/>
        <sz val="9"/>
        <color theme="1"/>
        <rFont val="Calibri"/>
        <family val="2"/>
        <scheme val="minor"/>
      </rPr>
      <t>Ha</t>
    </r>
    <r>
      <rPr>
        <sz val="9"/>
        <color theme="1"/>
        <rFont val="Calibri"/>
        <family val="2"/>
        <scheme val="minor"/>
      </rPr>
      <t xml:space="preserve"> = PO Approval Process Cycle Time Avg is greater than 19 days =</t>
    </r>
    <r>
      <rPr>
        <sz val="9"/>
        <color rgb="FFFF0000"/>
        <rFont val="Calibri"/>
        <family val="2"/>
        <scheme val="minor"/>
      </rPr>
      <t xml:space="preserve"> </t>
    </r>
    <r>
      <rPr>
        <sz val="9"/>
        <color rgb="FFFF0000"/>
        <rFont val="Calibri"/>
        <family val="2"/>
      </rPr>
      <t>µ &lt; 19 days</t>
    </r>
    <r>
      <rPr>
        <sz val="9"/>
        <color theme="1"/>
        <rFont val="Calibri"/>
        <family val="2"/>
        <scheme val="minor"/>
      </rPr>
      <t xml:space="preserve">
</t>
    </r>
    <r>
      <rPr>
        <sz val="9"/>
        <color rgb="FFC00000"/>
        <rFont val="Calibri"/>
        <family val="2"/>
        <scheme val="minor"/>
      </rPr>
      <t>We do not reject the null hypothesis, our PO Approval Process Cycle Time Avg is greather than the given threshold of 19 days</t>
    </r>
  </si>
  <si>
    <r>
      <t xml:space="preserve">Number of User Stories vs. PO Invoice Needing Correction:
</t>
    </r>
    <r>
      <rPr>
        <sz val="9"/>
        <color theme="1"/>
        <rFont val="Calibri"/>
        <family val="2"/>
        <scheme val="minor"/>
      </rPr>
      <t xml:space="preserve">-Is the number of Users Stories for a given Sprint PO Invoice associated with PO Invoices needing correction?
Type of Data: Categorical
Sample Size: n = 36
Ho =  PO Invoice User Story Count and PO Invoices needing correction </t>
    </r>
    <r>
      <rPr>
        <sz val="9"/>
        <color rgb="FFC00000"/>
        <rFont val="Calibri"/>
        <family val="2"/>
        <scheme val="minor"/>
      </rPr>
      <t>are independent</t>
    </r>
    <r>
      <rPr>
        <sz val="9"/>
        <color theme="1"/>
        <rFont val="Calibri"/>
        <family val="2"/>
        <scheme val="minor"/>
      </rPr>
      <t xml:space="preserve"> (no relationship)
Ha =  PO Invoice User Story Count and PO Invoices needing correction </t>
    </r>
    <r>
      <rPr>
        <sz val="9"/>
        <color rgb="FFC00000"/>
        <rFont val="Calibri"/>
        <family val="2"/>
        <scheme val="minor"/>
      </rPr>
      <t xml:space="preserve">are </t>
    </r>
    <r>
      <rPr>
        <u/>
        <sz val="9"/>
        <color rgb="FFC00000"/>
        <rFont val="Calibri"/>
        <family val="2"/>
        <scheme val="minor"/>
      </rPr>
      <t>not</t>
    </r>
    <r>
      <rPr>
        <sz val="9"/>
        <color rgb="FFC00000"/>
        <rFont val="Calibri"/>
        <family val="2"/>
        <scheme val="minor"/>
      </rPr>
      <t xml:space="preserve"> independent</t>
    </r>
    <r>
      <rPr>
        <sz val="9"/>
        <color theme="1"/>
        <rFont val="Calibri"/>
        <family val="2"/>
        <scheme val="minor"/>
      </rPr>
      <t xml:space="preserve"> (is a relationship)
&gt;&gt;&gt; p-value = 0.005587
&gt;&gt;&gt; p is low, Ho must go. Reject Null Hypothesis
&gt;&gt;&gt; There is a relationship between the Number of User Stories and PO Invoice needing correction</t>
    </r>
  </si>
  <si>
    <r>
      <t xml:space="preserve">Number of Unique Projects vs. PO Invoices Needing Correction:
</t>
    </r>
    <r>
      <rPr>
        <sz val="9"/>
        <color theme="1"/>
        <rFont val="Calibri"/>
        <family val="2"/>
        <scheme val="minor"/>
      </rPr>
      <t xml:space="preserve">-Is the number or unique projects for a given Sprint PO Invoice associated with PO invoices needing to be corrected?
Type of Data: Categorical
Sample Size: n = 36
Ho =  PO Invoice Unique Project Count and PO Invoices needing correction </t>
    </r>
    <r>
      <rPr>
        <sz val="9"/>
        <color rgb="FFC00000"/>
        <rFont val="Calibri"/>
        <family val="2"/>
        <scheme val="minor"/>
      </rPr>
      <t>are independent</t>
    </r>
    <r>
      <rPr>
        <sz val="9"/>
        <color theme="1"/>
        <rFont val="Calibri"/>
        <family val="2"/>
        <scheme val="minor"/>
      </rPr>
      <t xml:space="preserve"> (no relationship)
Ha =  PO Invoice Unique Project Count and PO Invoices needing correction </t>
    </r>
    <r>
      <rPr>
        <sz val="9"/>
        <color rgb="FFC00000"/>
        <rFont val="Calibri"/>
        <family val="2"/>
        <scheme val="minor"/>
      </rPr>
      <t xml:space="preserve">are </t>
    </r>
    <r>
      <rPr>
        <u/>
        <sz val="9"/>
        <color rgb="FFC00000"/>
        <rFont val="Calibri"/>
        <family val="2"/>
        <scheme val="minor"/>
      </rPr>
      <t>not</t>
    </r>
    <r>
      <rPr>
        <sz val="9"/>
        <color rgb="FFC00000"/>
        <rFont val="Calibri"/>
        <family val="2"/>
        <scheme val="minor"/>
      </rPr>
      <t xml:space="preserve"> independent</t>
    </r>
    <r>
      <rPr>
        <sz val="9"/>
        <color theme="1"/>
        <rFont val="Calibri"/>
        <family val="2"/>
        <scheme val="minor"/>
      </rPr>
      <t xml:space="preserve"> (is a relationship)
&gt;&gt;&gt; p-value = 0.019063
&gt;&gt;&gt; alph (confidence level) = .05
&gt;&gt;&gt; p-value (0.019063) is less than alpha (0.05), we reject the Null Hypothesis that these factors are independent.
&gt;&gt;&gt;</t>
    </r>
    <r>
      <rPr>
        <sz val="9"/>
        <color rgb="FFC00000"/>
        <rFont val="Calibri"/>
        <family val="2"/>
        <scheme val="minor"/>
      </rPr>
      <t xml:space="preserve"> PO Invoice Unique Project Count and PO Invoices needing correction are NOT independent</t>
    </r>
  </si>
  <si>
    <t xml:space="preserve">&gt;&gt;&gt; Is a Discrete Categorical attribute
&gt;&gt;&gt; If group data into categories, can use chi-squared test for independence
&gt;&gt;&gt; Calculate degrees of freedom (df)
df = (r-1) * (c-1) = (2-1) * (3-1) = 1 * 2 = 2
df = 2 </t>
  </si>
  <si>
    <r>
      <t xml:space="preserve">Number of User Stories vs. PO Invoice Approval Within Threshold:
</t>
    </r>
    <r>
      <rPr>
        <sz val="9"/>
        <color theme="1"/>
        <rFont val="Calibri"/>
        <family val="2"/>
        <scheme val="minor"/>
      </rPr>
      <t xml:space="preserve">-Is the number of User Stories for a given Sprint PO associated with PO invoices not being approved withn our threshold time?
Sample Size: n = 36
Ho = PO Approval Cycle Time is not effected by the number of User Stories in the given PO Invoice
Ha = PO Approval Cycle Time is effected by the number of User Stories in the given PO Invoice
&gt;&gt;&gt; </t>
    </r>
    <r>
      <rPr>
        <b/>
        <sz val="9"/>
        <color rgb="FFC00000"/>
        <rFont val="Calibri"/>
        <family val="2"/>
        <scheme val="minor"/>
      </rPr>
      <t>p-value is lower than our confidence alpha of .05, we reject the Null Hypothesis</t>
    </r>
    <r>
      <rPr>
        <sz val="9"/>
        <color theme="1"/>
        <rFont val="Calibri"/>
        <family val="2"/>
        <scheme val="minor"/>
      </rPr>
      <t xml:space="preserve">
&gt;&gt;&gt; </t>
    </r>
    <r>
      <rPr>
        <sz val="9"/>
        <color rgb="FFC00000"/>
        <rFont val="Calibri"/>
        <family val="2"/>
        <scheme val="minor"/>
      </rPr>
      <t>PO Approval Cycle Time is effected by the number of Users Stories in the given PO Invoice. The linear trend line shows a positive increase.</t>
    </r>
  </si>
  <si>
    <r>
      <t xml:space="preserve">Number of Unique Projects vs. PO Invoices Approval Within Threshold:
</t>
    </r>
    <r>
      <rPr>
        <sz val="9"/>
        <color theme="1"/>
        <rFont val="Calibri"/>
        <family val="2"/>
        <scheme val="minor"/>
      </rPr>
      <t xml:space="preserve">-Is the number of unique projects for a given Sprint PO Invoice associated with a higher than average PO Approval Cycle time?
Sample Size: n = 36
Ho = The number of Unique Projects for a given PO Invoice has no impact on the PO Approval Cycle Time
Ha = The number of Unique Projects for a given PO Invoice has an impact on the PO Approval Cycle Time
&gt;&gt;&gt; </t>
    </r>
    <r>
      <rPr>
        <sz val="9"/>
        <color rgb="FFC00000"/>
        <rFont val="Calibri"/>
        <family val="2"/>
        <scheme val="minor"/>
      </rPr>
      <t>p-value of 0.1581 is higher than our alpha of .05, we do not reject the Null Hypothesis</t>
    </r>
    <r>
      <rPr>
        <sz val="9"/>
        <color theme="1"/>
        <rFont val="Calibri"/>
        <family val="2"/>
        <scheme val="minor"/>
      </rPr>
      <t xml:space="preserve">
&gt;&gt;&gt; </t>
    </r>
    <r>
      <rPr>
        <sz val="9"/>
        <color rgb="FFC00000"/>
        <rFont val="Calibri"/>
        <family val="2"/>
        <scheme val="minor"/>
      </rPr>
      <t>Though the Linear Regression shows a slight increase trend our R squared, Coefficent of Determination is low representing a poor fit of our data to the regression line</t>
    </r>
    <r>
      <rPr>
        <sz val="9"/>
        <color theme="1"/>
        <rFont val="Calibri"/>
        <family val="2"/>
        <scheme val="minor"/>
      </rPr>
      <t xml:space="preserve">
 </t>
    </r>
  </si>
  <si>
    <t>After Process Improvements</t>
  </si>
  <si>
    <t>% Needed Correction</t>
  </si>
  <si>
    <t>% Did Not Need Correction</t>
  </si>
  <si>
    <t>Cumulative %</t>
  </si>
  <si>
    <r>
      <t xml:space="preserve">Defects, </t>
    </r>
    <r>
      <rPr>
        <b/>
        <u/>
        <sz val="16"/>
        <color rgb="FFFF0000"/>
        <rFont val="Calibri"/>
        <family val="2"/>
        <scheme val="minor"/>
      </rPr>
      <t>H2:Q2</t>
    </r>
    <r>
      <rPr>
        <b/>
        <u/>
        <sz val="14"/>
        <color theme="1"/>
        <rFont val="Calibri"/>
        <family val="2"/>
        <scheme val="minor"/>
      </rPr>
      <t xml:space="preserve"> 2018 (5 Sprints, 15 POs)</t>
    </r>
  </si>
  <si>
    <t>A Dev Manager spending more than 1 hours to validate and approve a PO invoice</t>
  </si>
  <si>
    <t>R-chart</t>
  </si>
  <si>
    <t>x bar chart</t>
  </si>
  <si>
    <t>Calculations&gt;&gt;&gt;</t>
  </si>
  <si>
    <t>Centerline</t>
  </si>
  <si>
    <t>Rbar</t>
  </si>
  <si>
    <t>UCL</t>
  </si>
  <si>
    <t>LCL</t>
  </si>
  <si>
    <t>x-bar</t>
  </si>
  <si>
    <t xml:space="preserve">Rbar = </t>
  </si>
  <si>
    <t>x bar bar=</t>
  </si>
  <si>
    <t>Avg</t>
  </si>
  <si>
    <t>x</t>
  </si>
  <si>
    <t>mR</t>
  </si>
  <si>
    <t>Avg Trade Deficit (x-bar)</t>
  </si>
  <si>
    <t>Avg Moving Range (Rbar)</t>
  </si>
  <si>
    <t>Natural Process Limits: X Chart</t>
  </si>
  <si>
    <t>UNPL:</t>
  </si>
  <si>
    <t>LNPL:</t>
  </si>
  <si>
    <t>Upper Control Limit: Range Chart</t>
  </si>
  <si>
    <t>UCL: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</si>
</sst>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
    <numFmt numFmtId="166" formatCode="&quot;$&quot;#,##0"/>
    <numFmt numFmtId="167" formatCode="0.0000"/>
  </numFmts>
  <fonts count="77" x14ac:knownFonts="1">
    <font>
      <sz val="11"/>
      <color theme="1"/>
      <name val="Calibri"/>
      <family val="2"/>
      <scheme val="minor"/>
    </font>
    <font>
      <b/>
      <sz val="11"/>
      <color indexed="8"/>
      <name val="Calibri"/>
      <family val="2"/>
    </font>
    <font>
      <sz val="11"/>
      <color indexed="8"/>
      <name val="Calibri"/>
      <family val="2"/>
    </font>
    <font>
      <b/>
      <sz val="11"/>
      <color rgb="FFFF0000"/>
      <name val="Calibri"/>
      <family val="2"/>
      <scheme val="minor"/>
    </font>
    <font>
      <b/>
      <sz val="12"/>
      <color theme="1"/>
      <name val="Arial"/>
      <family val="2"/>
    </font>
    <font>
      <sz val="12"/>
      <color theme="1"/>
      <name val="Arial"/>
      <family val="2"/>
    </font>
    <font>
      <i/>
      <sz val="12"/>
      <color theme="1"/>
      <name val="Arial"/>
      <family val="2"/>
    </font>
    <font>
      <b/>
      <i/>
      <sz val="12"/>
      <color theme="1"/>
      <name val="Arial"/>
      <family val="2"/>
    </font>
    <font>
      <b/>
      <sz val="11"/>
      <color theme="1"/>
      <name val="Calibri"/>
      <family val="2"/>
      <scheme val="minor"/>
    </font>
    <font>
      <i/>
      <sz val="11"/>
      <color theme="1"/>
      <name val="Calibri"/>
      <family val="2"/>
      <scheme val="minor"/>
    </font>
    <font>
      <b/>
      <u/>
      <sz val="14"/>
      <color theme="1"/>
      <name val="Calibri"/>
      <family val="2"/>
      <scheme val="minor"/>
    </font>
    <font>
      <b/>
      <sz val="14"/>
      <color theme="1"/>
      <name val="Calibri"/>
      <family val="2"/>
      <scheme val="minor"/>
    </font>
    <font>
      <u/>
      <sz val="11"/>
      <color rgb="FFC00000"/>
      <name val="Calibri"/>
      <family val="2"/>
      <scheme val="minor"/>
    </font>
    <font>
      <b/>
      <u/>
      <sz val="11"/>
      <color rgb="FFC00000"/>
      <name val="Calibri"/>
      <family val="2"/>
      <scheme val="minor"/>
    </font>
    <font>
      <b/>
      <sz val="11"/>
      <color rgb="FFC00000"/>
      <name val="Calibri"/>
      <family val="2"/>
      <scheme val="minor"/>
    </font>
    <font>
      <sz val="11"/>
      <color rgb="FFC00000"/>
      <name val="Calibri"/>
      <family val="2"/>
      <scheme val="minor"/>
    </font>
    <font>
      <sz val="9"/>
      <color theme="1"/>
      <name val="Calibri"/>
      <family val="2"/>
      <scheme val="minor"/>
    </font>
    <font>
      <b/>
      <sz val="14"/>
      <color rgb="FFC00000"/>
      <name val="Calibri"/>
      <family val="2"/>
      <scheme val="minor"/>
    </font>
    <font>
      <b/>
      <sz val="18"/>
      <color rgb="FFC00000"/>
      <name val="Calibri"/>
      <family val="2"/>
      <scheme val="minor"/>
    </font>
    <font>
      <b/>
      <u/>
      <sz val="11"/>
      <color rgb="FFFF0000"/>
      <name val="Calibri"/>
      <family val="2"/>
      <scheme val="minor"/>
    </font>
    <font>
      <u/>
      <sz val="11"/>
      <color theme="1"/>
      <name val="Calibri"/>
      <family val="2"/>
      <scheme val="minor"/>
    </font>
    <font>
      <b/>
      <sz val="10"/>
      <color rgb="FFC00000"/>
      <name val="Calibri"/>
      <family val="2"/>
      <scheme val="minor"/>
    </font>
    <font>
      <sz val="11"/>
      <color rgb="FFFF0000"/>
      <name val="Calibri"/>
      <family val="2"/>
      <scheme val="minor"/>
    </font>
    <font>
      <b/>
      <u/>
      <sz val="11"/>
      <color theme="1"/>
      <name val="Calibri"/>
      <family val="2"/>
      <scheme val="minor"/>
    </font>
    <font>
      <b/>
      <sz val="14"/>
      <color rgb="FFFF0000"/>
      <name val="Calibri"/>
      <family val="2"/>
      <scheme val="minor"/>
    </font>
    <font>
      <sz val="14"/>
      <color theme="1"/>
      <name val="Calibri"/>
      <family val="2"/>
      <scheme val="minor"/>
    </font>
    <font>
      <b/>
      <u/>
      <sz val="14"/>
      <color rgb="FFC00000"/>
      <name val="Calibri"/>
      <family val="2"/>
      <scheme val="minor"/>
    </font>
    <font>
      <b/>
      <u/>
      <sz val="16"/>
      <color rgb="FFFF0000"/>
      <name val="Calibri"/>
      <family val="2"/>
      <scheme val="minor"/>
    </font>
    <font>
      <b/>
      <u/>
      <sz val="11"/>
      <name val="Calibri"/>
      <family val="2"/>
      <scheme val="minor"/>
    </font>
    <font>
      <b/>
      <u/>
      <sz val="12"/>
      <color rgb="FFC00000"/>
      <name val="Calibri"/>
      <family val="2"/>
      <scheme val="minor"/>
    </font>
    <font>
      <u/>
      <sz val="12"/>
      <color rgb="FF000000"/>
      <name val="Times New Roman"/>
      <family val="1"/>
    </font>
    <font>
      <sz val="12"/>
      <color rgb="FF000000"/>
      <name val="Times New Roman"/>
      <family val="1"/>
    </font>
    <font>
      <b/>
      <sz val="12"/>
      <color rgb="FF000000"/>
      <name val="Times New Roman"/>
      <family val="1"/>
    </font>
    <font>
      <sz val="12"/>
      <color rgb="FFFF0000"/>
      <name val="Times New Roman"/>
      <family val="1"/>
    </font>
    <font>
      <b/>
      <u/>
      <sz val="9"/>
      <color rgb="FFC00000"/>
      <name val="Calibri"/>
      <family val="2"/>
      <scheme val="minor"/>
    </font>
    <font>
      <b/>
      <u/>
      <sz val="9"/>
      <color theme="1"/>
      <name val="Calibri"/>
      <family val="2"/>
      <scheme val="minor"/>
    </font>
    <font>
      <sz val="8"/>
      <color theme="1"/>
      <name val="Calibri"/>
      <family val="2"/>
      <scheme val="minor"/>
    </font>
    <font>
      <u/>
      <sz val="9"/>
      <color theme="1"/>
      <name val="Calibri"/>
      <family val="2"/>
      <scheme val="minor"/>
    </font>
    <font>
      <u/>
      <sz val="9"/>
      <color rgb="FF000000"/>
      <name val="Times New Roman"/>
      <family val="1"/>
    </font>
    <font>
      <sz val="9"/>
      <color rgb="FF000000"/>
      <name val="Times New Roman"/>
      <family val="1"/>
    </font>
    <font>
      <b/>
      <sz val="9"/>
      <color rgb="FF000000"/>
      <name val="Times New Roman"/>
      <family val="1"/>
    </font>
    <font>
      <b/>
      <sz val="9"/>
      <color theme="1"/>
      <name val="Calibri"/>
      <family val="2"/>
      <scheme val="minor"/>
    </font>
    <font>
      <u/>
      <sz val="16"/>
      <color theme="1"/>
      <name val="Calibri"/>
      <family val="2"/>
      <scheme val="minor"/>
    </font>
    <font>
      <b/>
      <u/>
      <sz val="16"/>
      <color rgb="FFC00000"/>
      <name val="Calibri"/>
      <family val="2"/>
      <scheme val="minor"/>
    </font>
    <font>
      <b/>
      <u/>
      <sz val="9"/>
      <color rgb="FFFF0000"/>
      <name val="Calibri"/>
      <family val="2"/>
      <scheme val="minor"/>
    </font>
    <font>
      <b/>
      <sz val="12"/>
      <color theme="1"/>
      <name val="Calibri"/>
      <family val="2"/>
      <scheme val="minor"/>
    </font>
    <font>
      <b/>
      <u/>
      <sz val="14"/>
      <color rgb="FFFF0000"/>
      <name val="Calibri"/>
      <family val="2"/>
      <scheme val="minor"/>
    </font>
    <font>
      <u/>
      <sz val="11"/>
      <color rgb="FFFF0000"/>
      <name val="Calibri"/>
      <family val="2"/>
      <scheme val="minor"/>
    </font>
    <font>
      <sz val="9"/>
      <color theme="1"/>
      <name val="Calibri"/>
      <family val="2"/>
    </font>
    <font>
      <sz val="9"/>
      <color rgb="FFFF0000"/>
      <name val="Calibri"/>
      <family val="2"/>
      <scheme val="minor"/>
    </font>
    <font>
      <sz val="9"/>
      <color rgb="FFFF0000"/>
      <name val="Calibri"/>
      <family val="2"/>
    </font>
    <font>
      <sz val="9"/>
      <color theme="1"/>
      <name val="Agency FB"/>
      <family val="2"/>
    </font>
    <font>
      <b/>
      <sz val="9"/>
      <color rgb="FFFF0000"/>
      <name val="Agency FB"/>
      <family val="2"/>
    </font>
    <font>
      <sz val="8"/>
      <color rgb="FFC00000"/>
      <name val="Calibri"/>
      <family val="2"/>
      <scheme val="minor"/>
    </font>
    <font>
      <u/>
      <sz val="9"/>
      <color rgb="FFFF0000"/>
      <name val="Calibri"/>
      <family val="2"/>
      <scheme val="minor"/>
    </font>
    <font>
      <sz val="9"/>
      <name val="Calibri"/>
      <family val="2"/>
      <scheme val="minor"/>
    </font>
    <font>
      <sz val="9"/>
      <color theme="1" tint="4.9989318521683403E-2"/>
      <name val="Calibri"/>
      <family val="2"/>
      <scheme val="minor"/>
    </font>
    <font>
      <sz val="9"/>
      <color rgb="FFC00000"/>
      <name val="Calibri"/>
      <family val="2"/>
      <scheme val="minor"/>
    </font>
    <font>
      <vertAlign val="subscript"/>
      <sz val="9"/>
      <color theme="1" tint="4.9989318521683403E-2"/>
      <name val="Calibri"/>
      <family val="2"/>
      <scheme val="minor"/>
    </font>
    <font>
      <sz val="9"/>
      <color theme="1" tint="4.9989318521683403E-2"/>
      <name val="Agency FB"/>
      <family val="2"/>
    </font>
    <font>
      <vertAlign val="subscript"/>
      <sz val="9"/>
      <color theme="1"/>
      <name val="Calibri"/>
      <family val="2"/>
      <scheme val="minor"/>
    </font>
    <font>
      <i/>
      <sz val="9"/>
      <color theme="1"/>
      <name val="Calibri"/>
      <family val="2"/>
      <scheme val="minor"/>
    </font>
    <font>
      <sz val="18"/>
      <color theme="1"/>
      <name val="Calibri"/>
      <family val="2"/>
      <scheme val="minor"/>
    </font>
    <font>
      <b/>
      <sz val="9"/>
      <color rgb="FFC00000"/>
      <name val="Calibri"/>
      <family val="2"/>
      <scheme val="minor"/>
    </font>
    <font>
      <i/>
      <u/>
      <sz val="11"/>
      <color theme="1"/>
      <name val="Calibri"/>
      <family val="2"/>
      <scheme val="minor"/>
    </font>
    <font>
      <u/>
      <sz val="9"/>
      <color rgb="FFC00000"/>
      <name val="Calibri"/>
      <family val="2"/>
      <scheme val="minor"/>
    </font>
    <font>
      <sz val="11"/>
      <color rgb="FF9C0006"/>
      <name val="Calibri"/>
      <family val="2"/>
      <scheme val="minor"/>
    </font>
    <font>
      <b/>
      <vertAlign val="superscript"/>
      <sz val="11"/>
      <color theme="1"/>
      <name val="Calibri"/>
      <family val="2"/>
      <scheme val="minor"/>
    </font>
    <font>
      <b/>
      <sz val="9"/>
      <name val="Calibri"/>
      <family val="2"/>
      <scheme val="minor"/>
    </font>
    <font>
      <b/>
      <u/>
      <sz val="12"/>
      <color theme="1"/>
      <name val="Calibri"/>
      <family val="2"/>
      <scheme val="minor"/>
    </font>
    <font>
      <sz val="10"/>
      <name val="Arial"/>
      <family val="2"/>
    </font>
    <font>
      <b/>
      <u/>
      <sz val="10"/>
      <color rgb="FFFF0000"/>
      <name val="Arial"/>
      <family val="2"/>
    </font>
    <font>
      <b/>
      <sz val="10"/>
      <name val="Arial"/>
      <family val="2"/>
    </font>
    <font>
      <b/>
      <sz val="10"/>
      <color rgb="FF0070C0"/>
      <name val="Arial"/>
      <family val="2"/>
    </font>
    <font>
      <b/>
      <sz val="10"/>
      <color rgb="FF7030A0"/>
      <name val="Arial"/>
      <family val="2"/>
    </font>
    <font>
      <b/>
      <i/>
      <u/>
      <sz val="10"/>
      <name val="Arial"/>
      <family val="2"/>
    </font>
    <font>
      <b/>
      <sz val="10"/>
      <color rgb="FFC00000"/>
      <name val="Arial"/>
      <family val="2"/>
    </font>
  </fonts>
  <fills count="1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C7CE"/>
      </patternFill>
    </fill>
    <fill>
      <patternFill patternType="solid">
        <fgColor theme="0" tint="-0.249977111117893"/>
        <bgColor indexed="64"/>
      </patternFill>
    </fill>
    <fill>
      <patternFill patternType="solid">
        <fgColor theme="4" tint="0.79998168889431442"/>
        <bgColor indexed="64"/>
      </patternFill>
    </fill>
  </fills>
  <borders count="129">
    <border>
      <left/>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ck">
        <color auto="1"/>
      </top>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style="thick">
        <color auto="1"/>
      </left>
      <right/>
      <top/>
      <bottom/>
      <diagonal/>
    </border>
    <border>
      <left style="thick">
        <color auto="1"/>
      </left>
      <right/>
      <top/>
      <bottom style="thick">
        <color auto="1"/>
      </bottom>
      <diagonal/>
    </border>
    <border>
      <left/>
      <right/>
      <top style="thick">
        <color theme="0" tint="-0.34998626667073579"/>
      </top>
      <bottom/>
      <diagonal/>
    </border>
    <border>
      <left/>
      <right style="thick">
        <color theme="0" tint="-0.34998626667073579"/>
      </right>
      <top style="thick">
        <color theme="0" tint="-0.34998626667073579"/>
      </top>
      <bottom/>
      <diagonal/>
    </border>
    <border>
      <left style="thick">
        <color theme="0" tint="-0.34998626667073579"/>
      </left>
      <right/>
      <top/>
      <bottom/>
      <diagonal/>
    </border>
    <border>
      <left/>
      <right style="thick">
        <color theme="0" tint="-0.34998626667073579"/>
      </right>
      <top/>
      <bottom/>
      <diagonal/>
    </border>
    <border>
      <left style="thick">
        <color theme="0" tint="-0.34998626667073579"/>
      </left>
      <right/>
      <top/>
      <bottom style="thick">
        <color theme="0" tint="-0.34998626667073579"/>
      </bottom>
      <diagonal/>
    </border>
    <border>
      <left/>
      <right/>
      <top/>
      <bottom style="thick">
        <color theme="0" tint="-0.34998626667073579"/>
      </bottom>
      <diagonal/>
    </border>
    <border>
      <left/>
      <right style="thick">
        <color theme="0" tint="-0.34998626667073579"/>
      </right>
      <top/>
      <bottom style="thick">
        <color theme="0" tint="-0.34998626667073579"/>
      </bottom>
      <diagonal/>
    </border>
    <border>
      <left style="double">
        <color theme="1" tint="0.499984740745262"/>
      </left>
      <right/>
      <top style="double">
        <color theme="1" tint="0.499984740745262"/>
      </top>
      <bottom/>
      <diagonal/>
    </border>
    <border>
      <left/>
      <right/>
      <top style="double">
        <color theme="1" tint="0.499984740745262"/>
      </top>
      <bottom/>
      <diagonal/>
    </border>
    <border>
      <left/>
      <right style="double">
        <color theme="1" tint="0.499984740745262"/>
      </right>
      <top style="double">
        <color theme="1" tint="0.499984740745262"/>
      </top>
      <bottom/>
      <diagonal/>
    </border>
    <border>
      <left style="double">
        <color theme="1" tint="0.499984740745262"/>
      </left>
      <right/>
      <top/>
      <bottom/>
      <diagonal/>
    </border>
    <border>
      <left/>
      <right style="double">
        <color theme="1" tint="0.499984740745262"/>
      </right>
      <top/>
      <bottom/>
      <diagonal/>
    </border>
    <border>
      <left style="double">
        <color theme="1" tint="0.499984740745262"/>
      </left>
      <right/>
      <top/>
      <bottom style="double">
        <color theme="1" tint="0.499984740745262"/>
      </bottom>
      <diagonal/>
    </border>
    <border>
      <left/>
      <right/>
      <top/>
      <bottom style="double">
        <color theme="1" tint="0.499984740745262"/>
      </bottom>
      <diagonal/>
    </border>
    <border>
      <left/>
      <right style="double">
        <color theme="1" tint="0.499984740745262"/>
      </right>
      <top/>
      <bottom style="double">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right/>
      <top/>
      <bottom style="medium">
        <color theme="0" tint="-0.499984740745262"/>
      </bottom>
      <diagonal/>
    </border>
    <border>
      <left/>
      <right/>
      <top style="medium">
        <color theme="0" tint="-0.499984740745262"/>
      </top>
      <bottom style="medium">
        <color theme="0" tint="-0.499984740745262"/>
      </bottom>
      <diagonal/>
    </border>
    <border>
      <left/>
      <right/>
      <top style="medium">
        <color theme="0" tint="-0.499984740745262"/>
      </top>
      <bottom style="thin">
        <color theme="0" tint="-0.499984740745262"/>
      </bottom>
      <diagonal/>
    </border>
    <border>
      <left/>
      <right/>
      <top/>
      <bottom style="thick">
        <color theme="1" tint="0.499984740745262"/>
      </bottom>
      <diagonal/>
    </border>
    <border>
      <left style="thick">
        <color theme="0" tint="-0.499984740745262"/>
      </left>
      <right/>
      <top style="thick">
        <color theme="0" tint="-0.499984740745262"/>
      </top>
      <bottom/>
      <diagonal/>
    </border>
    <border>
      <left/>
      <right/>
      <top style="thick">
        <color theme="0" tint="-0.499984740745262"/>
      </top>
      <bottom/>
      <diagonal/>
    </border>
    <border>
      <left/>
      <right style="thick">
        <color theme="0" tint="-0.499984740745262"/>
      </right>
      <top style="thick">
        <color theme="0" tint="-0.499984740745262"/>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
      <left/>
      <right/>
      <top/>
      <bottom style="double">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style="double">
        <color theme="1" tint="0.499984740745262"/>
      </bottom>
      <diagonal/>
    </border>
    <border>
      <left style="thin">
        <color theme="0" tint="-4.9989318521683403E-2"/>
      </left>
      <right/>
      <top/>
      <bottom style="double">
        <color theme="1" tint="0.499984740745262"/>
      </bottom>
      <diagonal/>
    </border>
    <border>
      <left/>
      <right/>
      <top/>
      <bottom style="medium">
        <color theme="0" tint="-0.14996795556505021"/>
      </bottom>
      <diagonal/>
    </border>
    <border>
      <left/>
      <right/>
      <top/>
      <bottom style="double">
        <color auto="1"/>
      </bottom>
      <diagonal/>
    </border>
    <border>
      <left/>
      <right/>
      <top style="medium">
        <color theme="0" tint="-0.14996795556505021"/>
      </top>
      <bottom style="double">
        <color theme="1" tint="0.2499465926084170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ck">
        <color theme="5" tint="0.79998168889431442"/>
      </left>
      <right/>
      <top style="thick">
        <color theme="5" tint="0.79998168889431442"/>
      </top>
      <bottom/>
      <diagonal/>
    </border>
    <border>
      <left/>
      <right/>
      <top style="thick">
        <color theme="5" tint="0.79998168889431442"/>
      </top>
      <bottom/>
      <diagonal/>
    </border>
    <border>
      <left/>
      <right style="thick">
        <color theme="5" tint="0.79998168889431442"/>
      </right>
      <top style="thick">
        <color theme="5" tint="0.79998168889431442"/>
      </top>
      <bottom/>
      <diagonal/>
    </border>
    <border>
      <left style="thick">
        <color theme="5" tint="0.79998168889431442"/>
      </left>
      <right/>
      <top/>
      <bottom style="thick">
        <color theme="5" tint="0.79998168889431442"/>
      </bottom>
      <diagonal/>
    </border>
    <border>
      <left/>
      <right/>
      <top/>
      <bottom style="thick">
        <color theme="5" tint="0.79998168889431442"/>
      </bottom>
      <diagonal/>
    </border>
    <border>
      <left/>
      <right style="thick">
        <color theme="5" tint="0.79998168889431442"/>
      </right>
      <top/>
      <bottom style="thick">
        <color theme="5" tint="0.79998168889431442"/>
      </bottom>
      <diagonal/>
    </border>
    <border>
      <left style="thick">
        <color theme="0" tint="-0.24994659260841701"/>
      </left>
      <right/>
      <top style="thick">
        <color theme="0" tint="-0.24994659260841701"/>
      </top>
      <bottom/>
      <diagonal/>
    </border>
    <border>
      <left/>
      <right/>
      <top style="thick">
        <color theme="0" tint="-0.24994659260841701"/>
      </top>
      <bottom/>
      <diagonal/>
    </border>
    <border>
      <left/>
      <right style="thick">
        <color theme="0" tint="-0.24994659260841701"/>
      </right>
      <top style="thick">
        <color theme="0" tint="-0.24994659260841701"/>
      </top>
      <bottom/>
      <diagonal/>
    </border>
    <border>
      <left style="thick">
        <color theme="0" tint="-0.24994659260841701"/>
      </left>
      <right/>
      <top/>
      <bottom/>
      <diagonal/>
    </border>
    <border>
      <left/>
      <right style="thick">
        <color theme="0" tint="-0.24994659260841701"/>
      </right>
      <top/>
      <bottom/>
      <diagonal/>
    </border>
    <border>
      <left style="thick">
        <color theme="0" tint="-0.24994659260841701"/>
      </left>
      <right/>
      <top/>
      <bottom style="thick">
        <color theme="0" tint="-0.24994659260841701"/>
      </bottom>
      <diagonal/>
    </border>
    <border>
      <left/>
      <right/>
      <top/>
      <bottom style="thick">
        <color theme="0" tint="-0.24994659260841701"/>
      </bottom>
      <diagonal/>
    </border>
    <border>
      <left/>
      <right style="thick">
        <color theme="0" tint="-0.24994659260841701"/>
      </right>
      <top/>
      <bottom style="thick">
        <color theme="0" tint="-0.24994659260841701"/>
      </bottom>
      <diagonal/>
    </border>
    <border>
      <left/>
      <right/>
      <top/>
      <bottom style="double">
        <color theme="1" tint="0.24994659260841701"/>
      </bottom>
      <diagonal/>
    </border>
    <border>
      <left style="thick">
        <color theme="1" tint="0.24994659260841701"/>
      </left>
      <right/>
      <top style="thick">
        <color theme="1" tint="0.24994659260841701"/>
      </top>
      <bottom/>
      <diagonal/>
    </border>
    <border>
      <left/>
      <right/>
      <top style="thick">
        <color theme="1" tint="0.24994659260841701"/>
      </top>
      <bottom/>
      <diagonal/>
    </border>
    <border>
      <left/>
      <right style="thick">
        <color theme="1" tint="0.24994659260841701"/>
      </right>
      <top style="thick">
        <color theme="1" tint="0.24994659260841701"/>
      </top>
      <bottom/>
      <diagonal/>
    </border>
    <border>
      <left style="thick">
        <color theme="1" tint="0.24994659260841701"/>
      </left>
      <right/>
      <top/>
      <bottom/>
      <diagonal/>
    </border>
    <border>
      <left/>
      <right style="thick">
        <color theme="1" tint="0.24994659260841701"/>
      </right>
      <top/>
      <bottom/>
      <diagonal/>
    </border>
    <border>
      <left style="thick">
        <color theme="1" tint="0.24994659260841701"/>
      </left>
      <right/>
      <top/>
      <bottom style="thick">
        <color theme="1" tint="0.24994659260841701"/>
      </bottom>
      <diagonal/>
    </border>
    <border>
      <left/>
      <right/>
      <top/>
      <bottom style="thick">
        <color theme="1" tint="0.24994659260841701"/>
      </bottom>
      <diagonal/>
    </border>
    <border>
      <left/>
      <right style="thick">
        <color theme="1" tint="0.24994659260841701"/>
      </right>
      <top/>
      <bottom style="thick">
        <color theme="1" tint="0.24994659260841701"/>
      </bottom>
      <diagonal/>
    </border>
    <border>
      <left/>
      <right/>
      <top/>
      <bottom style="mediumDashed">
        <color theme="1" tint="0.34998626667073579"/>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style="medium">
        <color theme="5" tint="0.39994506668294322"/>
      </left>
      <right/>
      <top style="medium">
        <color theme="5" tint="0.39994506668294322"/>
      </top>
      <bottom/>
      <diagonal/>
    </border>
    <border>
      <left/>
      <right/>
      <top style="medium">
        <color theme="5" tint="0.39994506668294322"/>
      </top>
      <bottom/>
      <diagonal/>
    </border>
    <border>
      <left/>
      <right style="medium">
        <color theme="5" tint="0.39994506668294322"/>
      </right>
      <top style="medium">
        <color theme="5" tint="0.39994506668294322"/>
      </top>
      <bottom/>
      <diagonal/>
    </border>
    <border>
      <left style="medium">
        <color theme="5" tint="0.39994506668294322"/>
      </left>
      <right/>
      <top/>
      <bottom/>
      <diagonal/>
    </border>
    <border>
      <left/>
      <right style="medium">
        <color theme="5" tint="0.39994506668294322"/>
      </right>
      <top/>
      <bottom/>
      <diagonal/>
    </border>
    <border>
      <left style="medium">
        <color theme="5" tint="0.39994506668294322"/>
      </left>
      <right/>
      <top/>
      <bottom style="medium">
        <color theme="5" tint="0.39994506668294322"/>
      </bottom>
      <diagonal/>
    </border>
    <border>
      <left/>
      <right/>
      <top/>
      <bottom style="medium">
        <color theme="5" tint="0.39994506668294322"/>
      </bottom>
      <diagonal/>
    </border>
    <border>
      <left/>
      <right style="medium">
        <color theme="5" tint="0.39994506668294322"/>
      </right>
      <top/>
      <bottom style="medium">
        <color theme="5" tint="0.39994506668294322"/>
      </bottom>
      <diagonal/>
    </border>
    <border>
      <left style="thin">
        <color theme="5" tint="0.39994506668294322"/>
      </left>
      <right/>
      <top style="thin">
        <color theme="5" tint="0.39994506668294322"/>
      </top>
      <bottom/>
      <diagonal/>
    </border>
    <border>
      <left/>
      <right/>
      <top style="thin">
        <color theme="5" tint="0.39994506668294322"/>
      </top>
      <bottom/>
      <diagonal/>
    </border>
    <border>
      <left/>
      <right style="thin">
        <color theme="5" tint="0.39994506668294322"/>
      </right>
      <top style="thin">
        <color theme="5" tint="0.39994506668294322"/>
      </top>
      <bottom/>
      <diagonal/>
    </border>
    <border>
      <left style="thin">
        <color theme="5" tint="0.39994506668294322"/>
      </left>
      <right/>
      <top/>
      <bottom/>
      <diagonal/>
    </border>
    <border>
      <left/>
      <right style="thin">
        <color theme="5" tint="0.39994506668294322"/>
      </right>
      <top/>
      <bottom/>
      <diagonal/>
    </border>
    <border>
      <left style="thin">
        <color theme="5" tint="0.39994506668294322"/>
      </left>
      <right/>
      <top/>
      <bottom style="thin">
        <color theme="5" tint="0.39994506668294322"/>
      </bottom>
      <diagonal/>
    </border>
    <border>
      <left/>
      <right/>
      <top/>
      <bottom style="thin">
        <color theme="5" tint="0.39994506668294322"/>
      </bottom>
      <diagonal/>
    </border>
    <border>
      <left/>
      <right style="thin">
        <color theme="5" tint="0.39994506668294322"/>
      </right>
      <top/>
      <bottom style="thin">
        <color theme="5" tint="0.39994506668294322"/>
      </bottom>
      <diagonal/>
    </border>
    <border>
      <left/>
      <right/>
      <top style="medium">
        <color theme="5" tint="0.39994506668294322"/>
      </top>
      <bottom style="medium">
        <color theme="0" tint="-0.499984740745262"/>
      </bottom>
      <diagonal/>
    </border>
    <border>
      <left/>
      <right/>
      <top style="medium">
        <color auto="1"/>
      </top>
      <bottom style="medium">
        <color auto="1"/>
      </bottom>
      <diagonal/>
    </border>
    <border>
      <left/>
      <right/>
      <top/>
      <bottom style="medium">
        <color rgb="FFC00000"/>
      </bottom>
      <diagonal/>
    </border>
    <border>
      <left/>
      <right/>
      <top style="medium">
        <color rgb="FFC00000"/>
      </top>
      <bottom style="medium">
        <color rgb="FFC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ck">
        <color auto="1"/>
      </right>
      <top style="thick">
        <color auto="1"/>
      </top>
      <bottom/>
      <diagonal/>
    </border>
    <border>
      <left/>
      <right style="thick">
        <color auto="1"/>
      </right>
      <top/>
      <bottom/>
      <diagonal/>
    </border>
    <border>
      <left/>
      <right/>
      <top/>
      <bottom style="thin">
        <color theme="0" tint="-0.34998626667073579"/>
      </bottom>
      <diagonal/>
    </border>
    <border>
      <left/>
      <right style="thick">
        <color auto="1"/>
      </right>
      <top/>
      <bottom style="thin">
        <color theme="0" tint="-0.34998626667073579"/>
      </bottom>
      <diagonal/>
    </border>
    <border>
      <left/>
      <right/>
      <top style="thin">
        <color theme="0" tint="-0.34998626667073579"/>
      </top>
      <bottom/>
      <diagonal/>
    </border>
    <border>
      <left/>
      <right style="thick">
        <color auto="1"/>
      </right>
      <top style="thin">
        <color theme="0" tint="-0.34998626667073579"/>
      </top>
      <bottom/>
      <diagonal/>
    </border>
    <border>
      <left/>
      <right/>
      <top style="medium">
        <color theme="0" tint="-0.499984740745262"/>
      </top>
      <bottom style="medium">
        <color auto="1"/>
      </bottom>
      <diagonal/>
    </border>
  </borders>
  <cellStyleXfs count="2">
    <xf numFmtId="0" fontId="0" fillId="0" borderId="0"/>
    <xf numFmtId="0" fontId="66" fillId="11" borderId="0" applyNumberFormat="0" applyBorder="0" applyAlignment="0" applyProtection="0"/>
  </cellStyleXfs>
  <cellXfs count="543">
    <xf numFmtId="0" fontId="0" fillId="0" borderId="0" xfId="0"/>
    <xf numFmtId="0" fontId="0" fillId="0" borderId="1" xfId="0" applyBorder="1"/>
    <xf numFmtId="0" fontId="2" fillId="0" borderId="0" xfId="0" applyFont="1"/>
    <xf numFmtId="0" fontId="1" fillId="0" borderId="1" xfId="0" applyFont="1" applyBorder="1" applyAlignment="1">
      <alignment horizontal="center"/>
    </xf>
    <xf numFmtId="0" fontId="0" fillId="0" borderId="0" xfId="0" applyAlignment="1">
      <alignment horizontal="center"/>
    </xf>
    <xf numFmtId="0" fontId="3" fillId="0" borderId="0" xfId="0" applyFont="1"/>
    <xf numFmtId="0" fontId="4" fillId="2" borderId="0" xfId="0" applyFont="1" applyFill="1"/>
    <xf numFmtId="0" fontId="5" fillId="2" borderId="0" xfId="0" applyFont="1" applyFill="1"/>
    <xf numFmtId="0" fontId="5" fillId="0" borderId="0" xfId="0" applyFont="1"/>
    <xf numFmtId="0" fontId="4" fillId="3" borderId="0" xfId="0" applyFont="1" applyFill="1" applyAlignment="1">
      <alignment wrapText="1"/>
    </xf>
    <xf numFmtId="0" fontId="6" fillId="4" borderId="2" xfId="0" applyFont="1" applyFill="1" applyBorder="1" applyAlignment="1">
      <alignment wrapText="1"/>
    </xf>
    <xf numFmtId="0" fontId="6" fillId="4" borderId="3" xfId="0" applyFont="1" applyFill="1" applyBorder="1"/>
    <xf numFmtId="0" fontId="6" fillId="4" borderId="3" xfId="0" applyFont="1" applyFill="1" applyBorder="1" applyAlignment="1">
      <alignment wrapText="1"/>
    </xf>
    <xf numFmtId="0" fontId="6" fillId="4" borderId="4" xfId="0" applyFont="1" applyFill="1" applyBorder="1" applyAlignment="1">
      <alignment wrapText="1"/>
    </xf>
    <xf numFmtId="0" fontId="8" fillId="0" borderId="1" xfId="0" applyFont="1" applyBorder="1" applyAlignment="1">
      <alignment horizontal="center"/>
    </xf>
    <xf numFmtId="0" fontId="0" fillId="0" borderId="0" xfId="0" applyFill="1" applyBorder="1" applyAlignment="1"/>
    <xf numFmtId="0" fontId="0" fillId="0" borderId="5" xfId="0" applyFill="1" applyBorder="1" applyAlignment="1"/>
    <xf numFmtId="0" fontId="9" fillId="0" borderId="6" xfId="0" applyFont="1" applyFill="1" applyBorder="1" applyAlignment="1">
      <alignment horizontal="center"/>
    </xf>
    <xf numFmtId="0" fontId="9" fillId="0" borderId="6" xfId="0" applyFont="1" applyFill="1" applyBorder="1" applyAlignment="1">
      <alignment horizontal="centerContinuous"/>
    </xf>
    <xf numFmtId="0" fontId="0" fillId="2" borderId="0" xfId="0" applyFill="1" applyBorder="1" applyAlignment="1"/>
    <xf numFmtId="0" fontId="0" fillId="2" borderId="5" xfId="0" applyFill="1" applyBorder="1" applyAlignment="1"/>
    <xf numFmtId="0" fontId="0" fillId="0" borderId="0" xfId="0" applyBorder="1"/>
    <xf numFmtId="0" fontId="9" fillId="0" borderId="0" xfId="0" applyFont="1" applyFill="1" applyBorder="1" applyAlignment="1">
      <alignment horizontal="centerContinuous"/>
    </xf>
    <xf numFmtId="0" fontId="9" fillId="0" borderId="0" xfId="0" applyFont="1" applyFill="1" applyBorder="1" applyAlignment="1">
      <alignment horizontal="center"/>
    </xf>
    <xf numFmtId="0" fontId="9" fillId="2" borderId="6" xfId="0" applyFont="1" applyFill="1" applyBorder="1" applyAlignment="1">
      <alignment horizontal="center"/>
    </xf>
    <xf numFmtId="164" fontId="0" fillId="5" borderId="0" xfId="0" applyNumberFormat="1" applyFill="1" applyBorder="1"/>
    <xf numFmtId="0" fontId="8" fillId="0" borderId="1" xfId="0" applyFont="1" applyBorder="1"/>
    <xf numFmtId="0" fontId="0" fillId="5" borderId="0" xfId="0" applyFill="1"/>
    <xf numFmtId="0" fontId="8" fillId="5" borderId="0" xfId="0" applyFont="1" applyFill="1"/>
    <xf numFmtId="0" fontId="0" fillId="6" borderId="0" xfId="0" applyFill="1" applyAlignment="1">
      <alignment horizontal="center"/>
    </xf>
    <xf numFmtId="0" fontId="0" fillId="6" borderId="1" xfId="0" applyFill="1" applyBorder="1" applyAlignment="1">
      <alignment horizontal="center"/>
    </xf>
    <xf numFmtId="0" fontId="0" fillId="6" borderId="0" xfId="0" applyFill="1"/>
    <xf numFmtId="0" fontId="11" fillId="5" borderId="0" xfId="0" applyFont="1" applyFill="1"/>
    <xf numFmtId="0" fontId="0" fillId="0" borderId="0" xfId="0" applyAlignment="1">
      <alignment horizontal="center"/>
    </xf>
    <xf numFmtId="0" fontId="0" fillId="7" borderId="0" xfId="0" applyFill="1"/>
    <xf numFmtId="0" fontId="0" fillId="7" borderId="0" xfId="0" applyFill="1" applyBorder="1"/>
    <xf numFmtId="0" fontId="0" fillId="7" borderId="20" xfId="0" applyFill="1" applyBorder="1"/>
    <xf numFmtId="0" fontId="0" fillId="7" borderId="21" xfId="0" applyFill="1" applyBorder="1"/>
    <xf numFmtId="0" fontId="0" fillId="7" borderId="22" xfId="0" applyFill="1" applyBorder="1"/>
    <xf numFmtId="0" fontId="0" fillId="7" borderId="23" xfId="0" applyFill="1" applyBorder="1"/>
    <xf numFmtId="0" fontId="0" fillId="7" borderId="25" xfId="0" applyFill="1" applyBorder="1"/>
    <xf numFmtId="0" fontId="0" fillId="7" borderId="26" xfId="0" applyFill="1" applyBorder="1"/>
    <xf numFmtId="0" fontId="0" fillId="0" borderId="30" xfId="0" applyBorder="1"/>
    <xf numFmtId="0" fontId="0" fillId="0" borderId="32" xfId="0" applyBorder="1"/>
    <xf numFmtId="0" fontId="0" fillId="0" borderId="35" xfId="0" applyBorder="1"/>
    <xf numFmtId="0" fontId="0" fillId="7" borderId="0" xfId="0" applyFill="1" applyBorder="1" applyAlignment="1">
      <alignment horizontal="center"/>
    </xf>
    <xf numFmtId="0" fontId="15" fillId="0" borderId="47" xfId="0" applyFont="1" applyBorder="1" applyAlignment="1">
      <alignment horizontal="center" vertical="center" wrapText="1"/>
    </xf>
    <xf numFmtId="16" fontId="0" fillId="0" borderId="0" xfId="0" applyNumberFormat="1"/>
    <xf numFmtId="0" fontId="0" fillId="0" borderId="26" xfId="0" applyBorder="1"/>
    <xf numFmtId="16" fontId="0" fillId="0" borderId="26" xfId="0" applyNumberFormat="1" applyBorder="1"/>
    <xf numFmtId="0" fontId="0" fillId="0" borderId="26" xfId="0" applyBorder="1" applyAlignment="1">
      <alignment horizontal="center"/>
    </xf>
    <xf numFmtId="0" fontId="0" fillId="0" borderId="0" xfId="0" applyAlignment="1">
      <alignment horizontal="center"/>
    </xf>
    <xf numFmtId="0" fontId="15" fillId="0" borderId="47" xfId="0" applyFont="1" applyFill="1" applyBorder="1" applyAlignment="1">
      <alignment horizontal="center" vertical="center" wrapText="1"/>
    </xf>
    <xf numFmtId="1" fontId="0" fillId="0" borderId="0" xfId="0" applyNumberFormat="1" applyAlignment="1">
      <alignment horizontal="center"/>
    </xf>
    <xf numFmtId="1" fontId="0" fillId="0" borderId="26" xfId="0" applyNumberFormat="1" applyBorder="1" applyAlignment="1">
      <alignment horizontal="center"/>
    </xf>
    <xf numFmtId="1" fontId="0" fillId="0" borderId="26" xfId="0" applyNumberFormat="1" applyBorder="1"/>
    <xf numFmtId="165" fontId="0" fillId="0" borderId="0" xfId="0" applyNumberFormat="1" applyAlignment="1">
      <alignment horizontal="center"/>
    </xf>
    <xf numFmtId="165" fontId="0" fillId="0" borderId="26" xfId="0" applyNumberFormat="1" applyBorder="1"/>
    <xf numFmtId="49" fontId="0" fillId="0" borderId="0" xfId="0" applyNumberFormat="1" applyAlignment="1">
      <alignment horizontal="center"/>
    </xf>
    <xf numFmtId="49" fontId="0" fillId="0" borderId="26" xfId="0" applyNumberFormat="1" applyBorder="1"/>
    <xf numFmtId="0" fontId="0" fillId="7" borderId="0" xfId="0" applyFill="1" applyBorder="1" applyAlignment="1">
      <alignment horizontal="center"/>
    </xf>
    <xf numFmtId="1" fontId="0" fillId="0" borderId="0" xfId="0" applyNumberFormat="1" applyAlignment="1">
      <alignment horizontal="left"/>
    </xf>
    <xf numFmtId="1" fontId="0" fillId="0" borderId="26" xfId="0" applyNumberFormat="1" applyBorder="1" applyAlignment="1">
      <alignment horizontal="left"/>
    </xf>
    <xf numFmtId="0" fontId="0" fillId="0" borderId="0" xfId="0" applyBorder="1" applyAlignment="1">
      <alignment horizontal="center"/>
    </xf>
    <xf numFmtId="16" fontId="0" fillId="0" borderId="0" xfId="0" applyNumberFormat="1" applyBorder="1"/>
    <xf numFmtId="0" fontId="0" fillId="0" borderId="60" xfId="0" applyBorder="1"/>
    <xf numFmtId="1" fontId="0" fillId="0" borderId="0" xfId="0" applyNumberFormat="1" applyBorder="1" applyAlignment="1">
      <alignment horizontal="center"/>
    </xf>
    <xf numFmtId="165" fontId="0" fillId="0" borderId="0" xfId="0" applyNumberFormat="1" applyBorder="1" applyAlignment="1">
      <alignment horizontal="center"/>
    </xf>
    <xf numFmtId="49" fontId="0" fillId="0" borderId="0" xfId="0" applyNumberFormat="1" applyBorder="1" applyAlignment="1">
      <alignment horizontal="center"/>
    </xf>
    <xf numFmtId="165" fontId="0" fillId="0" borderId="26" xfId="0" applyNumberFormat="1" applyBorder="1" applyAlignment="1">
      <alignment horizontal="center"/>
    </xf>
    <xf numFmtId="49" fontId="0" fillId="0" borderId="26" xfId="0" applyNumberFormat="1" applyBorder="1" applyAlignment="1">
      <alignment horizontal="center"/>
    </xf>
    <xf numFmtId="0" fontId="0" fillId="0" borderId="61" xfId="0" applyBorder="1" applyAlignment="1">
      <alignment horizontal="center"/>
    </xf>
    <xf numFmtId="0" fontId="0" fillId="0" borderId="61" xfId="0" applyBorder="1"/>
    <xf numFmtId="16" fontId="0" fillId="0" borderId="61" xfId="0" applyNumberFormat="1" applyBorder="1"/>
    <xf numFmtId="1" fontId="0" fillId="0" borderId="61" xfId="0" applyNumberFormat="1" applyBorder="1" applyAlignment="1">
      <alignment horizontal="left"/>
    </xf>
    <xf numFmtId="1" fontId="0" fillId="0" borderId="61" xfId="0" applyNumberFormat="1" applyBorder="1" applyAlignment="1">
      <alignment horizontal="center"/>
    </xf>
    <xf numFmtId="165" fontId="0" fillId="0" borderId="61" xfId="0" applyNumberFormat="1" applyBorder="1" applyAlignment="1">
      <alignment horizontal="center"/>
    </xf>
    <xf numFmtId="49" fontId="0" fillId="0" borderId="61" xfId="0" applyNumberFormat="1" applyBorder="1" applyAlignment="1">
      <alignment horizontal="center"/>
    </xf>
    <xf numFmtId="2" fontId="0" fillId="0" borderId="0" xfId="0" applyNumberFormat="1" applyAlignment="1">
      <alignment horizontal="center"/>
    </xf>
    <xf numFmtId="2" fontId="0" fillId="0" borderId="61" xfId="0" applyNumberFormat="1" applyBorder="1" applyAlignment="1">
      <alignment horizontal="center"/>
    </xf>
    <xf numFmtId="2" fontId="0" fillId="0" borderId="56" xfId="0" applyNumberFormat="1" applyBorder="1"/>
    <xf numFmtId="2" fontId="0" fillId="0" borderId="0" xfId="0" applyNumberFormat="1" applyBorder="1" applyAlignment="1">
      <alignment horizontal="center"/>
    </xf>
    <xf numFmtId="2" fontId="0" fillId="0" borderId="26" xfId="0" applyNumberFormat="1" applyBorder="1" applyAlignment="1">
      <alignment horizontal="center"/>
    </xf>
    <xf numFmtId="164" fontId="0" fillId="0" borderId="0" xfId="0" applyNumberFormat="1" applyAlignment="1">
      <alignment horizontal="center"/>
    </xf>
    <xf numFmtId="164" fontId="0" fillId="0" borderId="56" xfId="0" applyNumberFormat="1" applyBorder="1"/>
    <xf numFmtId="2" fontId="0" fillId="2" borderId="58" xfId="0" applyNumberFormat="1" applyFill="1" applyBorder="1" applyAlignment="1">
      <alignment horizontal="center"/>
    </xf>
    <xf numFmtId="2" fontId="0" fillId="2" borderId="57" xfId="0" applyNumberFormat="1" applyFill="1" applyBorder="1" applyAlignment="1">
      <alignment horizontal="center"/>
    </xf>
    <xf numFmtId="2" fontId="0" fillId="2" borderId="59" xfId="0" applyNumberFormat="1" applyFill="1" applyBorder="1" applyAlignment="1">
      <alignment horizontal="center"/>
    </xf>
    <xf numFmtId="164" fontId="0" fillId="2" borderId="58" xfId="0" applyNumberFormat="1" applyFill="1" applyBorder="1" applyAlignment="1">
      <alignment horizontal="center"/>
    </xf>
    <xf numFmtId="1" fontId="0" fillId="0" borderId="62" xfId="0" applyNumberFormat="1" applyBorder="1" applyAlignment="1">
      <alignment horizontal="center"/>
    </xf>
    <xf numFmtId="49" fontId="0" fillId="0" borderId="63" xfId="0" applyNumberFormat="1" applyBorder="1"/>
    <xf numFmtId="1" fontId="8" fillId="0" borderId="0" xfId="0" applyNumberFormat="1" applyFont="1" applyAlignment="1">
      <alignment horizontal="center"/>
    </xf>
    <xf numFmtId="0" fontId="0" fillId="0" borderId="0" xfId="0" applyBorder="1" applyAlignment="1">
      <alignment horizontal="left"/>
    </xf>
    <xf numFmtId="0" fontId="0" fillId="0" borderId="45" xfId="0" applyBorder="1" applyAlignment="1">
      <alignment horizontal="left"/>
    </xf>
    <xf numFmtId="0" fontId="0" fillId="0" borderId="64" xfId="0" applyBorder="1"/>
    <xf numFmtId="0" fontId="0" fillId="0" borderId="65" xfId="0" applyBorder="1"/>
    <xf numFmtId="1" fontId="0" fillId="2" borderId="58" xfId="0" applyNumberFormat="1" applyFill="1" applyBorder="1" applyAlignment="1">
      <alignment horizontal="center"/>
    </xf>
    <xf numFmtId="10" fontId="0" fillId="8" borderId="58" xfId="0" applyNumberFormat="1" applyFill="1" applyBorder="1" applyAlignment="1">
      <alignment horizontal="center"/>
    </xf>
    <xf numFmtId="0" fontId="0" fillId="9" borderId="0" xfId="0" applyNumberFormat="1" applyFill="1" applyAlignment="1">
      <alignment horizontal="center"/>
    </xf>
    <xf numFmtId="1" fontId="0" fillId="9" borderId="58" xfId="0" applyNumberFormat="1" applyFill="1" applyBorder="1" applyAlignment="1">
      <alignment horizontal="center"/>
    </xf>
    <xf numFmtId="166" fontId="0" fillId="0" borderId="0" xfId="0" applyNumberFormat="1" applyAlignment="1">
      <alignment horizontal="center"/>
    </xf>
    <xf numFmtId="166" fontId="0" fillId="0" borderId="61" xfId="0" applyNumberFormat="1" applyBorder="1" applyAlignment="1">
      <alignment horizontal="center"/>
    </xf>
    <xf numFmtId="166" fontId="0" fillId="0" borderId="26" xfId="0" applyNumberFormat="1" applyBorder="1" applyAlignment="1">
      <alignment horizontal="center"/>
    </xf>
    <xf numFmtId="1" fontId="0" fillId="0" borderId="0" xfId="0" applyNumberFormat="1" applyFont="1" applyAlignment="1">
      <alignment horizontal="center"/>
    </xf>
    <xf numFmtId="166" fontId="0" fillId="0" borderId="0" xfId="0" applyNumberFormat="1" applyFont="1" applyAlignment="1">
      <alignment horizontal="center"/>
    </xf>
    <xf numFmtId="166" fontId="0" fillId="2" borderId="58" xfId="0" applyNumberFormat="1" applyFill="1" applyBorder="1" applyAlignment="1">
      <alignment horizontal="center"/>
    </xf>
    <xf numFmtId="166" fontId="0" fillId="2" borderId="57" xfId="0" applyNumberFormat="1" applyFill="1" applyBorder="1" applyAlignment="1">
      <alignment horizontal="center"/>
    </xf>
    <xf numFmtId="1" fontId="0" fillId="2" borderId="57" xfId="0" applyNumberFormat="1" applyFill="1" applyBorder="1" applyAlignment="1">
      <alignment horizontal="center"/>
    </xf>
    <xf numFmtId="166" fontId="0" fillId="2" borderId="59" xfId="0" applyNumberFormat="1" applyFill="1" applyBorder="1" applyAlignment="1">
      <alignment horizontal="center"/>
    </xf>
    <xf numFmtId="166" fontId="0" fillId="0" borderId="62" xfId="0" applyNumberFormat="1" applyBorder="1" applyAlignment="1">
      <alignment horizontal="center"/>
    </xf>
    <xf numFmtId="166" fontId="15" fillId="2" borderId="58" xfId="0" applyNumberFormat="1" applyFont="1" applyFill="1" applyBorder="1" applyAlignment="1">
      <alignment horizontal="center"/>
    </xf>
    <xf numFmtId="166" fontId="14" fillId="9" borderId="58" xfId="0" applyNumberFormat="1" applyFont="1" applyFill="1" applyBorder="1" applyAlignment="1">
      <alignment horizontal="center"/>
    </xf>
    <xf numFmtId="10" fontId="14" fillId="9" borderId="0" xfId="0" applyNumberFormat="1" applyFont="1" applyFill="1"/>
    <xf numFmtId="0" fontId="3" fillId="0" borderId="26" xfId="0" applyFont="1" applyBorder="1"/>
    <xf numFmtId="0" fontId="15" fillId="0" borderId="67" xfId="0" applyFont="1" applyBorder="1"/>
    <xf numFmtId="0" fontId="15" fillId="0" borderId="70" xfId="0" applyFont="1" applyBorder="1"/>
    <xf numFmtId="0" fontId="0" fillId="0" borderId="0" xfId="0" applyBorder="1" applyAlignment="1">
      <alignment horizontal="left" vertical="top" wrapText="1"/>
    </xf>
    <xf numFmtId="0" fontId="13" fillId="0" borderId="0" xfId="0" applyFont="1" applyAlignment="1">
      <alignment horizontal="center"/>
    </xf>
    <xf numFmtId="0" fontId="0" fillId="7" borderId="0" xfId="0" applyFill="1" applyBorder="1" applyAlignment="1">
      <alignment horizontal="center"/>
    </xf>
    <xf numFmtId="0" fontId="13" fillId="7" borderId="0" xfId="0" applyFont="1" applyFill="1" applyBorder="1" applyAlignment="1">
      <alignment horizontal="center"/>
    </xf>
    <xf numFmtId="0" fontId="0" fillId="0" borderId="0" xfId="0"/>
    <xf numFmtId="0" fontId="0" fillId="0" borderId="0" xfId="0" applyAlignment="1">
      <alignment horizontal="center"/>
    </xf>
    <xf numFmtId="0" fontId="0" fillId="0" borderId="0" xfId="0" applyAlignment="1"/>
    <xf numFmtId="0" fontId="23" fillId="0" borderId="0" xfId="0" applyFont="1"/>
    <xf numFmtId="0" fontId="0" fillId="0" borderId="0" xfId="0" applyBorder="1" applyAlignment="1"/>
    <xf numFmtId="0" fontId="0" fillId="0" borderId="76" xfId="0" applyBorder="1" applyAlignment="1">
      <alignment horizontal="left"/>
    </xf>
    <xf numFmtId="0" fontId="0" fillId="0" borderId="77" xfId="0" applyBorder="1" applyAlignment="1">
      <alignment horizontal="left"/>
    </xf>
    <xf numFmtId="0" fontId="0" fillId="0" borderId="32" xfId="0" applyBorder="1" applyAlignment="1"/>
    <xf numFmtId="0" fontId="0" fillId="0" borderId="81" xfId="0" applyBorder="1" applyAlignment="1">
      <alignment horizontal="center"/>
    </xf>
    <xf numFmtId="0" fontId="0" fillId="0" borderId="81" xfId="0" applyBorder="1"/>
    <xf numFmtId="16" fontId="0" fillId="0" borderId="81" xfId="0" applyNumberFormat="1" applyBorder="1"/>
    <xf numFmtId="1" fontId="0" fillId="0" borderId="81" xfId="0" applyNumberFormat="1" applyBorder="1" applyAlignment="1">
      <alignment horizontal="left"/>
    </xf>
    <xf numFmtId="166" fontId="0" fillId="0" borderId="81" xfId="0" applyNumberFormat="1" applyBorder="1" applyAlignment="1">
      <alignment horizontal="center"/>
    </xf>
    <xf numFmtId="1" fontId="0" fillId="0" borderId="81" xfId="0" applyNumberFormat="1" applyBorder="1" applyAlignment="1">
      <alignment horizontal="center"/>
    </xf>
    <xf numFmtId="165" fontId="0" fillId="0" borderId="81" xfId="0" applyNumberFormat="1" applyBorder="1" applyAlignment="1">
      <alignment horizontal="center"/>
    </xf>
    <xf numFmtId="49" fontId="0" fillId="0" borderId="81" xfId="0" applyNumberFormat="1" applyBorder="1" applyAlignment="1">
      <alignment horizontal="center"/>
    </xf>
    <xf numFmtId="2" fontId="0" fillId="0" borderId="81" xfId="0" applyNumberFormat="1" applyBorder="1" applyAlignment="1">
      <alignment horizontal="center"/>
    </xf>
    <xf numFmtId="0" fontId="22" fillId="0" borderId="0" xfId="0" applyFont="1"/>
    <xf numFmtId="0" fontId="0" fillId="0" borderId="0" xfId="0" applyBorder="1" applyAlignment="1"/>
    <xf numFmtId="0" fontId="0" fillId="0" borderId="85" xfId="0" applyBorder="1" applyAlignment="1"/>
    <xf numFmtId="0" fontId="10" fillId="0" borderId="0" xfId="0" applyFont="1" applyBorder="1" applyAlignment="1"/>
    <xf numFmtId="0" fontId="0" fillId="0" borderId="84" xfId="0" applyBorder="1" applyAlignment="1">
      <alignment horizontal="center"/>
    </xf>
    <xf numFmtId="0" fontId="0" fillId="0" borderId="86" xfId="0" applyBorder="1" applyAlignment="1">
      <alignment horizontal="center"/>
    </xf>
    <xf numFmtId="0" fontId="0" fillId="0" borderId="89" xfId="0" applyBorder="1" applyAlignment="1">
      <alignment horizontal="center"/>
    </xf>
    <xf numFmtId="0" fontId="0" fillId="0" borderId="56" xfId="0" applyBorder="1" applyAlignment="1">
      <alignment horizontal="center"/>
    </xf>
    <xf numFmtId="0" fontId="0" fillId="0" borderId="56" xfId="0" applyBorder="1"/>
    <xf numFmtId="16" fontId="0" fillId="0" borderId="56" xfId="0" applyNumberFormat="1" applyBorder="1"/>
    <xf numFmtId="1" fontId="0" fillId="0" borderId="56" xfId="0" applyNumberFormat="1" applyBorder="1" applyAlignment="1">
      <alignment horizontal="left"/>
    </xf>
    <xf numFmtId="166" fontId="0" fillId="0" borderId="56" xfId="0" applyNumberFormat="1" applyBorder="1" applyAlignment="1">
      <alignment horizontal="center"/>
    </xf>
    <xf numFmtId="1" fontId="0" fillId="0" borderId="56" xfId="0" applyNumberFormat="1" applyBorder="1" applyAlignment="1">
      <alignment horizontal="center"/>
    </xf>
    <xf numFmtId="165" fontId="0" fillId="0" borderId="56" xfId="0" applyNumberFormat="1" applyBorder="1" applyAlignment="1">
      <alignment horizontal="center"/>
    </xf>
    <xf numFmtId="49" fontId="0" fillId="0" borderId="56" xfId="0" applyNumberFormat="1" applyBorder="1" applyAlignment="1">
      <alignment horizontal="center"/>
    </xf>
    <xf numFmtId="2" fontId="0" fillId="0" borderId="56" xfId="0" applyNumberFormat="1" applyBorder="1" applyAlignment="1">
      <alignment horizontal="center"/>
    </xf>
    <xf numFmtId="0" fontId="0" fillId="0" borderId="90" xfId="0" applyBorder="1" applyAlignment="1">
      <alignment horizontal="center"/>
    </xf>
    <xf numFmtId="0" fontId="0" fillId="0" borderId="90" xfId="0" applyBorder="1"/>
    <xf numFmtId="16" fontId="0" fillId="0" borderId="90" xfId="0" applyNumberFormat="1" applyBorder="1"/>
    <xf numFmtId="1" fontId="0" fillId="0" borderId="90" xfId="0" applyNumberFormat="1" applyBorder="1" applyAlignment="1">
      <alignment horizontal="left"/>
    </xf>
    <xf numFmtId="166" fontId="0" fillId="0" borderId="90" xfId="0" applyNumberFormat="1" applyBorder="1" applyAlignment="1">
      <alignment horizontal="center"/>
    </xf>
    <xf numFmtId="1" fontId="0" fillId="0" borderId="90" xfId="0" applyNumberFormat="1" applyBorder="1" applyAlignment="1">
      <alignment horizontal="center"/>
    </xf>
    <xf numFmtId="165" fontId="0" fillId="0" borderId="90" xfId="0" applyNumberFormat="1" applyBorder="1" applyAlignment="1">
      <alignment horizontal="center"/>
    </xf>
    <xf numFmtId="49" fontId="0" fillId="0" borderId="90" xfId="0" applyNumberFormat="1" applyBorder="1" applyAlignment="1">
      <alignment horizontal="center"/>
    </xf>
    <xf numFmtId="2" fontId="0" fillId="0" borderId="90" xfId="0" applyNumberFormat="1" applyBorder="1" applyAlignment="1">
      <alignment horizontal="center"/>
    </xf>
    <xf numFmtId="0" fontId="22" fillId="0" borderId="0" xfId="0" applyFont="1" applyBorder="1"/>
    <xf numFmtId="2" fontId="0" fillId="0" borderId="32" xfId="0" applyNumberFormat="1" applyBorder="1"/>
    <xf numFmtId="0" fontId="0" fillId="0" borderId="76" xfId="0" applyBorder="1" applyAlignment="1">
      <alignment horizontal="left"/>
    </xf>
    <xf numFmtId="0" fontId="0" fillId="0" borderId="0" xfId="0" applyBorder="1" applyAlignment="1">
      <alignment horizontal="left"/>
    </xf>
    <xf numFmtId="0" fontId="0" fillId="0" borderId="77" xfId="0" applyBorder="1" applyAlignment="1">
      <alignment horizontal="left"/>
    </xf>
    <xf numFmtId="0" fontId="0" fillId="0" borderId="78" xfId="0" applyBorder="1" applyAlignment="1">
      <alignment horizontal="left"/>
    </xf>
    <xf numFmtId="0" fontId="0" fillId="0" borderId="79" xfId="0" applyBorder="1" applyAlignment="1">
      <alignment horizontal="left"/>
    </xf>
    <xf numFmtId="0" fontId="0" fillId="0" borderId="80" xfId="0" applyBorder="1" applyAlignment="1">
      <alignment horizontal="left"/>
    </xf>
    <xf numFmtId="3" fontId="0" fillId="0" borderId="32" xfId="0" applyNumberFormat="1" applyBorder="1"/>
    <xf numFmtId="0" fontId="22" fillId="0" borderId="35" xfId="0" applyFont="1" applyBorder="1"/>
    <xf numFmtId="0" fontId="0" fillId="0" borderId="91" xfId="0" applyBorder="1"/>
    <xf numFmtId="0" fontId="0" fillId="0" borderId="92" xfId="0" applyBorder="1"/>
    <xf numFmtId="0" fontId="0" fillId="0" borderId="93" xfId="0" applyBorder="1"/>
    <xf numFmtId="0" fontId="0" fillId="0" borderId="94" xfId="0" applyBorder="1"/>
    <xf numFmtId="0" fontId="0" fillId="0" borderId="95" xfId="0" applyBorder="1"/>
    <xf numFmtId="0" fontId="0" fillId="0" borderId="96" xfId="0" applyBorder="1"/>
    <xf numFmtId="0" fontId="0" fillId="0" borderId="97" xfId="0" applyBorder="1"/>
    <xf numFmtId="0" fontId="0" fillId="0" borderId="98" xfId="0" applyBorder="1"/>
    <xf numFmtId="2" fontId="0" fillId="0" borderId="0" xfId="0" applyNumberFormat="1" applyBorder="1"/>
    <xf numFmtId="3" fontId="0" fillId="0" borderId="0" xfId="0" applyNumberFormat="1" applyBorder="1"/>
    <xf numFmtId="0" fontId="28" fillId="7" borderId="0" xfId="0" applyFont="1" applyFill="1" applyBorder="1" applyAlignment="1">
      <alignment horizontal="center"/>
    </xf>
    <xf numFmtId="0" fontId="8" fillId="0" borderId="0" xfId="0" applyFont="1" applyAlignment="1">
      <alignment horizontal="center"/>
    </xf>
    <xf numFmtId="0" fontId="30" fillId="0" borderId="0" xfId="0" applyFont="1" applyAlignment="1">
      <alignment horizontal="left" vertical="center" readingOrder="1"/>
    </xf>
    <xf numFmtId="0" fontId="31" fillId="0" borderId="0" xfId="0" applyFont="1" applyAlignment="1">
      <alignment horizontal="left" vertical="center" readingOrder="1"/>
    </xf>
    <xf numFmtId="0" fontId="15" fillId="9" borderId="47" xfId="0" applyFont="1" applyFill="1" applyBorder="1" applyAlignment="1">
      <alignment horizontal="center" vertical="center" wrapText="1"/>
    </xf>
    <xf numFmtId="0" fontId="15" fillId="10" borderId="47" xfId="0" applyFont="1" applyFill="1" applyBorder="1" applyAlignment="1">
      <alignment horizontal="center" vertical="center" wrapText="1"/>
    </xf>
    <xf numFmtId="0" fontId="0" fillId="0" borderId="0" xfId="0" applyAlignment="1">
      <alignment horizontal="left"/>
    </xf>
    <xf numFmtId="0" fontId="0" fillId="0" borderId="0" xfId="0" applyAlignment="1">
      <alignment horizontal="center"/>
    </xf>
    <xf numFmtId="0" fontId="20" fillId="0" borderId="0" xfId="0" applyFont="1" applyAlignment="1">
      <alignment horizontal="center"/>
    </xf>
    <xf numFmtId="0" fontId="0" fillId="0" borderId="0" xfId="0" applyBorder="1" applyAlignment="1">
      <alignment horizontal="center"/>
    </xf>
    <xf numFmtId="0" fontId="0" fillId="0" borderId="78" xfId="0" applyBorder="1" applyAlignment="1">
      <alignment horizontal="left"/>
    </xf>
    <xf numFmtId="0" fontId="0" fillId="0" borderId="79" xfId="0" applyBorder="1" applyAlignment="1">
      <alignment horizontal="left"/>
    </xf>
    <xf numFmtId="0" fontId="0" fillId="0" borderId="80" xfId="0" applyBorder="1" applyAlignment="1">
      <alignment horizontal="left"/>
    </xf>
    <xf numFmtId="0" fontId="0" fillId="0" borderId="76" xfId="0" applyBorder="1" applyAlignment="1">
      <alignment horizontal="left"/>
    </xf>
    <xf numFmtId="0" fontId="0" fillId="0" borderId="0" xfId="0" applyBorder="1" applyAlignment="1">
      <alignment horizontal="left"/>
    </xf>
    <xf numFmtId="0" fontId="0" fillId="0" borderId="77" xfId="0" applyBorder="1" applyAlignment="1">
      <alignment horizontal="left"/>
    </xf>
    <xf numFmtId="0" fontId="0" fillId="0" borderId="0" xfId="0" applyAlignment="1">
      <alignment horizontal="center"/>
    </xf>
    <xf numFmtId="0" fontId="0" fillId="0" borderId="0" xfId="0" applyAlignment="1">
      <alignment horizontal="right"/>
    </xf>
    <xf numFmtId="0" fontId="0" fillId="0" borderId="0" xfId="0" applyBorder="1" applyAlignment="1">
      <alignment horizontal="center"/>
    </xf>
    <xf numFmtId="0" fontId="15" fillId="0" borderId="47" xfId="0" applyFont="1" applyBorder="1" applyAlignment="1">
      <alignment horizontal="center" vertical="center" wrapText="1"/>
    </xf>
    <xf numFmtId="0" fontId="0" fillId="9" borderId="0" xfId="0" applyFill="1" applyBorder="1" applyAlignment="1"/>
    <xf numFmtId="2" fontId="0" fillId="0" borderId="0" xfId="0" applyNumberFormat="1" applyFill="1" applyBorder="1" applyAlignment="1"/>
    <xf numFmtId="2" fontId="0" fillId="9" borderId="0" xfId="0" applyNumberFormat="1" applyFill="1" applyBorder="1" applyAlignment="1"/>
    <xf numFmtId="0" fontId="13" fillId="0" borderId="0" xfId="0" applyFont="1" applyAlignment="1">
      <alignment horizontal="center"/>
    </xf>
    <xf numFmtId="0" fontId="0" fillId="0" borderId="0" xfId="0" applyAlignment="1">
      <alignment horizontal="center"/>
    </xf>
    <xf numFmtId="0" fontId="13" fillId="7" borderId="0" xfId="0" applyFont="1" applyFill="1" applyBorder="1" applyAlignment="1">
      <alignment horizontal="center"/>
    </xf>
    <xf numFmtId="0" fontId="0" fillId="7" borderId="0" xfId="0" applyFill="1" applyBorder="1" applyAlignment="1">
      <alignment horizontal="center"/>
    </xf>
    <xf numFmtId="0" fontId="0" fillId="0" borderId="0" xfId="0" applyBorder="1" applyAlignment="1"/>
    <xf numFmtId="0" fontId="0" fillId="0" borderId="85" xfId="0" applyBorder="1" applyAlignment="1"/>
    <xf numFmtId="0" fontId="15" fillId="0" borderId="47" xfId="0" applyFont="1" applyBorder="1" applyAlignment="1">
      <alignment horizontal="center" vertical="center" wrapText="1"/>
    </xf>
    <xf numFmtId="0" fontId="0" fillId="0" borderId="0" xfId="0" applyBorder="1" applyAlignment="1">
      <alignment horizontal="center"/>
    </xf>
    <xf numFmtId="10" fontId="0" fillId="0" borderId="0" xfId="0" applyNumberFormat="1"/>
    <xf numFmtId="0" fontId="32" fillId="0" borderId="0" xfId="0" applyFont="1" applyAlignment="1">
      <alignment horizontal="left" vertical="center" readingOrder="1"/>
    </xf>
    <xf numFmtId="0" fontId="33" fillId="0" borderId="0" xfId="0" applyFont="1" applyAlignment="1">
      <alignment horizontal="left" vertical="center" readingOrder="1"/>
    </xf>
    <xf numFmtId="0" fontId="16" fillId="0" borderId="0" xfId="0" applyFont="1"/>
    <xf numFmtId="0" fontId="38" fillId="0" borderId="0" xfId="0" applyFont="1" applyAlignment="1">
      <alignment horizontal="left" vertical="center" readingOrder="1"/>
    </xf>
    <xf numFmtId="0" fontId="39" fillId="0" borderId="0" xfId="0" applyFont="1" applyAlignment="1">
      <alignment horizontal="left" vertical="center" readingOrder="1"/>
    </xf>
    <xf numFmtId="0" fontId="16" fillId="0" borderId="0" xfId="0" applyFont="1" applyAlignment="1">
      <alignment horizontal="center"/>
    </xf>
    <xf numFmtId="0" fontId="16" fillId="0" borderId="0" xfId="0" applyFont="1" applyBorder="1" applyAlignment="1">
      <alignment horizontal="left" vertical="top"/>
    </xf>
    <xf numFmtId="0" fontId="0" fillId="0" borderId="62" xfId="0" applyBorder="1" applyAlignment="1">
      <alignment horizontal="center"/>
    </xf>
    <xf numFmtId="0" fontId="0" fillId="0" borderId="62" xfId="0" applyBorder="1"/>
    <xf numFmtId="0" fontId="0" fillId="0" borderId="0" xfId="0" applyNumberFormat="1" applyFill="1" applyBorder="1" applyAlignment="1"/>
    <xf numFmtId="1" fontId="0" fillId="0" borderId="0" xfId="0" applyNumberFormat="1" applyFill="1" applyBorder="1" applyAlignment="1"/>
    <xf numFmtId="0" fontId="53" fillId="0" borderId="47" xfId="0" applyFont="1" applyBorder="1" applyAlignment="1">
      <alignment horizontal="center" vertical="center" wrapText="1"/>
    </xf>
    <xf numFmtId="0" fontId="53" fillId="9" borderId="47" xfId="0" applyFont="1" applyFill="1" applyBorder="1" applyAlignment="1">
      <alignment horizontal="center" vertical="center" wrapText="1"/>
    </xf>
    <xf numFmtId="0" fontId="16" fillId="0" borderId="44" xfId="0" applyFont="1" applyBorder="1" applyAlignment="1">
      <alignment horizontal="center" wrapText="1"/>
    </xf>
    <xf numFmtId="0" fontId="0" fillId="0" borderId="0" xfId="0" applyFill="1" applyBorder="1" applyAlignment="1">
      <alignment horizontal="center"/>
    </xf>
    <xf numFmtId="10" fontId="16" fillId="0" borderId="0" xfId="0" applyNumberFormat="1" applyFont="1"/>
    <xf numFmtId="0" fontId="35" fillId="0" borderId="0" xfId="0" applyFont="1" applyBorder="1" applyAlignment="1">
      <alignment horizontal="left" vertical="top" wrapText="1"/>
    </xf>
    <xf numFmtId="0" fontId="57" fillId="9" borderId="47" xfId="0" applyFont="1" applyFill="1" applyBorder="1" applyAlignment="1">
      <alignment horizontal="center" vertical="center" wrapText="1"/>
    </xf>
    <xf numFmtId="0" fontId="16" fillId="0" borderId="44" xfId="0" applyFont="1" applyBorder="1" applyAlignment="1">
      <alignment horizontal="center" vertical="center" wrapText="1"/>
    </xf>
    <xf numFmtId="0" fontId="53" fillId="9" borderId="44" xfId="0" applyFont="1" applyFill="1" applyBorder="1" applyAlignment="1">
      <alignment horizontal="center" vertical="center" wrapText="1"/>
    </xf>
    <xf numFmtId="0" fontId="36" fillId="0" borderId="0" xfId="0" applyFont="1" applyAlignment="1">
      <alignment horizontal="center"/>
    </xf>
    <xf numFmtId="2" fontId="36" fillId="0" borderId="0" xfId="0" applyNumberFormat="1" applyFont="1" applyAlignment="1">
      <alignment horizontal="center"/>
    </xf>
    <xf numFmtId="0" fontId="36" fillId="0" borderId="61" xfId="0" applyFont="1" applyBorder="1" applyAlignment="1">
      <alignment horizontal="center"/>
    </xf>
    <xf numFmtId="2" fontId="36" fillId="0" borderId="61" xfId="0" applyNumberFormat="1" applyFont="1" applyBorder="1" applyAlignment="1">
      <alignment horizontal="center"/>
    </xf>
    <xf numFmtId="0" fontId="36" fillId="0" borderId="90" xfId="0" applyFont="1" applyBorder="1" applyAlignment="1">
      <alignment horizontal="center"/>
    </xf>
    <xf numFmtId="2" fontId="36" fillId="0" borderId="90" xfId="0" applyNumberFormat="1" applyFont="1" applyBorder="1" applyAlignment="1">
      <alignment horizontal="center"/>
    </xf>
    <xf numFmtId="0" fontId="36" fillId="0" borderId="81" xfId="0" applyFont="1" applyBorder="1" applyAlignment="1">
      <alignment horizontal="center"/>
    </xf>
    <xf numFmtId="2" fontId="36" fillId="0" borderId="81" xfId="0" applyNumberFormat="1" applyFont="1" applyBorder="1" applyAlignment="1">
      <alignment horizontal="center"/>
    </xf>
    <xf numFmtId="0" fontId="36" fillId="0" borderId="62" xfId="0" applyFont="1" applyBorder="1" applyAlignment="1">
      <alignment horizontal="center"/>
    </xf>
    <xf numFmtId="0" fontId="61" fillId="0" borderId="6" xfId="0" applyFont="1" applyFill="1" applyBorder="1" applyAlignment="1">
      <alignment horizontal="centerContinuous"/>
    </xf>
    <xf numFmtId="0" fontId="16" fillId="0" borderId="0" xfId="0" applyFont="1" applyFill="1" applyBorder="1" applyAlignment="1"/>
    <xf numFmtId="0" fontId="16" fillId="0" borderId="5" xfId="0" applyFont="1" applyFill="1" applyBorder="1" applyAlignment="1"/>
    <xf numFmtId="0" fontId="61" fillId="0" borderId="6" xfId="0" applyFont="1" applyFill="1" applyBorder="1" applyAlignment="1">
      <alignment horizontal="center"/>
    </xf>
    <xf numFmtId="0" fontId="57" fillId="0" borderId="47" xfId="0" applyFont="1" applyBorder="1" applyAlignment="1">
      <alignment horizontal="center" vertical="center" wrapText="1"/>
    </xf>
    <xf numFmtId="49" fontId="16" fillId="0" borderId="0" xfId="0" applyNumberFormat="1" applyFont="1" applyAlignment="1">
      <alignment horizontal="center"/>
    </xf>
    <xf numFmtId="1" fontId="16" fillId="0" borderId="0" xfId="0" applyNumberFormat="1" applyFont="1" applyAlignment="1">
      <alignment horizontal="center"/>
    </xf>
    <xf numFmtId="0" fontId="16" fillId="0" borderId="61" xfId="0" applyFont="1" applyBorder="1" applyAlignment="1">
      <alignment horizontal="center"/>
    </xf>
    <xf numFmtId="49" fontId="16" fillId="0" borderId="61" xfId="0" applyNumberFormat="1" applyFont="1" applyBorder="1" applyAlignment="1">
      <alignment horizontal="center"/>
    </xf>
    <xf numFmtId="1" fontId="16" fillId="0" borderId="61" xfId="0" applyNumberFormat="1" applyFont="1" applyBorder="1" applyAlignment="1">
      <alignment horizontal="center"/>
    </xf>
    <xf numFmtId="0" fontId="16" fillId="0" borderId="90" xfId="0" applyFont="1" applyBorder="1" applyAlignment="1">
      <alignment horizontal="center"/>
    </xf>
    <xf numFmtId="49" fontId="16" fillId="0" borderId="90" xfId="0" applyNumberFormat="1" applyFont="1" applyBorder="1" applyAlignment="1">
      <alignment horizontal="center"/>
    </xf>
    <xf numFmtId="1" fontId="16" fillId="0" borderId="90" xfId="0" applyNumberFormat="1" applyFont="1" applyBorder="1" applyAlignment="1">
      <alignment horizontal="center"/>
    </xf>
    <xf numFmtId="0" fontId="16" fillId="0" borderId="81" xfId="0" applyFont="1" applyBorder="1" applyAlignment="1">
      <alignment horizontal="center"/>
    </xf>
    <xf numFmtId="49" fontId="16" fillId="0" borderId="81" xfId="0" applyNumberFormat="1" applyFont="1" applyBorder="1" applyAlignment="1">
      <alignment horizontal="center"/>
    </xf>
    <xf numFmtId="1" fontId="16" fillId="0" borderId="81" xfId="0" applyNumberFormat="1" applyFont="1" applyBorder="1" applyAlignment="1">
      <alignment horizontal="center"/>
    </xf>
    <xf numFmtId="0" fontId="16" fillId="0" borderId="0" xfId="0" applyFont="1" applyFill="1" applyBorder="1" applyAlignment="1">
      <alignment horizontal="center"/>
    </xf>
    <xf numFmtId="0" fontId="16" fillId="0" borderId="115" xfId="0" applyFont="1" applyBorder="1" applyAlignment="1">
      <alignment horizontal="center" vertical="center"/>
    </xf>
    <xf numFmtId="0" fontId="0" fillId="2" borderId="0" xfId="0" applyFill="1" applyBorder="1" applyAlignment="1">
      <alignment horizontal="center" vertical="center"/>
    </xf>
    <xf numFmtId="2" fontId="0" fillId="2" borderId="0" xfId="0" applyNumberFormat="1" applyFill="1" applyBorder="1" applyAlignment="1">
      <alignment horizontal="center" vertical="center"/>
    </xf>
    <xf numFmtId="2" fontId="0" fillId="2" borderId="0" xfId="0" applyNumberFormat="1" applyFill="1" applyAlignment="1">
      <alignment horizontal="center" vertical="center"/>
    </xf>
    <xf numFmtId="0" fontId="0" fillId="0" borderId="99" xfId="0" applyBorder="1" applyAlignment="1">
      <alignment horizontal="center"/>
    </xf>
    <xf numFmtId="0" fontId="0" fillId="0" borderId="101" xfId="0" applyBorder="1" applyAlignment="1">
      <alignment horizontal="center"/>
    </xf>
    <xf numFmtId="0" fontId="0" fillId="0" borderId="102" xfId="0" applyBorder="1" applyAlignment="1">
      <alignment horizontal="center"/>
    </xf>
    <xf numFmtId="0" fontId="0" fillId="0" borderId="103" xfId="0" applyBorder="1" applyAlignment="1">
      <alignment horizontal="center"/>
    </xf>
    <xf numFmtId="0" fontId="0" fillId="0" borderId="104" xfId="0" applyBorder="1" applyAlignment="1">
      <alignment horizontal="center"/>
    </xf>
    <xf numFmtId="0" fontId="0" fillId="0" borderId="106" xfId="0" applyBorder="1" applyAlignment="1">
      <alignment horizontal="center"/>
    </xf>
    <xf numFmtId="0" fontId="61" fillId="2" borderId="6" xfId="0" applyFont="1" applyFill="1" applyBorder="1" applyAlignment="1">
      <alignment horizontal="center"/>
    </xf>
    <xf numFmtId="0" fontId="16" fillId="2" borderId="0" xfId="0" applyFont="1" applyFill="1" applyBorder="1" applyAlignment="1"/>
    <xf numFmtId="0" fontId="16" fillId="2" borderId="5" xfId="0" applyFont="1" applyFill="1" applyBorder="1" applyAlignment="1"/>
    <xf numFmtId="0" fontId="0" fillId="0" borderId="117" xfId="0" applyBorder="1" applyAlignment="1">
      <alignment horizontal="center" vertical="center"/>
    </xf>
    <xf numFmtId="0" fontId="0" fillId="0" borderId="117" xfId="0" applyBorder="1"/>
    <xf numFmtId="16" fontId="0" fillId="0" borderId="44" xfId="0" applyNumberFormat="1" applyBorder="1" applyAlignment="1">
      <alignment horizontal="center" vertical="center" wrapText="1"/>
    </xf>
    <xf numFmtId="0" fontId="0" fillId="0" borderId="44" xfId="0" applyBorder="1" applyAlignment="1">
      <alignment horizontal="center" vertical="center" wrapText="1"/>
    </xf>
    <xf numFmtId="0" fontId="15" fillId="0" borderId="117" xfId="0" applyFont="1" applyBorder="1"/>
    <xf numFmtId="0" fontId="14" fillId="0" borderId="117" xfId="0" applyFont="1" applyBorder="1"/>
    <xf numFmtId="0" fontId="15" fillId="0" borderId="118" xfId="0" applyFont="1" applyBorder="1"/>
    <xf numFmtId="2" fontId="15" fillId="0" borderId="118" xfId="0" applyNumberFormat="1" applyFont="1" applyBorder="1"/>
    <xf numFmtId="2" fontId="15" fillId="0" borderId="117" xfId="0" applyNumberFormat="1" applyFont="1" applyBorder="1"/>
    <xf numFmtId="2" fontId="14" fillId="0" borderId="117" xfId="0" applyNumberFormat="1" applyFont="1" applyBorder="1"/>
    <xf numFmtId="0" fontId="8" fillId="0" borderId="0" xfId="0" applyFont="1"/>
    <xf numFmtId="0" fontId="64" fillId="0" borderId="0" xfId="0" applyFont="1"/>
    <xf numFmtId="0" fontId="8" fillId="2" borderId="0" xfId="0" applyFont="1" applyFill="1"/>
    <xf numFmtId="167" fontId="0" fillId="0" borderId="0" xfId="0" quotePrefix="1" applyNumberFormat="1"/>
    <xf numFmtId="167" fontId="3" fillId="0" borderId="0" xfId="0" quotePrefix="1" applyNumberFormat="1" applyFont="1"/>
    <xf numFmtId="0" fontId="3" fillId="0" borderId="0" xfId="0" quotePrefix="1" applyFont="1"/>
    <xf numFmtId="0" fontId="8" fillId="0" borderId="0" xfId="0" quotePrefix="1" applyFont="1"/>
    <xf numFmtId="0" fontId="0" fillId="2" borderId="0" xfId="0" applyFill="1"/>
    <xf numFmtId="0" fontId="0" fillId="9" borderId="5" xfId="0" applyFill="1" applyBorder="1" applyAlignment="1">
      <alignment horizontal="center"/>
    </xf>
    <xf numFmtId="0" fontId="0" fillId="9" borderId="116" xfId="0" applyFill="1" applyBorder="1" applyAlignment="1">
      <alignment horizontal="center"/>
    </xf>
    <xf numFmtId="2" fontId="0" fillId="9" borderId="5" xfId="0" applyNumberFormat="1" applyFill="1" applyBorder="1" applyAlignment="1">
      <alignment horizontal="center"/>
    </xf>
    <xf numFmtId="2" fontId="0" fillId="9" borderId="116" xfId="0" applyNumberFormat="1" applyFill="1" applyBorder="1" applyAlignment="1">
      <alignment horizontal="center"/>
    </xf>
    <xf numFmtId="0" fontId="0" fillId="0" borderId="78" xfId="0" applyBorder="1" applyAlignment="1">
      <alignment horizontal="left"/>
    </xf>
    <xf numFmtId="0" fontId="0" fillId="0" borderId="79" xfId="0" applyBorder="1" applyAlignment="1">
      <alignment horizontal="left"/>
    </xf>
    <xf numFmtId="0" fontId="0" fillId="0" borderId="80" xfId="0" applyBorder="1" applyAlignment="1">
      <alignment horizontal="left"/>
    </xf>
    <xf numFmtId="0" fontId="10" fillId="0" borderId="79" xfId="0" applyFont="1" applyBorder="1" applyAlignment="1">
      <alignment horizontal="center"/>
    </xf>
    <xf numFmtId="0" fontId="25" fillId="2" borderId="0" xfId="0" applyFont="1" applyFill="1" applyAlignment="1">
      <alignment vertical="center"/>
    </xf>
    <xf numFmtId="0" fontId="0" fillId="2" borderId="0" xfId="0" applyFill="1" applyAlignment="1">
      <alignment vertical="center"/>
    </xf>
    <xf numFmtId="0" fontId="0" fillId="0" borderId="73" xfId="0" applyBorder="1" applyAlignment="1">
      <alignment horizontal="left"/>
    </xf>
    <xf numFmtId="0" fontId="0" fillId="0" borderId="74" xfId="0" applyBorder="1" applyAlignment="1">
      <alignment horizontal="left"/>
    </xf>
    <xf numFmtId="0" fontId="0" fillId="0" borderId="75" xfId="0" applyBorder="1" applyAlignment="1">
      <alignment horizontal="left"/>
    </xf>
    <xf numFmtId="0" fontId="0" fillId="0" borderId="76" xfId="0" applyBorder="1" applyAlignment="1">
      <alignment horizontal="left"/>
    </xf>
    <xf numFmtId="0" fontId="0" fillId="0" borderId="0" xfId="0" applyBorder="1" applyAlignment="1">
      <alignment horizontal="left"/>
    </xf>
    <xf numFmtId="0" fontId="0" fillId="0" borderId="77" xfId="0" applyBorder="1" applyAlignment="1">
      <alignment horizontal="left"/>
    </xf>
    <xf numFmtId="0" fontId="25" fillId="2" borderId="0" xfId="0" applyFont="1" applyFill="1" applyAlignment="1">
      <alignment horizontal="left" vertical="center"/>
    </xf>
    <xf numFmtId="0" fontId="8" fillId="0" borderId="0" xfId="0" applyFont="1" applyAlignment="1">
      <alignment horizontal="right"/>
    </xf>
    <xf numFmtId="0" fontId="0" fillId="0" borderId="0" xfId="0" applyAlignment="1">
      <alignment horizontal="left"/>
    </xf>
    <xf numFmtId="0" fontId="23" fillId="0" borderId="0" xfId="0" applyFont="1" applyAlignment="1">
      <alignment horizontal="center"/>
    </xf>
    <xf numFmtId="0" fontId="0" fillId="0" borderId="28" xfId="0" applyBorder="1" applyAlignment="1">
      <alignment horizontal="right"/>
    </xf>
    <xf numFmtId="0" fontId="0" fillId="0" borderId="29" xfId="0" applyBorder="1" applyAlignment="1">
      <alignment horizontal="right"/>
    </xf>
    <xf numFmtId="0" fontId="0" fillId="0" borderId="31" xfId="0" applyBorder="1" applyAlignment="1">
      <alignment horizontal="right"/>
    </xf>
    <xf numFmtId="0" fontId="0" fillId="0" borderId="0" xfId="0" applyBorder="1" applyAlignment="1">
      <alignment horizontal="right"/>
    </xf>
    <xf numFmtId="0" fontId="13" fillId="0" borderId="0" xfId="0" applyFont="1" applyAlignment="1">
      <alignment horizontal="center"/>
    </xf>
    <xf numFmtId="0" fontId="0" fillId="0" borderId="33" xfId="0" applyBorder="1" applyAlignment="1">
      <alignment horizontal="right"/>
    </xf>
    <xf numFmtId="0" fontId="0" fillId="0" borderId="34" xfId="0" applyBorder="1" applyAlignment="1">
      <alignment horizontal="right"/>
    </xf>
    <xf numFmtId="0" fontId="26" fillId="7" borderId="34" xfId="0" applyFont="1" applyFill="1"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0" xfId="0" applyBorder="1" applyAlignment="1">
      <alignment horizontal="left" vertical="top" wrapText="1"/>
    </xf>
    <xf numFmtId="0" fontId="0" fillId="0" borderId="16" xfId="0" applyBorder="1" applyAlignment="1">
      <alignment horizontal="left" vertical="top" wrapText="1"/>
    </xf>
    <xf numFmtId="0" fontId="0" fillId="0" borderId="71" xfId="0" applyBorder="1" applyAlignment="1">
      <alignment horizontal="center"/>
    </xf>
    <xf numFmtId="0" fontId="0" fillId="0" borderId="72" xfId="0" applyBorder="1" applyAlignment="1">
      <alignment horizontal="center"/>
    </xf>
    <xf numFmtId="0" fontId="0" fillId="7" borderId="29" xfId="0" applyFill="1" applyBorder="1" applyAlignment="1">
      <alignment horizontal="center"/>
    </xf>
    <xf numFmtId="0" fontId="0" fillId="0" borderId="51" xfId="0" applyBorder="1" applyAlignment="1">
      <alignment horizontal="left" vertical="top" wrapText="1"/>
    </xf>
    <xf numFmtId="0" fontId="0" fillId="0" borderId="0" xfId="0" applyAlignment="1">
      <alignment horizontal="left" vertical="top" wrapText="1"/>
    </xf>
    <xf numFmtId="0" fontId="0" fillId="7" borderId="39" xfId="0" applyFill="1" applyBorder="1" applyAlignment="1">
      <alignment horizontal="center"/>
    </xf>
    <xf numFmtId="0" fontId="0" fillId="7" borderId="0" xfId="0" applyFill="1" applyBorder="1" applyAlignment="1">
      <alignment horizontal="center"/>
    </xf>
    <xf numFmtId="0" fontId="0" fillId="7" borderId="40" xfId="0" applyFill="1" applyBorder="1" applyAlignment="1">
      <alignment horizontal="center"/>
    </xf>
    <xf numFmtId="0" fontId="19" fillId="9" borderId="0" xfId="0" applyFont="1" applyFill="1" applyAlignment="1">
      <alignment horizontal="center"/>
    </xf>
    <xf numFmtId="0" fontId="20" fillId="9" borderId="0" xfId="0" applyFont="1" applyFill="1" applyAlignment="1">
      <alignment horizontal="center"/>
    </xf>
    <xf numFmtId="0" fontId="0" fillId="0" borderId="48" xfId="0"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0" borderId="52" xfId="0" applyBorder="1" applyAlignment="1">
      <alignment horizontal="left" vertical="top" wrapText="1"/>
    </xf>
    <xf numFmtId="0" fontId="0" fillId="0" borderId="53" xfId="0" applyBorder="1" applyAlignment="1">
      <alignment horizontal="left" vertical="top" wrapText="1"/>
    </xf>
    <xf numFmtId="0" fontId="0" fillId="0" borderId="54" xfId="0" applyBorder="1" applyAlignment="1">
      <alignment horizontal="left" vertical="top" wrapText="1"/>
    </xf>
    <xf numFmtId="0" fontId="0" fillId="0" borderId="55" xfId="0" applyBorder="1" applyAlignment="1">
      <alignment horizontal="left" vertical="top" wrapText="1"/>
    </xf>
    <xf numFmtId="0" fontId="19" fillId="9" borderId="54" xfId="0" applyFont="1" applyFill="1" applyBorder="1" applyAlignment="1">
      <alignment horizontal="center"/>
    </xf>
    <xf numFmtId="0" fontId="0" fillId="0" borderId="13" xfId="0" applyBorder="1" applyAlignment="1">
      <alignment horizontal="left" vertical="top"/>
    </xf>
    <xf numFmtId="0" fontId="0" fillId="0" borderId="14" xfId="0" applyBorder="1" applyAlignment="1">
      <alignment horizontal="left" vertical="top"/>
    </xf>
    <xf numFmtId="0" fontId="0" fillId="0" borderId="0"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8" fillId="7" borderId="36" xfId="0" applyFont="1" applyFill="1" applyBorder="1" applyAlignment="1">
      <alignment horizontal="center"/>
    </xf>
    <xf numFmtId="0" fontId="8" fillId="7" borderId="37" xfId="0" applyFont="1" applyFill="1" applyBorder="1" applyAlignment="1">
      <alignment horizontal="center"/>
    </xf>
    <xf numFmtId="0" fontId="8" fillId="7" borderId="38" xfId="0" applyFont="1" applyFill="1" applyBorder="1" applyAlignment="1">
      <alignment horizontal="center"/>
    </xf>
    <xf numFmtId="0" fontId="0" fillId="0" borderId="41" xfId="0" applyBorder="1" applyAlignment="1"/>
    <xf numFmtId="0" fontId="0" fillId="0" borderId="42" xfId="0" applyBorder="1" applyAlignment="1"/>
    <xf numFmtId="0" fontId="0" fillId="0" borderId="43" xfId="0" applyBorder="1" applyAlignment="1"/>
    <xf numFmtId="0" fontId="13" fillId="7" borderId="0" xfId="0" applyFont="1" applyFill="1" applyAlignment="1">
      <alignment horizontal="center"/>
    </xf>
    <xf numFmtId="0" fontId="14" fillId="0" borderId="0" xfId="0" applyFont="1" applyAlignment="1">
      <alignment horizontal="center"/>
    </xf>
    <xf numFmtId="0" fontId="0" fillId="0" borderId="0" xfId="0" applyAlignment="1">
      <alignment horizontal="center"/>
    </xf>
    <xf numFmtId="0" fontId="0" fillId="7" borderId="45" xfId="0" applyFill="1" applyBorder="1" applyAlignment="1">
      <alignment horizontal="left"/>
    </xf>
    <xf numFmtId="0" fontId="0" fillId="7" borderId="46" xfId="0" applyFill="1" applyBorder="1" applyAlignment="1">
      <alignment horizontal="left"/>
    </xf>
    <xf numFmtId="0" fontId="12" fillId="7" borderId="0" xfId="0" applyFont="1" applyFill="1" applyAlignment="1">
      <alignment horizontal="center"/>
    </xf>
    <xf numFmtId="0" fontId="0" fillId="7" borderId="44" xfId="0" applyFill="1" applyBorder="1" applyAlignment="1">
      <alignment horizontal="left"/>
    </xf>
    <xf numFmtId="0" fontId="0" fillId="7" borderId="0" xfId="0" applyFill="1" applyAlignment="1">
      <alignment horizontal="center"/>
    </xf>
    <xf numFmtId="0" fontId="0" fillId="0" borderId="0" xfId="0" applyAlignment="1">
      <alignment horizontal="left" vertical="top"/>
    </xf>
    <xf numFmtId="0" fontId="15" fillId="0" borderId="0" xfId="0" applyFont="1" applyAlignment="1">
      <alignment horizontal="left"/>
    </xf>
    <xf numFmtId="0" fontId="13" fillId="0" borderId="0" xfId="0" applyFont="1" applyAlignment="1">
      <alignment horizontal="left"/>
    </xf>
    <xf numFmtId="0" fontId="0" fillId="0" borderId="85" xfId="0" applyBorder="1" applyAlignment="1"/>
    <xf numFmtId="0" fontId="0" fillId="0" borderId="0" xfId="0" applyBorder="1" applyAlignment="1"/>
    <xf numFmtId="0" fontId="0" fillId="0" borderId="87" xfId="0" applyBorder="1" applyAlignment="1">
      <alignment horizontal="left"/>
    </xf>
    <xf numFmtId="0" fontId="0" fillId="0" borderId="88" xfId="0" applyBorder="1" applyAlignment="1">
      <alignment horizontal="left"/>
    </xf>
    <xf numFmtId="0" fontId="0" fillId="0" borderId="82" xfId="0" applyBorder="1" applyAlignment="1"/>
    <xf numFmtId="0" fontId="0" fillId="0" borderId="83" xfId="0" applyBorder="1" applyAlignment="1"/>
    <xf numFmtId="0" fontId="10" fillId="0" borderId="88" xfId="0" applyFont="1" applyBorder="1" applyAlignment="1">
      <alignment horizontal="center"/>
    </xf>
    <xf numFmtId="0" fontId="17" fillId="0" borderId="0" xfId="0" applyFont="1" applyAlignment="1">
      <alignment horizontal="center"/>
    </xf>
    <xf numFmtId="0" fontId="0" fillId="2" borderId="0" xfId="0" applyFill="1" applyAlignment="1">
      <alignment horizontal="left" vertical="top" wrapText="1"/>
    </xf>
    <xf numFmtId="0" fontId="18" fillId="0" borderId="0" xfId="0" applyFont="1" applyAlignment="1">
      <alignment horizontal="center"/>
    </xf>
    <xf numFmtId="0" fontId="21" fillId="2" borderId="0" xfId="0" applyFont="1" applyFill="1" applyAlignment="1">
      <alignment horizontal="left" vertical="top" wrapText="1"/>
    </xf>
    <xf numFmtId="0" fontId="18" fillId="2" borderId="0" xfId="0" applyFont="1" applyFill="1" applyAlignment="1">
      <alignment horizontal="left" vertical="top" wrapText="1"/>
    </xf>
    <xf numFmtId="0" fontId="13" fillId="2" borderId="0" xfId="0" applyFont="1" applyFill="1" applyAlignment="1">
      <alignment horizontal="center"/>
    </xf>
    <xf numFmtId="0" fontId="0" fillId="0" borderId="44" xfId="0" applyBorder="1" applyAlignment="1">
      <alignment horizontal="left"/>
    </xf>
    <xf numFmtId="0" fontId="0" fillId="0" borderId="0" xfId="0" applyAlignment="1">
      <alignment horizontal="right"/>
    </xf>
    <xf numFmtId="0" fontId="10" fillId="0" borderId="0" xfId="0" applyFont="1" applyBorder="1" applyAlignment="1">
      <alignment horizontal="center"/>
    </xf>
    <xf numFmtId="0" fontId="8" fillId="9" borderId="21" xfId="0" applyFont="1" applyFill="1" applyBorder="1" applyAlignment="1">
      <alignment horizontal="right"/>
    </xf>
    <xf numFmtId="0" fontId="15" fillId="0" borderId="0"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29" fillId="0" borderId="0" xfId="0" applyFont="1" applyAlignment="1">
      <alignment horizontal="center"/>
    </xf>
    <xf numFmtId="0" fontId="16" fillId="0" borderId="0" xfId="0" applyFont="1" applyAlignment="1">
      <alignment horizontal="left" vertical="top" wrapText="1"/>
    </xf>
    <xf numFmtId="0" fontId="16" fillId="0" borderId="0" xfId="0" applyFont="1" applyAlignment="1">
      <alignment horizontal="left" vertical="top"/>
    </xf>
    <xf numFmtId="0" fontId="54" fillId="0" borderId="0" xfId="0" applyFont="1" applyAlignment="1">
      <alignment horizontal="center"/>
    </xf>
    <xf numFmtId="0" fontId="35" fillId="0" borderId="94" xfId="0" applyFont="1" applyBorder="1" applyAlignment="1">
      <alignment horizontal="left" vertical="top" wrapText="1"/>
    </xf>
    <xf numFmtId="0" fontId="16" fillId="0" borderId="0" xfId="0" applyFont="1" applyBorder="1" applyAlignment="1">
      <alignment horizontal="left" vertical="top"/>
    </xf>
    <xf numFmtId="0" fontId="16" fillId="0" borderId="95" xfId="0" applyFont="1" applyBorder="1" applyAlignment="1">
      <alignment horizontal="left" vertical="top"/>
    </xf>
    <xf numFmtId="0" fontId="16" fillId="0" borderId="94" xfId="0" applyFont="1" applyBorder="1" applyAlignment="1">
      <alignment horizontal="left" vertical="top"/>
    </xf>
    <xf numFmtId="0" fontId="46" fillId="0" borderId="0" xfId="0" applyFont="1" applyAlignment="1">
      <alignment horizontal="center"/>
    </xf>
    <xf numFmtId="0" fontId="47" fillId="0" borderId="0" xfId="0" applyFont="1" applyAlignment="1">
      <alignment horizontal="left" vertical="top"/>
    </xf>
    <xf numFmtId="0" fontId="47" fillId="0" borderId="0" xfId="0" applyFont="1" applyAlignment="1">
      <alignment horizontal="left"/>
    </xf>
    <xf numFmtId="0" fontId="44" fillId="0" borderId="94" xfId="0" applyFont="1" applyBorder="1" applyAlignment="1">
      <alignment horizontal="center" vertical="top"/>
    </xf>
    <xf numFmtId="0" fontId="37" fillId="0" borderId="0" xfId="0" applyFont="1" applyBorder="1" applyAlignment="1">
      <alignment horizontal="center" vertical="top"/>
    </xf>
    <xf numFmtId="0" fontId="37" fillId="0" borderId="95" xfId="0" applyFont="1" applyBorder="1" applyAlignment="1">
      <alignment horizontal="center" vertical="top"/>
    </xf>
    <xf numFmtId="0" fontId="19" fillId="0" borderId="0" xfId="0" applyFont="1" applyAlignment="1">
      <alignment horizontal="left"/>
    </xf>
    <xf numFmtId="0" fontId="20" fillId="0" borderId="0" xfId="0" applyFont="1" applyAlignment="1">
      <alignment horizontal="left"/>
    </xf>
    <xf numFmtId="0" fontId="16" fillId="0" borderId="94" xfId="0" applyFont="1" applyBorder="1" applyAlignment="1">
      <alignment horizontal="left" vertical="top" wrapText="1"/>
    </xf>
    <xf numFmtId="0" fontId="16" fillId="0" borderId="0" xfId="0" applyFont="1" applyBorder="1" applyAlignment="1">
      <alignment horizontal="left" vertical="top" wrapText="1"/>
    </xf>
    <xf numFmtId="0" fontId="16" fillId="0" borderId="95" xfId="0" applyFont="1" applyBorder="1" applyAlignment="1">
      <alignment horizontal="left" vertical="top" wrapText="1"/>
    </xf>
    <xf numFmtId="0" fontId="39" fillId="0" borderId="0" xfId="0" applyFont="1" applyAlignment="1">
      <alignment horizontal="left" vertical="top" wrapText="1" readingOrder="1"/>
    </xf>
    <xf numFmtId="0" fontId="42" fillId="0" borderId="0" xfId="0" applyFont="1" applyAlignment="1">
      <alignment horizontal="center" vertical="center"/>
    </xf>
    <xf numFmtId="0" fontId="19" fillId="0" borderId="0" xfId="0" applyFont="1" applyAlignment="1">
      <alignment horizontal="center"/>
    </xf>
    <xf numFmtId="0" fontId="47" fillId="0" borderId="0" xfId="0" applyFont="1" applyAlignment="1">
      <alignment horizontal="center"/>
    </xf>
    <xf numFmtId="0" fontId="0" fillId="0" borderId="34" xfId="0" applyBorder="1" applyAlignment="1">
      <alignment horizontal="center" vertical="center" wrapText="1"/>
    </xf>
    <xf numFmtId="0" fontId="20" fillId="0" borderId="0" xfId="0" applyFont="1" applyAlignment="1">
      <alignment horizontal="center"/>
    </xf>
    <xf numFmtId="0" fontId="0" fillId="0" borderId="0" xfId="0" applyBorder="1" applyAlignment="1">
      <alignment horizontal="center"/>
    </xf>
    <xf numFmtId="0" fontId="0" fillId="0" borderId="34" xfId="0" applyBorder="1" applyAlignment="1">
      <alignment horizontal="center"/>
    </xf>
    <xf numFmtId="0" fontId="16" fillId="0" borderId="99" xfId="0" applyFont="1" applyBorder="1" applyAlignment="1">
      <alignment horizontal="left" vertical="top" wrapText="1"/>
    </xf>
    <xf numFmtId="0" fontId="16" fillId="0" borderId="100" xfId="0" applyFont="1" applyBorder="1" applyAlignment="1">
      <alignment horizontal="left" vertical="top" wrapText="1"/>
    </xf>
    <xf numFmtId="0" fontId="16" fillId="0" borderId="101" xfId="0" applyFont="1" applyBorder="1" applyAlignment="1">
      <alignment horizontal="left" vertical="top" wrapText="1"/>
    </xf>
    <xf numFmtId="0" fontId="16" fillId="0" borderId="102" xfId="0" applyFont="1" applyBorder="1" applyAlignment="1">
      <alignment horizontal="left" vertical="top" wrapText="1"/>
    </xf>
    <xf numFmtId="0" fontId="16" fillId="0" borderId="103" xfId="0" applyFont="1" applyBorder="1" applyAlignment="1">
      <alignment horizontal="left" vertical="top" wrapText="1"/>
    </xf>
    <xf numFmtId="0" fontId="16" fillId="0" borderId="104" xfId="0" applyFont="1" applyBorder="1" applyAlignment="1">
      <alignment horizontal="left" vertical="top" wrapText="1"/>
    </xf>
    <xf numFmtId="0" fontId="16" fillId="0" borderId="105" xfId="0" applyFont="1" applyBorder="1" applyAlignment="1">
      <alignment horizontal="left" vertical="top" wrapText="1"/>
    </xf>
    <xf numFmtId="0" fontId="16" fillId="0" borderId="106" xfId="0" applyFont="1" applyBorder="1" applyAlignment="1">
      <alignment horizontal="left" vertical="top" wrapText="1"/>
    </xf>
    <xf numFmtId="0" fontId="16" fillId="0" borderId="107" xfId="0" applyFont="1" applyBorder="1" applyAlignment="1">
      <alignment horizontal="left" vertical="top" wrapText="1"/>
    </xf>
    <xf numFmtId="0" fontId="16" fillId="0" borderId="108" xfId="0" applyFont="1" applyBorder="1" applyAlignment="1">
      <alignment horizontal="left" vertical="top"/>
    </xf>
    <xf numFmtId="0" fontId="16" fillId="0" borderId="109" xfId="0" applyFont="1" applyBorder="1" applyAlignment="1">
      <alignment horizontal="left" vertical="top"/>
    </xf>
    <xf numFmtId="0" fontId="16" fillId="0" borderId="110" xfId="0" applyFont="1" applyBorder="1" applyAlignment="1">
      <alignment horizontal="left" vertical="top"/>
    </xf>
    <xf numFmtId="0" fontId="16" fillId="0" borderId="111" xfId="0" applyFont="1" applyBorder="1" applyAlignment="1">
      <alignment horizontal="left" vertical="top"/>
    </xf>
    <xf numFmtId="0" fontId="16" fillId="0" borderId="112" xfId="0" applyFont="1" applyBorder="1" applyAlignment="1">
      <alignment horizontal="left" vertical="top"/>
    </xf>
    <xf numFmtId="0" fontId="16" fillId="0" borderId="113" xfId="0" applyFont="1" applyBorder="1" applyAlignment="1">
      <alignment horizontal="left" vertical="top"/>
    </xf>
    <xf numFmtId="0" fontId="16" fillId="0" borderId="114" xfId="0" applyFont="1" applyBorder="1" applyAlignment="1">
      <alignment horizontal="left" vertical="top"/>
    </xf>
    <xf numFmtId="0" fontId="61" fillId="0" borderId="6" xfId="0" applyFont="1" applyFill="1" applyBorder="1" applyAlignment="1">
      <alignment horizontal="center" vertical="center"/>
    </xf>
    <xf numFmtId="0" fontId="55" fillId="0" borderId="107" xfId="0" applyFont="1" applyBorder="1" applyAlignment="1">
      <alignment horizontal="left" vertical="top" wrapText="1"/>
    </xf>
    <xf numFmtId="0" fontId="62" fillId="9" borderId="5" xfId="0" applyFont="1" applyFill="1" applyBorder="1" applyAlignment="1">
      <alignment horizontal="center" vertical="center"/>
    </xf>
    <xf numFmtId="0" fontId="45" fillId="9" borderId="0" xfId="0" applyFont="1" applyFill="1" applyAlignment="1">
      <alignment horizontal="center" vertical="center"/>
    </xf>
    <xf numFmtId="0" fontId="8" fillId="9" borderId="0" xfId="0" applyFont="1" applyFill="1" applyAlignment="1">
      <alignment horizontal="center"/>
    </xf>
    <xf numFmtId="0" fontId="35" fillId="0" borderId="0" xfId="0" applyFont="1" applyBorder="1" applyAlignment="1">
      <alignment horizontal="left" vertical="top" wrapText="1"/>
    </xf>
    <xf numFmtId="0" fontId="15" fillId="0" borderId="0" xfId="0" applyFont="1" applyAlignment="1">
      <alignment horizontal="center"/>
    </xf>
    <xf numFmtId="0" fontId="34" fillId="0" borderId="0" xfId="0" applyFont="1" applyBorder="1" applyAlignment="1">
      <alignment horizontal="center" vertical="top" wrapText="1"/>
    </xf>
    <xf numFmtId="0" fontId="35" fillId="0" borderId="108" xfId="0" applyFont="1" applyBorder="1" applyAlignment="1">
      <alignment horizontal="center" vertical="top" wrapText="1"/>
    </xf>
    <xf numFmtId="0" fontId="25" fillId="0" borderId="0" xfId="0" applyFont="1" applyAlignment="1">
      <alignment horizontal="left" vertical="top"/>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xf numFmtId="0" fontId="0" fillId="5" borderId="0" xfId="0" applyFill="1" applyAlignment="1"/>
    <xf numFmtId="0" fontId="8" fillId="0" borderId="0" xfId="0" applyFont="1" applyAlignment="1"/>
    <xf numFmtId="0" fontId="8" fillId="0" borderId="0" xfId="0" applyFont="1" applyBorder="1" applyAlignment="1"/>
    <xf numFmtId="0" fontId="0" fillId="0" borderId="0" xfId="0" applyAlignment="1"/>
    <xf numFmtId="0" fontId="0" fillId="6" borderId="0" xfId="0" applyFill="1" applyAlignment="1">
      <alignment horizontal="center"/>
    </xf>
    <xf numFmtId="0" fontId="0" fillId="6" borderId="0" xfId="0" applyFill="1" applyAlignment="1"/>
    <xf numFmtId="0" fontId="10" fillId="0" borderId="0" xfId="0" applyFont="1" applyAlignment="1"/>
    <xf numFmtId="0" fontId="8" fillId="0" borderId="0" xfId="0" applyFont="1" applyAlignment="1">
      <alignment horizontal="right" vertical="center"/>
    </xf>
    <xf numFmtId="0" fontId="0" fillId="0" borderId="119" xfId="0" applyBorder="1"/>
    <xf numFmtId="0" fontId="8" fillId="0" borderId="0" xfId="0" applyFont="1" applyAlignment="1">
      <alignment vertical="center"/>
    </xf>
    <xf numFmtId="0" fontId="0" fillId="0" borderId="120" xfId="0" applyBorder="1"/>
    <xf numFmtId="0" fontId="0" fillId="0" borderId="121" xfId="0" applyBorder="1"/>
    <xf numFmtId="0" fontId="0" fillId="0" borderId="66" xfId="0" applyBorder="1"/>
    <xf numFmtId="0" fontId="0" fillId="0" borderId="1" xfId="0" applyBorder="1" applyAlignment="1">
      <alignment horizontal="center"/>
    </xf>
    <xf numFmtId="0" fontId="0" fillId="0" borderId="45" xfId="0" applyBorder="1" applyAlignment="1">
      <alignment horizontal="left"/>
    </xf>
    <xf numFmtId="166" fontId="0" fillId="0" borderId="0" xfId="0" applyNumberFormat="1"/>
    <xf numFmtId="0" fontId="16" fillId="7" borderId="7" xfId="0" applyFont="1" applyFill="1" applyBorder="1" applyAlignment="1">
      <alignment horizontal="left" vertical="top" wrapText="1"/>
    </xf>
    <xf numFmtId="0" fontId="16" fillId="7" borderId="122" xfId="0" applyFont="1" applyFill="1" applyBorder="1" applyAlignment="1">
      <alignment horizontal="left" vertical="top" wrapText="1"/>
    </xf>
    <xf numFmtId="0" fontId="16" fillId="7" borderId="0" xfId="0" applyFont="1" applyFill="1" applyBorder="1" applyAlignment="1">
      <alignment horizontal="left" vertical="top" wrapText="1"/>
    </xf>
    <xf numFmtId="0" fontId="16" fillId="7" borderId="123" xfId="0" applyFont="1" applyFill="1" applyBorder="1" applyAlignment="1">
      <alignment horizontal="left" vertical="top" wrapText="1"/>
    </xf>
    <xf numFmtId="0" fontId="16" fillId="7" borderId="124" xfId="0" applyFont="1" applyFill="1" applyBorder="1" applyAlignment="1">
      <alignment horizontal="left" vertical="top" wrapText="1"/>
    </xf>
    <xf numFmtId="0" fontId="16" fillId="7" borderId="125" xfId="0" applyFont="1" applyFill="1" applyBorder="1" applyAlignment="1">
      <alignment horizontal="left" vertical="top" wrapText="1"/>
    </xf>
    <xf numFmtId="0" fontId="34" fillId="7" borderId="0" xfId="0" applyFont="1" applyFill="1" applyBorder="1" applyAlignment="1">
      <alignment horizontal="center"/>
    </xf>
    <xf numFmtId="0" fontId="16" fillId="7" borderId="0" xfId="0" applyFont="1" applyFill="1" applyBorder="1"/>
    <xf numFmtId="0" fontId="63" fillId="7" borderId="0" xfId="0" applyFont="1" applyFill="1" applyBorder="1" applyAlignment="1">
      <alignment horizontal="center"/>
    </xf>
    <xf numFmtId="0" fontId="16" fillId="7" borderId="24" xfId="0" applyFont="1" applyFill="1" applyBorder="1"/>
    <xf numFmtId="0" fontId="34" fillId="7" borderId="24" xfId="0" applyFont="1" applyFill="1" applyBorder="1" applyAlignment="1">
      <alignment horizontal="center"/>
    </xf>
    <xf numFmtId="0" fontId="16" fillId="7" borderId="10" xfId="0" applyFont="1" applyFill="1" applyBorder="1" applyAlignment="1">
      <alignment horizontal="left"/>
    </xf>
    <xf numFmtId="0" fontId="16" fillId="7" borderId="7" xfId="0" applyFont="1" applyFill="1" applyBorder="1" applyAlignment="1">
      <alignment horizontal="left"/>
    </xf>
    <xf numFmtId="0" fontId="16" fillId="7" borderId="0" xfId="0" applyFont="1" applyFill="1" applyBorder="1" applyAlignment="1">
      <alignment horizontal="left"/>
    </xf>
    <xf numFmtId="0" fontId="16" fillId="7" borderId="24" xfId="0" applyFont="1" applyFill="1" applyBorder="1" applyAlignment="1">
      <alignment horizontal="left"/>
    </xf>
    <xf numFmtId="0" fontId="16" fillId="7" borderId="126" xfId="0" applyFont="1" applyFill="1" applyBorder="1" applyAlignment="1">
      <alignment horizontal="left" vertical="top" wrapText="1"/>
    </xf>
    <xf numFmtId="0" fontId="16" fillId="7" borderId="127" xfId="0" applyFont="1" applyFill="1" applyBorder="1" applyAlignment="1">
      <alignment horizontal="left" vertical="top" wrapText="1"/>
    </xf>
    <xf numFmtId="0" fontId="16" fillId="7" borderId="11" xfId="0" applyFont="1" applyFill="1" applyBorder="1" applyAlignment="1">
      <alignment horizontal="left"/>
    </xf>
    <xf numFmtId="0" fontId="16" fillId="7" borderId="0" xfId="0" applyFont="1" applyFill="1" applyBorder="1" applyAlignment="1">
      <alignment horizontal="center"/>
    </xf>
    <xf numFmtId="0" fontId="16" fillId="7" borderId="12" xfId="0" applyFont="1" applyFill="1" applyBorder="1" applyAlignment="1">
      <alignment horizontal="left"/>
    </xf>
    <xf numFmtId="0" fontId="16" fillId="7" borderId="8" xfId="0" applyFont="1" applyFill="1" applyBorder="1" applyAlignment="1">
      <alignment horizontal="left"/>
    </xf>
    <xf numFmtId="0" fontId="16" fillId="7" borderId="8" xfId="0" applyFont="1" applyFill="1" applyBorder="1" applyAlignment="1">
      <alignment horizontal="left" vertical="top" wrapText="1"/>
    </xf>
    <xf numFmtId="0" fontId="16" fillId="7" borderId="9" xfId="0" applyFont="1" applyFill="1" applyBorder="1" applyAlignment="1">
      <alignment horizontal="left" vertical="top" wrapText="1"/>
    </xf>
    <xf numFmtId="0" fontId="16" fillId="7" borderId="0" xfId="0" applyFont="1" applyFill="1" applyBorder="1" applyAlignment="1">
      <alignment horizontal="left" vertical="top" wrapText="1"/>
    </xf>
    <xf numFmtId="0" fontId="16" fillId="7" borderId="0" xfId="0" applyFont="1" applyFill="1" applyBorder="1" applyAlignment="1">
      <alignment horizontal="left" vertical="center"/>
    </xf>
    <xf numFmtId="0" fontId="26" fillId="7" borderId="0" xfId="0" applyFont="1" applyFill="1" applyBorder="1" applyAlignment="1">
      <alignment horizontal="center"/>
    </xf>
    <xf numFmtId="0" fontId="29" fillId="7" borderId="0" xfId="0" applyFont="1" applyFill="1" applyBorder="1" applyAlignment="1">
      <alignment horizontal="center"/>
    </xf>
    <xf numFmtId="0" fontId="17" fillId="7" borderId="0" xfId="0" applyFont="1" applyFill="1" applyBorder="1" applyAlignment="1">
      <alignment horizontal="center"/>
    </xf>
    <xf numFmtId="0" fontId="34" fillId="7" borderId="0" xfId="0" applyFont="1" applyFill="1" applyBorder="1" applyAlignment="1">
      <alignment horizontal="left"/>
    </xf>
    <xf numFmtId="0" fontId="16" fillId="7" borderId="24" xfId="0" applyFont="1" applyFill="1" applyBorder="1" applyAlignment="1">
      <alignment horizontal="left" vertical="top" wrapText="1"/>
    </xf>
    <xf numFmtId="0" fontId="0" fillId="7" borderId="26" xfId="0" applyFill="1" applyBorder="1" applyAlignment="1">
      <alignment horizontal="left" vertical="top" wrapText="1"/>
    </xf>
    <xf numFmtId="0" fontId="0" fillId="7" borderId="27" xfId="0" applyFill="1" applyBorder="1" applyAlignment="1">
      <alignment horizontal="left" vertical="top" wrapText="1"/>
    </xf>
    <xf numFmtId="1" fontId="66" fillId="11" borderId="0" xfId="1" applyNumberFormat="1" applyAlignment="1">
      <alignment horizontal="center"/>
    </xf>
    <xf numFmtId="0" fontId="69" fillId="0" borderId="5" xfId="0" applyFont="1" applyBorder="1" applyAlignment="1">
      <alignment horizontal="center" vertical="center"/>
    </xf>
    <xf numFmtId="0" fontId="69" fillId="0" borderId="5" xfId="0" applyFont="1" applyBorder="1" applyAlignment="1">
      <alignment horizontal="center" vertical="center"/>
    </xf>
    <xf numFmtId="0" fontId="0" fillId="0" borderId="5" xfId="0" applyBorder="1"/>
    <xf numFmtId="0" fontId="0" fillId="0" borderId="128" xfId="0" applyBorder="1" applyAlignment="1">
      <alignment horizontal="left"/>
    </xf>
    <xf numFmtId="0" fontId="0" fillId="0" borderId="5" xfId="0" applyBorder="1" applyAlignment="1">
      <alignment horizontal="left"/>
    </xf>
    <xf numFmtId="0" fontId="0" fillId="0" borderId="78" xfId="0" applyBorder="1" applyAlignment="1">
      <alignment horizontal="center"/>
    </xf>
    <xf numFmtId="0" fontId="0" fillId="0" borderId="79" xfId="0" applyBorder="1" applyAlignment="1">
      <alignment horizontal="center"/>
    </xf>
    <xf numFmtId="0" fontId="0" fillId="0" borderId="80" xfId="0" applyBorder="1" applyAlignment="1">
      <alignment horizontal="center"/>
    </xf>
    <xf numFmtId="0" fontId="10" fillId="0" borderId="0" xfId="0" applyFont="1" applyAlignment="1">
      <alignment horizontal="center"/>
    </xf>
    <xf numFmtId="0" fontId="0" fillId="0" borderId="5" xfId="0" applyBorder="1" applyAlignment="1">
      <alignment horizontal="center"/>
    </xf>
    <xf numFmtId="0" fontId="16" fillId="0" borderId="5" xfId="0" applyFont="1" applyBorder="1" applyAlignment="1">
      <alignment horizontal="center"/>
    </xf>
    <xf numFmtId="0" fontId="16" fillId="0" borderId="5" xfId="0" applyFont="1" applyBorder="1" applyAlignment="1">
      <alignment horizontal="center" vertical="center"/>
    </xf>
    <xf numFmtId="0" fontId="57" fillId="0" borderId="5" xfId="0" applyFont="1" applyBorder="1" applyAlignment="1">
      <alignment horizontal="center" vertical="center" wrapText="1"/>
    </xf>
    <xf numFmtId="0" fontId="57" fillId="9" borderId="5" xfId="0" applyFont="1" applyFill="1" applyBorder="1" applyAlignment="1">
      <alignment horizontal="center" vertical="center" wrapText="1"/>
    </xf>
    <xf numFmtId="10" fontId="0" fillId="0" borderId="0" xfId="0" applyNumberFormat="1" applyAlignment="1">
      <alignment horizontal="center"/>
    </xf>
    <xf numFmtId="0" fontId="25" fillId="0" borderId="0" xfId="0" applyFont="1" applyAlignment="1">
      <alignment horizontal="left"/>
    </xf>
    <xf numFmtId="0" fontId="0" fillId="0" borderId="0" xfId="0" applyAlignment="1">
      <alignment horizontal="left" vertical="center" wrapText="1"/>
    </xf>
    <xf numFmtId="0" fontId="57" fillId="0" borderId="47" xfId="0" applyFont="1" applyFill="1" applyBorder="1" applyAlignment="1">
      <alignment horizontal="center" vertical="center" wrapText="1"/>
    </xf>
    <xf numFmtId="2" fontId="16" fillId="0" borderId="0" xfId="0" applyNumberFormat="1" applyFont="1" applyAlignment="1">
      <alignment horizontal="center"/>
    </xf>
    <xf numFmtId="2" fontId="16" fillId="0" borderId="61" xfId="0" applyNumberFormat="1" applyFont="1" applyBorder="1" applyAlignment="1">
      <alignment horizontal="center"/>
    </xf>
    <xf numFmtId="2" fontId="16" fillId="0" borderId="56" xfId="0" applyNumberFormat="1" applyFont="1" applyBorder="1" applyAlignment="1">
      <alignment horizontal="center"/>
    </xf>
    <xf numFmtId="10" fontId="0" fillId="0" borderId="0" xfId="0" applyNumberFormat="1" applyFill="1" applyBorder="1" applyAlignment="1"/>
    <xf numFmtId="10" fontId="0" fillId="0" borderId="5" xfId="0" applyNumberFormat="1" applyFill="1" applyBorder="1" applyAlignment="1"/>
    <xf numFmtId="0" fontId="0" fillId="0" borderId="5" xfId="0" applyNumberFormat="1" applyFill="1" applyBorder="1" applyAlignment="1"/>
    <xf numFmtId="4" fontId="0" fillId="0" borderId="32" xfId="0" applyNumberFormat="1" applyBorder="1"/>
    <xf numFmtId="0" fontId="14" fillId="0" borderId="35" xfId="0" applyFont="1" applyBorder="1" applyAlignment="1">
      <alignment horizontal="center"/>
    </xf>
    <xf numFmtId="0" fontId="0" fillId="0" borderId="0" xfId="0" applyAlignment="1">
      <alignment horizontal="center" wrapText="1"/>
    </xf>
    <xf numFmtId="0" fontId="70" fillId="0" borderId="0" xfId="0" applyFont="1"/>
    <xf numFmtId="0" fontId="71" fillId="0" borderId="0" xfId="0" applyFont="1"/>
    <xf numFmtId="0" fontId="70" fillId="12" borderId="0" xfId="0" applyFont="1" applyFill="1"/>
    <xf numFmtId="0" fontId="70" fillId="0" borderId="0" xfId="0" applyFont="1" applyFill="1"/>
    <xf numFmtId="0" fontId="70" fillId="2" borderId="0" xfId="0" applyFont="1" applyFill="1"/>
    <xf numFmtId="0" fontId="0" fillId="12" borderId="0" xfId="0" applyFill="1"/>
    <xf numFmtId="0" fontId="0" fillId="0" borderId="0" xfId="0" applyFill="1"/>
    <xf numFmtId="0" fontId="72" fillId="0" borderId="1" xfId="0" applyFont="1" applyBorder="1" applyAlignment="1">
      <alignment horizontal="center"/>
    </xf>
    <xf numFmtId="0" fontId="73" fillId="0" borderId="1" xfId="0" applyFont="1" applyBorder="1" applyAlignment="1">
      <alignment horizontal="center"/>
    </xf>
    <xf numFmtId="0" fontId="0" fillId="12" borderId="1" xfId="0" applyFill="1" applyBorder="1"/>
    <xf numFmtId="0" fontId="73" fillId="0" borderId="0" xfId="0" applyFont="1"/>
    <xf numFmtId="0" fontId="74" fillId="0" borderId="0" xfId="0" applyFont="1" applyFill="1" applyBorder="1" applyAlignment="1">
      <alignment horizontal="center"/>
    </xf>
    <xf numFmtId="2" fontId="0" fillId="0" borderId="5" xfId="0" applyNumberFormat="1" applyBorder="1"/>
    <xf numFmtId="0" fontId="72" fillId="0" borderId="0" xfId="0" applyFont="1"/>
    <xf numFmtId="2" fontId="0" fillId="0" borderId="0" xfId="0" applyNumberFormat="1"/>
    <xf numFmtId="0" fontId="0" fillId="0" borderId="1" xfId="0" applyFill="1" applyBorder="1" applyAlignment="1">
      <alignment horizontal="center"/>
    </xf>
    <xf numFmtId="0" fontId="75" fillId="0" borderId="0" xfId="0" applyFont="1" applyAlignment="1"/>
    <xf numFmtId="2" fontId="76" fillId="0" borderId="0" xfId="0" applyNumberFormat="1" applyFont="1"/>
    <xf numFmtId="0" fontId="0" fillId="13" borderId="0" xfId="0" applyFill="1"/>
    <xf numFmtId="0" fontId="76" fillId="0" borderId="0" xfId="0" applyFont="1"/>
    <xf numFmtId="164" fontId="76" fillId="0" borderId="0" xfId="0" applyNumberFormat="1" applyFont="1"/>
    <xf numFmtId="164" fontId="0" fillId="0" borderId="0" xfId="0" applyNumberFormat="1"/>
  </cellXfs>
  <cellStyles count="2">
    <cellStyle name="Bad" xfId="1" builtinId="27"/>
    <cellStyle name="Normal" xfId="0" builtinId="0"/>
  </cellStyles>
  <dxfs count="4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F8D34AC9-8E30-4924-B03C-5ABA86A53C3A}">
      <tableStyleElement type="wholeTable" dxfId="39"/>
      <tableStyleElement type="headerRow" dxfId="38"/>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H1, Sprint Teams PO Invoice Approval Cycle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'Measure-SoftTools'!$B$8</c:f>
              <c:strCache>
                <c:ptCount val="1"/>
                <c:pt idx="0">
                  <c:v>PO Approval Cycle Time (days)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'Measure-SoftTools'!$A$9:$A$45</c:f>
              <c:strCache>
                <c:ptCount val="37"/>
                <c:pt idx="1">
                  <c:v>PO1</c:v>
                </c:pt>
                <c:pt idx="2">
                  <c:v>PO2</c:v>
                </c:pt>
                <c:pt idx="3">
                  <c:v>PO3</c:v>
                </c:pt>
                <c:pt idx="4">
                  <c:v>PO4</c:v>
                </c:pt>
                <c:pt idx="5">
                  <c:v>PO5</c:v>
                </c:pt>
                <c:pt idx="6">
                  <c:v>PO6</c:v>
                </c:pt>
                <c:pt idx="7">
                  <c:v>PO7</c:v>
                </c:pt>
                <c:pt idx="8">
                  <c:v>PO8</c:v>
                </c:pt>
                <c:pt idx="9">
                  <c:v>PO9</c:v>
                </c:pt>
                <c:pt idx="10">
                  <c:v>PO10</c:v>
                </c:pt>
                <c:pt idx="11">
                  <c:v>PO11</c:v>
                </c:pt>
                <c:pt idx="12">
                  <c:v>PO12</c:v>
                </c:pt>
                <c:pt idx="13">
                  <c:v>PO13</c:v>
                </c:pt>
                <c:pt idx="14">
                  <c:v>PO14</c:v>
                </c:pt>
                <c:pt idx="15">
                  <c:v>PO15</c:v>
                </c:pt>
                <c:pt idx="16">
                  <c:v>PO16</c:v>
                </c:pt>
                <c:pt idx="17">
                  <c:v>PO17</c:v>
                </c:pt>
                <c:pt idx="18">
                  <c:v>PO18</c:v>
                </c:pt>
                <c:pt idx="19">
                  <c:v>PO19</c:v>
                </c:pt>
                <c:pt idx="20">
                  <c:v>PO20</c:v>
                </c:pt>
                <c:pt idx="21">
                  <c:v>PO21</c:v>
                </c:pt>
                <c:pt idx="22">
                  <c:v>PO22</c:v>
                </c:pt>
                <c:pt idx="23">
                  <c:v>PO23</c:v>
                </c:pt>
                <c:pt idx="24">
                  <c:v>PO24</c:v>
                </c:pt>
                <c:pt idx="25">
                  <c:v>PO25</c:v>
                </c:pt>
                <c:pt idx="26">
                  <c:v>PO26</c:v>
                </c:pt>
                <c:pt idx="27">
                  <c:v>PO27</c:v>
                </c:pt>
                <c:pt idx="28">
                  <c:v>PO28</c:v>
                </c:pt>
                <c:pt idx="29">
                  <c:v>PO29</c:v>
                </c:pt>
                <c:pt idx="30">
                  <c:v>PO30</c:v>
                </c:pt>
                <c:pt idx="31">
                  <c:v>PO31</c:v>
                </c:pt>
                <c:pt idx="32">
                  <c:v>PO32</c:v>
                </c:pt>
                <c:pt idx="33">
                  <c:v>PO33</c:v>
                </c:pt>
                <c:pt idx="34">
                  <c:v>PO34</c:v>
                </c:pt>
                <c:pt idx="35">
                  <c:v>PO35</c:v>
                </c:pt>
                <c:pt idx="36">
                  <c:v>PO36</c:v>
                </c:pt>
              </c:strCache>
            </c:strRef>
          </c:cat>
          <c:val>
            <c:numRef>
              <c:f>'Measure-SoftTools'!$B$9:$B$45</c:f>
              <c:numCache>
                <c:formatCode>General</c:formatCode>
                <c:ptCount val="37"/>
                <c:pt idx="1">
                  <c:v>29</c:v>
                </c:pt>
                <c:pt idx="2">
                  <c:v>30</c:v>
                </c:pt>
                <c:pt idx="3">
                  <c:v>30</c:v>
                </c:pt>
                <c:pt idx="4">
                  <c:v>24</c:v>
                </c:pt>
                <c:pt idx="5">
                  <c:v>23</c:v>
                </c:pt>
                <c:pt idx="6">
                  <c:v>24</c:v>
                </c:pt>
                <c:pt idx="7">
                  <c:v>23</c:v>
                </c:pt>
                <c:pt idx="8">
                  <c:v>23</c:v>
                </c:pt>
                <c:pt idx="9">
                  <c:v>20</c:v>
                </c:pt>
                <c:pt idx="10">
                  <c:v>20</c:v>
                </c:pt>
                <c:pt idx="11">
                  <c:v>20</c:v>
                </c:pt>
                <c:pt idx="12">
                  <c:v>20</c:v>
                </c:pt>
                <c:pt idx="13">
                  <c:v>24</c:v>
                </c:pt>
                <c:pt idx="14">
                  <c:v>20</c:v>
                </c:pt>
                <c:pt idx="15">
                  <c:v>24</c:v>
                </c:pt>
                <c:pt idx="16">
                  <c:v>20</c:v>
                </c:pt>
                <c:pt idx="17">
                  <c:v>24</c:v>
                </c:pt>
                <c:pt idx="18">
                  <c:v>10</c:v>
                </c:pt>
                <c:pt idx="19">
                  <c:v>21</c:v>
                </c:pt>
                <c:pt idx="20">
                  <c:v>21</c:v>
                </c:pt>
                <c:pt idx="21">
                  <c:v>17</c:v>
                </c:pt>
                <c:pt idx="22">
                  <c:v>21</c:v>
                </c:pt>
                <c:pt idx="23">
                  <c:v>21</c:v>
                </c:pt>
                <c:pt idx="24">
                  <c:v>24</c:v>
                </c:pt>
                <c:pt idx="25">
                  <c:v>21</c:v>
                </c:pt>
                <c:pt idx="26">
                  <c:v>24</c:v>
                </c:pt>
                <c:pt idx="27">
                  <c:v>13</c:v>
                </c:pt>
                <c:pt idx="28">
                  <c:v>24</c:v>
                </c:pt>
                <c:pt idx="29">
                  <c:v>10</c:v>
                </c:pt>
                <c:pt idx="30">
                  <c:v>10</c:v>
                </c:pt>
                <c:pt idx="31">
                  <c:v>24</c:v>
                </c:pt>
                <c:pt idx="32">
                  <c:v>17</c:v>
                </c:pt>
                <c:pt idx="33">
                  <c:v>27</c:v>
                </c:pt>
                <c:pt idx="34">
                  <c:v>24</c:v>
                </c:pt>
                <c:pt idx="35">
                  <c:v>27</c:v>
                </c:pt>
                <c:pt idx="36">
                  <c:v>7</c:v>
                </c:pt>
              </c:numCache>
            </c:numRef>
          </c:val>
          <c:smooth val="0"/>
          <c:extLst>
            <c:ext xmlns:c16="http://schemas.microsoft.com/office/drawing/2014/chart" uri="{C3380CC4-5D6E-409C-BE32-E72D297353CC}">
              <c16:uniqueId val="{00000000-1574-47DC-AACC-D7251D660C05}"/>
            </c:ext>
          </c:extLst>
        </c:ser>
        <c:ser>
          <c:idx val="1"/>
          <c:order val="1"/>
          <c:tx>
            <c:strRef>
              <c:f>'Measure-SoftTools'!$C$8</c:f>
              <c:strCache>
                <c:ptCount val="1"/>
                <c:pt idx="0">
                  <c:v>Discount Threshold (days)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'Measure-SoftTools'!$A$9:$A$45</c:f>
              <c:strCache>
                <c:ptCount val="37"/>
                <c:pt idx="1">
                  <c:v>PO1</c:v>
                </c:pt>
                <c:pt idx="2">
                  <c:v>PO2</c:v>
                </c:pt>
                <c:pt idx="3">
                  <c:v>PO3</c:v>
                </c:pt>
                <c:pt idx="4">
                  <c:v>PO4</c:v>
                </c:pt>
                <c:pt idx="5">
                  <c:v>PO5</c:v>
                </c:pt>
                <c:pt idx="6">
                  <c:v>PO6</c:v>
                </c:pt>
                <c:pt idx="7">
                  <c:v>PO7</c:v>
                </c:pt>
                <c:pt idx="8">
                  <c:v>PO8</c:v>
                </c:pt>
                <c:pt idx="9">
                  <c:v>PO9</c:v>
                </c:pt>
                <c:pt idx="10">
                  <c:v>PO10</c:v>
                </c:pt>
                <c:pt idx="11">
                  <c:v>PO11</c:v>
                </c:pt>
                <c:pt idx="12">
                  <c:v>PO12</c:v>
                </c:pt>
                <c:pt idx="13">
                  <c:v>PO13</c:v>
                </c:pt>
                <c:pt idx="14">
                  <c:v>PO14</c:v>
                </c:pt>
                <c:pt idx="15">
                  <c:v>PO15</c:v>
                </c:pt>
                <c:pt idx="16">
                  <c:v>PO16</c:v>
                </c:pt>
                <c:pt idx="17">
                  <c:v>PO17</c:v>
                </c:pt>
                <c:pt idx="18">
                  <c:v>PO18</c:v>
                </c:pt>
                <c:pt idx="19">
                  <c:v>PO19</c:v>
                </c:pt>
                <c:pt idx="20">
                  <c:v>PO20</c:v>
                </c:pt>
                <c:pt idx="21">
                  <c:v>PO21</c:v>
                </c:pt>
                <c:pt idx="22">
                  <c:v>PO22</c:v>
                </c:pt>
                <c:pt idx="23">
                  <c:v>PO23</c:v>
                </c:pt>
                <c:pt idx="24">
                  <c:v>PO24</c:v>
                </c:pt>
                <c:pt idx="25">
                  <c:v>PO25</c:v>
                </c:pt>
                <c:pt idx="26">
                  <c:v>PO26</c:v>
                </c:pt>
                <c:pt idx="27">
                  <c:v>PO27</c:v>
                </c:pt>
                <c:pt idx="28">
                  <c:v>PO28</c:v>
                </c:pt>
                <c:pt idx="29">
                  <c:v>PO29</c:v>
                </c:pt>
                <c:pt idx="30">
                  <c:v>PO30</c:v>
                </c:pt>
                <c:pt idx="31">
                  <c:v>PO31</c:v>
                </c:pt>
                <c:pt idx="32">
                  <c:v>PO32</c:v>
                </c:pt>
                <c:pt idx="33">
                  <c:v>PO33</c:v>
                </c:pt>
                <c:pt idx="34">
                  <c:v>PO34</c:v>
                </c:pt>
                <c:pt idx="35">
                  <c:v>PO35</c:v>
                </c:pt>
                <c:pt idx="36">
                  <c:v>PO36</c:v>
                </c:pt>
              </c:strCache>
            </c:strRef>
          </c:cat>
          <c:val>
            <c:numRef>
              <c:f>'Measure-SoftTools'!$C$9:$C$45</c:f>
              <c:numCache>
                <c:formatCode>General</c:formatCode>
                <c:ptCount val="37"/>
                <c:pt idx="1">
                  <c:v>19</c:v>
                </c:pt>
                <c:pt idx="2">
                  <c:v>19</c:v>
                </c:pt>
                <c:pt idx="3">
                  <c:v>19</c:v>
                </c:pt>
                <c:pt idx="4">
                  <c:v>19</c:v>
                </c:pt>
                <c:pt idx="5">
                  <c:v>19</c:v>
                </c:pt>
                <c:pt idx="6">
                  <c:v>19</c:v>
                </c:pt>
                <c:pt idx="7">
                  <c:v>19</c:v>
                </c:pt>
                <c:pt idx="8">
                  <c:v>19</c:v>
                </c:pt>
                <c:pt idx="9">
                  <c:v>19</c:v>
                </c:pt>
                <c:pt idx="10">
                  <c:v>19</c:v>
                </c:pt>
                <c:pt idx="11">
                  <c:v>19</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pt idx="33">
                  <c:v>19</c:v>
                </c:pt>
                <c:pt idx="34">
                  <c:v>19</c:v>
                </c:pt>
                <c:pt idx="35">
                  <c:v>19</c:v>
                </c:pt>
                <c:pt idx="36">
                  <c:v>19</c:v>
                </c:pt>
              </c:numCache>
            </c:numRef>
          </c:val>
          <c:smooth val="0"/>
          <c:extLst>
            <c:ext xmlns:c16="http://schemas.microsoft.com/office/drawing/2014/chart" uri="{C3380CC4-5D6E-409C-BE32-E72D297353CC}">
              <c16:uniqueId val="{00000001-1574-47DC-AACC-D7251D660C05}"/>
            </c:ext>
          </c:extLst>
        </c:ser>
        <c:dLbls>
          <c:showLegendKey val="0"/>
          <c:showVal val="0"/>
          <c:showCatName val="0"/>
          <c:showSerName val="0"/>
          <c:showPercent val="0"/>
          <c:showBubbleSize val="0"/>
        </c:dLbls>
        <c:marker val="1"/>
        <c:smooth val="0"/>
        <c:axId val="1004988888"/>
        <c:axId val="1004990200"/>
      </c:lineChart>
      <c:catAx>
        <c:axId val="100498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 Invoices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990200"/>
        <c:crosses val="autoZero"/>
        <c:auto val="1"/>
        <c:lblAlgn val="ctr"/>
        <c:lblOffset val="100"/>
        <c:noMultiLvlLbl val="0"/>
      </c:catAx>
      <c:valAx>
        <c:axId val="1004990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Days to Approve a PO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988888"/>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 Invoice Correction Frequency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18C-4460-8BD5-DDDC5A2DCC0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18C-4460-8BD5-DDDC5A2DCC0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'Analyze-POInvoiceCorrectionFrq'!$F$12:$G$12</c:f>
              <c:strCache>
                <c:ptCount val="2"/>
                <c:pt idx="0">
                  <c:v>% Corrected</c:v>
                </c:pt>
                <c:pt idx="1">
                  <c:v>% Not Corrected</c:v>
                </c:pt>
              </c:strCache>
            </c:strRef>
          </c:cat>
          <c:val>
            <c:numRef>
              <c:f>'Analyze-POInvoiceCorrectionFrq'!$F$13:$G$13</c:f>
              <c:numCache>
                <c:formatCode>0.00%</c:formatCode>
                <c:ptCount val="2"/>
                <c:pt idx="0">
                  <c:v>0.69444444444444442</c:v>
                </c:pt>
                <c:pt idx="1">
                  <c:v>0.30555555555555558</c:v>
                </c:pt>
              </c:numCache>
            </c:numRef>
          </c:val>
          <c:extLst>
            <c:ext xmlns:c16="http://schemas.microsoft.com/office/drawing/2014/chart" uri="{C3380CC4-5D6E-409C-BE32-E72D297353CC}">
              <c16:uniqueId val="{00000000-6AEB-44DB-9EA7-147153D3E09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9837007874015755"/>
          <c:y val="0.45711687080781571"/>
          <c:w val="0.26282678321597464"/>
          <c:h val="0.2569466316710410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'Analyze-DevMgrCycleTime'!$B$14</c:f>
              <c:strCache>
                <c:ptCount val="1"/>
                <c:pt idx="0">
                  <c:v>Mgr Validation Time (hrs)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'Analyze-DevMgrCycleTime'!$B$15:$B$50</c:f>
              <c:numCache>
                <c:formatCode>0.00</c:formatCode>
                <c:ptCount val="36"/>
                <c:pt idx="0">
                  <c:v>3</c:v>
                </c:pt>
                <c:pt idx="1">
                  <c:v>4</c:v>
                </c:pt>
                <c:pt idx="2">
                  <c:v>2</c:v>
                </c:pt>
                <c:pt idx="3">
                  <c:v>3</c:v>
                </c:pt>
                <c:pt idx="4">
                  <c:v>3</c:v>
                </c:pt>
                <c:pt idx="5">
                  <c:v>2</c:v>
                </c:pt>
                <c:pt idx="6">
                  <c:v>4</c:v>
                </c:pt>
                <c:pt idx="7">
                  <c:v>3</c:v>
                </c:pt>
                <c:pt idx="8">
                  <c:v>3</c:v>
                </c:pt>
                <c:pt idx="9">
                  <c:v>3</c:v>
                </c:pt>
                <c:pt idx="10">
                  <c:v>3</c:v>
                </c:pt>
                <c:pt idx="11">
                  <c:v>3</c:v>
                </c:pt>
                <c:pt idx="12">
                  <c:v>3</c:v>
                </c:pt>
                <c:pt idx="13">
                  <c:v>4</c:v>
                </c:pt>
                <c:pt idx="14">
                  <c:v>2</c:v>
                </c:pt>
                <c:pt idx="15">
                  <c:v>4</c:v>
                </c:pt>
                <c:pt idx="16">
                  <c:v>4</c:v>
                </c:pt>
                <c:pt idx="17">
                  <c:v>1</c:v>
                </c:pt>
                <c:pt idx="18">
                  <c:v>4</c:v>
                </c:pt>
                <c:pt idx="19">
                  <c:v>4</c:v>
                </c:pt>
                <c:pt idx="20">
                  <c:v>1</c:v>
                </c:pt>
                <c:pt idx="21">
                  <c:v>4</c:v>
                </c:pt>
                <c:pt idx="22">
                  <c:v>3</c:v>
                </c:pt>
                <c:pt idx="23">
                  <c:v>2</c:v>
                </c:pt>
                <c:pt idx="24">
                  <c:v>5</c:v>
                </c:pt>
                <c:pt idx="25">
                  <c:v>3</c:v>
                </c:pt>
                <c:pt idx="26">
                  <c:v>1</c:v>
                </c:pt>
                <c:pt idx="27">
                  <c:v>5</c:v>
                </c:pt>
                <c:pt idx="28">
                  <c:v>2</c:v>
                </c:pt>
                <c:pt idx="29">
                  <c:v>1</c:v>
                </c:pt>
                <c:pt idx="30">
                  <c:v>5</c:v>
                </c:pt>
                <c:pt idx="31">
                  <c:v>2</c:v>
                </c:pt>
                <c:pt idx="32">
                  <c:v>1</c:v>
                </c:pt>
                <c:pt idx="33">
                  <c:v>3</c:v>
                </c:pt>
                <c:pt idx="34">
                  <c:v>3</c:v>
                </c:pt>
                <c:pt idx="35">
                  <c:v>2</c:v>
                </c:pt>
              </c:numCache>
            </c:numRef>
          </c:val>
          <c:extLst>
            <c:ext xmlns:c16="http://schemas.microsoft.com/office/drawing/2014/chart" uri="{C3380CC4-5D6E-409C-BE32-E72D297353CC}">
              <c16:uniqueId val="{00000000-B2CD-482E-A3AF-EE44014D92E2}"/>
            </c:ext>
          </c:extLst>
        </c:ser>
        <c:dLbls>
          <c:showLegendKey val="0"/>
          <c:showVal val="0"/>
          <c:showCatName val="0"/>
          <c:showSerName val="0"/>
          <c:showPercent val="0"/>
          <c:showBubbleSize val="0"/>
        </c:dLbls>
        <c:gapWidth val="150"/>
        <c:overlap val="100"/>
        <c:axId val="1058743568"/>
        <c:axId val="1058747504"/>
      </c:barChart>
      <c:catAx>
        <c:axId val="105874356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47504"/>
        <c:crosses val="autoZero"/>
        <c:auto val="1"/>
        <c:lblAlgn val="ctr"/>
        <c:lblOffset val="100"/>
        <c:noMultiLvlLbl val="0"/>
      </c:catAx>
      <c:valAx>
        <c:axId val="1058747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4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'Analyze-DevMgrCycleTime'!$B$14</c:f>
              <c:strCache>
                <c:ptCount val="1"/>
                <c:pt idx="0">
                  <c:v>Mgr Validation Time (hrs)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'Analyze-DevMgrCycleTime'!$A$15:$A$50</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cat>
          <c:val>
            <c:numRef>
              <c:f>'Analyze-DevMgrCycleTime'!$B$15:$B$50</c:f>
              <c:numCache>
                <c:formatCode>0.00</c:formatCode>
                <c:ptCount val="36"/>
                <c:pt idx="0">
                  <c:v>3</c:v>
                </c:pt>
                <c:pt idx="1">
                  <c:v>4</c:v>
                </c:pt>
                <c:pt idx="2">
                  <c:v>2</c:v>
                </c:pt>
                <c:pt idx="3">
                  <c:v>3</c:v>
                </c:pt>
                <c:pt idx="4">
                  <c:v>3</c:v>
                </c:pt>
                <c:pt idx="5">
                  <c:v>2</c:v>
                </c:pt>
                <c:pt idx="6">
                  <c:v>4</c:v>
                </c:pt>
                <c:pt idx="7">
                  <c:v>3</c:v>
                </c:pt>
                <c:pt idx="8">
                  <c:v>3</c:v>
                </c:pt>
                <c:pt idx="9">
                  <c:v>3</c:v>
                </c:pt>
                <c:pt idx="10">
                  <c:v>3</c:v>
                </c:pt>
                <c:pt idx="11">
                  <c:v>3</c:v>
                </c:pt>
                <c:pt idx="12">
                  <c:v>3</c:v>
                </c:pt>
                <c:pt idx="13">
                  <c:v>4</c:v>
                </c:pt>
                <c:pt idx="14">
                  <c:v>2</c:v>
                </c:pt>
                <c:pt idx="15">
                  <c:v>4</c:v>
                </c:pt>
                <c:pt idx="16">
                  <c:v>4</c:v>
                </c:pt>
                <c:pt idx="17">
                  <c:v>1</c:v>
                </c:pt>
                <c:pt idx="18">
                  <c:v>4</c:v>
                </c:pt>
                <c:pt idx="19">
                  <c:v>4</c:v>
                </c:pt>
                <c:pt idx="20">
                  <c:v>1</c:v>
                </c:pt>
                <c:pt idx="21">
                  <c:v>4</c:v>
                </c:pt>
                <c:pt idx="22">
                  <c:v>3</c:v>
                </c:pt>
                <c:pt idx="23">
                  <c:v>2</c:v>
                </c:pt>
                <c:pt idx="24">
                  <c:v>5</c:v>
                </c:pt>
                <c:pt idx="25">
                  <c:v>3</c:v>
                </c:pt>
                <c:pt idx="26">
                  <c:v>1</c:v>
                </c:pt>
                <c:pt idx="27">
                  <c:v>5</c:v>
                </c:pt>
                <c:pt idx="28">
                  <c:v>2</c:v>
                </c:pt>
                <c:pt idx="29">
                  <c:v>1</c:v>
                </c:pt>
                <c:pt idx="30">
                  <c:v>5</c:v>
                </c:pt>
                <c:pt idx="31">
                  <c:v>2</c:v>
                </c:pt>
                <c:pt idx="32">
                  <c:v>1</c:v>
                </c:pt>
                <c:pt idx="33">
                  <c:v>3</c:v>
                </c:pt>
                <c:pt idx="34">
                  <c:v>3</c:v>
                </c:pt>
                <c:pt idx="35">
                  <c:v>2</c:v>
                </c:pt>
              </c:numCache>
            </c:numRef>
          </c:val>
          <c:extLst>
            <c:ext xmlns:c16="http://schemas.microsoft.com/office/drawing/2014/chart" uri="{C3380CC4-5D6E-409C-BE32-E72D297353CC}">
              <c16:uniqueId val="{00000000-1876-4407-8EC3-CE73EDD6096A}"/>
            </c:ext>
          </c:extLst>
        </c:ser>
        <c:dLbls>
          <c:showLegendKey val="0"/>
          <c:showVal val="0"/>
          <c:showCatName val="0"/>
          <c:showSerName val="0"/>
          <c:showPercent val="0"/>
          <c:showBubbleSize val="0"/>
        </c:dLbls>
        <c:gapWidth val="100"/>
        <c:overlap val="-24"/>
        <c:axId val="791582008"/>
        <c:axId val="791574136"/>
      </c:barChart>
      <c:catAx>
        <c:axId val="791582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74136"/>
        <c:crosses val="autoZero"/>
        <c:auto val="1"/>
        <c:lblAlgn val="ctr"/>
        <c:lblOffset val="100"/>
        <c:noMultiLvlLbl val="0"/>
      </c:catAx>
      <c:valAx>
        <c:axId val="79157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82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Mgr</a:t>
            </a:r>
            <a:r>
              <a:rPr lang="en-US" baseline="0"/>
              <a:t> Validation Time with Goal Threshold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'Analyze-DevMgrCycleTime'!$B$14</c:f>
              <c:strCache>
                <c:ptCount val="1"/>
                <c:pt idx="0">
                  <c:v>Mgr Validation Time (hrs)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'Analyze-DevMgrCycleTime'!$A$15:$A$50</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cat>
          <c:val>
            <c:numRef>
              <c:f>'Analyze-DevMgrCycleTime'!$B$15:$B$50</c:f>
              <c:numCache>
                <c:formatCode>0.00</c:formatCode>
                <c:ptCount val="36"/>
                <c:pt idx="0">
                  <c:v>3</c:v>
                </c:pt>
                <c:pt idx="1">
                  <c:v>4</c:v>
                </c:pt>
                <c:pt idx="2">
                  <c:v>2</c:v>
                </c:pt>
                <c:pt idx="3">
                  <c:v>3</c:v>
                </c:pt>
                <c:pt idx="4">
                  <c:v>3</c:v>
                </c:pt>
                <c:pt idx="5">
                  <c:v>2</c:v>
                </c:pt>
                <c:pt idx="6">
                  <c:v>4</c:v>
                </c:pt>
                <c:pt idx="7">
                  <c:v>3</c:v>
                </c:pt>
                <c:pt idx="8">
                  <c:v>3</c:v>
                </c:pt>
                <c:pt idx="9">
                  <c:v>3</c:v>
                </c:pt>
                <c:pt idx="10">
                  <c:v>3</c:v>
                </c:pt>
                <c:pt idx="11">
                  <c:v>3</c:v>
                </c:pt>
                <c:pt idx="12">
                  <c:v>3</c:v>
                </c:pt>
                <c:pt idx="13">
                  <c:v>4</c:v>
                </c:pt>
                <c:pt idx="14">
                  <c:v>2</c:v>
                </c:pt>
                <c:pt idx="15">
                  <c:v>4</c:v>
                </c:pt>
                <c:pt idx="16">
                  <c:v>4</c:v>
                </c:pt>
                <c:pt idx="17">
                  <c:v>1</c:v>
                </c:pt>
                <c:pt idx="18">
                  <c:v>4</c:v>
                </c:pt>
                <c:pt idx="19">
                  <c:v>4</c:v>
                </c:pt>
                <c:pt idx="20">
                  <c:v>1</c:v>
                </c:pt>
                <c:pt idx="21">
                  <c:v>4</c:v>
                </c:pt>
                <c:pt idx="22">
                  <c:v>3</c:v>
                </c:pt>
                <c:pt idx="23">
                  <c:v>2</c:v>
                </c:pt>
                <c:pt idx="24">
                  <c:v>5</c:v>
                </c:pt>
                <c:pt idx="25">
                  <c:v>3</c:v>
                </c:pt>
                <c:pt idx="26">
                  <c:v>1</c:v>
                </c:pt>
                <c:pt idx="27">
                  <c:v>5</c:v>
                </c:pt>
                <c:pt idx="28">
                  <c:v>2</c:v>
                </c:pt>
                <c:pt idx="29">
                  <c:v>1</c:v>
                </c:pt>
                <c:pt idx="30">
                  <c:v>5</c:v>
                </c:pt>
                <c:pt idx="31">
                  <c:v>2</c:v>
                </c:pt>
                <c:pt idx="32">
                  <c:v>1</c:v>
                </c:pt>
                <c:pt idx="33">
                  <c:v>3</c:v>
                </c:pt>
                <c:pt idx="34">
                  <c:v>3</c:v>
                </c:pt>
                <c:pt idx="35">
                  <c:v>2</c:v>
                </c:pt>
              </c:numCache>
            </c:numRef>
          </c:val>
          <c:extLst>
            <c:ext xmlns:c16="http://schemas.microsoft.com/office/drawing/2014/chart" uri="{C3380CC4-5D6E-409C-BE32-E72D297353CC}">
              <c16:uniqueId val="{00000000-EBE7-453B-AF50-B53D78D6BED1}"/>
            </c:ext>
          </c:extLst>
        </c:ser>
        <c:dLbls>
          <c:showLegendKey val="0"/>
          <c:showVal val="0"/>
          <c:showCatName val="0"/>
          <c:showSerName val="0"/>
          <c:showPercent val="0"/>
          <c:showBubbleSize val="0"/>
        </c:dLbls>
        <c:gapWidth val="150"/>
        <c:axId val="791582992"/>
        <c:axId val="791583976"/>
      </c:barChart>
      <c:lineChart>
        <c:grouping val="standard"/>
        <c:varyColors val="0"/>
        <c:ser>
          <c:idx val="1"/>
          <c:order val="1"/>
          <c:tx>
            <c:strRef>
              <c:f>'Analyze-DevMgrCycleTime'!$C$14</c:f>
              <c:strCache>
                <c:ptCount val="1"/>
                <c:pt idx="0">
                  <c:v>Threshold</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'Analyze-DevMgrCycleTime'!$A$15:$A$50</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cat>
          <c:val>
            <c:numRef>
              <c:f>'Analyze-DevMgrCycleTime'!$C$15:$C$50</c:f>
              <c:numCache>
                <c:formatCode>General</c:formatCode>
                <c:ptCount val="36"/>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numCache>
            </c:numRef>
          </c:val>
          <c:smooth val="0"/>
          <c:extLst>
            <c:ext xmlns:c16="http://schemas.microsoft.com/office/drawing/2014/chart" uri="{C3380CC4-5D6E-409C-BE32-E72D297353CC}">
              <c16:uniqueId val="{00000001-EBE7-453B-AF50-B53D78D6BED1}"/>
            </c:ext>
          </c:extLst>
        </c:ser>
        <c:dLbls>
          <c:showLegendKey val="0"/>
          <c:showVal val="0"/>
          <c:showCatName val="0"/>
          <c:showSerName val="0"/>
          <c:showPercent val="0"/>
          <c:showBubbleSize val="0"/>
        </c:dLbls>
        <c:marker val="1"/>
        <c:smooth val="0"/>
        <c:axId val="791582992"/>
        <c:axId val="791583976"/>
      </c:lineChart>
      <c:catAx>
        <c:axId val="791582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83976"/>
        <c:auto val="1"/>
        <c:lblAlgn val="ctr"/>
        <c:lblOffset val="100"/>
        <c:noMultiLvlLbl val="0"/>
      </c:catAx>
      <c:valAx>
        <c:axId val="791583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82992"/>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Frequency</a:t>
            </a:r>
            <a:r>
              <a:rPr lang="en-US" sz="1600" baseline="0"/>
              <a:t> that Managers are Validating PO Invoices within the 2hr Goal</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'Analyze-DevMgrCycleTime'!$D$17:$E$17</c:f>
              <c:strCache>
                <c:ptCount val="2"/>
                <c:pt idx="0">
                  <c:v>% Above Threshold</c:v>
                </c:pt>
                <c:pt idx="1">
                  <c:v>% Below Threshold</c:v>
                </c:pt>
              </c:strCache>
            </c:strRef>
          </c:cat>
          <c:val>
            <c:numRef>
              <c:f>'Analyze-DevMgrCycleTime'!$D$18:$E$18</c:f>
              <c:numCache>
                <c:formatCode>0.00%</c:formatCode>
                <c:ptCount val="2"/>
                <c:pt idx="0">
                  <c:v>0.66666666666666663</c:v>
                </c:pt>
                <c:pt idx="1">
                  <c:v>0.33333333333333331</c:v>
                </c:pt>
              </c:numCache>
            </c:numRef>
          </c:val>
          <c:extLst>
            <c:ext xmlns:c16="http://schemas.microsoft.com/office/drawing/2014/chart" uri="{C3380CC4-5D6E-409C-BE32-E72D297353CC}">
              <c16:uniqueId val="{00000000-ACF3-4B59-9F94-6F524EB844C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'Analyze-DevMgrCycleTime'!$L$56:$L$59</c:f>
              <c:strCache>
                <c:ptCount val="4"/>
                <c:pt idx="0">
                  <c:v>1.416666667</c:v>
                </c:pt>
                <c:pt idx="1">
                  <c:v>0.25</c:v>
                </c:pt>
                <c:pt idx="2">
                  <c:v>0.833333333</c:v>
                </c:pt>
                <c:pt idx="3">
                  <c:v>More</c:v>
                </c:pt>
              </c:strCache>
            </c:strRef>
          </c:cat>
          <c:val>
            <c:numRef>
              <c:f>'Analyze-DevMgrCycleTime'!$M$56:$M$59</c:f>
              <c:numCache>
                <c:formatCode>General</c:formatCode>
                <c:ptCount val="4"/>
                <c:pt idx="0">
                  <c:v>7</c:v>
                </c:pt>
                <c:pt idx="1">
                  <c:v>3</c:v>
                </c:pt>
                <c:pt idx="2">
                  <c:v>3</c:v>
                </c:pt>
                <c:pt idx="3">
                  <c:v>2</c:v>
                </c:pt>
              </c:numCache>
            </c:numRef>
          </c:val>
          <c:extLst>
            <c:ext xmlns:c16="http://schemas.microsoft.com/office/drawing/2014/chart" uri="{C3380CC4-5D6E-409C-BE32-E72D297353CC}">
              <c16:uniqueId val="{00000001-B969-49DB-9BCB-67D8F4C3DEDD}"/>
            </c:ext>
          </c:extLst>
        </c:ser>
        <c:dLbls>
          <c:showLegendKey val="0"/>
          <c:showVal val="0"/>
          <c:showCatName val="0"/>
          <c:showSerName val="0"/>
          <c:showPercent val="0"/>
          <c:showBubbleSize val="0"/>
        </c:dLbls>
        <c:gapWidth val="150"/>
        <c:axId val="1107018168"/>
        <c:axId val="1107016528"/>
      </c:barChart>
      <c:lineChart>
        <c:grouping val="standard"/>
        <c:varyColors val="0"/>
        <c:ser>
          <c:idx val="1"/>
          <c:order val="1"/>
          <c:tx>
            <c:v>Cumulative %</c:v>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'Analyze-DevMgrCycleTime'!$L$56:$L$59</c:f>
              <c:strCache>
                <c:ptCount val="4"/>
                <c:pt idx="0">
                  <c:v>1.416666667</c:v>
                </c:pt>
                <c:pt idx="1">
                  <c:v>0.25</c:v>
                </c:pt>
                <c:pt idx="2">
                  <c:v>0.833333333</c:v>
                </c:pt>
                <c:pt idx="3">
                  <c:v>More</c:v>
                </c:pt>
              </c:strCache>
            </c:strRef>
          </c:cat>
          <c:val>
            <c:numRef>
              <c:f>'Analyze-DevMgrCycleTime'!$N$56:$N$59</c:f>
              <c:numCache>
                <c:formatCode>0.00%</c:formatCode>
                <c:ptCount val="4"/>
                <c:pt idx="0">
                  <c:v>0.46666666666666667</c:v>
                </c:pt>
                <c:pt idx="1">
                  <c:v>0.66666666666666663</c:v>
                </c:pt>
                <c:pt idx="2">
                  <c:v>0.8666666666666667</c:v>
                </c:pt>
                <c:pt idx="3">
                  <c:v>1</c:v>
                </c:pt>
              </c:numCache>
            </c:numRef>
          </c:val>
          <c:smooth val="0"/>
          <c:extLst>
            <c:ext xmlns:c16="http://schemas.microsoft.com/office/drawing/2014/chart" uri="{C3380CC4-5D6E-409C-BE32-E72D297353CC}">
              <c16:uniqueId val="{00000002-B969-49DB-9BCB-67D8F4C3DEDD}"/>
            </c:ext>
          </c:extLst>
        </c:ser>
        <c:dLbls>
          <c:showLegendKey val="0"/>
          <c:showVal val="0"/>
          <c:showCatName val="0"/>
          <c:showSerName val="0"/>
          <c:showPercent val="0"/>
          <c:showBubbleSize val="0"/>
        </c:dLbls>
        <c:marker val="1"/>
        <c:smooth val="0"/>
        <c:axId val="1107009968"/>
        <c:axId val="1107018496"/>
      </c:lineChart>
      <c:catAx>
        <c:axId val="1107018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7016528"/>
        <c:crosses val="autoZero"/>
        <c:auto val="1"/>
        <c:lblAlgn val="ctr"/>
        <c:lblOffset val="100"/>
        <c:noMultiLvlLbl val="0"/>
      </c:catAx>
      <c:valAx>
        <c:axId val="11070165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7018168"/>
        <c:crosses val="autoZero"/>
        <c:crossBetween val="between"/>
      </c:valAx>
      <c:valAx>
        <c:axId val="11070184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7009968"/>
        <c:crosses val="max"/>
        <c:crossBetween val="between"/>
      </c:valAx>
      <c:catAx>
        <c:axId val="1107009968"/>
        <c:scaling>
          <c:orientation val="minMax"/>
        </c:scaling>
        <c:delete val="1"/>
        <c:axPos val="b"/>
        <c:numFmt formatCode="General" sourceLinked="1"/>
        <c:majorTickMark val="none"/>
        <c:minorTickMark val="none"/>
        <c:tickLblPos val="nextTo"/>
        <c:crossAx val="110701849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Mgr Validation Time with Goal Threshold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'Analyze-DevMgrCycleTime'!$B$54</c:f>
              <c:strCache>
                <c:ptCount val="1"/>
                <c:pt idx="0">
                  <c:v>Mgr Validation Time (hrs)</c:v>
                </c:pt>
              </c:strCache>
            </c:strRef>
          </c:tx>
          <c:spPr>
            <a:ln w="28575" cap="rnd">
              <a:solidFill>
                <a:schemeClr val="accent1"/>
              </a:solidFill>
              <a:round/>
            </a:ln>
            <a:effectLst/>
          </c:spPr>
          <c:marker>
            <c:symbol val="none"/>
          </c:marker>
          <c:cat>
            <c:strRef>
              <c:f>'Analyze-DevMgrCycleTime'!$A$55:$A$69</c:f>
              <c:strCache>
                <c:ptCount val="15"/>
                <c:pt idx="0">
                  <c:v>PO40</c:v>
                </c:pt>
                <c:pt idx="1">
                  <c:v>PO41</c:v>
                </c:pt>
                <c:pt idx="2">
                  <c:v>PO42</c:v>
                </c:pt>
                <c:pt idx="3">
                  <c:v>PO43</c:v>
                </c:pt>
                <c:pt idx="4">
                  <c:v>PO44</c:v>
                </c:pt>
                <c:pt idx="5">
                  <c:v>PO45</c:v>
                </c:pt>
                <c:pt idx="6">
                  <c:v>PO46</c:v>
                </c:pt>
                <c:pt idx="7">
                  <c:v>PO47</c:v>
                </c:pt>
                <c:pt idx="8">
                  <c:v>PO48</c:v>
                </c:pt>
                <c:pt idx="9">
                  <c:v>PO49</c:v>
                </c:pt>
                <c:pt idx="10">
                  <c:v>PO50</c:v>
                </c:pt>
                <c:pt idx="11">
                  <c:v>PO51</c:v>
                </c:pt>
                <c:pt idx="12">
                  <c:v>PO52</c:v>
                </c:pt>
                <c:pt idx="13">
                  <c:v>PO53</c:v>
                </c:pt>
                <c:pt idx="14">
                  <c:v>PO54</c:v>
                </c:pt>
              </c:strCache>
            </c:strRef>
          </c:cat>
          <c:val>
            <c:numRef>
              <c:f>'Analyze-DevMgrCycleTime'!$B$55:$B$69</c:f>
              <c:numCache>
                <c:formatCode>0.00</c:formatCode>
                <c:ptCount val="15"/>
                <c:pt idx="0">
                  <c:v>1</c:v>
                </c:pt>
                <c:pt idx="1">
                  <c:v>1</c:v>
                </c:pt>
                <c:pt idx="2">
                  <c:v>0.5</c:v>
                </c:pt>
                <c:pt idx="3">
                  <c:v>1</c:v>
                </c:pt>
                <c:pt idx="4">
                  <c:v>0.5</c:v>
                </c:pt>
                <c:pt idx="5">
                  <c:v>1.5</c:v>
                </c:pt>
                <c:pt idx="6">
                  <c:v>1</c:v>
                </c:pt>
                <c:pt idx="7">
                  <c:v>0.5</c:v>
                </c:pt>
                <c:pt idx="8">
                  <c:v>0.25</c:v>
                </c:pt>
                <c:pt idx="9">
                  <c:v>1</c:v>
                </c:pt>
                <c:pt idx="10">
                  <c:v>2</c:v>
                </c:pt>
                <c:pt idx="11">
                  <c:v>0.25</c:v>
                </c:pt>
                <c:pt idx="12">
                  <c:v>1</c:v>
                </c:pt>
                <c:pt idx="13">
                  <c:v>1</c:v>
                </c:pt>
                <c:pt idx="14">
                  <c:v>0.25</c:v>
                </c:pt>
              </c:numCache>
            </c:numRef>
          </c:val>
          <c:smooth val="0"/>
          <c:extLst>
            <c:ext xmlns:c16="http://schemas.microsoft.com/office/drawing/2014/chart" uri="{C3380CC4-5D6E-409C-BE32-E72D297353CC}">
              <c16:uniqueId val="{00000000-85FF-4905-83D2-5CFF821AE641}"/>
            </c:ext>
          </c:extLst>
        </c:ser>
        <c:ser>
          <c:idx val="1"/>
          <c:order val="1"/>
          <c:tx>
            <c:strRef>
              <c:f>'Analyze-DevMgrCycleTime'!$C$54</c:f>
              <c:strCache>
                <c:ptCount val="1"/>
                <c:pt idx="0">
                  <c:v>Threshold</c:v>
                </c:pt>
              </c:strCache>
            </c:strRef>
          </c:tx>
          <c:spPr>
            <a:ln w="28575" cap="rnd">
              <a:solidFill>
                <a:schemeClr val="accent2"/>
              </a:solidFill>
              <a:round/>
            </a:ln>
            <a:effectLst/>
          </c:spPr>
          <c:marker>
            <c:symbol val="none"/>
          </c:marker>
          <c:cat>
            <c:strRef>
              <c:f>'Analyze-DevMgrCycleTime'!$A$55:$A$69</c:f>
              <c:strCache>
                <c:ptCount val="15"/>
                <c:pt idx="0">
                  <c:v>PO40</c:v>
                </c:pt>
                <c:pt idx="1">
                  <c:v>PO41</c:v>
                </c:pt>
                <c:pt idx="2">
                  <c:v>PO42</c:v>
                </c:pt>
                <c:pt idx="3">
                  <c:v>PO43</c:v>
                </c:pt>
                <c:pt idx="4">
                  <c:v>PO44</c:v>
                </c:pt>
                <c:pt idx="5">
                  <c:v>PO45</c:v>
                </c:pt>
                <c:pt idx="6">
                  <c:v>PO46</c:v>
                </c:pt>
                <c:pt idx="7">
                  <c:v>PO47</c:v>
                </c:pt>
                <c:pt idx="8">
                  <c:v>PO48</c:v>
                </c:pt>
                <c:pt idx="9">
                  <c:v>PO49</c:v>
                </c:pt>
                <c:pt idx="10">
                  <c:v>PO50</c:v>
                </c:pt>
                <c:pt idx="11">
                  <c:v>PO51</c:v>
                </c:pt>
                <c:pt idx="12">
                  <c:v>PO52</c:v>
                </c:pt>
                <c:pt idx="13">
                  <c:v>PO53</c:v>
                </c:pt>
                <c:pt idx="14">
                  <c:v>PO54</c:v>
                </c:pt>
              </c:strCache>
            </c:strRef>
          </c:cat>
          <c:val>
            <c:numRef>
              <c:f>'Analyze-DevMgrCycleTime'!$C$55:$C$69</c:f>
              <c:numCache>
                <c:formatCode>General</c:formatCode>
                <c:ptCount val="15"/>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numCache>
            </c:numRef>
          </c:val>
          <c:smooth val="0"/>
          <c:extLst>
            <c:ext xmlns:c16="http://schemas.microsoft.com/office/drawing/2014/chart" uri="{C3380CC4-5D6E-409C-BE32-E72D297353CC}">
              <c16:uniqueId val="{00000001-85FF-4905-83D2-5CFF821AE641}"/>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160123608"/>
        <c:axId val="1160131152"/>
      </c:lineChart>
      <c:catAx>
        <c:axId val="116012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 Invoice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131152"/>
        <c:crosses val="autoZero"/>
        <c:auto val="1"/>
        <c:lblAlgn val="ctr"/>
        <c:lblOffset val="100"/>
        <c:noMultiLvlLbl val="0"/>
      </c:catAx>
      <c:valAx>
        <c:axId val="116013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Mgr</a:t>
                </a:r>
                <a:r>
                  <a:rPr lang="en-US" baseline="0"/>
                  <a:t> Validation Time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12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Team Validation Time with Goal Threshold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'Analyze-DevTeamCycleTime'!$B$14</c:f>
              <c:strCache>
                <c:ptCount val="1"/>
                <c:pt idx="0">
                  <c:v>Team Validation Meetings Time (hrs)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'Analyze-DevTeamCycleTime'!$A$15:$A$50</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cat>
          <c:val>
            <c:numRef>
              <c:f>'Analyze-DevTeamCycleTime'!$B$15:$B$50</c:f>
              <c:numCache>
                <c:formatCode>0.00</c:formatCode>
                <c:ptCount val="36"/>
                <c:pt idx="0">
                  <c:v>3</c:v>
                </c:pt>
                <c:pt idx="1">
                  <c:v>4</c:v>
                </c:pt>
                <c:pt idx="2">
                  <c:v>3</c:v>
                </c:pt>
                <c:pt idx="3">
                  <c:v>4</c:v>
                </c:pt>
                <c:pt idx="4">
                  <c:v>4</c:v>
                </c:pt>
                <c:pt idx="5">
                  <c:v>3</c:v>
                </c:pt>
                <c:pt idx="6">
                  <c:v>4</c:v>
                </c:pt>
                <c:pt idx="7">
                  <c:v>1</c:v>
                </c:pt>
                <c:pt idx="8">
                  <c:v>1</c:v>
                </c:pt>
                <c:pt idx="9">
                  <c:v>3</c:v>
                </c:pt>
                <c:pt idx="10">
                  <c:v>3</c:v>
                </c:pt>
                <c:pt idx="11">
                  <c:v>1.5</c:v>
                </c:pt>
                <c:pt idx="12">
                  <c:v>3</c:v>
                </c:pt>
                <c:pt idx="13">
                  <c:v>4</c:v>
                </c:pt>
                <c:pt idx="14">
                  <c:v>1</c:v>
                </c:pt>
                <c:pt idx="15">
                  <c:v>3</c:v>
                </c:pt>
                <c:pt idx="16">
                  <c:v>4</c:v>
                </c:pt>
                <c:pt idx="17">
                  <c:v>1</c:v>
                </c:pt>
                <c:pt idx="18">
                  <c:v>4</c:v>
                </c:pt>
                <c:pt idx="19">
                  <c:v>4</c:v>
                </c:pt>
                <c:pt idx="20">
                  <c:v>1</c:v>
                </c:pt>
                <c:pt idx="21">
                  <c:v>4</c:v>
                </c:pt>
                <c:pt idx="22">
                  <c:v>1</c:v>
                </c:pt>
                <c:pt idx="23">
                  <c:v>1</c:v>
                </c:pt>
                <c:pt idx="24">
                  <c:v>4</c:v>
                </c:pt>
                <c:pt idx="25">
                  <c:v>1</c:v>
                </c:pt>
                <c:pt idx="26">
                  <c:v>1</c:v>
                </c:pt>
                <c:pt idx="27">
                  <c:v>4</c:v>
                </c:pt>
                <c:pt idx="28">
                  <c:v>1</c:v>
                </c:pt>
                <c:pt idx="29">
                  <c:v>1</c:v>
                </c:pt>
                <c:pt idx="30">
                  <c:v>4</c:v>
                </c:pt>
                <c:pt idx="31">
                  <c:v>1</c:v>
                </c:pt>
                <c:pt idx="32">
                  <c:v>2</c:v>
                </c:pt>
                <c:pt idx="33">
                  <c:v>4</c:v>
                </c:pt>
                <c:pt idx="34">
                  <c:v>2</c:v>
                </c:pt>
                <c:pt idx="35">
                  <c:v>1</c:v>
                </c:pt>
              </c:numCache>
            </c:numRef>
          </c:val>
          <c:extLst>
            <c:ext xmlns:c16="http://schemas.microsoft.com/office/drawing/2014/chart" uri="{C3380CC4-5D6E-409C-BE32-E72D297353CC}">
              <c16:uniqueId val="{00000000-B4E0-454A-A934-0A0BBEE2FCD9}"/>
            </c:ext>
          </c:extLst>
        </c:ser>
        <c:dLbls>
          <c:showLegendKey val="0"/>
          <c:showVal val="0"/>
          <c:showCatName val="0"/>
          <c:showSerName val="0"/>
          <c:showPercent val="0"/>
          <c:showBubbleSize val="0"/>
        </c:dLbls>
        <c:gapWidth val="269"/>
        <c:overlap val="-27"/>
        <c:axId val="1056413416"/>
        <c:axId val="1056417352"/>
      </c:barChart>
      <c:lineChart>
        <c:grouping val="standard"/>
        <c:varyColors val="0"/>
        <c:ser>
          <c:idx val="1"/>
          <c:order val="1"/>
          <c:tx>
            <c:strRef>
              <c:f>'Analyze-DevTeamCycleTime'!$C$14</c:f>
              <c:strCache>
                <c:ptCount val="1"/>
                <c:pt idx="0">
                  <c:v>Threshold</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'Analyze-DevTeamCycleTime'!$A$15:$A$50</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cat>
          <c:val>
            <c:numRef>
              <c:f>'Analyze-DevTeamCycleTime'!$C$15:$C$50</c:f>
              <c:numCache>
                <c:formatCode>General</c:formatCode>
                <c:ptCount val="36"/>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numCache>
            </c:numRef>
          </c:val>
          <c:smooth val="0"/>
          <c:extLst>
            <c:ext xmlns:c16="http://schemas.microsoft.com/office/drawing/2014/chart" uri="{C3380CC4-5D6E-409C-BE32-E72D297353CC}">
              <c16:uniqueId val="{00000001-B4E0-454A-A934-0A0BBEE2FCD9}"/>
            </c:ext>
          </c:extLst>
        </c:ser>
        <c:dLbls>
          <c:showLegendKey val="0"/>
          <c:showVal val="0"/>
          <c:showCatName val="0"/>
          <c:showSerName val="0"/>
          <c:showPercent val="0"/>
          <c:showBubbleSize val="0"/>
        </c:dLbls>
        <c:marker val="1"/>
        <c:smooth val="0"/>
        <c:axId val="1056413416"/>
        <c:axId val="1056417352"/>
      </c:lineChart>
      <c:catAx>
        <c:axId val="1056413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417352"/>
        <c:crosses val="autoZero"/>
        <c:auto val="1"/>
        <c:lblAlgn val="ctr"/>
        <c:lblOffset val="100"/>
        <c:noMultiLvlLbl val="0"/>
      </c:catAx>
      <c:valAx>
        <c:axId val="1056417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413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 that Teams are Validating PO Invoices within 3hr Goal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970276008492568E-2"/>
          <c:y val="0.29606481481481484"/>
          <c:w val="0.67686666555215624"/>
          <c:h val="0.65300925925925923"/>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'Analyze-DevTeamCycleTime'!$D$17:$E$17</c:f>
              <c:strCache>
                <c:ptCount val="2"/>
                <c:pt idx="0">
                  <c:v>% Above Threshold</c:v>
                </c:pt>
                <c:pt idx="1">
                  <c:v>% Below Threshold</c:v>
                </c:pt>
              </c:strCache>
            </c:strRef>
          </c:cat>
          <c:val>
            <c:numRef>
              <c:f>'Analyze-DevTeamCycleTime'!$D$18:$E$18</c:f>
              <c:numCache>
                <c:formatCode>0.00%</c:formatCode>
                <c:ptCount val="2"/>
                <c:pt idx="0">
                  <c:v>0.3611111111111111</c:v>
                </c:pt>
                <c:pt idx="1">
                  <c:v>0.63888888888888884</c:v>
                </c:pt>
              </c:numCache>
            </c:numRef>
          </c:val>
          <c:extLst>
            <c:ext xmlns:c16="http://schemas.microsoft.com/office/drawing/2014/chart" uri="{C3380CC4-5D6E-409C-BE32-E72D297353CC}">
              <c16:uniqueId val="{00000000-E134-45F3-B808-9A864CBD2B4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H1, PO Invoice Cycle</a:t>
            </a:r>
            <a:r>
              <a:rPr lang="en-US" baseline="0"/>
              <a:t> Times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'Analyze-ValidationCyTVsApprova'!$B$13</c:f>
              <c:strCache>
                <c:ptCount val="1"/>
                <c:pt idx="0">
                  <c:v>PO Approval Cycle Time (days)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'Analyze-ValidationCyTVsApprova'!$A$14:$A$49</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xVal>
          <c:yVal>
            <c:numRef>
              <c:f>'Analyze-ValidationCyTVsApprova'!$B$14:$B$49</c:f>
              <c:numCache>
                <c:formatCode>General</c:formatCode>
                <c:ptCount val="36"/>
                <c:pt idx="0">
                  <c:v>29</c:v>
                </c:pt>
                <c:pt idx="1">
                  <c:v>30</c:v>
                </c:pt>
                <c:pt idx="2">
                  <c:v>30</c:v>
                </c:pt>
                <c:pt idx="3">
                  <c:v>24</c:v>
                </c:pt>
                <c:pt idx="4">
                  <c:v>23</c:v>
                </c:pt>
                <c:pt idx="5">
                  <c:v>24</c:v>
                </c:pt>
                <c:pt idx="6">
                  <c:v>23</c:v>
                </c:pt>
                <c:pt idx="7">
                  <c:v>23</c:v>
                </c:pt>
                <c:pt idx="8">
                  <c:v>20</c:v>
                </c:pt>
                <c:pt idx="9">
                  <c:v>20</c:v>
                </c:pt>
                <c:pt idx="10">
                  <c:v>20</c:v>
                </c:pt>
                <c:pt idx="11">
                  <c:v>20</c:v>
                </c:pt>
                <c:pt idx="12">
                  <c:v>24</c:v>
                </c:pt>
                <c:pt idx="13">
                  <c:v>20</c:v>
                </c:pt>
                <c:pt idx="14">
                  <c:v>24</c:v>
                </c:pt>
                <c:pt idx="15">
                  <c:v>20</c:v>
                </c:pt>
                <c:pt idx="16">
                  <c:v>24</c:v>
                </c:pt>
                <c:pt idx="17">
                  <c:v>10</c:v>
                </c:pt>
                <c:pt idx="18">
                  <c:v>21</c:v>
                </c:pt>
                <c:pt idx="19">
                  <c:v>21</c:v>
                </c:pt>
                <c:pt idx="20">
                  <c:v>17</c:v>
                </c:pt>
                <c:pt idx="21">
                  <c:v>21</c:v>
                </c:pt>
                <c:pt idx="22">
                  <c:v>21</c:v>
                </c:pt>
                <c:pt idx="23">
                  <c:v>24</c:v>
                </c:pt>
                <c:pt idx="24">
                  <c:v>21</c:v>
                </c:pt>
                <c:pt idx="25">
                  <c:v>24</c:v>
                </c:pt>
                <c:pt idx="26">
                  <c:v>13</c:v>
                </c:pt>
                <c:pt idx="27">
                  <c:v>24</c:v>
                </c:pt>
                <c:pt idx="28">
                  <c:v>10</c:v>
                </c:pt>
                <c:pt idx="29">
                  <c:v>10</c:v>
                </c:pt>
                <c:pt idx="30">
                  <c:v>24</c:v>
                </c:pt>
                <c:pt idx="31">
                  <c:v>17</c:v>
                </c:pt>
                <c:pt idx="32">
                  <c:v>27</c:v>
                </c:pt>
                <c:pt idx="33">
                  <c:v>24</c:v>
                </c:pt>
                <c:pt idx="34">
                  <c:v>27</c:v>
                </c:pt>
                <c:pt idx="35">
                  <c:v>7</c:v>
                </c:pt>
              </c:numCache>
            </c:numRef>
          </c:yVal>
          <c:smooth val="1"/>
          <c:extLst>
            <c:ext xmlns:c16="http://schemas.microsoft.com/office/drawing/2014/chart" uri="{C3380CC4-5D6E-409C-BE32-E72D297353CC}">
              <c16:uniqueId val="{00000000-0A6B-4FDA-8A06-862B3FFF5AD0}"/>
            </c:ext>
          </c:extLst>
        </c:ser>
        <c:ser>
          <c:idx val="1"/>
          <c:order val="1"/>
          <c:tx>
            <c:strRef>
              <c:f>'Analyze-ValidationCyTVsApprova'!$C$13</c:f>
              <c:strCache>
                <c:ptCount val="1"/>
                <c:pt idx="0">
                  <c:v>Mgr Validation Time (hrs)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'Analyze-ValidationCyTVsApprova'!$A$14:$A$49</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xVal>
          <c:yVal>
            <c:numRef>
              <c:f>'Analyze-ValidationCyTVsApprova'!$C$14:$C$49</c:f>
              <c:numCache>
                <c:formatCode>0.00</c:formatCode>
                <c:ptCount val="36"/>
                <c:pt idx="0">
                  <c:v>3</c:v>
                </c:pt>
                <c:pt idx="1">
                  <c:v>4</c:v>
                </c:pt>
                <c:pt idx="2">
                  <c:v>2</c:v>
                </c:pt>
                <c:pt idx="3">
                  <c:v>3</c:v>
                </c:pt>
                <c:pt idx="4">
                  <c:v>3</c:v>
                </c:pt>
                <c:pt idx="5">
                  <c:v>2</c:v>
                </c:pt>
                <c:pt idx="6">
                  <c:v>4</c:v>
                </c:pt>
                <c:pt idx="7">
                  <c:v>3</c:v>
                </c:pt>
                <c:pt idx="8">
                  <c:v>3</c:v>
                </c:pt>
                <c:pt idx="9">
                  <c:v>3</c:v>
                </c:pt>
                <c:pt idx="10">
                  <c:v>3</c:v>
                </c:pt>
                <c:pt idx="11">
                  <c:v>3</c:v>
                </c:pt>
                <c:pt idx="12">
                  <c:v>3</c:v>
                </c:pt>
                <c:pt idx="13">
                  <c:v>4</c:v>
                </c:pt>
                <c:pt idx="14">
                  <c:v>2</c:v>
                </c:pt>
                <c:pt idx="15">
                  <c:v>4</c:v>
                </c:pt>
                <c:pt idx="16">
                  <c:v>4</c:v>
                </c:pt>
                <c:pt idx="17">
                  <c:v>1</c:v>
                </c:pt>
                <c:pt idx="18">
                  <c:v>4</c:v>
                </c:pt>
                <c:pt idx="19">
                  <c:v>4</c:v>
                </c:pt>
                <c:pt idx="20">
                  <c:v>1</c:v>
                </c:pt>
                <c:pt idx="21">
                  <c:v>4</c:v>
                </c:pt>
                <c:pt idx="22">
                  <c:v>3</c:v>
                </c:pt>
                <c:pt idx="23">
                  <c:v>2</c:v>
                </c:pt>
                <c:pt idx="24">
                  <c:v>5</c:v>
                </c:pt>
                <c:pt idx="25">
                  <c:v>3</c:v>
                </c:pt>
                <c:pt idx="26">
                  <c:v>1</c:v>
                </c:pt>
                <c:pt idx="27">
                  <c:v>5</c:v>
                </c:pt>
                <c:pt idx="28">
                  <c:v>2</c:v>
                </c:pt>
                <c:pt idx="29">
                  <c:v>1</c:v>
                </c:pt>
                <c:pt idx="30">
                  <c:v>5</c:v>
                </c:pt>
                <c:pt idx="31">
                  <c:v>2</c:v>
                </c:pt>
                <c:pt idx="32">
                  <c:v>1</c:v>
                </c:pt>
                <c:pt idx="33">
                  <c:v>3</c:v>
                </c:pt>
                <c:pt idx="34">
                  <c:v>3</c:v>
                </c:pt>
                <c:pt idx="35">
                  <c:v>2</c:v>
                </c:pt>
              </c:numCache>
            </c:numRef>
          </c:yVal>
          <c:smooth val="1"/>
          <c:extLst>
            <c:ext xmlns:c16="http://schemas.microsoft.com/office/drawing/2014/chart" uri="{C3380CC4-5D6E-409C-BE32-E72D297353CC}">
              <c16:uniqueId val="{00000001-0A6B-4FDA-8A06-862B3FFF5AD0}"/>
            </c:ext>
          </c:extLst>
        </c:ser>
        <c:ser>
          <c:idx val="2"/>
          <c:order val="2"/>
          <c:tx>
            <c:strRef>
              <c:f>'Analyze-ValidationCyTVsApprova'!$D$13</c:f>
              <c:strCache>
                <c:ptCount val="1"/>
                <c:pt idx="0">
                  <c:v>Team Validation Meetings Time (hrs)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'Analyze-ValidationCyTVsApprova'!$A$14:$A$49</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xVal>
          <c:yVal>
            <c:numRef>
              <c:f>'Analyze-ValidationCyTVsApprova'!$D$14:$D$49</c:f>
              <c:numCache>
                <c:formatCode>0.00</c:formatCode>
                <c:ptCount val="36"/>
                <c:pt idx="0">
                  <c:v>3</c:v>
                </c:pt>
                <c:pt idx="1">
                  <c:v>4</c:v>
                </c:pt>
                <c:pt idx="2">
                  <c:v>3</c:v>
                </c:pt>
                <c:pt idx="3">
                  <c:v>4</c:v>
                </c:pt>
                <c:pt idx="4">
                  <c:v>4</c:v>
                </c:pt>
                <c:pt idx="5">
                  <c:v>3</c:v>
                </c:pt>
                <c:pt idx="6">
                  <c:v>4</c:v>
                </c:pt>
                <c:pt idx="7">
                  <c:v>1</c:v>
                </c:pt>
                <c:pt idx="8">
                  <c:v>1</c:v>
                </c:pt>
                <c:pt idx="9">
                  <c:v>3</c:v>
                </c:pt>
                <c:pt idx="10">
                  <c:v>3</c:v>
                </c:pt>
                <c:pt idx="11">
                  <c:v>1.5</c:v>
                </c:pt>
                <c:pt idx="12">
                  <c:v>3</c:v>
                </c:pt>
                <c:pt idx="13">
                  <c:v>4</c:v>
                </c:pt>
                <c:pt idx="14">
                  <c:v>1</c:v>
                </c:pt>
                <c:pt idx="15">
                  <c:v>3</c:v>
                </c:pt>
                <c:pt idx="16">
                  <c:v>4</c:v>
                </c:pt>
                <c:pt idx="17">
                  <c:v>1</c:v>
                </c:pt>
                <c:pt idx="18">
                  <c:v>4</c:v>
                </c:pt>
                <c:pt idx="19">
                  <c:v>4</c:v>
                </c:pt>
                <c:pt idx="20">
                  <c:v>1</c:v>
                </c:pt>
                <c:pt idx="21">
                  <c:v>4</c:v>
                </c:pt>
                <c:pt idx="22">
                  <c:v>1</c:v>
                </c:pt>
                <c:pt idx="23">
                  <c:v>1</c:v>
                </c:pt>
                <c:pt idx="24">
                  <c:v>4</c:v>
                </c:pt>
                <c:pt idx="25">
                  <c:v>1</c:v>
                </c:pt>
                <c:pt idx="26">
                  <c:v>1</c:v>
                </c:pt>
                <c:pt idx="27">
                  <c:v>4</c:v>
                </c:pt>
                <c:pt idx="28">
                  <c:v>1</c:v>
                </c:pt>
                <c:pt idx="29">
                  <c:v>1</c:v>
                </c:pt>
                <c:pt idx="30">
                  <c:v>4</c:v>
                </c:pt>
                <c:pt idx="31">
                  <c:v>1</c:v>
                </c:pt>
                <c:pt idx="32">
                  <c:v>2</c:v>
                </c:pt>
                <c:pt idx="33">
                  <c:v>4</c:v>
                </c:pt>
                <c:pt idx="34">
                  <c:v>2</c:v>
                </c:pt>
                <c:pt idx="35">
                  <c:v>1</c:v>
                </c:pt>
              </c:numCache>
            </c:numRef>
          </c:yVal>
          <c:smooth val="1"/>
          <c:extLst>
            <c:ext xmlns:c16="http://schemas.microsoft.com/office/drawing/2014/chart" uri="{C3380CC4-5D6E-409C-BE32-E72D297353CC}">
              <c16:uniqueId val="{00000002-0A6B-4FDA-8A06-862B3FFF5AD0}"/>
            </c:ext>
          </c:extLst>
        </c:ser>
        <c:dLbls>
          <c:showLegendKey val="0"/>
          <c:showVal val="0"/>
          <c:showCatName val="0"/>
          <c:showSerName val="0"/>
          <c:showPercent val="0"/>
          <c:showBubbleSize val="0"/>
        </c:dLbls>
        <c:axId val="838522344"/>
        <c:axId val="838523328"/>
      </c:scatterChart>
      <c:valAx>
        <c:axId val="838522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Sprint</a:t>
                </a:r>
                <a:r>
                  <a:rPr lang="en-US" baseline="0"/>
                  <a:t> PO Invoice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23328"/>
        <c:crosses val="autoZero"/>
        <c:crossBetween val="midCat"/>
      </c:valAx>
      <c:valAx>
        <c:axId val="838523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a:t>
                </a:r>
                <a:r>
                  <a:rPr lang="en-US" baseline="0"/>
                  <a:t> Invoice Approval Cycle Time (days)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22344"/>
        <c:crosses val="autoZero"/>
        <c:crossBetween val="midCat"/>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2018 H1 - PO Invoices, User Stories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'Measure-SoftTools'!$B$50:$B$51</c:f>
              <c:strCache>
                <c:ptCount val="2"/>
                <c:pt idx="0">
                  <c:v>PO ID</c:v>
                </c:pt>
                <c:pt idx="1">
                  <c:v>User Stories Count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'Measure-SoftTools'!$A$52:$A$87</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cat>
          <c:val>
            <c:numRef>
              <c:f>'Measure-SoftTools'!$B$52:$B$87</c:f>
              <c:numCache>
                <c:formatCode>0</c:formatCode>
                <c:ptCount val="36"/>
                <c:pt idx="0">
                  <c:v>10</c:v>
                </c:pt>
                <c:pt idx="1">
                  <c:v>15</c:v>
                </c:pt>
                <c:pt idx="2">
                  <c:v>8</c:v>
                </c:pt>
                <c:pt idx="3">
                  <c:v>14</c:v>
                </c:pt>
                <c:pt idx="4">
                  <c:v>15</c:v>
                </c:pt>
                <c:pt idx="5">
                  <c:v>6</c:v>
                </c:pt>
                <c:pt idx="6">
                  <c:v>15</c:v>
                </c:pt>
                <c:pt idx="7">
                  <c:v>15</c:v>
                </c:pt>
                <c:pt idx="8">
                  <c:v>10</c:v>
                </c:pt>
                <c:pt idx="9">
                  <c:v>11</c:v>
                </c:pt>
                <c:pt idx="10">
                  <c:v>11</c:v>
                </c:pt>
                <c:pt idx="11">
                  <c:v>13</c:v>
                </c:pt>
                <c:pt idx="12">
                  <c:v>8</c:v>
                </c:pt>
                <c:pt idx="13">
                  <c:v>13</c:v>
                </c:pt>
                <c:pt idx="14">
                  <c:v>8</c:v>
                </c:pt>
                <c:pt idx="15">
                  <c:v>9</c:v>
                </c:pt>
                <c:pt idx="16">
                  <c:v>11</c:v>
                </c:pt>
                <c:pt idx="17">
                  <c:v>6</c:v>
                </c:pt>
                <c:pt idx="18">
                  <c:v>10</c:v>
                </c:pt>
                <c:pt idx="19">
                  <c:v>11</c:v>
                </c:pt>
                <c:pt idx="20">
                  <c:v>5</c:v>
                </c:pt>
                <c:pt idx="21">
                  <c:v>10</c:v>
                </c:pt>
                <c:pt idx="22">
                  <c:v>11</c:v>
                </c:pt>
                <c:pt idx="23">
                  <c:v>7</c:v>
                </c:pt>
                <c:pt idx="24">
                  <c:v>14</c:v>
                </c:pt>
                <c:pt idx="25">
                  <c:v>10</c:v>
                </c:pt>
                <c:pt idx="26">
                  <c:v>5</c:v>
                </c:pt>
                <c:pt idx="27">
                  <c:v>15</c:v>
                </c:pt>
                <c:pt idx="28">
                  <c:v>4</c:v>
                </c:pt>
                <c:pt idx="29">
                  <c:v>5</c:v>
                </c:pt>
                <c:pt idx="30">
                  <c:v>15</c:v>
                </c:pt>
                <c:pt idx="31">
                  <c:v>6</c:v>
                </c:pt>
                <c:pt idx="32">
                  <c:v>6</c:v>
                </c:pt>
                <c:pt idx="33">
                  <c:v>9</c:v>
                </c:pt>
                <c:pt idx="34">
                  <c:v>7</c:v>
                </c:pt>
                <c:pt idx="35">
                  <c:v>8</c:v>
                </c:pt>
              </c:numCache>
            </c:numRef>
          </c:val>
          <c:extLst>
            <c:ext xmlns:c16="http://schemas.microsoft.com/office/drawing/2014/chart" uri="{C3380CC4-5D6E-409C-BE32-E72D297353CC}">
              <c16:uniqueId val="{00000000-E7A7-482D-94D5-3EEEAD2C2670}"/>
            </c:ext>
          </c:extLst>
        </c:ser>
        <c:dLbls>
          <c:showLegendKey val="0"/>
          <c:showVal val="1"/>
          <c:showCatName val="0"/>
          <c:showSerName val="0"/>
          <c:showPercent val="0"/>
          <c:showBubbleSize val="0"/>
        </c:dLbls>
        <c:gapWidth val="150"/>
        <c:shape val="box"/>
        <c:axId val="1016582440"/>
        <c:axId val="1016581128"/>
        <c:axId val="0"/>
      </c:bar3DChart>
      <c:catAx>
        <c:axId val="1016582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Sprint</a:t>
                </a:r>
                <a:r>
                  <a:rPr lang="en-US" baseline="0"/>
                  <a:t> PO Invoices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6581128"/>
        <c:crosses val="autoZero"/>
        <c:auto val="1"/>
        <c:lblAlgn val="ctr"/>
        <c:lblOffset val="100"/>
        <c:noMultiLvlLbl val="0"/>
      </c:catAx>
      <c:valAx>
        <c:axId val="10165811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a:t>
                </a:r>
                <a:r>
                  <a:rPr lang="en-US" baseline="0"/>
                  <a:t> of Sprint User Stories Complete per Sprint PO Invoice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6582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2018 H1, PO Invoice User Story Count</a:t>
            </a:r>
          </a:p>
          <a:p>
            <a:pPr>
              <a:defRPr sz="1400" b="0" i="0" u="none" strike="noStrike" kern="1200" cap="none" spc="20" baseline="0">
                <a:solidFill>
                  <a:schemeClr val="dk1">
                    <a:lumMod val="50000"/>
                    <a:lumOff val="50000"/>
                  </a:schemeClr>
                </a:solidFill>
                <a:latin typeface="+mn-lt"/>
                <a:ea typeface="+mn-ea"/>
                <a:cs typeface="+mn-cs"/>
              </a:defRPr>
            </a:pPr>
            <a:r>
              <a:rPr lang="en-US"/>
              <a:t>Simple Linear Regression Analysis</a:t>
            </a:r>
          </a:p>
        </c:rich>
      </c:tx>
      <c:overlay val="0"/>
      <c:spPr>
        <a:noFill/>
        <a:ln>
          <a:noFill/>
        </a:ln>
        <a:effectLst/>
      </c:spPr>
    </c:title>
    <c:autoTitleDeleted val="0"/>
    <c:plotArea>
      <c:layout/>
      <c:scatterChart>
        <c:scatterStyle val="lineMarker"/>
        <c:varyColors val="0"/>
        <c:ser>
          <c:idx val="0"/>
          <c:order val="0"/>
          <c:tx>
            <c:strRef>
              <c:f>'Analyze-UserStoryVsApprovalCyT'!$C$13</c:f>
              <c:strCache>
                <c:ptCount val="1"/>
                <c:pt idx="0">
                  <c:v>User Stories Count</c:v>
                </c:pt>
              </c:strCache>
            </c:strRef>
          </c:tx>
          <c:spPr>
            <a:ln w="25400" cap="flat" cmpd="sng" algn="ctr">
              <a:no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trendline>
            <c:spPr>
              <a:ln w="9525" cap="rnd">
                <a:solidFill>
                  <a:schemeClr val="accent1"/>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'Analyze-UserStoryVsApprovalCyT'!$B$14:$B$49</c:f>
              <c:numCache>
                <c:formatCode>General</c:formatCode>
                <c:ptCount val="36"/>
                <c:pt idx="0">
                  <c:v>29</c:v>
                </c:pt>
                <c:pt idx="1">
                  <c:v>30</c:v>
                </c:pt>
                <c:pt idx="2">
                  <c:v>30</c:v>
                </c:pt>
                <c:pt idx="3">
                  <c:v>24</c:v>
                </c:pt>
                <c:pt idx="4">
                  <c:v>23</c:v>
                </c:pt>
                <c:pt idx="5">
                  <c:v>24</c:v>
                </c:pt>
                <c:pt idx="6">
                  <c:v>23</c:v>
                </c:pt>
                <c:pt idx="7">
                  <c:v>23</c:v>
                </c:pt>
                <c:pt idx="8">
                  <c:v>20</c:v>
                </c:pt>
                <c:pt idx="9">
                  <c:v>20</c:v>
                </c:pt>
                <c:pt idx="10">
                  <c:v>20</c:v>
                </c:pt>
                <c:pt idx="11">
                  <c:v>20</c:v>
                </c:pt>
                <c:pt idx="12">
                  <c:v>24</c:v>
                </c:pt>
                <c:pt idx="13">
                  <c:v>20</c:v>
                </c:pt>
                <c:pt idx="14">
                  <c:v>24</c:v>
                </c:pt>
                <c:pt idx="15">
                  <c:v>20</c:v>
                </c:pt>
                <c:pt idx="16">
                  <c:v>24</c:v>
                </c:pt>
                <c:pt idx="17">
                  <c:v>10</c:v>
                </c:pt>
                <c:pt idx="18">
                  <c:v>21</c:v>
                </c:pt>
                <c:pt idx="19">
                  <c:v>21</c:v>
                </c:pt>
                <c:pt idx="20">
                  <c:v>17</c:v>
                </c:pt>
                <c:pt idx="21">
                  <c:v>21</c:v>
                </c:pt>
                <c:pt idx="22">
                  <c:v>21</c:v>
                </c:pt>
                <c:pt idx="23">
                  <c:v>24</c:v>
                </c:pt>
                <c:pt idx="24">
                  <c:v>21</c:v>
                </c:pt>
                <c:pt idx="25">
                  <c:v>24</c:v>
                </c:pt>
                <c:pt idx="26">
                  <c:v>13</c:v>
                </c:pt>
                <c:pt idx="27">
                  <c:v>24</c:v>
                </c:pt>
                <c:pt idx="28">
                  <c:v>10</c:v>
                </c:pt>
                <c:pt idx="29">
                  <c:v>10</c:v>
                </c:pt>
                <c:pt idx="30">
                  <c:v>24</c:v>
                </c:pt>
                <c:pt idx="31">
                  <c:v>17</c:v>
                </c:pt>
                <c:pt idx="32">
                  <c:v>27</c:v>
                </c:pt>
                <c:pt idx="33">
                  <c:v>24</c:v>
                </c:pt>
                <c:pt idx="34">
                  <c:v>27</c:v>
                </c:pt>
                <c:pt idx="35">
                  <c:v>7</c:v>
                </c:pt>
              </c:numCache>
            </c:numRef>
          </c:xVal>
          <c:yVal>
            <c:numRef>
              <c:f>'Analyze-UserStoryVsApprovalCyT'!$C$14:$C$49</c:f>
              <c:numCache>
                <c:formatCode>0</c:formatCode>
                <c:ptCount val="36"/>
                <c:pt idx="0">
                  <c:v>10</c:v>
                </c:pt>
                <c:pt idx="1">
                  <c:v>15</c:v>
                </c:pt>
                <c:pt idx="2">
                  <c:v>8</c:v>
                </c:pt>
                <c:pt idx="3">
                  <c:v>14</c:v>
                </c:pt>
                <c:pt idx="4">
                  <c:v>15</c:v>
                </c:pt>
                <c:pt idx="5">
                  <c:v>6</c:v>
                </c:pt>
                <c:pt idx="6">
                  <c:v>15</c:v>
                </c:pt>
                <c:pt idx="7">
                  <c:v>15</c:v>
                </c:pt>
                <c:pt idx="8">
                  <c:v>10</c:v>
                </c:pt>
                <c:pt idx="9">
                  <c:v>11</c:v>
                </c:pt>
                <c:pt idx="10">
                  <c:v>11</c:v>
                </c:pt>
                <c:pt idx="11">
                  <c:v>13</c:v>
                </c:pt>
                <c:pt idx="12">
                  <c:v>8</c:v>
                </c:pt>
                <c:pt idx="13">
                  <c:v>13</c:v>
                </c:pt>
                <c:pt idx="14">
                  <c:v>8</c:v>
                </c:pt>
                <c:pt idx="15">
                  <c:v>9</c:v>
                </c:pt>
                <c:pt idx="16">
                  <c:v>11</c:v>
                </c:pt>
                <c:pt idx="17">
                  <c:v>6</c:v>
                </c:pt>
                <c:pt idx="18">
                  <c:v>10</c:v>
                </c:pt>
                <c:pt idx="19">
                  <c:v>11</c:v>
                </c:pt>
                <c:pt idx="20">
                  <c:v>5</c:v>
                </c:pt>
                <c:pt idx="21">
                  <c:v>10</c:v>
                </c:pt>
                <c:pt idx="22">
                  <c:v>11</c:v>
                </c:pt>
                <c:pt idx="23">
                  <c:v>7</c:v>
                </c:pt>
                <c:pt idx="24">
                  <c:v>14</c:v>
                </c:pt>
                <c:pt idx="25">
                  <c:v>10</c:v>
                </c:pt>
                <c:pt idx="26">
                  <c:v>5</c:v>
                </c:pt>
                <c:pt idx="27">
                  <c:v>15</c:v>
                </c:pt>
                <c:pt idx="28">
                  <c:v>4</c:v>
                </c:pt>
                <c:pt idx="29">
                  <c:v>5</c:v>
                </c:pt>
                <c:pt idx="30">
                  <c:v>15</c:v>
                </c:pt>
                <c:pt idx="31">
                  <c:v>6</c:v>
                </c:pt>
                <c:pt idx="32">
                  <c:v>6</c:v>
                </c:pt>
                <c:pt idx="33">
                  <c:v>9</c:v>
                </c:pt>
                <c:pt idx="34">
                  <c:v>7</c:v>
                </c:pt>
                <c:pt idx="35">
                  <c:v>8</c:v>
                </c:pt>
              </c:numCache>
            </c:numRef>
          </c:yVal>
          <c:smooth val="0"/>
          <c:extLst>
            <c:ext xmlns:c16="http://schemas.microsoft.com/office/drawing/2014/chart" uri="{C3380CC4-5D6E-409C-BE32-E72D297353CC}">
              <c16:uniqueId val="{00000000-1CB5-46F2-BF34-07B17508A832}"/>
            </c:ext>
          </c:extLst>
        </c:ser>
        <c:dLbls>
          <c:showLegendKey val="0"/>
          <c:showVal val="0"/>
          <c:showCatName val="0"/>
          <c:showSerName val="0"/>
          <c:showPercent val="0"/>
          <c:showBubbleSize val="0"/>
        </c:dLbls>
        <c:axId val="699761856"/>
        <c:axId val="699765792"/>
      </c:scatterChart>
      <c:valAx>
        <c:axId val="69976185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PO Invoice Approval Cycle Time (days)</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99765792"/>
        <c:crosses val="autoZero"/>
        <c:crossBetween val="midCat"/>
      </c:valAx>
      <c:valAx>
        <c:axId val="69976579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Number of User Stories per PO Invoice</a:t>
                </a:r>
              </a:p>
            </c:rich>
          </c:tx>
          <c:overlay val="0"/>
          <c:spPr>
            <a:noFill/>
            <a:ln>
              <a:noFill/>
            </a:ln>
            <a:effectLst/>
          </c:sp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99761856"/>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0" i="0" baseline="0">
                <a:effectLst/>
              </a:rPr>
              <a:t>2018 H1, PO Invoice Unique Project Count</a:t>
            </a:r>
            <a:endParaRPr lang="en-US">
              <a:effectLst/>
            </a:endParaRPr>
          </a:p>
          <a:p>
            <a:pPr>
              <a:defRPr sz="1400" b="0" i="0" u="none" strike="noStrike" kern="1200" cap="none" spc="20" baseline="0">
                <a:solidFill>
                  <a:schemeClr val="dk1">
                    <a:lumMod val="50000"/>
                    <a:lumOff val="50000"/>
                  </a:schemeClr>
                </a:solidFill>
                <a:latin typeface="+mn-lt"/>
                <a:ea typeface="+mn-ea"/>
                <a:cs typeface="+mn-cs"/>
              </a:defRPr>
            </a:pPr>
            <a:r>
              <a:rPr lang="en-US" sz="1800" b="0" i="0" baseline="0">
                <a:effectLst/>
              </a:rPr>
              <a:t>Simple Linear Regression Analysis</a:t>
            </a:r>
            <a:endParaRPr lang="en-US">
              <a:effectLst/>
            </a:endParaRPr>
          </a:p>
        </c:rich>
      </c:tx>
      <c:overlay val="0"/>
      <c:spPr>
        <a:noFill/>
        <a:ln>
          <a:noFill/>
        </a:ln>
        <a:effectLst/>
      </c:spPr>
    </c:title>
    <c:autoTitleDeleted val="0"/>
    <c:plotArea>
      <c:layout/>
      <c:scatterChart>
        <c:scatterStyle val="lineMarker"/>
        <c:varyColors val="0"/>
        <c:ser>
          <c:idx val="0"/>
          <c:order val="0"/>
          <c:tx>
            <c:strRef>
              <c:f>'Analyze-UniquePrjVsApprovalCyT'!$C$13</c:f>
              <c:strCache>
                <c:ptCount val="1"/>
                <c:pt idx="0">
                  <c:v>Unique Project Count</c:v>
                </c:pt>
              </c:strCache>
            </c:strRef>
          </c:tx>
          <c:spPr>
            <a:ln w="25400" cap="flat" cmpd="sng" algn="ctr">
              <a:no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trendline>
            <c:spPr>
              <a:ln w="9525" cap="rnd">
                <a:solidFill>
                  <a:schemeClr val="accent1"/>
                </a:solidFill>
              </a:ln>
              <a:effectLst/>
            </c:spPr>
            <c:trendlineType val="linear"/>
            <c:dispRSqr val="1"/>
            <c:dispEq val="1"/>
            <c:trendlineLbl>
              <c:layout>
                <c:manualLayout>
                  <c:x val="8.9393108372664176E-2"/>
                  <c:y val="-0.227495313085864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'Analyze-UniquePrjVsApprovalCyT'!$B$14:$B$49</c:f>
              <c:numCache>
                <c:formatCode>General</c:formatCode>
                <c:ptCount val="36"/>
                <c:pt idx="0">
                  <c:v>29</c:v>
                </c:pt>
                <c:pt idx="1">
                  <c:v>30</c:v>
                </c:pt>
                <c:pt idx="2">
                  <c:v>30</c:v>
                </c:pt>
                <c:pt idx="3">
                  <c:v>24</c:v>
                </c:pt>
                <c:pt idx="4">
                  <c:v>23</c:v>
                </c:pt>
                <c:pt idx="5">
                  <c:v>24</c:v>
                </c:pt>
                <c:pt idx="6">
                  <c:v>23</c:v>
                </c:pt>
                <c:pt idx="7">
                  <c:v>23</c:v>
                </c:pt>
                <c:pt idx="8">
                  <c:v>20</c:v>
                </c:pt>
                <c:pt idx="9">
                  <c:v>20</c:v>
                </c:pt>
                <c:pt idx="10">
                  <c:v>20</c:v>
                </c:pt>
                <c:pt idx="11">
                  <c:v>20</c:v>
                </c:pt>
                <c:pt idx="12">
                  <c:v>24</c:v>
                </c:pt>
                <c:pt idx="13">
                  <c:v>20</c:v>
                </c:pt>
                <c:pt idx="14">
                  <c:v>24</c:v>
                </c:pt>
                <c:pt idx="15">
                  <c:v>20</c:v>
                </c:pt>
                <c:pt idx="16">
                  <c:v>24</c:v>
                </c:pt>
                <c:pt idx="17">
                  <c:v>10</c:v>
                </c:pt>
                <c:pt idx="18">
                  <c:v>21</c:v>
                </c:pt>
                <c:pt idx="19">
                  <c:v>21</c:v>
                </c:pt>
                <c:pt idx="20">
                  <c:v>17</c:v>
                </c:pt>
                <c:pt idx="21">
                  <c:v>21</c:v>
                </c:pt>
                <c:pt idx="22">
                  <c:v>21</c:v>
                </c:pt>
                <c:pt idx="23">
                  <c:v>24</c:v>
                </c:pt>
                <c:pt idx="24">
                  <c:v>21</c:v>
                </c:pt>
                <c:pt idx="25">
                  <c:v>24</c:v>
                </c:pt>
                <c:pt idx="26">
                  <c:v>13</c:v>
                </c:pt>
                <c:pt idx="27">
                  <c:v>24</c:v>
                </c:pt>
                <c:pt idx="28">
                  <c:v>10</c:v>
                </c:pt>
                <c:pt idx="29">
                  <c:v>10</c:v>
                </c:pt>
                <c:pt idx="30">
                  <c:v>24</c:v>
                </c:pt>
                <c:pt idx="31">
                  <c:v>17</c:v>
                </c:pt>
                <c:pt idx="32">
                  <c:v>27</c:v>
                </c:pt>
                <c:pt idx="33">
                  <c:v>24</c:v>
                </c:pt>
                <c:pt idx="34">
                  <c:v>27</c:v>
                </c:pt>
                <c:pt idx="35">
                  <c:v>7</c:v>
                </c:pt>
              </c:numCache>
            </c:numRef>
          </c:xVal>
          <c:yVal>
            <c:numRef>
              <c:f>'Analyze-UniquePrjVsApprovalCyT'!$C$14:$C$49</c:f>
              <c:numCache>
                <c:formatCode>0</c:formatCode>
                <c:ptCount val="36"/>
                <c:pt idx="0">
                  <c:v>2</c:v>
                </c:pt>
                <c:pt idx="1">
                  <c:v>2</c:v>
                </c:pt>
                <c:pt idx="2">
                  <c:v>2</c:v>
                </c:pt>
                <c:pt idx="3">
                  <c:v>3</c:v>
                </c:pt>
                <c:pt idx="4">
                  <c:v>2</c:v>
                </c:pt>
                <c:pt idx="5">
                  <c:v>4</c:v>
                </c:pt>
                <c:pt idx="6">
                  <c:v>3</c:v>
                </c:pt>
                <c:pt idx="7">
                  <c:v>2</c:v>
                </c:pt>
                <c:pt idx="8">
                  <c:v>4</c:v>
                </c:pt>
                <c:pt idx="9">
                  <c:v>3</c:v>
                </c:pt>
                <c:pt idx="10">
                  <c:v>2</c:v>
                </c:pt>
                <c:pt idx="11">
                  <c:v>1</c:v>
                </c:pt>
                <c:pt idx="12">
                  <c:v>2</c:v>
                </c:pt>
                <c:pt idx="13">
                  <c:v>2</c:v>
                </c:pt>
                <c:pt idx="14">
                  <c:v>1</c:v>
                </c:pt>
                <c:pt idx="15">
                  <c:v>4</c:v>
                </c:pt>
                <c:pt idx="16">
                  <c:v>2</c:v>
                </c:pt>
                <c:pt idx="17">
                  <c:v>1</c:v>
                </c:pt>
                <c:pt idx="18">
                  <c:v>5</c:v>
                </c:pt>
                <c:pt idx="19">
                  <c:v>2</c:v>
                </c:pt>
                <c:pt idx="20">
                  <c:v>1</c:v>
                </c:pt>
                <c:pt idx="21">
                  <c:v>3</c:v>
                </c:pt>
                <c:pt idx="22">
                  <c:v>1</c:v>
                </c:pt>
                <c:pt idx="23">
                  <c:v>2</c:v>
                </c:pt>
                <c:pt idx="24">
                  <c:v>4</c:v>
                </c:pt>
                <c:pt idx="25">
                  <c:v>1</c:v>
                </c:pt>
                <c:pt idx="26">
                  <c:v>2</c:v>
                </c:pt>
                <c:pt idx="27">
                  <c:v>4</c:v>
                </c:pt>
                <c:pt idx="28">
                  <c:v>1</c:v>
                </c:pt>
                <c:pt idx="29">
                  <c:v>2</c:v>
                </c:pt>
                <c:pt idx="30">
                  <c:v>4</c:v>
                </c:pt>
                <c:pt idx="31">
                  <c:v>1</c:v>
                </c:pt>
                <c:pt idx="32">
                  <c:v>2</c:v>
                </c:pt>
                <c:pt idx="33">
                  <c:v>3</c:v>
                </c:pt>
                <c:pt idx="34">
                  <c:v>1</c:v>
                </c:pt>
                <c:pt idx="35">
                  <c:v>1</c:v>
                </c:pt>
              </c:numCache>
            </c:numRef>
          </c:yVal>
          <c:smooth val="0"/>
          <c:extLst>
            <c:ext xmlns:c16="http://schemas.microsoft.com/office/drawing/2014/chart" uri="{C3380CC4-5D6E-409C-BE32-E72D297353CC}">
              <c16:uniqueId val="{00000000-5E54-4546-A755-15A4A83CFCE4}"/>
            </c:ext>
          </c:extLst>
        </c:ser>
        <c:dLbls>
          <c:showLegendKey val="0"/>
          <c:showVal val="0"/>
          <c:showCatName val="0"/>
          <c:showSerName val="0"/>
          <c:showPercent val="0"/>
          <c:showBubbleSize val="0"/>
        </c:dLbls>
        <c:axId val="696486200"/>
        <c:axId val="699768088"/>
      </c:scatterChart>
      <c:valAx>
        <c:axId val="6964862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PO Invoice Approval Cycle Time (days)</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99768088"/>
        <c:crosses val="autoZero"/>
        <c:crossBetween val="midCat"/>
      </c:valAx>
      <c:valAx>
        <c:axId val="6997680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Number</a:t>
                </a:r>
                <a:r>
                  <a:rPr lang="en-US" baseline="0"/>
                  <a:t> of PO Invoice Unique Projects</a:t>
                </a:r>
                <a:endParaRPr lang="en-US"/>
              </a:p>
            </c:rich>
          </c:tx>
          <c:overlay val="0"/>
          <c:spPr>
            <a:noFill/>
            <a:ln>
              <a:noFill/>
            </a:ln>
            <a:effectLst/>
          </c:sp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96486200"/>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H1, PO</a:t>
            </a:r>
            <a:r>
              <a:rPr lang="en-US" baseline="0"/>
              <a:t> Invoice Aproval Cycle Time (mR)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Control!$F$3</c:f>
              <c:strCache>
                <c:ptCount val="1"/>
                <c:pt idx="0">
                  <c:v>mR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Control!$F$4:$F$39</c:f>
              <c:numCache>
                <c:formatCode>General</c:formatCode>
                <c:ptCount val="36"/>
                <c:pt idx="1">
                  <c:v>1</c:v>
                </c:pt>
                <c:pt idx="2">
                  <c:v>0</c:v>
                </c:pt>
                <c:pt idx="3">
                  <c:v>6</c:v>
                </c:pt>
                <c:pt idx="4">
                  <c:v>1</c:v>
                </c:pt>
                <c:pt idx="5">
                  <c:v>1</c:v>
                </c:pt>
                <c:pt idx="6">
                  <c:v>1</c:v>
                </c:pt>
                <c:pt idx="7">
                  <c:v>0</c:v>
                </c:pt>
                <c:pt idx="8">
                  <c:v>3</c:v>
                </c:pt>
                <c:pt idx="9">
                  <c:v>0</c:v>
                </c:pt>
                <c:pt idx="10">
                  <c:v>0</c:v>
                </c:pt>
                <c:pt idx="11">
                  <c:v>0</c:v>
                </c:pt>
                <c:pt idx="12">
                  <c:v>4</c:v>
                </c:pt>
                <c:pt idx="13">
                  <c:v>4</c:v>
                </c:pt>
                <c:pt idx="14">
                  <c:v>4</c:v>
                </c:pt>
                <c:pt idx="15">
                  <c:v>4</c:v>
                </c:pt>
                <c:pt idx="16">
                  <c:v>4</c:v>
                </c:pt>
                <c:pt idx="17">
                  <c:v>14</c:v>
                </c:pt>
                <c:pt idx="18">
                  <c:v>11</c:v>
                </c:pt>
                <c:pt idx="19">
                  <c:v>0</c:v>
                </c:pt>
                <c:pt idx="20">
                  <c:v>4</c:v>
                </c:pt>
                <c:pt idx="21">
                  <c:v>4</c:v>
                </c:pt>
                <c:pt idx="22">
                  <c:v>0</c:v>
                </c:pt>
                <c:pt idx="23">
                  <c:v>3</c:v>
                </c:pt>
                <c:pt idx="24">
                  <c:v>3</c:v>
                </c:pt>
                <c:pt idx="25">
                  <c:v>3</c:v>
                </c:pt>
                <c:pt idx="26">
                  <c:v>11</c:v>
                </c:pt>
                <c:pt idx="27">
                  <c:v>11</c:v>
                </c:pt>
                <c:pt idx="28">
                  <c:v>14</c:v>
                </c:pt>
                <c:pt idx="29">
                  <c:v>0</c:v>
                </c:pt>
                <c:pt idx="30">
                  <c:v>14</c:v>
                </c:pt>
                <c:pt idx="31">
                  <c:v>7</c:v>
                </c:pt>
                <c:pt idx="32">
                  <c:v>10</c:v>
                </c:pt>
                <c:pt idx="33">
                  <c:v>3</c:v>
                </c:pt>
                <c:pt idx="34">
                  <c:v>3</c:v>
                </c:pt>
                <c:pt idx="35">
                  <c:v>20</c:v>
                </c:pt>
              </c:numCache>
            </c:numRef>
          </c:val>
          <c:smooth val="0"/>
          <c:extLst>
            <c:ext xmlns:c16="http://schemas.microsoft.com/office/drawing/2014/chart" uri="{C3380CC4-5D6E-409C-BE32-E72D297353CC}">
              <c16:uniqueId val="{00000000-4200-4765-8CB6-2BBE8EC284AF}"/>
            </c:ext>
          </c:extLst>
        </c:ser>
        <c:ser>
          <c:idx val="1"/>
          <c:order val="1"/>
          <c:tx>
            <c:strRef>
              <c:f>Control!$G$3</c:f>
              <c:strCache>
                <c:ptCount val="1"/>
                <c:pt idx="0">
                  <c:v>Rbar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Control!$G$4:$G$39</c:f>
              <c:numCache>
                <c:formatCode>General</c:formatCode>
                <c:ptCount val="36"/>
                <c:pt idx="0">
                  <c:v>4.8</c:v>
                </c:pt>
                <c:pt idx="1">
                  <c:v>4.8</c:v>
                </c:pt>
                <c:pt idx="2">
                  <c:v>4.8</c:v>
                </c:pt>
                <c:pt idx="3">
                  <c:v>4.8</c:v>
                </c:pt>
                <c:pt idx="4">
                  <c:v>4.8</c:v>
                </c:pt>
                <c:pt idx="5">
                  <c:v>4.8</c:v>
                </c:pt>
                <c:pt idx="6">
                  <c:v>4.8</c:v>
                </c:pt>
                <c:pt idx="7">
                  <c:v>4.8</c:v>
                </c:pt>
                <c:pt idx="8">
                  <c:v>4.8</c:v>
                </c:pt>
                <c:pt idx="9">
                  <c:v>4.8</c:v>
                </c:pt>
                <c:pt idx="10">
                  <c:v>4.8</c:v>
                </c:pt>
                <c:pt idx="11">
                  <c:v>4.8</c:v>
                </c:pt>
                <c:pt idx="12">
                  <c:v>4.8</c:v>
                </c:pt>
                <c:pt idx="13">
                  <c:v>4.8</c:v>
                </c:pt>
                <c:pt idx="14">
                  <c:v>4.8</c:v>
                </c:pt>
                <c:pt idx="15">
                  <c:v>4.8</c:v>
                </c:pt>
                <c:pt idx="16">
                  <c:v>4.8</c:v>
                </c:pt>
                <c:pt idx="17">
                  <c:v>4.8</c:v>
                </c:pt>
                <c:pt idx="18">
                  <c:v>4.8</c:v>
                </c:pt>
                <c:pt idx="19">
                  <c:v>4.8</c:v>
                </c:pt>
                <c:pt idx="20">
                  <c:v>4.8</c:v>
                </c:pt>
                <c:pt idx="21">
                  <c:v>4.8</c:v>
                </c:pt>
                <c:pt idx="22">
                  <c:v>4.8</c:v>
                </c:pt>
                <c:pt idx="23">
                  <c:v>4.8</c:v>
                </c:pt>
                <c:pt idx="24">
                  <c:v>4.8</c:v>
                </c:pt>
                <c:pt idx="25">
                  <c:v>4.8</c:v>
                </c:pt>
                <c:pt idx="26">
                  <c:v>4.8</c:v>
                </c:pt>
                <c:pt idx="27">
                  <c:v>4.8</c:v>
                </c:pt>
                <c:pt idx="28">
                  <c:v>4.8</c:v>
                </c:pt>
                <c:pt idx="29">
                  <c:v>4.8</c:v>
                </c:pt>
                <c:pt idx="30">
                  <c:v>4.8</c:v>
                </c:pt>
                <c:pt idx="31">
                  <c:v>4.8</c:v>
                </c:pt>
                <c:pt idx="32">
                  <c:v>4.8</c:v>
                </c:pt>
                <c:pt idx="33">
                  <c:v>4.8</c:v>
                </c:pt>
                <c:pt idx="34">
                  <c:v>4.8</c:v>
                </c:pt>
                <c:pt idx="35">
                  <c:v>4.8</c:v>
                </c:pt>
              </c:numCache>
            </c:numRef>
          </c:val>
          <c:smooth val="0"/>
          <c:extLst>
            <c:ext xmlns:c16="http://schemas.microsoft.com/office/drawing/2014/chart" uri="{C3380CC4-5D6E-409C-BE32-E72D297353CC}">
              <c16:uniqueId val="{00000001-4200-4765-8CB6-2BBE8EC284AF}"/>
            </c:ext>
          </c:extLst>
        </c:ser>
        <c:ser>
          <c:idx val="2"/>
          <c:order val="2"/>
          <c:tx>
            <c:strRef>
              <c:f>Control!$H$3</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Control!$H$4:$H$39</c:f>
              <c:numCache>
                <c:formatCode>0.00</c:formatCode>
                <c:ptCount val="36"/>
                <c:pt idx="0">
                  <c:v>15.696</c:v>
                </c:pt>
                <c:pt idx="1">
                  <c:v>15.696</c:v>
                </c:pt>
                <c:pt idx="2">
                  <c:v>15.696</c:v>
                </c:pt>
                <c:pt idx="3">
                  <c:v>15.696</c:v>
                </c:pt>
                <c:pt idx="4">
                  <c:v>15.696</c:v>
                </c:pt>
                <c:pt idx="5">
                  <c:v>15.696</c:v>
                </c:pt>
                <c:pt idx="6">
                  <c:v>15.696</c:v>
                </c:pt>
                <c:pt idx="7">
                  <c:v>15.696</c:v>
                </c:pt>
                <c:pt idx="8">
                  <c:v>15.696</c:v>
                </c:pt>
                <c:pt idx="9">
                  <c:v>15.696</c:v>
                </c:pt>
                <c:pt idx="10">
                  <c:v>15.696</c:v>
                </c:pt>
                <c:pt idx="11">
                  <c:v>15.696</c:v>
                </c:pt>
                <c:pt idx="12">
                  <c:v>15.696</c:v>
                </c:pt>
                <c:pt idx="13">
                  <c:v>15.696</c:v>
                </c:pt>
                <c:pt idx="14">
                  <c:v>15.696</c:v>
                </c:pt>
                <c:pt idx="15">
                  <c:v>15.696</c:v>
                </c:pt>
                <c:pt idx="16">
                  <c:v>15.696</c:v>
                </c:pt>
                <c:pt idx="17">
                  <c:v>15.696</c:v>
                </c:pt>
                <c:pt idx="18">
                  <c:v>15.696</c:v>
                </c:pt>
                <c:pt idx="19">
                  <c:v>15.696</c:v>
                </c:pt>
                <c:pt idx="20">
                  <c:v>15.696</c:v>
                </c:pt>
                <c:pt idx="21">
                  <c:v>15.696</c:v>
                </c:pt>
                <c:pt idx="22">
                  <c:v>15.696</c:v>
                </c:pt>
                <c:pt idx="23">
                  <c:v>15.696</c:v>
                </c:pt>
                <c:pt idx="24">
                  <c:v>15.696</c:v>
                </c:pt>
                <c:pt idx="25">
                  <c:v>15.696</c:v>
                </c:pt>
                <c:pt idx="26">
                  <c:v>15.696</c:v>
                </c:pt>
                <c:pt idx="27">
                  <c:v>15.696</c:v>
                </c:pt>
                <c:pt idx="28">
                  <c:v>15.696</c:v>
                </c:pt>
                <c:pt idx="29">
                  <c:v>15.696</c:v>
                </c:pt>
                <c:pt idx="30">
                  <c:v>15.696</c:v>
                </c:pt>
                <c:pt idx="31">
                  <c:v>15.696</c:v>
                </c:pt>
                <c:pt idx="32">
                  <c:v>15.696</c:v>
                </c:pt>
                <c:pt idx="33">
                  <c:v>15.696</c:v>
                </c:pt>
                <c:pt idx="34">
                  <c:v>15.696</c:v>
                </c:pt>
                <c:pt idx="35">
                  <c:v>15.696</c:v>
                </c:pt>
              </c:numCache>
            </c:numRef>
          </c:val>
          <c:smooth val="0"/>
          <c:extLst>
            <c:ext xmlns:c16="http://schemas.microsoft.com/office/drawing/2014/chart" uri="{C3380CC4-5D6E-409C-BE32-E72D297353CC}">
              <c16:uniqueId val="{00000002-4200-4765-8CB6-2BBE8EC284AF}"/>
            </c:ext>
          </c:extLst>
        </c:ser>
        <c:ser>
          <c:idx val="3"/>
          <c:order val="3"/>
          <c:tx>
            <c:strRef>
              <c:f>Control!$I$3</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Control!$I$4:$I$39</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3-4200-4765-8CB6-2BBE8EC284AF}"/>
            </c:ext>
          </c:extLst>
        </c:ser>
        <c:dLbls>
          <c:showLegendKey val="0"/>
          <c:showVal val="0"/>
          <c:showCatName val="0"/>
          <c:showSerName val="0"/>
          <c:showPercent val="0"/>
          <c:showBubbleSize val="0"/>
        </c:dLbls>
        <c:marker val="1"/>
        <c:smooth val="0"/>
        <c:axId val="951320368"/>
        <c:axId val="951312824"/>
      </c:lineChart>
      <c:catAx>
        <c:axId val="951320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312824"/>
        <c:crosses val="autoZero"/>
        <c:auto val="1"/>
        <c:lblAlgn val="ctr"/>
        <c:lblOffset val="100"/>
        <c:noMultiLvlLbl val="0"/>
      </c:catAx>
      <c:valAx>
        <c:axId val="95131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32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2018 H1, PO Invoice Aproval Cycle Time (X)</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Control!$K$3</c:f>
              <c:strCache>
                <c:ptCount val="1"/>
                <c:pt idx="0">
                  <c:v>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Control!$K$4:$K$39</c:f>
              <c:numCache>
                <c:formatCode>General</c:formatCode>
                <c:ptCount val="36"/>
                <c:pt idx="0">
                  <c:v>29</c:v>
                </c:pt>
                <c:pt idx="1">
                  <c:v>30</c:v>
                </c:pt>
                <c:pt idx="2">
                  <c:v>30</c:v>
                </c:pt>
                <c:pt idx="3">
                  <c:v>24</c:v>
                </c:pt>
                <c:pt idx="4">
                  <c:v>23</c:v>
                </c:pt>
                <c:pt idx="5">
                  <c:v>24</c:v>
                </c:pt>
                <c:pt idx="6">
                  <c:v>23</c:v>
                </c:pt>
                <c:pt idx="7">
                  <c:v>23</c:v>
                </c:pt>
                <c:pt idx="8">
                  <c:v>20</c:v>
                </c:pt>
                <c:pt idx="9">
                  <c:v>20</c:v>
                </c:pt>
                <c:pt idx="10">
                  <c:v>20</c:v>
                </c:pt>
                <c:pt idx="11">
                  <c:v>20</c:v>
                </c:pt>
                <c:pt idx="12">
                  <c:v>24</c:v>
                </c:pt>
                <c:pt idx="13">
                  <c:v>20</c:v>
                </c:pt>
                <c:pt idx="14">
                  <c:v>24</c:v>
                </c:pt>
                <c:pt idx="15">
                  <c:v>20</c:v>
                </c:pt>
                <c:pt idx="16">
                  <c:v>24</c:v>
                </c:pt>
                <c:pt idx="17">
                  <c:v>10</c:v>
                </c:pt>
                <c:pt idx="18">
                  <c:v>21</c:v>
                </c:pt>
                <c:pt idx="19">
                  <c:v>21</c:v>
                </c:pt>
                <c:pt idx="20">
                  <c:v>17</c:v>
                </c:pt>
                <c:pt idx="21">
                  <c:v>21</c:v>
                </c:pt>
                <c:pt idx="22">
                  <c:v>21</c:v>
                </c:pt>
                <c:pt idx="23">
                  <c:v>24</c:v>
                </c:pt>
                <c:pt idx="24">
                  <c:v>21</c:v>
                </c:pt>
                <c:pt idx="25">
                  <c:v>24</c:v>
                </c:pt>
                <c:pt idx="26">
                  <c:v>13</c:v>
                </c:pt>
                <c:pt idx="27">
                  <c:v>24</c:v>
                </c:pt>
                <c:pt idx="28">
                  <c:v>10</c:v>
                </c:pt>
                <c:pt idx="29">
                  <c:v>10</c:v>
                </c:pt>
                <c:pt idx="30">
                  <c:v>24</c:v>
                </c:pt>
                <c:pt idx="31">
                  <c:v>17</c:v>
                </c:pt>
                <c:pt idx="32">
                  <c:v>27</c:v>
                </c:pt>
                <c:pt idx="33">
                  <c:v>24</c:v>
                </c:pt>
                <c:pt idx="34">
                  <c:v>27</c:v>
                </c:pt>
                <c:pt idx="35">
                  <c:v>7</c:v>
                </c:pt>
              </c:numCache>
            </c:numRef>
          </c:val>
          <c:smooth val="0"/>
          <c:extLst>
            <c:ext xmlns:c16="http://schemas.microsoft.com/office/drawing/2014/chart" uri="{C3380CC4-5D6E-409C-BE32-E72D297353CC}">
              <c16:uniqueId val="{00000000-0B43-4B22-8BBF-673B38258B21}"/>
            </c:ext>
          </c:extLst>
        </c:ser>
        <c:ser>
          <c:idx val="1"/>
          <c:order val="1"/>
          <c:tx>
            <c:strRef>
              <c:f>Control!$L$3</c:f>
              <c:strCache>
                <c:ptCount val="1"/>
                <c:pt idx="0">
                  <c:v>x-bar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Control!$L$4:$L$39</c:f>
              <c:numCache>
                <c:formatCode>0.00</c:formatCode>
                <c:ptCount val="36"/>
                <c:pt idx="0">
                  <c:v>21.138888888888889</c:v>
                </c:pt>
                <c:pt idx="1">
                  <c:v>21.138888888888889</c:v>
                </c:pt>
                <c:pt idx="2">
                  <c:v>21.138888888888889</c:v>
                </c:pt>
                <c:pt idx="3">
                  <c:v>21.138888888888889</c:v>
                </c:pt>
                <c:pt idx="4">
                  <c:v>21.138888888888889</c:v>
                </c:pt>
                <c:pt idx="5">
                  <c:v>21.138888888888889</c:v>
                </c:pt>
                <c:pt idx="6">
                  <c:v>21.138888888888889</c:v>
                </c:pt>
                <c:pt idx="7">
                  <c:v>21.138888888888889</c:v>
                </c:pt>
                <c:pt idx="8">
                  <c:v>21.138888888888889</c:v>
                </c:pt>
                <c:pt idx="9">
                  <c:v>21.138888888888889</c:v>
                </c:pt>
                <c:pt idx="10">
                  <c:v>21.138888888888889</c:v>
                </c:pt>
                <c:pt idx="11">
                  <c:v>21.138888888888889</c:v>
                </c:pt>
                <c:pt idx="12">
                  <c:v>21.138888888888889</c:v>
                </c:pt>
                <c:pt idx="13">
                  <c:v>21.138888888888889</c:v>
                </c:pt>
                <c:pt idx="14">
                  <c:v>21.138888888888889</c:v>
                </c:pt>
                <c:pt idx="15">
                  <c:v>21.138888888888889</c:v>
                </c:pt>
                <c:pt idx="16">
                  <c:v>21.138888888888889</c:v>
                </c:pt>
                <c:pt idx="17">
                  <c:v>21.138888888888889</c:v>
                </c:pt>
                <c:pt idx="18">
                  <c:v>21.138888888888889</c:v>
                </c:pt>
                <c:pt idx="19">
                  <c:v>21.138888888888889</c:v>
                </c:pt>
                <c:pt idx="20">
                  <c:v>21.138888888888889</c:v>
                </c:pt>
                <c:pt idx="21">
                  <c:v>21.138888888888889</c:v>
                </c:pt>
                <c:pt idx="22">
                  <c:v>21.138888888888889</c:v>
                </c:pt>
                <c:pt idx="23">
                  <c:v>21.138888888888889</c:v>
                </c:pt>
                <c:pt idx="24">
                  <c:v>21.138888888888889</c:v>
                </c:pt>
                <c:pt idx="25">
                  <c:v>21.138888888888889</c:v>
                </c:pt>
                <c:pt idx="26">
                  <c:v>21.138888888888889</c:v>
                </c:pt>
                <c:pt idx="27">
                  <c:v>21.138888888888889</c:v>
                </c:pt>
                <c:pt idx="28">
                  <c:v>21.138888888888889</c:v>
                </c:pt>
                <c:pt idx="29">
                  <c:v>21.138888888888889</c:v>
                </c:pt>
                <c:pt idx="30">
                  <c:v>21.138888888888889</c:v>
                </c:pt>
                <c:pt idx="31">
                  <c:v>21.138888888888889</c:v>
                </c:pt>
                <c:pt idx="32">
                  <c:v>21.138888888888889</c:v>
                </c:pt>
                <c:pt idx="33">
                  <c:v>21.138888888888889</c:v>
                </c:pt>
                <c:pt idx="34">
                  <c:v>21.138888888888889</c:v>
                </c:pt>
                <c:pt idx="35">
                  <c:v>21.138888888888889</c:v>
                </c:pt>
              </c:numCache>
            </c:numRef>
          </c:val>
          <c:smooth val="0"/>
          <c:extLst>
            <c:ext xmlns:c16="http://schemas.microsoft.com/office/drawing/2014/chart" uri="{C3380CC4-5D6E-409C-BE32-E72D297353CC}">
              <c16:uniqueId val="{00000001-0B43-4B22-8BBF-673B38258B21}"/>
            </c:ext>
          </c:extLst>
        </c:ser>
        <c:ser>
          <c:idx val="2"/>
          <c:order val="2"/>
          <c:tx>
            <c:strRef>
              <c:f>Control!$M$3</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Control!$M$4:$M$39</c:f>
              <c:numCache>
                <c:formatCode>0.00</c:formatCode>
                <c:ptCount val="36"/>
                <c:pt idx="0">
                  <c:v>33.906888888888886</c:v>
                </c:pt>
                <c:pt idx="1">
                  <c:v>33.906888888888886</c:v>
                </c:pt>
                <c:pt idx="2">
                  <c:v>33.906888888888886</c:v>
                </c:pt>
                <c:pt idx="3">
                  <c:v>33.906888888888886</c:v>
                </c:pt>
                <c:pt idx="4">
                  <c:v>33.906888888888886</c:v>
                </c:pt>
                <c:pt idx="5">
                  <c:v>33.906888888888886</c:v>
                </c:pt>
                <c:pt idx="6">
                  <c:v>33.906888888888886</c:v>
                </c:pt>
                <c:pt idx="7">
                  <c:v>33.906888888888886</c:v>
                </c:pt>
                <c:pt idx="8">
                  <c:v>33.906888888888886</c:v>
                </c:pt>
                <c:pt idx="9">
                  <c:v>33.906888888888886</c:v>
                </c:pt>
                <c:pt idx="10">
                  <c:v>33.906888888888886</c:v>
                </c:pt>
                <c:pt idx="11">
                  <c:v>33.906888888888886</c:v>
                </c:pt>
                <c:pt idx="12">
                  <c:v>33.906888888888886</c:v>
                </c:pt>
                <c:pt idx="13">
                  <c:v>33.906888888888886</c:v>
                </c:pt>
                <c:pt idx="14">
                  <c:v>33.906888888888886</c:v>
                </c:pt>
                <c:pt idx="15">
                  <c:v>33.906888888888886</c:v>
                </c:pt>
                <c:pt idx="16">
                  <c:v>33.906888888888886</c:v>
                </c:pt>
                <c:pt idx="17">
                  <c:v>33.906888888888886</c:v>
                </c:pt>
                <c:pt idx="18">
                  <c:v>33.906888888888886</c:v>
                </c:pt>
                <c:pt idx="19">
                  <c:v>33.906888888888886</c:v>
                </c:pt>
                <c:pt idx="20">
                  <c:v>33.906888888888886</c:v>
                </c:pt>
                <c:pt idx="21">
                  <c:v>33.906888888888886</c:v>
                </c:pt>
                <c:pt idx="22">
                  <c:v>33.906888888888886</c:v>
                </c:pt>
                <c:pt idx="23">
                  <c:v>33.906888888888886</c:v>
                </c:pt>
                <c:pt idx="24">
                  <c:v>33.906888888888886</c:v>
                </c:pt>
                <c:pt idx="25">
                  <c:v>33.906888888888886</c:v>
                </c:pt>
                <c:pt idx="26">
                  <c:v>33.906888888888886</c:v>
                </c:pt>
                <c:pt idx="27">
                  <c:v>33.906888888888886</c:v>
                </c:pt>
                <c:pt idx="28">
                  <c:v>33.906888888888886</c:v>
                </c:pt>
                <c:pt idx="29">
                  <c:v>33.906888888888886</c:v>
                </c:pt>
                <c:pt idx="30">
                  <c:v>33.906888888888886</c:v>
                </c:pt>
                <c:pt idx="31">
                  <c:v>33.906888888888886</c:v>
                </c:pt>
                <c:pt idx="32">
                  <c:v>33.906888888888886</c:v>
                </c:pt>
                <c:pt idx="33">
                  <c:v>33.906888888888886</c:v>
                </c:pt>
                <c:pt idx="34">
                  <c:v>33.906888888888886</c:v>
                </c:pt>
                <c:pt idx="35">
                  <c:v>33.906888888888886</c:v>
                </c:pt>
              </c:numCache>
            </c:numRef>
          </c:val>
          <c:smooth val="0"/>
          <c:extLst>
            <c:ext xmlns:c16="http://schemas.microsoft.com/office/drawing/2014/chart" uri="{C3380CC4-5D6E-409C-BE32-E72D297353CC}">
              <c16:uniqueId val="{00000002-0B43-4B22-8BBF-673B38258B21}"/>
            </c:ext>
          </c:extLst>
        </c:ser>
        <c:ser>
          <c:idx val="3"/>
          <c:order val="3"/>
          <c:tx>
            <c:strRef>
              <c:f>Control!$N$3</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Control!$N$4:$N$39</c:f>
              <c:numCache>
                <c:formatCode>0.0</c:formatCode>
                <c:ptCount val="36"/>
                <c:pt idx="0">
                  <c:v>8.3708888888888886</c:v>
                </c:pt>
                <c:pt idx="1">
                  <c:v>8.3708888888888886</c:v>
                </c:pt>
                <c:pt idx="2">
                  <c:v>8.3708888888888886</c:v>
                </c:pt>
                <c:pt idx="3">
                  <c:v>8.3708888888888886</c:v>
                </c:pt>
                <c:pt idx="4">
                  <c:v>8.3708888888888886</c:v>
                </c:pt>
                <c:pt idx="5">
                  <c:v>8.3708888888888886</c:v>
                </c:pt>
                <c:pt idx="6">
                  <c:v>8.3708888888888886</c:v>
                </c:pt>
                <c:pt idx="7">
                  <c:v>8.3708888888888886</c:v>
                </c:pt>
                <c:pt idx="8">
                  <c:v>8.3708888888888886</c:v>
                </c:pt>
                <c:pt idx="9">
                  <c:v>8.3708888888888886</c:v>
                </c:pt>
                <c:pt idx="10">
                  <c:v>8.3708888888888886</c:v>
                </c:pt>
                <c:pt idx="11">
                  <c:v>8.3708888888888886</c:v>
                </c:pt>
                <c:pt idx="12">
                  <c:v>8.3708888888888886</c:v>
                </c:pt>
                <c:pt idx="13">
                  <c:v>8.3708888888888886</c:v>
                </c:pt>
                <c:pt idx="14">
                  <c:v>8.3708888888888886</c:v>
                </c:pt>
                <c:pt idx="15">
                  <c:v>8.3708888888888886</c:v>
                </c:pt>
                <c:pt idx="16">
                  <c:v>8.3708888888888886</c:v>
                </c:pt>
                <c:pt idx="17">
                  <c:v>8.3708888888888886</c:v>
                </c:pt>
                <c:pt idx="18">
                  <c:v>8.3708888888888886</c:v>
                </c:pt>
                <c:pt idx="19">
                  <c:v>8.3708888888888886</c:v>
                </c:pt>
                <c:pt idx="20">
                  <c:v>8.3708888888888886</c:v>
                </c:pt>
                <c:pt idx="21">
                  <c:v>8.3708888888888886</c:v>
                </c:pt>
                <c:pt idx="22">
                  <c:v>8.3708888888888886</c:v>
                </c:pt>
                <c:pt idx="23">
                  <c:v>8.3708888888888886</c:v>
                </c:pt>
                <c:pt idx="24">
                  <c:v>8.3708888888888886</c:v>
                </c:pt>
                <c:pt idx="25">
                  <c:v>8.3708888888888886</c:v>
                </c:pt>
                <c:pt idx="26">
                  <c:v>8.3708888888888886</c:v>
                </c:pt>
                <c:pt idx="27">
                  <c:v>8.3708888888888886</c:v>
                </c:pt>
                <c:pt idx="28">
                  <c:v>8.3708888888888886</c:v>
                </c:pt>
                <c:pt idx="29">
                  <c:v>8.3708888888888886</c:v>
                </c:pt>
                <c:pt idx="30">
                  <c:v>8.3708888888888886</c:v>
                </c:pt>
                <c:pt idx="31">
                  <c:v>8.3708888888888886</c:v>
                </c:pt>
                <c:pt idx="32">
                  <c:v>8.3708888888888886</c:v>
                </c:pt>
                <c:pt idx="33">
                  <c:v>8.3708888888888886</c:v>
                </c:pt>
                <c:pt idx="34">
                  <c:v>8.3708888888888886</c:v>
                </c:pt>
                <c:pt idx="35">
                  <c:v>8.3708888888888886</c:v>
                </c:pt>
              </c:numCache>
            </c:numRef>
          </c:val>
          <c:smooth val="0"/>
          <c:extLst>
            <c:ext xmlns:c16="http://schemas.microsoft.com/office/drawing/2014/chart" uri="{C3380CC4-5D6E-409C-BE32-E72D297353CC}">
              <c16:uniqueId val="{00000003-0B43-4B22-8BBF-673B38258B21}"/>
            </c:ext>
          </c:extLst>
        </c:ser>
        <c:dLbls>
          <c:showLegendKey val="0"/>
          <c:showVal val="0"/>
          <c:showCatName val="0"/>
          <c:showSerName val="0"/>
          <c:showPercent val="0"/>
          <c:showBubbleSize val="0"/>
        </c:dLbls>
        <c:marker val="1"/>
        <c:smooth val="0"/>
        <c:axId val="951261000"/>
        <c:axId val="951261656"/>
      </c:lineChart>
      <c:catAx>
        <c:axId val="951261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61656"/>
        <c:crosses val="autoZero"/>
        <c:auto val="1"/>
        <c:lblAlgn val="ctr"/>
        <c:lblOffset val="100"/>
        <c:noMultiLvlLbl val="0"/>
      </c:catAx>
      <c:valAx>
        <c:axId val="951261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61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H2, Q2, PO Invoice Approval Cycle Time (mR)</a:t>
            </a:r>
          </a:p>
          <a:p>
            <a:pPr>
              <a:defRPr/>
            </a:pPr>
            <a:r>
              <a:rPr lang="en-US"/>
              <a:t>PILOT</a:t>
            </a:r>
            <a:r>
              <a:rPr lang="en-US" baseline="0"/>
              <a:t> NEW PROCESS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Control!$F$46</c:f>
              <c:strCache>
                <c:ptCount val="1"/>
                <c:pt idx="0">
                  <c:v>mR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Control!$F$47:$F$61</c:f>
              <c:numCache>
                <c:formatCode>General</c:formatCode>
                <c:ptCount val="15"/>
                <c:pt idx="1">
                  <c:v>0</c:v>
                </c:pt>
                <c:pt idx="2">
                  <c:v>0</c:v>
                </c:pt>
                <c:pt idx="3">
                  <c:v>3</c:v>
                </c:pt>
                <c:pt idx="4">
                  <c:v>0</c:v>
                </c:pt>
                <c:pt idx="5">
                  <c:v>3</c:v>
                </c:pt>
                <c:pt idx="6">
                  <c:v>3</c:v>
                </c:pt>
                <c:pt idx="7">
                  <c:v>0</c:v>
                </c:pt>
                <c:pt idx="8">
                  <c:v>0</c:v>
                </c:pt>
                <c:pt idx="9">
                  <c:v>4</c:v>
                </c:pt>
                <c:pt idx="10">
                  <c:v>4</c:v>
                </c:pt>
                <c:pt idx="11">
                  <c:v>4</c:v>
                </c:pt>
                <c:pt idx="12">
                  <c:v>3</c:v>
                </c:pt>
                <c:pt idx="13">
                  <c:v>0</c:v>
                </c:pt>
                <c:pt idx="14">
                  <c:v>0</c:v>
                </c:pt>
              </c:numCache>
            </c:numRef>
          </c:val>
          <c:smooth val="0"/>
          <c:extLst>
            <c:ext xmlns:c16="http://schemas.microsoft.com/office/drawing/2014/chart" uri="{C3380CC4-5D6E-409C-BE32-E72D297353CC}">
              <c16:uniqueId val="{00000000-82FD-4F79-8072-8646E1D3C1BD}"/>
            </c:ext>
          </c:extLst>
        </c:ser>
        <c:ser>
          <c:idx val="1"/>
          <c:order val="1"/>
          <c:tx>
            <c:strRef>
              <c:f>Control!$G$46</c:f>
              <c:strCache>
                <c:ptCount val="1"/>
                <c:pt idx="0">
                  <c:v>Rbar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Control!$G$47:$G$61</c:f>
              <c:numCache>
                <c:formatCode>0.00</c:formatCode>
                <c:ptCount val="15"/>
                <c:pt idx="0">
                  <c:v>1.7142857142857142</c:v>
                </c:pt>
                <c:pt idx="1">
                  <c:v>1.7142857142857142</c:v>
                </c:pt>
                <c:pt idx="2">
                  <c:v>1.7142857142857142</c:v>
                </c:pt>
                <c:pt idx="3">
                  <c:v>1.7142857142857142</c:v>
                </c:pt>
                <c:pt idx="4">
                  <c:v>1.7142857142857142</c:v>
                </c:pt>
                <c:pt idx="5">
                  <c:v>1.7142857142857142</c:v>
                </c:pt>
                <c:pt idx="6">
                  <c:v>1.7142857142857142</c:v>
                </c:pt>
                <c:pt idx="7">
                  <c:v>1.7142857142857142</c:v>
                </c:pt>
                <c:pt idx="8">
                  <c:v>1.7142857142857142</c:v>
                </c:pt>
                <c:pt idx="9">
                  <c:v>1.7142857142857142</c:v>
                </c:pt>
                <c:pt idx="10">
                  <c:v>1.7142857142857142</c:v>
                </c:pt>
                <c:pt idx="11">
                  <c:v>1.7142857142857142</c:v>
                </c:pt>
                <c:pt idx="12">
                  <c:v>1.7142857142857142</c:v>
                </c:pt>
                <c:pt idx="13">
                  <c:v>1.7142857142857142</c:v>
                </c:pt>
                <c:pt idx="14">
                  <c:v>1.7142857142857142</c:v>
                </c:pt>
              </c:numCache>
            </c:numRef>
          </c:val>
          <c:smooth val="0"/>
          <c:extLst>
            <c:ext xmlns:c16="http://schemas.microsoft.com/office/drawing/2014/chart" uri="{C3380CC4-5D6E-409C-BE32-E72D297353CC}">
              <c16:uniqueId val="{00000001-82FD-4F79-8072-8646E1D3C1BD}"/>
            </c:ext>
          </c:extLst>
        </c:ser>
        <c:ser>
          <c:idx val="2"/>
          <c:order val="2"/>
          <c:tx>
            <c:strRef>
              <c:f>Control!$H$46</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Control!$H$47:$H$61</c:f>
              <c:numCache>
                <c:formatCode>0.00</c:formatCode>
                <c:ptCount val="15"/>
                <c:pt idx="0">
                  <c:v>5.6057142857142859</c:v>
                </c:pt>
                <c:pt idx="1">
                  <c:v>5.6057142857142859</c:v>
                </c:pt>
                <c:pt idx="2">
                  <c:v>5.6057142857142859</c:v>
                </c:pt>
                <c:pt idx="3">
                  <c:v>5.6057142857142859</c:v>
                </c:pt>
                <c:pt idx="4">
                  <c:v>5.6057142857142859</c:v>
                </c:pt>
                <c:pt idx="5">
                  <c:v>5.6057142857142859</c:v>
                </c:pt>
                <c:pt idx="6">
                  <c:v>5.6057142857142859</c:v>
                </c:pt>
                <c:pt idx="7">
                  <c:v>5.6057142857142859</c:v>
                </c:pt>
                <c:pt idx="8">
                  <c:v>5.6057142857142859</c:v>
                </c:pt>
                <c:pt idx="9">
                  <c:v>5.6057142857142859</c:v>
                </c:pt>
                <c:pt idx="10">
                  <c:v>5.6057142857142859</c:v>
                </c:pt>
                <c:pt idx="11">
                  <c:v>5.6057142857142859</c:v>
                </c:pt>
                <c:pt idx="12">
                  <c:v>5.6057142857142859</c:v>
                </c:pt>
                <c:pt idx="13">
                  <c:v>5.6057142857142859</c:v>
                </c:pt>
                <c:pt idx="14">
                  <c:v>5.6057142857142859</c:v>
                </c:pt>
              </c:numCache>
            </c:numRef>
          </c:val>
          <c:smooth val="0"/>
          <c:extLst>
            <c:ext xmlns:c16="http://schemas.microsoft.com/office/drawing/2014/chart" uri="{C3380CC4-5D6E-409C-BE32-E72D297353CC}">
              <c16:uniqueId val="{00000002-82FD-4F79-8072-8646E1D3C1BD}"/>
            </c:ext>
          </c:extLst>
        </c:ser>
        <c:ser>
          <c:idx val="3"/>
          <c:order val="3"/>
          <c:tx>
            <c:strRef>
              <c:f>Control!$I$46</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Control!$I$47:$I$61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3-82FD-4F79-8072-8646E1D3C1BD}"/>
            </c:ext>
          </c:extLst>
        </c:ser>
        <c:dLbls>
          <c:showLegendKey val="0"/>
          <c:showVal val="0"/>
          <c:showCatName val="0"/>
          <c:showSerName val="0"/>
          <c:showPercent val="0"/>
          <c:showBubbleSize val="0"/>
        </c:dLbls>
        <c:marker val="1"/>
        <c:smooth val="0"/>
        <c:axId val="1070830160"/>
        <c:axId val="1070825240"/>
      </c:lineChart>
      <c:catAx>
        <c:axId val="1070830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825240"/>
        <c:crosses val="autoZero"/>
        <c:auto val="1"/>
        <c:lblAlgn val="ctr"/>
        <c:lblOffset val="100"/>
        <c:noMultiLvlLbl val="0"/>
      </c:catAx>
      <c:valAx>
        <c:axId val="1070825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83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2018 H2, Q2, PO Invoice Approval Cycle Time (X)</a:t>
            </a:r>
            <a:endParaRPr lang="en-US">
              <a:effectLst/>
            </a:endParaRPr>
          </a:p>
          <a:p>
            <a:pPr>
              <a:defRPr/>
            </a:pPr>
            <a:r>
              <a:rPr lang="en-US" sz="1800" b="0" i="0" baseline="0">
                <a:effectLst/>
              </a:rPr>
              <a:t>PILOT NEW PROCESS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Control!$K$46</c:f>
              <c:strCache>
                <c:ptCount val="1"/>
                <c:pt idx="0">
                  <c:v>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Control!$K$47:$K$61</c:f>
              <c:numCache>
                <c:formatCode>General</c:formatCode>
                <c:ptCount val="15"/>
                <c:pt idx="0">
                  <c:v>13</c:v>
                </c:pt>
                <c:pt idx="1">
                  <c:v>13</c:v>
                </c:pt>
                <c:pt idx="2">
                  <c:v>13</c:v>
                </c:pt>
                <c:pt idx="3">
                  <c:v>10</c:v>
                </c:pt>
                <c:pt idx="4">
                  <c:v>10</c:v>
                </c:pt>
                <c:pt idx="5">
                  <c:v>13</c:v>
                </c:pt>
                <c:pt idx="6">
                  <c:v>10</c:v>
                </c:pt>
                <c:pt idx="7">
                  <c:v>10</c:v>
                </c:pt>
                <c:pt idx="8">
                  <c:v>10</c:v>
                </c:pt>
                <c:pt idx="9">
                  <c:v>6</c:v>
                </c:pt>
                <c:pt idx="10">
                  <c:v>10</c:v>
                </c:pt>
                <c:pt idx="11">
                  <c:v>6</c:v>
                </c:pt>
                <c:pt idx="12">
                  <c:v>3</c:v>
                </c:pt>
                <c:pt idx="13">
                  <c:v>3</c:v>
                </c:pt>
                <c:pt idx="14">
                  <c:v>3</c:v>
                </c:pt>
              </c:numCache>
            </c:numRef>
          </c:val>
          <c:smooth val="0"/>
          <c:extLst>
            <c:ext xmlns:c16="http://schemas.microsoft.com/office/drawing/2014/chart" uri="{C3380CC4-5D6E-409C-BE32-E72D297353CC}">
              <c16:uniqueId val="{00000000-447B-49F7-9B07-CE3E364B5B7E}"/>
            </c:ext>
          </c:extLst>
        </c:ser>
        <c:ser>
          <c:idx val="1"/>
          <c:order val="1"/>
          <c:tx>
            <c:strRef>
              <c:f>Control!$L$46</c:f>
              <c:strCache>
                <c:ptCount val="1"/>
                <c:pt idx="0">
                  <c:v>x-bar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Control!$L$47:$L$61</c:f>
              <c:numCache>
                <c:formatCode>0.00</c:formatCode>
                <c:ptCount val="15"/>
                <c:pt idx="0">
                  <c:v>8.8666666666666671</c:v>
                </c:pt>
                <c:pt idx="1">
                  <c:v>8.8666666666666671</c:v>
                </c:pt>
                <c:pt idx="2">
                  <c:v>8.8666666666666671</c:v>
                </c:pt>
                <c:pt idx="3">
                  <c:v>8.8666666666666671</c:v>
                </c:pt>
                <c:pt idx="4">
                  <c:v>8.8666666666666671</c:v>
                </c:pt>
                <c:pt idx="5">
                  <c:v>8.8666666666666671</c:v>
                </c:pt>
                <c:pt idx="6">
                  <c:v>8.8666666666666671</c:v>
                </c:pt>
                <c:pt idx="7">
                  <c:v>8.8666666666666671</c:v>
                </c:pt>
                <c:pt idx="8">
                  <c:v>8.8666666666666671</c:v>
                </c:pt>
                <c:pt idx="9">
                  <c:v>8.8666666666666671</c:v>
                </c:pt>
                <c:pt idx="10">
                  <c:v>8.8666666666666671</c:v>
                </c:pt>
                <c:pt idx="11">
                  <c:v>8.8666666666666671</c:v>
                </c:pt>
                <c:pt idx="12">
                  <c:v>8.8666666666666671</c:v>
                </c:pt>
                <c:pt idx="13">
                  <c:v>8.8666666666666671</c:v>
                </c:pt>
                <c:pt idx="14">
                  <c:v>8.8666666666666671</c:v>
                </c:pt>
              </c:numCache>
            </c:numRef>
          </c:val>
          <c:smooth val="0"/>
          <c:extLst>
            <c:ext xmlns:c16="http://schemas.microsoft.com/office/drawing/2014/chart" uri="{C3380CC4-5D6E-409C-BE32-E72D297353CC}">
              <c16:uniqueId val="{00000001-447B-49F7-9B07-CE3E364B5B7E}"/>
            </c:ext>
          </c:extLst>
        </c:ser>
        <c:ser>
          <c:idx val="2"/>
          <c:order val="2"/>
          <c:tx>
            <c:strRef>
              <c:f>Control!$M$46</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Control!$M$47:$M$61</c:f>
              <c:numCache>
                <c:formatCode>0.00</c:formatCode>
                <c:ptCount val="15"/>
                <c:pt idx="0">
                  <c:v>13.426666666666666</c:v>
                </c:pt>
                <c:pt idx="1">
                  <c:v>13.426666666666666</c:v>
                </c:pt>
                <c:pt idx="2">
                  <c:v>13.426666666666666</c:v>
                </c:pt>
                <c:pt idx="3">
                  <c:v>13.426666666666666</c:v>
                </c:pt>
                <c:pt idx="4">
                  <c:v>13.426666666666666</c:v>
                </c:pt>
                <c:pt idx="5">
                  <c:v>13.426666666666666</c:v>
                </c:pt>
                <c:pt idx="6">
                  <c:v>13.426666666666666</c:v>
                </c:pt>
                <c:pt idx="7">
                  <c:v>13.426666666666666</c:v>
                </c:pt>
                <c:pt idx="8">
                  <c:v>13.426666666666666</c:v>
                </c:pt>
                <c:pt idx="9">
                  <c:v>13.426666666666666</c:v>
                </c:pt>
                <c:pt idx="10">
                  <c:v>13.426666666666666</c:v>
                </c:pt>
                <c:pt idx="11">
                  <c:v>13.426666666666666</c:v>
                </c:pt>
                <c:pt idx="12">
                  <c:v>13.426666666666666</c:v>
                </c:pt>
                <c:pt idx="13">
                  <c:v>13.426666666666666</c:v>
                </c:pt>
                <c:pt idx="14">
                  <c:v>13.426666666666666</c:v>
                </c:pt>
              </c:numCache>
            </c:numRef>
          </c:val>
          <c:smooth val="0"/>
          <c:extLst>
            <c:ext xmlns:c16="http://schemas.microsoft.com/office/drawing/2014/chart" uri="{C3380CC4-5D6E-409C-BE32-E72D297353CC}">
              <c16:uniqueId val="{00000002-447B-49F7-9B07-CE3E364B5B7E}"/>
            </c:ext>
          </c:extLst>
        </c:ser>
        <c:ser>
          <c:idx val="3"/>
          <c:order val="3"/>
          <c:tx>
            <c:strRef>
              <c:f>Control!$N$46</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Control!$N$47:$N$61</c:f>
              <c:numCache>
                <c:formatCode>0.0</c:formatCode>
                <c:ptCount val="15"/>
                <c:pt idx="0">
                  <c:v>4.3066666666666675</c:v>
                </c:pt>
                <c:pt idx="1">
                  <c:v>4.3066666666666675</c:v>
                </c:pt>
                <c:pt idx="2">
                  <c:v>4.3066666666666675</c:v>
                </c:pt>
                <c:pt idx="3">
                  <c:v>4.3066666666666675</c:v>
                </c:pt>
                <c:pt idx="4">
                  <c:v>4.3066666666666675</c:v>
                </c:pt>
                <c:pt idx="5">
                  <c:v>4.3066666666666675</c:v>
                </c:pt>
                <c:pt idx="6">
                  <c:v>4.3066666666666675</c:v>
                </c:pt>
                <c:pt idx="7">
                  <c:v>4.3066666666666675</c:v>
                </c:pt>
                <c:pt idx="8">
                  <c:v>4.3066666666666675</c:v>
                </c:pt>
                <c:pt idx="9">
                  <c:v>4.3066666666666675</c:v>
                </c:pt>
                <c:pt idx="10">
                  <c:v>4.3066666666666675</c:v>
                </c:pt>
                <c:pt idx="11">
                  <c:v>4.3066666666666675</c:v>
                </c:pt>
                <c:pt idx="12">
                  <c:v>4.3066666666666675</c:v>
                </c:pt>
                <c:pt idx="13">
                  <c:v>4.3066666666666675</c:v>
                </c:pt>
                <c:pt idx="14">
                  <c:v>4.3066666666666675</c:v>
                </c:pt>
              </c:numCache>
            </c:numRef>
          </c:val>
          <c:smooth val="0"/>
          <c:extLst>
            <c:ext xmlns:c16="http://schemas.microsoft.com/office/drawing/2014/chart" uri="{C3380CC4-5D6E-409C-BE32-E72D297353CC}">
              <c16:uniqueId val="{00000003-447B-49F7-9B07-CE3E364B5B7E}"/>
            </c:ext>
          </c:extLst>
        </c:ser>
        <c:dLbls>
          <c:showLegendKey val="0"/>
          <c:showVal val="0"/>
          <c:showCatName val="0"/>
          <c:showSerName val="0"/>
          <c:showPercent val="0"/>
          <c:showBubbleSize val="0"/>
        </c:dLbls>
        <c:marker val="1"/>
        <c:smooth val="0"/>
        <c:axId val="783639976"/>
        <c:axId val="783640632"/>
      </c:lineChart>
      <c:catAx>
        <c:axId val="783639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40632"/>
        <c:crosses val="autoZero"/>
        <c:auto val="1"/>
        <c:lblAlgn val="ctr"/>
        <c:lblOffset val="100"/>
        <c:noMultiLvlLbl val="0"/>
      </c:catAx>
      <c:valAx>
        <c:axId val="783640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39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H1, PO</a:t>
            </a:r>
            <a:r>
              <a:rPr lang="en-US" baseline="0"/>
              <a:t> Invoice Aproval Cycle Time (mR)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'Control (2)'!$F$3</c:f>
              <c:strCache>
                <c:ptCount val="1"/>
                <c:pt idx="0">
                  <c:v>mR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'Control (2)'!$F$4:$F$54</c:f>
              <c:numCache>
                <c:formatCode>General</c:formatCode>
                <c:ptCount val="51"/>
                <c:pt idx="1">
                  <c:v>1</c:v>
                </c:pt>
                <c:pt idx="2">
                  <c:v>0</c:v>
                </c:pt>
                <c:pt idx="3">
                  <c:v>6</c:v>
                </c:pt>
                <c:pt idx="4">
                  <c:v>1</c:v>
                </c:pt>
                <c:pt idx="5">
                  <c:v>1</c:v>
                </c:pt>
                <c:pt idx="6">
                  <c:v>1</c:v>
                </c:pt>
                <c:pt idx="7">
                  <c:v>0</c:v>
                </c:pt>
                <c:pt idx="8">
                  <c:v>3</c:v>
                </c:pt>
                <c:pt idx="9">
                  <c:v>0</c:v>
                </c:pt>
                <c:pt idx="10">
                  <c:v>0</c:v>
                </c:pt>
                <c:pt idx="11">
                  <c:v>0</c:v>
                </c:pt>
                <c:pt idx="12">
                  <c:v>4</c:v>
                </c:pt>
                <c:pt idx="13">
                  <c:v>4</c:v>
                </c:pt>
                <c:pt idx="14">
                  <c:v>4</c:v>
                </c:pt>
                <c:pt idx="15">
                  <c:v>4</c:v>
                </c:pt>
                <c:pt idx="16">
                  <c:v>4</c:v>
                </c:pt>
                <c:pt idx="17">
                  <c:v>14</c:v>
                </c:pt>
                <c:pt idx="18">
                  <c:v>11</c:v>
                </c:pt>
                <c:pt idx="19">
                  <c:v>0</c:v>
                </c:pt>
                <c:pt idx="20">
                  <c:v>4</c:v>
                </c:pt>
                <c:pt idx="21">
                  <c:v>4</c:v>
                </c:pt>
                <c:pt idx="22">
                  <c:v>0</c:v>
                </c:pt>
                <c:pt idx="23">
                  <c:v>3</c:v>
                </c:pt>
                <c:pt idx="24">
                  <c:v>3</c:v>
                </c:pt>
                <c:pt idx="25">
                  <c:v>3</c:v>
                </c:pt>
                <c:pt idx="26">
                  <c:v>11</c:v>
                </c:pt>
                <c:pt idx="27">
                  <c:v>11</c:v>
                </c:pt>
                <c:pt idx="28">
                  <c:v>14</c:v>
                </c:pt>
                <c:pt idx="29">
                  <c:v>0</c:v>
                </c:pt>
                <c:pt idx="30">
                  <c:v>14</c:v>
                </c:pt>
                <c:pt idx="31">
                  <c:v>7</c:v>
                </c:pt>
                <c:pt idx="32">
                  <c:v>10</c:v>
                </c:pt>
                <c:pt idx="33">
                  <c:v>3</c:v>
                </c:pt>
                <c:pt idx="34">
                  <c:v>3</c:v>
                </c:pt>
                <c:pt idx="35">
                  <c:v>20</c:v>
                </c:pt>
                <c:pt idx="36">
                  <c:v>6</c:v>
                </c:pt>
                <c:pt idx="37">
                  <c:v>0</c:v>
                </c:pt>
                <c:pt idx="38">
                  <c:v>0</c:v>
                </c:pt>
                <c:pt idx="39">
                  <c:v>3</c:v>
                </c:pt>
                <c:pt idx="40">
                  <c:v>0</c:v>
                </c:pt>
                <c:pt idx="41">
                  <c:v>3</c:v>
                </c:pt>
                <c:pt idx="42">
                  <c:v>3</c:v>
                </c:pt>
                <c:pt idx="43">
                  <c:v>0</c:v>
                </c:pt>
                <c:pt idx="44">
                  <c:v>0</c:v>
                </c:pt>
                <c:pt idx="45">
                  <c:v>4</c:v>
                </c:pt>
                <c:pt idx="46">
                  <c:v>4</c:v>
                </c:pt>
                <c:pt idx="47">
                  <c:v>4</c:v>
                </c:pt>
                <c:pt idx="48">
                  <c:v>3</c:v>
                </c:pt>
                <c:pt idx="49">
                  <c:v>0</c:v>
                </c:pt>
                <c:pt idx="50">
                  <c:v>0</c:v>
                </c:pt>
              </c:numCache>
            </c:numRef>
          </c:val>
          <c:smooth val="0"/>
          <c:extLst>
            <c:ext xmlns:c16="http://schemas.microsoft.com/office/drawing/2014/chart" uri="{C3380CC4-5D6E-409C-BE32-E72D297353CC}">
              <c16:uniqueId val="{00000000-3E77-456F-BB57-E416FEF976AA}"/>
            </c:ext>
          </c:extLst>
        </c:ser>
        <c:ser>
          <c:idx val="1"/>
          <c:order val="1"/>
          <c:tx>
            <c:strRef>
              <c:f>'Control (2)'!$G$3</c:f>
              <c:strCache>
                <c:ptCount val="1"/>
                <c:pt idx="0">
                  <c:v>Rbar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'Control (2)'!$G$4:$G$54</c:f>
              <c:numCache>
                <c:formatCode>General</c:formatCode>
                <c:ptCount val="51"/>
                <c:pt idx="0">
                  <c:v>3.96</c:v>
                </c:pt>
                <c:pt idx="1">
                  <c:v>3.96</c:v>
                </c:pt>
                <c:pt idx="2">
                  <c:v>3.96</c:v>
                </c:pt>
                <c:pt idx="3">
                  <c:v>3.96</c:v>
                </c:pt>
                <c:pt idx="4">
                  <c:v>3.96</c:v>
                </c:pt>
                <c:pt idx="5">
                  <c:v>3.96</c:v>
                </c:pt>
                <c:pt idx="6">
                  <c:v>3.96</c:v>
                </c:pt>
                <c:pt idx="7">
                  <c:v>3.96</c:v>
                </c:pt>
                <c:pt idx="8">
                  <c:v>3.96</c:v>
                </c:pt>
                <c:pt idx="9">
                  <c:v>3.96</c:v>
                </c:pt>
                <c:pt idx="10">
                  <c:v>3.96</c:v>
                </c:pt>
                <c:pt idx="11">
                  <c:v>3.96</c:v>
                </c:pt>
                <c:pt idx="12">
                  <c:v>3.96</c:v>
                </c:pt>
                <c:pt idx="13">
                  <c:v>3.96</c:v>
                </c:pt>
                <c:pt idx="14">
                  <c:v>3.96</c:v>
                </c:pt>
                <c:pt idx="15">
                  <c:v>3.96</c:v>
                </c:pt>
                <c:pt idx="16">
                  <c:v>3.96</c:v>
                </c:pt>
                <c:pt idx="17">
                  <c:v>3.96</c:v>
                </c:pt>
                <c:pt idx="18">
                  <c:v>3.96</c:v>
                </c:pt>
                <c:pt idx="19">
                  <c:v>3.96</c:v>
                </c:pt>
                <c:pt idx="20">
                  <c:v>3.96</c:v>
                </c:pt>
                <c:pt idx="21">
                  <c:v>3.96</c:v>
                </c:pt>
                <c:pt idx="22">
                  <c:v>3.96</c:v>
                </c:pt>
                <c:pt idx="23">
                  <c:v>3.96</c:v>
                </c:pt>
                <c:pt idx="24">
                  <c:v>3.96</c:v>
                </c:pt>
                <c:pt idx="25">
                  <c:v>3.96</c:v>
                </c:pt>
                <c:pt idx="26">
                  <c:v>3.96</c:v>
                </c:pt>
                <c:pt idx="27">
                  <c:v>3.96</c:v>
                </c:pt>
                <c:pt idx="28">
                  <c:v>3.96</c:v>
                </c:pt>
                <c:pt idx="29">
                  <c:v>3.96</c:v>
                </c:pt>
                <c:pt idx="30">
                  <c:v>3.96</c:v>
                </c:pt>
                <c:pt idx="31">
                  <c:v>3.96</c:v>
                </c:pt>
                <c:pt idx="32">
                  <c:v>3.96</c:v>
                </c:pt>
                <c:pt idx="33">
                  <c:v>3.96</c:v>
                </c:pt>
                <c:pt idx="34">
                  <c:v>3.96</c:v>
                </c:pt>
                <c:pt idx="35">
                  <c:v>3.96</c:v>
                </c:pt>
                <c:pt idx="36">
                  <c:v>3.96</c:v>
                </c:pt>
                <c:pt idx="37">
                  <c:v>3.96</c:v>
                </c:pt>
                <c:pt idx="38">
                  <c:v>3.96</c:v>
                </c:pt>
                <c:pt idx="39">
                  <c:v>3.96</c:v>
                </c:pt>
                <c:pt idx="40">
                  <c:v>3.96</c:v>
                </c:pt>
                <c:pt idx="41">
                  <c:v>3.96</c:v>
                </c:pt>
                <c:pt idx="42">
                  <c:v>3.96</c:v>
                </c:pt>
                <c:pt idx="43">
                  <c:v>3.96</c:v>
                </c:pt>
                <c:pt idx="44">
                  <c:v>3.96</c:v>
                </c:pt>
                <c:pt idx="45">
                  <c:v>3.96</c:v>
                </c:pt>
                <c:pt idx="46">
                  <c:v>3.96</c:v>
                </c:pt>
                <c:pt idx="47">
                  <c:v>3.96</c:v>
                </c:pt>
                <c:pt idx="48">
                  <c:v>3.96</c:v>
                </c:pt>
                <c:pt idx="49">
                  <c:v>3.96</c:v>
                </c:pt>
                <c:pt idx="50">
                  <c:v>3.96</c:v>
                </c:pt>
              </c:numCache>
            </c:numRef>
          </c:val>
          <c:smooth val="0"/>
          <c:extLst>
            <c:ext xmlns:c16="http://schemas.microsoft.com/office/drawing/2014/chart" uri="{C3380CC4-5D6E-409C-BE32-E72D297353CC}">
              <c16:uniqueId val="{00000001-3E77-456F-BB57-E416FEF976AA}"/>
            </c:ext>
          </c:extLst>
        </c:ser>
        <c:ser>
          <c:idx val="2"/>
          <c:order val="2"/>
          <c:tx>
            <c:strRef>
              <c:f>'Control (2)'!$H$3</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'Control (2)'!$H$4:$H$54</c:f>
              <c:numCache>
                <c:formatCode>0.00</c:formatCode>
                <c:ptCount val="51"/>
                <c:pt idx="0">
                  <c:v>12.949199999999999</c:v>
                </c:pt>
                <c:pt idx="1">
                  <c:v>12.949199999999999</c:v>
                </c:pt>
                <c:pt idx="2">
                  <c:v>12.949199999999999</c:v>
                </c:pt>
                <c:pt idx="3">
                  <c:v>12.949199999999999</c:v>
                </c:pt>
                <c:pt idx="4">
                  <c:v>12.949199999999999</c:v>
                </c:pt>
                <c:pt idx="5">
                  <c:v>12.949199999999999</c:v>
                </c:pt>
                <c:pt idx="6">
                  <c:v>12.949199999999999</c:v>
                </c:pt>
                <c:pt idx="7">
                  <c:v>12.949199999999999</c:v>
                </c:pt>
                <c:pt idx="8">
                  <c:v>12.949199999999999</c:v>
                </c:pt>
                <c:pt idx="9">
                  <c:v>12.949199999999999</c:v>
                </c:pt>
                <c:pt idx="10">
                  <c:v>12.949199999999999</c:v>
                </c:pt>
                <c:pt idx="11">
                  <c:v>12.949199999999999</c:v>
                </c:pt>
                <c:pt idx="12">
                  <c:v>12.949199999999999</c:v>
                </c:pt>
                <c:pt idx="13">
                  <c:v>12.949199999999999</c:v>
                </c:pt>
                <c:pt idx="14">
                  <c:v>12.949199999999999</c:v>
                </c:pt>
                <c:pt idx="15">
                  <c:v>12.949199999999999</c:v>
                </c:pt>
                <c:pt idx="16">
                  <c:v>12.949199999999999</c:v>
                </c:pt>
                <c:pt idx="17">
                  <c:v>12.949199999999999</c:v>
                </c:pt>
                <c:pt idx="18">
                  <c:v>12.949199999999999</c:v>
                </c:pt>
                <c:pt idx="19">
                  <c:v>12.949199999999999</c:v>
                </c:pt>
                <c:pt idx="20">
                  <c:v>12.949199999999999</c:v>
                </c:pt>
                <c:pt idx="21">
                  <c:v>12.949199999999999</c:v>
                </c:pt>
                <c:pt idx="22">
                  <c:v>12.949199999999999</c:v>
                </c:pt>
                <c:pt idx="23">
                  <c:v>12.949199999999999</c:v>
                </c:pt>
                <c:pt idx="24">
                  <c:v>12.949199999999999</c:v>
                </c:pt>
                <c:pt idx="25">
                  <c:v>12.949199999999999</c:v>
                </c:pt>
                <c:pt idx="26">
                  <c:v>12.949199999999999</c:v>
                </c:pt>
                <c:pt idx="27">
                  <c:v>12.949199999999999</c:v>
                </c:pt>
                <c:pt idx="28">
                  <c:v>12.949199999999999</c:v>
                </c:pt>
                <c:pt idx="29">
                  <c:v>12.949199999999999</c:v>
                </c:pt>
                <c:pt idx="30">
                  <c:v>12.949199999999999</c:v>
                </c:pt>
                <c:pt idx="31">
                  <c:v>12.949199999999999</c:v>
                </c:pt>
                <c:pt idx="32">
                  <c:v>12.949199999999999</c:v>
                </c:pt>
                <c:pt idx="33">
                  <c:v>12.949199999999999</c:v>
                </c:pt>
                <c:pt idx="34">
                  <c:v>12.949199999999999</c:v>
                </c:pt>
                <c:pt idx="35">
                  <c:v>12.949199999999999</c:v>
                </c:pt>
                <c:pt idx="36">
                  <c:v>12.949199999999999</c:v>
                </c:pt>
                <c:pt idx="37">
                  <c:v>12.949199999999999</c:v>
                </c:pt>
                <c:pt idx="38">
                  <c:v>12.949199999999999</c:v>
                </c:pt>
                <c:pt idx="39">
                  <c:v>12.949199999999999</c:v>
                </c:pt>
                <c:pt idx="40">
                  <c:v>12.949199999999999</c:v>
                </c:pt>
                <c:pt idx="41">
                  <c:v>12.949199999999999</c:v>
                </c:pt>
                <c:pt idx="42">
                  <c:v>12.949199999999999</c:v>
                </c:pt>
                <c:pt idx="43">
                  <c:v>12.949199999999999</c:v>
                </c:pt>
                <c:pt idx="44">
                  <c:v>12.949199999999999</c:v>
                </c:pt>
                <c:pt idx="45">
                  <c:v>12.949199999999999</c:v>
                </c:pt>
                <c:pt idx="46">
                  <c:v>12.949199999999999</c:v>
                </c:pt>
                <c:pt idx="47">
                  <c:v>12.949199999999999</c:v>
                </c:pt>
                <c:pt idx="48">
                  <c:v>12.949199999999999</c:v>
                </c:pt>
                <c:pt idx="49">
                  <c:v>12.949199999999999</c:v>
                </c:pt>
                <c:pt idx="50">
                  <c:v>12.949199999999999</c:v>
                </c:pt>
              </c:numCache>
            </c:numRef>
          </c:val>
          <c:smooth val="0"/>
          <c:extLst>
            <c:ext xmlns:c16="http://schemas.microsoft.com/office/drawing/2014/chart" uri="{C3380CC4-5D6E-409C-BE32-E72D297353CC}">
              <c16:uniqueId val="{00000002-3E77-456F-BB57-E416FEF976AA}"/>
            </c:ext>
          </c:extLst>
        </c:ser>
        <c:ser>
          <c:idx val="3"/>
          <c:order val="3"/>
          <c:tx>
            <c:strRef>
              <c:f>'Control (2)'!$I$3</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'Control (2)'!$I$4:$I$54</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extLst>
            <c:ext xmlns:c16="http://schemas.microsoft.com/office/drawing/2014/chart" uri="{C3380CC4-5D6E-409C-BE32-E72D297353CC}">
              <c16:uniqueId val="{00000003-3E77-456F-BB57-E416FEF976AA}"/>
            </c:ext>
          </c:extLst>
        </c:ser>
        <c:dLbls>
          <c:showLegendKey val="0"/>
          <c:showVal val="0"/>
          <c:showCatName val="0"/>
          <c:showSerName val="0"/>
          <c:showPercent val="0"/>
          <c:showBubbleSize val="0"/>
        </c:dLbls>
        <c:marker val="1"/>
        <c:smooth val="0"/>
        <c:axId val="951320368"/>
        <c:axId val="951312824"/>
      </c:lineChart>
      <c:catAx>
        <c:axId val="951320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312824"/>
        <c:crosses val="autoZero"/>
        <c:auto val="1"/>
        <c:lblAlgn val="ctr"/>
        <c:lblOffset val="100"/>
        <c:noMultiLvlLbl val="0"/>
      </c:catAx>
      <c:valAx>
        <c:axId val="95131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32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2018 H1, PO Invoice Aproval Cycle Time (X)</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'Control (2)'!$K$3</c:f>
              <c:strCache>
                <c:ptCount val="1"/>
                <c:pt idx="0">
                  <c:v>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'Control (2)'!$K$4:$K$54</c:f>
              <c:numCache>
                <c:formatCode>General</c:formatCode>
                <c:ptCount val="51"/>
                <c:pt idx="0">
                  <c:v>29</c:v>
                </c:pt>
                <c:pt idx="1">
                  <c:v>30</c:v>
                </c:pt>
                <c:pt idx="2">
                  <c:v>30</c:v>
                </c:pt>
                <c:pt idx="3">
                  <c:v>24</c:v>
                </c:pt>
                <c:pt idx="4">
                  <c:v>23</c:v>
                </c:pt>
                <c:pt idx="5">
                  <c:v>24</c:v>
                </c:pt>
                <c:pt idx="6">
                  <c:v>23</c:v>
                </c:pt>
                <c:pt idx="7">
                  <c:v>23</c:v>
                </c:pt>
                <c:pt idx="8">
                  <c:v>20</c:v>
                </c:pt>
                <c:pt idx="9">
                  <c:v>20</c:v>
                </c:pt>
                <c:pt idx="10">
                  <c:v>20</c:v>
                </c:pt>
                <c:pt idx="11">
                  <c:v>20</c:v>
                </c:pt>
                <c:pt idx="12">
                  <c:v>24</c:v>
                </c:pt>
                <c:pt idx="13">
                  <c:v>20</c:v>
                </c:pt>
                <c:pt idx="14">
                  <c:v>24</c:v>
                </c:pt>
                <c:pt idx="15">
                  <c:v>20</c:v>
                </c:pt>
                <c:pt idx="16">
                  <c:v>24</c:v>
                </c:pt>
                <c:pt idx="17">
                  <c:v>10</c:v>
                </c:pt>
                <c:pt idx="18">
                  <c:v>21</c:v>
                </c:pt>
                <c:pt idx="19">
                  <c:v>21</c:v>
                </c:pt>
                <c:pt idx="20">
                  <c:v>17</c:v>
                </c:pt>
                <c:pt idx="21">
                  <c:v>21</c:v>
                </c:pt>
                <c:pt idx="22">
                  <c:v>21</c:v>
                </c:pt>
                <c:pt idx="23">
                  <c:v>24</c:v>
                </c:pt>
                <c:pt idx="24">
                  <c:v>21</c:v>
                </c:pt>
                <c:pt idx="25">
                  <c:v>24</c:v>
                </c:pt>
                <c:pt idx="26">
                  <c:v>13</c:v>
                </c:pt>
                <c:pt idx="27">
                  <c:v>24</c:v>
                </c:pt>
                <c:pt idx="28">
                  <c:v>10</c:v>
                </c:pt>
                <c:pt idx="29">
                  <c:v>10</c:v>
                </c:pt>
                <c:pt idx="30">
                  <c:v>24</c:v>
                </c:pt>
                <c:pt idx="31">
                  <c:v>17</c:v>
                </c:pt>
                <c:pt idx="32">
                  <c:v>27</c:v>
                </c:pt>
                <c:pt idx="33">
                  <c:v>24</c:v>
                </c:pt>
                <c:pt idx="34">
                  <c:v>27</c:v>
                </c:pt>
                <c:pt idx="35">
                  <c:v>7</c:v>
                </c:pt>
                <c:pt idx="36">
                  <c:v>13</c:v>
                </c:pt>
                <c:pt idx="37">
                  <c:v>13</c:v>
                </c:pt>
                <c:pt idx="38">
                  <c:v>13</c:v>
                </c:pt>
                <c:pt idx="39">
                  <c:v>10</c:v>
                </c:pt>
                <c:pt idx="40">
                  <c:v>10</c:v>
                </c:pt>
                <c:pt idx="41">
                  <c:v>13</c:v>
                </c:pt>
                <c:pt idx="42">
                  <c:v>10</c:v>
                </c:pt>
                <c:pt idx="43">
                  <c:v>10</c:v>
                </c:pt>
                <c:pt idx="44">
                  <c:v>10</c:v>
                </c:pt>
                <c:pt idx="45">
                  <c:v>6</c:v>
                </c:pt>
                <c:pt idx="46">
                  <c:v>10</c:v>
                </c:pt>
                <c:pt idx="47">
                  <c:v>6</c:v>
                </c:pt>
                <c:pt idx="48">
                  <c:v>3</c:v>
                </c:pt>
                <c:pt idx="49">
                  <c:v>3</c:v>
                </c:pt>
                <c:pt idx="50">
                  <c:v>3</c:v>
                </c:pt>
              </c:numCache>
            </c:numRef>
          </c:val>
          <c:smooth val="0"/>
          <c:extLst>
            <c:ext xmlns:c16="http://schemas.microsoft.com/office/drawing/2014/chart" uri="{C3380CC4-5D6E-409C-BE32-E72D297353CC}">
              <c16:uniqueId val="{00000000-1D65-47B2-BE56-86698E69C2AA}"/>
            </c:ext>
          </c:extLst>
        </c:ser>
        <c:ser>
          <c:idx val="1"/>
          <c:order val="1"/>
          <c:tx>
            <c:strRef>
              <c:f>'Control (2)'!$L$3</c:f>
              <c:strCache>
                <c:ptCount val="1"/>
                <c:pt idx="0">
                  <c:v>x-bar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'Control (2)'!$L$4:$L$54</c:f>
              <c:numCache>
                <c:formatCode>0.00</c:formatCode>
                <c:ptCount val="51"/>
                <c:pt idx="0">
                  <c:v>17.529411764705884</c:v>
                </c:pt>
                <c:pt idx="1">
                  <c:v>17.529411764705884</c:v>
                </c:pt>
                <c:pt idx="2">
                  <c:v>17.529411764705884</c:v>
                </c:pt>
                <c:pt idx="3">
                  <c:v>17.529411764705884</c:v>
                </c:pt>
                <c:pt idx="4">
                  <c:v>17.529411764705884</c:v>
                </c:pt>
                <c:pt idx="5">
                  <c:v>17.529411764705884</c:v>
                </c:pt>
                <c:pt idx="6">
                  <c:v>17.529411764705884</c:v>
                </c:pt>
                <c:pt idx="7">
                  <c:v>17.529411764705884</c:v>
                </c:pt>
                <c:pt idx="8">
                  <c:v>17.529411764705884</c:v>
                </c:pt>
                <c:pt idx="9">
                  <c:v>17.529411764705884</c:v>
                </c:pt>
                <c:pt idx="10">
                  <c:v>17.529411764705884</c:v>
                </c:pt>
                <c:pt idx="11">
                  <c:v>17.529411764705884</c:v>
                </c:pt>
                <c:pt idx="12">
                  <c:v>17.529411764705884</c:v>
                </c:pt>
                <c:pt idx="13">
                  <c:v>17.529411764705884</c:v>
                </c:pt>
                <c:pt idx="14">
                  <c:v>17.529411764705884</c:v>
                </c:pt>
                <c:pt idx="15">
                  <c:v>17.529411764705884</c:v>
                </c:pt>
                <c:pt idx="16">
                  <c:v>17.529411764705884</c:v>
                </c:pt>
                <c:pt idx="17">
                  <c:v>17.529411764705884</c:v>
                </c:pt>
                <c:pt idx="18">
                  <c:v>17.529411764705884</c:v>
                </c:pt>
                <c:pt idx="19">
                  <c:v>17.529411764705884</c:v>
                </c:pt>
                <c:pt idx="20">
                  <c:v>17.529411764705884</c:v>
                </c:pt>
                <c:pt idx="21">
                  <c:v>17.529411764705884</c:v>
                </c:pt>
                <c:pt idx="22">
                  <c:v>17.529411764705884</c:v>
                </c:pt>
                <c:pt idx="23">
                  <c:v>17.529411764705884</c:v>
                </c:pt>
                <c:pt idx="24">
                  <c:v>17.529411764705884</c:v>
                </c:pt>
                <c:pt idx="25">
                  <c:v>17.529411764705884</c:v>
                </c:pt>
                <c:pt idx="26">
                  <c:v>17.529411764705884</c:v>
                </c:pt>
                <c:pt idx="27">
                  <c:v>17.529411764705884</c:v>
                </c:pt>
                <c:pt idx="28">
                  <c:v>17.529411764705884</c:v>
                </c:pt>
                <c:pt idx="29">
                  <c:v>17.529411764705884</c:v>
                </c:pt>
                <c:pt idx="30">
                  <c:v>17.529411764705884</c:v>
                </c:pt>
                <c:pt idx="31">
                  <c:v>17.529411764705884</c:v>
                </c:pt>
                <c:pt idx="32">
                  <c:v>17.529411764705884</c:v>
                </c:pt>
                <c:pt idx="33">
                  <c:v>17.529411764705884</c:v>
                </c:pt>
                <c:pt idx="34">
                  <c:v>17.529411764705884</c:v>
                </c:pt>
                <c:pt idx="35">
                  <c:v>17.529411764705884</c:v>
                </c:pt>
                <c:pt idx="36">
                  <c:v>17.529411764705884</c:v>
                </c:pt>
                <c:pt idx="37">
                  <c:v>17.529411764705884</c:v>
                </c:pt>
                <c:pt idx="38">
                  <c:v>17.529411764705884</c:v>
                </c:pt>
                <c:pt idx="39">
                  <c:v>17.529411764705884</c:v>
                </c:pt>
                <c:pt idx="40">
                  <c:v>17.529411764705884</c:v>
                </c:pt>
                <c:pt idx="41">
                  <c:v>17.529411764705884</c:v>
                </c:pt>
                <c:pt idx="42">
                  <c:v>17.529411764705884</c:v>
                </c:pt>
                <c:pt idx="43">
                  <c:v>17.529411764705884</c:v>
                </c:pt>
                <c:pt idx="44">
                  <c:v>17.529411764705884</c:v>
                </c:pt>
                <c:pt idx="45">
                  <c:v>17.529411764705884</c:v>
                </c:pt>
                <c:pt idx="46">
                  <c:v>17.529411764705884</c:v>
                </c:pt>
                <c:pt idx="47">
                  <c:v>17.529411764705884</c:v>
                </c:pt>
                <c:pt idx="48">
                  <c:v>17.529411764705884</c:v>
                </c:pt>
                <c:pt idx="49">
                  <c:v>17.529411764705884</c:v>
                </c:pt>
                <c:pt idx="50">
                  <c:v>17.529411764705884</c:v>
                </c:pt>
              </c:numCache>
            </c:numRef>
          </c:val>
          <c:smooth val="0"/>
          <c:extLst>
            <c:ext xmlns:c16="http://schemas.microsoft.com/office/drawing/2014/chart" uri="{C3380CC4-5D6E-409C-BE32-E72D297353CC}">
              <c16:uniqueId val="{00000001-1D65-47B2-BE56-86698E69C2AA}"/>
            </c:ext>
          </c:extLst>
        </c:ser>
        <c:ser>
          <c:idx val="2"/>
          <c:order val="2"/>
          <c:tx>
            <c:strRef>
              <c:f>'Control (2)'!$M$3</c:f>
              <c:strCache>
                <c:ptCount val="1"/>
                <c:pt idx="0">
                  <c:v>UCL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'Control (2)'!$M$4:$M$54</c:f>
              <c:numCache>
                <c:formatCode>0.00</c:formatCode>
                <c:ptCount val="51"/>
                <c:pt idx="0">
                  <c:v>28.063011764705884</c:v>
                </c:pt>
                <c:pt idx="1">
                  <c:v>28.063011764705884</c:v>
                </c:pt>
                <c:pt idx="2">
                  <c:v>28.063011764705884</c:v>
                </c:pt>
                <c:pt idx="3">
                  <c:v>28.063011764705884</c:v>
                </c:pt>
                <c:pt idx="4">
                  <c:v>28.063011764705884</c:v>
                </c:pt>
                <c:pt idx="5">
                  <c:v>28.063011764705884</c:v>
                </c:pt>
                <c:pt idx="6">
                  <c:v>28.063011764705884</c:v>
                </c:pt>
                <c:pt idx="7">
                  <c:v>28.063011764705884</c:v>
                </c:pt>
                <c:pt idx="8">
                  <c:v>28.063011764705884</c:v>
                </c:pt>
                <c:pt idx="9">
                  <c:v>28.063011764705884</c:v>
                </c:pt>
                <c:pt idx="10">
                  <c:v>28.063011764705884</c:v>
                </c:pt>
                <c:pt idx="11">
                  <c:v>28.063011764705884</c:v>
                </c:pt>
                <c:pt idx="12">
                  <c:v>28.063011764705884</c:v>
                </c:pt>
                <c:pt idx="13">
                  <c:v>28.063011764705884</c:v>
                </c:pt>
                <c:pt idx="14">
                  <c:v>28.063011764705884</c:v>
                </c:pt>
                <c:pt idx="15">
                  <c:v>28.063011764705884</c:v>
                </c:pt>
                <c:pt idx="16">
                  <c:v>28.063011764705884</c:v>
                </c:pt>
                <c:pt idx="17">
                  <c:v>28.063011764705884</c:v>
                </c:pt>
                <c:pt idx="18">
                  <c:v>28.063011764705884</c:v>
                </c:pt>
                <c:pt idx="19">
                  <c:v>28.063011764705884</c:v>
                </c:pt>
                <c:pt idx="20">
                  <c:v>28.063011764705884</c:v>
                </c:pt>
                <c:pt idx="21">
                  <c:v>28.063011764705884</c:v>
                </c:pt>
                <c:pt idx="22">
                  <c:v>28.063011764705884</c:v>
                </c:pt>
                <c:pt idx="23">
                  <c:v>28.063011764705884</c:v>
                </c:pt>
                <c:pt idx="24">
                  <c:v>28.063011764705884</c:v>
                </c:pt>
                <c:pt idx="25">
                  <c:v>28.063011764705884</c:v>
                </c:pt>
                <c:pt idx="26">
                  <c:v>28.063011764705884</c:v>
                </c:pt>
                <c:pt idx="27">
                  <c:v>28.063011764705884</c:v>
                </c:pt>
                <c:pt idx="28">
                  <c:v>28.063011764705884</c:v>
                </c:pt>
                <c:pt idx="29">
                  <c:v>28.063011764705884</c:v>
                </c:pt>
                <c:pt idx="30">
                  <c:v>28.063011764705884</c:v>
                </c:pt>
                <c:pt idx="31">
                  <c:v>28.063011764705884</c:v>
                </c:pt>
                <c:pt idx="32">
                  <c:v>28.063011764705884</c:v>
                </c:pt>
                <c:pt idx="33">
                  <c:v>28.063011764705884</c:v>
                </c:pt>
                <c:pt idx="34">
                  <c:v>28.063011764705884</c:v>
                </c:pt>
                <c:pt idx="35">
                  <c:v>28.063011764705884</c:v>
                </c:pt>
                <c:pt idx="36">
                  <c:v>28.063011764705884</c:v>
                </c:pt>
                <c:pt idx="37">
                  <c:v>28.063011764705884</c:v>
                </c:pt>
                <c:pt idx="38">
                  <c:v>28.063011764705884</c:v>
                </c:pt>
                <c:pt idx="39">
                  <c:v>28.063011764705884</c:v>
                </c:pt>
                <c:pt idx="40">
                  <c:v>28.063011764705884</c:v>
                </c:pt>
                <c:pt idx="41">
                  <c:v>28.063011764705884</c:v>
                </c:pt>
                <c:pt idx="42">
                  <c:v>28.063011764705884</c:v>
                </c:pt>
                <c:pt idx="43">
                  <c:v>28.063011764705884</c:v>
                </c:pt>
                <c:pt idx="44">
                  <c:v>28.063011764705884</c:v>
                </c:pt>
                <c:pt idx="45">
                  <c:v>28.063011764705884</c:v>
                </c:pt>
                <c:pt idx="46">
                  <c:v>28.063011764705884</c:v>
                </c:pt>
                <c:pt idx="47">
                  <c:v>28.063011764705884</c:v>
                </c:pt>
                <c:pt idx="48">
                  <c:v>28.063011764705884</c:v>
                </c:pt>
                <c:pt idx="49">
                  <c:v>28.063011764705884</c:v>
                </c:pt>
                <c:pt idx="50">
                  <c:v>28.063011764705884</c:v>
                </c:pt>
              </c:numCache>
            </c:numRef>
          </c:val>
          <c:smooth val="0"/>
          <c:extLst>
            <c:ext xmlns:c16="http://schemas.microsoft.com/office/drawing/2014/chart" uri="{C3380CC4-5D6E-409C-BE32-E72D297353CC}">
              <c16:uniqueId val="{00000002-1D65-47B2-BE56-86698E69C2AA}"/>
            </c:ext>
          </c:extLst>
        </c:ser>
        <c:ser>
          <c:idx val="3"/>
          <c:order val="3"/>
          <c:tx>
            <c:strRef>
              <c:f>'Control (2)'!$N$3</c:f>
              <c:strCache>
                <c:ptCount val="1"/>
                <c:pt idx="0">
                  <c:v>LCL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'Control (2)'!$N$4:$N$54</c:f>
              <c:numCache>
                <c:formatCode>0.0</c:formatCode>
                <c:ptCount val="51"/>
                <c:pt idx="0">
                  <c:v>6.9958117647058842</c:v>
                </c:pt>
                <c:pt idx="1">
                  <c:v>6.9958117647058842</c:v>
                </c:pt>
                <c:pt idx="2">
                  <c:v>6.9958117647058842</c:v>
                </c:pt>
                <c:pt idx="3">
                  <c:v>6.9958117647058842</c:v>
                </c:pt>
                <c:pt idx="4">
                  <c:v>6.9958117647058842</c:v>
                </c:pt>
                <c:pt idx="5">
                  <c:v>6.9958117647058842</c:v>
                </c:pt>
                <c:pt idx="6">
                  <c:v>6.9958117647058842</c:v>
                </c:pt>
                <c:pt idx="7">
                  <c:v>6.9958117647058842</c:v>
                </c:pt>
                <c:pt idx="8">
                  <c:v>6.9958117647058842</c:v>
                </c:pt>
                <c:pt idx="9">
                  <c:v>6.9958117647058842</c:v>
                </c:pt>
                <c:pt idx="10">
                  <c:v>6.9958117647058842</c:v>
                </c:pt>
                <c:pt idx="11">
                  <c:v>6.9958117647058842</c:v>
                </c:pt>
                <c:pt idx="12">
                  <c:v>6.9958117647058842</c:v>
                </c:pt>
                <c:pt idx="13">
                  <c:v>6.9958117647058842</c:v>
                </c:pt>
                <c:pt idx="14">
                  <c:v>6.9958117647058842</c:v>
                </c:pt>
                <c:pt idx="15">
                  <c:v>6.9958117647058842</c:v>
                </c:pt>
                <c:pt idx="16">
                  <c:v>6.9958117647058842</c:v>
                </c:pt>
                <c:pt idx="17">
                  <c:v>6.9958117647058842</c:v>
                </c:pt>
                <c:pt idx="18">
                  <c:v>6.9958117647058842</c:v>
                </c:pt>
                <c:pt idx="19">
                  <c:v>6.9958117647058842</c:v>
                </c:pt>
                <c:pt idx="20">
                  <c:v>6.9958117647058842</c:v>
                </c:pt>
                <c:pt idx="21">
                  <c:v>6.9958117647058842</c:v>
                </c:pt>
                <c:pt idx="22">
                  <c:v>6.9958117647058842</c:v>
                </c:pt>
                <c:pt idx="23">
                  <c:v>6.9958117647058842</c:v>
                </c:pt>
                <c:pt idx="24">
                  <c:v>6.9958117647058842</c:v>
                </c:pt>
                <c:pt idx="25">
                  <c:v>6.9958117647058842</c:v>
                </c:pt>
                <c:pt idx="26">
                  <c:v>6.9958117647058842</c:v>
                </c:pt>
                <c:pt idx="27">
                  <c:v>6.9958117647058842</c:v>
                </c:pt>
                <c:pt idx="28">
                  <c:v>6.9958117647058842</c:v>
                </c:pt>
                <c:pt idx="29">
                  <c:v>6.9958117647058842</c:v>
                </c:pt>
                <c:pt idx="30">
                  <c:v>6.9958117647058842</c:v>
                </c:pt>
                <c:pt idx="31">
                  <c:v>6.9958117647058842</c:v>
                </c:pt>
                <c:pt idx="32">
                  <c:v>6.9958117647058842</c:v>
                </c:pt>
                <c:pt idx="33">
                  <c:v>6.9958117647058842</c:v>
                </c:pt>
                <c:pt idx="34">
                  <c:v>6.9958117647058842</c:v>
                </c:pt>
                <c:pt idx="35">
                  <c:v>6.9958117647058842</c:v>
                </c:pt>
                <c:pt idx="36">
                  <c:v>6.9958117647058842</c:v>
                </c:pt>
                <c:pt idx="37">
                  <c:v>6.9958117647058842</c:v>
                </c:pt>
                <c:pt idx="38">
                  <c:v>6.9958117647058842</c:v>
                </c:pt>
                <c:pt idx="39">
                  <c:v>6.9958117647058842</c:v>
                </c:pt>
                <c:pt idx="40">
                  <c:v>6.9958117647058842</c:v>
                </c:pt>
                <c:pt idx="41">
                  <c:v>6.9958117647058842</c:v>
                </c:pt>
                <c:pt idx="42">
                  <c:v>6.9958117647058842</c:v>
                </c:pt>
                <c:pt idx="43">
                  <c:v>6.9958117647058842</c:v>
                </c:pt>
                <c:pt idx="44">
                  <c:v>6.9958117647058842</c:v>
                </c:pt>
                <c:pt idx="45">
                  <c:v>6.9958117647058842</c:v>
                </c:pt>
                <c:pt idx="46">
                  <c:v>6.9958117647058842</c:v>
                </c:pt>
                <c:pt idx="47">
                  <c:v>6.9958117647058842</c:v>
                </c:pt>
                <c:pt idx="48">
                  <c:v>6.9958117647058842</c:v>
                </c:pt>
                <c:pt idx="49">
                  <c:v>6.9958117647058842</c:v>
                </c:pt>
                <c:pt idx="50">
                  <c:v>6.9958117647058842</c:v>
                </c:pt>
              </c:numCache>
            </c:numRef>
          </c:val>
          <c:smooth val="0"/>
          <c:extLst>
            <c:ext xmlns:c16="http://schemas.microsoft.com/office/drawing/2014/chart" uri="{C3380CC4-5D6E-409C-BE32-E72D297353CC}">
              <c16:uniqueId val="{00000003-1D65-47B2-BE56-86698E69C2AA}"/>
            </c:ext>
          </c:extLst>
        </c:ser>
        <c:dLbls>
          <c:showLegendKey val="0"/>
          <c:showVal val="0"/>
          <c:showCatName val="0"/>
          <c:showSerName val="0"/>
          <c:showPercent val="0"/>
          <c:showBubbleSize val="0"/>
        </c:dLbls>
        <c:marker val="1"/>
        <c:smooth val="0"/>
        <c:axId val="951261000"/>
        <c:axId val="951261656"/>
      </c:lineChart>
      <c:catAx>
        <c:axId val="951261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61656"/>
        <c:crosses val="autoZero"/>
        <c:auto val="1"/>
        <c:lblAlgn val="ctr"/>
        <c:lblOffset val="100"/>
        <c:noMultiLvlLbl val="0"/>
      </c:catAx>
      <c:valAx>
        <c:axId val="951261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61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Seriese Plot, NFL, AVG Rushing Yards / Game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'A1'!$C$5</c:f>
              <c:strCache>
                <c:ptCount val="1"/>
                <c:pt idx="0">
                  <c:v>Rushing yards/Game (y)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rgbClr val="C00000"/>
                </a:solidFill>
                <a:prstDash val="sysDot"/>
              </a:ln>
              <a:effectLst/>
            </c:spPr>
            <c:trendlineType val="linear"/>
            <c:dispRSqr val="0"/>
            <c:dispEq val="0"/>
          </c:trendline>
          <c:xVal>
            <c:numRef>
              <c:f>'A1'!$B$6:$B$34</c:f>
              <c:numCache>
                <c:formatCode>General</c:formatCode>
                <c:ptCount val="2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numCache>
            </c:numRef>
          </c:xVal>
          <c:yVal>
            <c:numRef>
              <c:f>'A1'!$C$6:$C$34</c:f>
              <c:numCache>
                <c:formatCode>General</c:formatCode>
                <c:ptCount val="29"/>
                <c:pt idx="0">
                  <c:v>127.5</c:v>
                </c:pt>
                <c:pt idx="1">
                  <c:v>130.1</c:v>
                </c:pt>
                <c:pt idx="2">
                  <c:v>117.8</c:v>
                </c:pt>
                <c:pt idx="3">
                  <c:v>129.69999999999999</c:v>
                </c:pt>
                <c:pt idx="4">
                  <c:v>123.9</c:v>
                </c:pt>
                <c:pt idx="5">
                  <c:v>124.9</c:v>
                </c:pt>
                <c:pt idx="6">
                  <c:v>118.7</c:v>
                </c:pt>
                <c:pt idx="7">
                  <c:v>123.9</c:v>
                </c:pt>
                <c:pt idx="8">
                  <c:v>121.4</c:v>
                </c:pt>
                <c:pt idx="9">
                  <c:v>115.3</c:v>
                </c:pt>
                <c:pt idx="10">
                  <c:v>113.9</c:v>
                </c:pt>
                <c:pt idx="11">
                  <c:v>107.7</c:v>
                </c:pt>
                <c:pt idx="12">
                  <c:v>110.5</c:v>
                </c:pt>
                <c:pt idx="13">
                  <c:v>110</c:v>
                </c:pt>
                <c:pt idx="14">
                  <c:v>104.3</c:v>
                </c:pt>
                <c:pt idx="15">
                  <c:v>108.10000000000001</c:v>
                </c:pt>
                <c:pt idx="16">
                  <c:v>109</c:v>
                </c:pt>
                <c:pt idx="17">
                  <c:v>113</c:v>
                </c:pt>
                <c:pt idx="18">
                  <c:v>112.7</c:v>
                </c:pt>
                <c:pt idx="19">
                  <c:v>106.5</c:v>
                </c:pt>
                <c:pt idx="20">
                  <c:v>112.60000000000001</c:v>
                </c:pt>
                <c:pt idx="21">
                  <c:v>111.8</c:v>
                </c:pt>
                <c:pt idx="22">
                  <c:v>116.10000000000001</c:v>
                </c:pt>
                <c:pt idx="23">
                  <c:v>117.9</c:v>
                </c:pt>
                <c:pt idx="24">
                  <c:v>116.60000000000001</c:v>
                </c:pt>
                <c:pt idx="25">
                  <c:v>112.5</c:v>
                </c:pt>
                <c:pt idx="26">
                  <c:v>117.3</c:v>
                </c:pt>
                <c:pt idx="27">
                  <c:v>110.9</c:v>
                </c:pt>
                <c:pt idx="28">
                  <c:v>114.60000000000001</c:v>
                </c:pt>
              </c:numCache>
            </c:numRef>
          </c:yVal>
          <c:smooth val="0"/>
          <c:extLst>
            <c:ext xmlns:c16="http://schemas.microsoft.com/office/drawing/2014/chart" uri="{C3380CC4-5D6E-409C-BE32-E72D297353CC}">
              <c16:uniqueId val="{00000000-4432-4D96-A0A2-F6CD8C50CE25}"/>
            </c:ext>
          </c:extLst>
        </c:ser>
        <c:dLbls>
          <c:showLegendKey val="0"/>
          <c:showVal val="0"/>
          <c:showCatName val="0"/>
          <c:showSerName val="0"/>
          <c:showPercent val="0"/>
          <c:showBubbleSize val="0"/>
        </c:dLbls>
        <c:axId val="804724640"/>
        <c:axId val="804725624"/>
      </c:scatterChart>
      <c:valAx>
        <c:axId val="804724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25624"/>
        <c:crosses val="autoZero"/>
        <c:crossBetween val="midCat"/>
      </c:valAx>
      <c:valAx>
        <c:axId val="804725624"/>
        <c:scaling>
          <c:orientation val="minMax"/>
          <c:min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Rushing Yards / Game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24640"/>
        <c:crosses val="autoZero"/>
        <c:crossBetween val="midCat"/>
        <c:majorUnit val="5"/>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NFL AVG Rushing Yards</a:t>
            </a:r>
          </a:p>
          <a:p>
            <a:pPr>
              <a:defRPr/>
            </a:pPr>
            <a:r>
              <a:rPr lang="en-US" sz="1800" b="1" i="0" baseline="0">
                <a:effectLst/>
              </a:rPr>
              <a:t>Exp Smooth .8</a:t>
            </a:r>
            <a:endParaRPr lang="en-US">
              <a:effectLst/>
            </a:endParaRPr>
          </a:p>
        </c:rich>
      </c:tx>
      <c:layout>
        <c:manualLayout>
          <c:xMode val="edge"/>
          <c:yMode val="edge"/>
          <c:x val="0.20889228670502649"/>
          <c:y val="3.4313733436868943E-2"/>
        </c:manualLayout>
      </c:layout>
      <c:overlay val="0"/>
    </c:title>
    <c:autoTitleDeleted val="0"/>
    <c:plotArea>
      <c:layout/>
      <c:lineChart>
        <c:grouping val="standard"/>
        <c:varyColors val="0"/>
        <c:ser>
          <c:idx val="0"/>
          <c:order val="0"/>
          <c:tx>
            <c:v>Actual</c:v>
          </c:tx>
          <c:val>
            <c:numRef>
              <c:f>'A4'!$C$6:$C$34</c:f>
              <c:numCache>
                <c:formatCode>General</c:formatCode>
                <c:ptCount val="29"/>
                <c:pt idx="0">
                  <c:v>127.5</c:v>
                </c:pt>
                <c:pt idx="1">
                  <c:v>130.1</c:v>
                </c:pt>
                <c:pt idx="2">
                  <c:v>117.8</c:v>
                </c:pt>
                <c:pt idx="3">
                  <c:v>129.69999999999999</c:v>
                </c:pt>
                <c:pt idx="4">
                  <c:v>123.9</c:v>
                </c:pt>
                <c:pt idx="5">
                  <c:v>124.9</c:v>
                </c:pt>
                <c:pt idx="6">
                  <c:v>118.7</c:v>
                </c:pt>
                <c:pt idx="7">
                  <c:v>123.9</c:v>
                </c:pt>
                <c:pt idx="8">
                  <c:v>121.4</c:v>
                </c:pt>
                <c:pt idx="9">
                  <c:v>115.3</c:v>
                </c:pt>
                <c:pt idx="10">
                  <c:v>113.9</c:v>
                </c:pt>
                <c:pt idx="11">
                  <c:v>107.7</c:v>
                </c:pt>
                <c:pt idx="12">
                  <c:v>110.5</c:v>
                </c:pt>
                <c:pt idx="13">
                  <c:v>110</c:v>
                </c:pt>
                <c:pt idx="14">
                  <c:v>104.3</c:v>
                </c:pt>
                <c:pt idx="15">
                  <c:v>108.10000000000001</c:v>
                </c:pt>
                <c:pt idx="16">
                  <c:v>109</c:v>
                </c:pt>
                <c:pt idx="17">
                  <c:v>113</c:v>
                </c:pt>
                <c:pt idx="18">
                  <c:v>112.7</c:v>
                </c:pt>
                <c:pt idx="19">
                  <c:v>106.5</c:v>
                </c:pt>
                <c:pt idx="20">
                  <c:v>112.60000000000001</c:v>
                </c:pt>
                <c:pt idx="21">
                  <c:v>111.8</c:v>
                </c:pt>
                <c:pt idx="22">
                  <c:v>116.10000000000001</c:v>
                </c:pt>
                <c:pt idx="23">
                  <c:v>117.9</c:v>
                </c:pt>
                <c:pt idx="24">
                  <c:v>116.60000000000001</c:v>
                </c:pt>
                <c:pt idx="25">
                  <c:v>112.5</c:v>
                </c:pt>
                <c:pt idx="26">
                  <c:v>117.3</c:v>
                </c:pt>
                <c:pt idx="27">
                  <c:v>110.9</c:v>
                </c:pt>
                <c:pt idx="28">
                  <c:v>114.60000000000001</c:v>
                </c:pt>
              </c:numCache>
            </c:numRef>
          </c:val>
          <c:smooth val="0"/>
          <c:extLst>
            <c:ext xmlns:c16="http://schemas.microsoft.com/office/drawing/2014/chart" uri="{C3380CC4-5D6E-409C-BE32-E72D297353CC}">
              <c16:uniqueId val="{00000001-99D3-4393-9C81-E3EA0ACDA414}"/>
            </c:ext>
          </c:extLst>
        </c:ser>
        <c:ser>
          <c:idx val="1"/>
          <c:order val="1"/>
          <c:tx>
            <c:v>Forecast</c:v>
          </c:tx>
          <c:val>
            <c:numRef>
              <c:f>'A4'!$D$6:$D$34</c:f>
              <c:numCache>
                <c:formatCode>General</c:formatCode>
                <c:ptCount val="29"/>
                <c:pt idx="0">
                  <c:v>#N/A</c:v>
                </c:pt>
                <c:pt idx="1">
                  <c:v>127.5</c:v>
                </c:pt>
                <c:pt idx="2">
                  <c:v>128.02000000000001</c:v>
                </c:pt>
                <c:pt idx="3">
                  <c:v>125.97600000000001</c:v>
                </c:pt>
                <c:pt idx="4">
                  <c:v>126.72080000000001</c:v>
                </c:pt>
                <c:pt idx="5">
                  <c:v>126.15664000000001</c:v>
                </c:pt>
                <c:pt idx="6">
                  <c:v>125.90531200000002</c:v>
                </c:pt>
                <c:pt idx="7">
                  <c:v>124.46424960000002</c:v>
                </c:pt>
                <c:pt idx="8">
                  <c:v>124.35139968000001</c:v>
                </c:pt>
                <c:pt idx="9">
                  <c:v>123.76111974400001</c:v>
                </c:pt>
                <c:pt idx="10">
                  <c:v>122.06889579520002</c:v>
                </c:pt>
                <c:pt idx="11">
                  <c:v>120.43511663616002</c:v>
                </c:pt>
                <c:pt idx="12">
                  <c:v>117.88809330892802</c:v>
                </c:pt>
                <c:pt idx="13">
                  <c:v>116.41047464714242</c:v>
                </c:pt>
                <c:pt idx="14">
                  <c:v>115.12837971771394</c:v>
                </c:pt>
                <c:pt idx="15">
                  <c:v>112.96270377417116</c:v>
                </c:pt>
                <c:pt idx="16">
                  <c:v>111.99016301933693</c:v>
                </c:pt>
                <c:pt idx="17">
                  <c:v>111.39213041546955</c:v>
                </c:pt>
                <c:pt idx="18">
                  <c:v>111.71370433237564</c:v>
                </c:pt>
                <c:pt idx="19">
                  <c:v>111.91096346590052</c:v>
                </c:pt>
                <c:pt idx="20">
                  <c:v>110.82877077272042</c:v>
                </c:pt>
                <c:pt idx="21">
                  <c:v>111.18301661817634</c:v>
                </c:pt>
                <c:pt idx="22">
                  <c:v>111.30641329454107</c:v>
                </c:pt>
                <c:pt idx="23">
                  <c:v>112.26513063563286</c:v>
                </c:pt>
                <c:pt idx="24">
                  <c:v>113.39210450850629</c:v>
                </c:pt>
                <c:pt idx="25">
                  <c:v>114.03368360680504</c:v>
                </c:pt>
                <c:pt idx="26">
                  <c:v>113.72694688544404</c:v>
                </c:pt>
                <c:pt idx="27">
                  <c:v>114.44155750835523</c:v>
                </c:pt>
                <c:pt idx="28">
                  <c:v>113.7332460066842</c:v>
                </c:pt>
              </c:numCache>
            </c:numRef>
          </c:val>
          <c:smooth val="0"/>
          <c:extLst>
            <c:ext xmlns:c16="http://schemas.microsoft.com/office/drawing/2014/chart" uri="{C3380CC4-5D6E-409C-BE32-E72D297353CC}">
              <c16:uniqueId val="{00000002-99D3-4393-9C81-E3EA0ACDA414}"/>
            </c:ext>
          </c:extLst>
        </c:ser>
        <c:dLbls>
          <c:showLegendKey val="0"/>
          <c:showVal val="0"/>
          <c:showCatName val="0"/>
          <c:showSerName val="0"/>
          <c:showPercent val="0"/>
          <c:showBubbleSize val="0"/>
        </c:dLbls>
        <c:marker val="1"/>
        <c:smooth val="0"/>
        <c:axId val="975954320"/>
        <c:axId val="975956616"/>
      </c:lineChart>
      <c:catAx>
        <c:axId val="975954320"/>
        <c:scaling>
          <c:orientation val="minMax"/>
        </c:scaling>
        <c:delete val="0"/>
        <c:axPos val="b"/>
        <c:title>
          <c:tx>
            <c:rich>
              <a:bodyPr/>
              <a:lstStyle/>
              <a:p>
                <a:pPr>
                  <a:defRPr/>
                </a:pPr>
                <a:r>
                  <a:rPr lang="en-US"/>
                  <a:t>Year</a:t>
                </a:r>
              </a:p>
            </c:rich>
          </c:tx>
          <c:overlay val="0"/>
        </c:title>
        <c:majorTickMark val="out"/>
        <c:minorTickMark val="none"/>
        <c:tickLblPos val="nextTo"/>
        <c:crossAx val="975956616"/>
        <c:crosses val="autoZero"/>
        <c:auto val="1"/>
        <c:lblAlgn val="ctr"/>
        <c:lblOffset val="100"/>
        <c:noMultiLvlLbl val="0"/>
      </c:catAx>
      <c:valAx>
        <c:axId val="975956616"/>
        <c:scaling>
          <c:orientation val="minMax"/>
          <c:min val="80"/>
        </c:scaling>
        <c:delete val="0"/>
        <c:axPos val="l"/>
        <c:title>
          <c:tx>
            <c:rich>
              <a:bodyPr/>
              <a:lstStyle/>
              <a:p>
                <a:pPr>
                  <a:defRPr/>
                </a:pPr>
                <a:r>
                  <a:rPr lang="en-US"/>
                  <a:t>Avg</a:t>
                </a:r>
                <a:r>
                  <a:rPr lang="en-US" baseline="0"/>
                  <a:t> Rushing Yards</a:t>
                </a:r>
                <a:endParaRPr lang="en-US"/>
              </a:p>
            </c:rich>
          </c:tx>
          <c:overlay val="0"/>
        </c:title>
        <c:numFmt formatCode="General" sourceLinked="1"/>
        <c:majorTickMark val="out"/>
        <c:minorTickMark val="none"/>
        <c:tickLblPos val="nextTo"/>
        <c:crossAx val="975954320"/>
        <c:crosses val="autoZero"/>
        <c:crossBetween val="midCat"/>
        <c:majorUnit val="5"/>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a:t>
            </a:r>
            <a:r>
              <a:rPr lang="en-US" baseline="0"/>
              <a:t> H1, PO Invoices - User Stories Count vs. Unique Project Count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'Measure-SoftTools'!$B$50:$B$51</c:f>
              <c:strCache>
                <c:ptCount val="2"/>
                <c:pt idx="0">
                  <c:v>PO ID</c:v>
                </c:pt>
                <c:pt idx="1">
                  <c:v>User Stories Count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'Measure-SoftTools'!$A$52:$A$87</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cat>
          <c:val>
            <c:numRef>
              <c:f>'Measure-SoftTools'!$B$52:$B$87</c:f>
              <c:numCache>
                <c:formatCode>0</c:formatCode>
                <c:ptCount val="36"/>
                <c:pt idx="0">
                  <c:v>10</c:v>
                </c:pt>
                <c:pt idx="1">
                  <c:v>15</c:v>
                </c:pt>
                <c:pt idx="2">
                  <c:v>8</c:v>
                </c:pt>
                <c:pt idx="3">
                  <c:v>14</c:v>
                </c:pt>
                <c:pt idx="4">
                  <c:v>15</c:v>
                </c:pt>
                <c:pt idx="5">
                  <c:v>6</c:v>
                </c:pt>
                <c:pt idx="6">
                  <c:v>15</c:v>
                </c:pt>
                <c:pt idx="7">
                  <c:v>15</c:v>
                </c:pt>
                <c:pt idx="8">
                  <c:v>10</c:v>
                </c:pt>
                <c:pt idx="9">
                  <c:v>11</c:v>
                </c:pt>
                <c:pt idx="10">
                  <c:v>11</c:v>
                </c:pt>
                <c:pt idx="11">
                  <c:v>13</c:v>
                </c:pt>
                <c:pt idx="12">
                  <c:v>8</c:v>
                </c:pt>
                <c:pt idx="13">
                  <c:v>13</c:v>
                </c:pt>
                <c:pt idx="14">
                  <c:v>8</c:v>
                </c:pt>
                <c:pt idx="15">
                  <c:v>9</c:v>
                </c:pt>
                <c:pt idx="16">
                  <c:v>11</c:v>
                </c:pt>
                <c:pt idx="17">
                  <c:v>6</c:v>
                </c:pt>
                <c:pt idx="18">
                  <c:v>10</c:v>
                </c:pt>
                <c:pt idx="19">
                  <c:v>11</c:v>
                </c:pt>
                <c:pt idx="20">
                  <c:v>5</c:v>
                </c:pt>
                <c:pt idx="21">
                  <c:v>10</c:v>
                </c:pt>
                <c:pt idx="22">
                  <c:v>11</c:v>
                </c:pt>
                <c:pt idx="23">
                  <c:v>7</c:v>
                </c:pt>
                <c:pt idx="24">
                  <c:v>14</c:v>
                </c:pt>
                <c:pt idx="25">
                  <c:v>10</c:v>
                </c:pt>
                <c:pt idx="26">
                  <c:v>5</c:v>
                </c:pt>
                <c:pt idx="27">
                  <c:v>15</c:v>
                </c:pt>
                <c:pt idx="28">
                  <c:v>4</c:v>
                </c:pt>
                <c:pt idx="29">
                  <c:v>5</c:v>
                </c:pt>
                <c:pt idx="30">
                  <c:v>15</c:v>
                </c:pt>
                <c:pt idx="31">
                  <c:v>6</c:v>
                </c:pt>
                <c:pt idx="32">
                  <c:v>6</c:v>
                </c:pt>
                <c:pt idx="33">
                  <c:v>9</c:v>
                </c:pt>
                <c:pt idx="34">
                  <c:v>7</c:v>
                </c:pt>
                <c:pt idx="35">
                  <c:v>8</c:v>
                </c:pt>
              </c:numCache>
            </c:numRef>
          </c:val>
          <c:extLst>
            <c:ext xmlns:c16="http://schemas.microsoft.com/office/drawing/2014/chart" uri="{C3380CC4-5D6E-409C-BE32-E72D297353CC}">
              <c16:uniqueId val="{00000000-3667-4AD0-B08B-50EF832CF06B}"/>
            </c:ext>
          </c:extLst>
        </c:ser>
        <c:ser>
          <c:idx val="1"/>
          <c:order val="1"/>
          <c:tx>
            <c:strRef>
              <c:f>'Measure-SoftTools'!$C$50:$C$51</c:f>
              <c:strCache>
                <c:ptCount val="2"/>
                <c:pt idx="0">
                  <c:v>PO ID</c:v>
                </c:pt>
                <c:pt idx="1">
                  <c:v>Unique Project Count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'Measure-SoftTools'!$A$52:$A$87</c:f>
              <c:strCache>
                <c:ptCount val="36"/>
                <c:pt idx="0">
                  <c:v>PO1</c:v>
                </c:pt>
                <c:pt idx="1">
                  <c:v>PO2</c:v>
                </c:pt>
                <c:pt idx="2">
                  <c:v>PO3</c:v>
                </c:pt>
                <c:pt idx="3">
                  <c:v>PO4</c:v>
                </c:pt>
                <c:pt idx="4">
                  <c:v>PO5</c:v>
                </c:pt>
                <c:pt idx="5">
                  <c:v>PO6</c:v>
                </c:pt>
                <c:pt idx="6">
                  <c:v>PO7</c:v>
                </c:pt>
                <c:pt idx="7">
                  <c:v>PO8</c:v>
                </c:pt>
                <c:pt idx="8">
                  <c:v>PO9</c:v>
                </c:pt>
                <c:pt idx="9">
                  <c:v>PO10</c:v>
                </c:pt>
                <c:pt idx="10">
                  <c:v>PO11</c:v>
                </c:pt>
                <c:pt idx="11">
                  <c:v>PO12</c:v>
                </c:pt>
                <c:pt idx="12">
                  <c:v>PO13</c:v>
                </c:pt>
                <c:pt idx="13">
                  <c:v>PO14</c:v>
                </c:pt>
                <c:pt idx="14">
                  <c:v>PO15</c:v>
                </c:pt>
                <c:pt idx="15">
                  <c:v>PO16</c:v>
                </c:pt>
                <c:pt idx="16">
                  <c:v>PO17</c:v>
                </c:pt>
                <c:pt idx="17">
                  <c:v>PO18</c:v>
                </c:pt>
                <c:pt idx="18">
                  <c:v>PO19</c:v>
                </c:pt>
                <c:pt idx="19">
                  <c:v>PO20</c:v>
                </c:pt>
                <c:pt idx="20">
                  <c:v>PO21</c:v>
                </c:pt>
                <c:pt idx="21">
                  <c:v>PO22</c:v>
                </c:pt>
                <c:pt idx="22">
                  <c:v>PO23</c:v>
                </c:pt>
                <c:pt idx="23">
                  <c:v>PO24</c:v>
                </c:pt>
                <c:pt idx="24">
                  <c:v>PO25</c:v>
                </c:pt>
                <c:pt idx="25">
                  <c:v>PO26</c:v>
                </c:pt>
                <c:pt idx="26">
                  <c:v>PO27</c:v>
                </c:pt>
                <c:pt idx="27">
                  <c:v>PO28</c:v>
                </c:pt>
                <c:pt idx="28">
                  <c:v>PO29</c:v>
                </c:pt>
                <c:pt idx="29">
                  <c:v>PO30</c:v>
                </c:pt>
                <c:pt idx="30">
                  <c:v>PO31</c:v>
                </c:pt>
                <c:pt idx="31">
                  <c:v>PO32</c:v>
                </c:pt>
                <c:pt idx="32">
                  <c:v>PO33</c:v>
                </c:pt>
                <c:pt idx="33">
                  <c:v>PO34</c:v>
                </c:pt>
                <c:pt idx="34">
                  <c:v>PO35</c:v>
                </c:pt>
                <c:pt idx="35">
                  <c:v>PO36</c:v>
                </c:pt>
              </c:strCache>
            </c:strRef>
          </c:cat>
          <c:val>
            <c:numRef>
              <c:f>'Measure-SoftTools'!$C$52:$C$87</c:f>
              <c:numCache>
                <c:formatCode>0</c:formatCode>
                <c:ptCount val="36"/>
                <c:pt idx="0">
                  <c:v>2</c:v>
                </c:pt>
                <c:pt idx="1">
                  <c:v>2</c:v>
                </c:pt>
                <c:pt idx="2">
                  <c:v>2</c:v>
                </c:pt>
                <c:pt idx="3">
                  <c:v>3</c:v>
                </c:pt>
                <c:pt idx="4">
                  <c:v>2</c:v>
                </c:pt>
                <c:pt idx="5">
                  <c:v>4</c:v>
                </c:pt>
                <c:pt idx="6">
                  <c:v>3</c:v>
                </c:pt>
                <c:pt idx="7">
                  <c:v>2</c:v>
                </c:pt>
                <c:pt idx="8">
                  <c:v>4</c:v>
                </c:pt>
                <c:pt idx="9">
                  <c:v>3</c:v>
                </c:pt>
                <c:pt idx="10">
                  <c:v>2</c:v>
                </c:pt>
                <c:pt idx="11">
                  <c:v>1</c:v>
                </c:pt>
                <c:pt idx="12">
                  <c:v>2</c:v>
                </c:pt>
                <c:pt idx="13">
                  <c:v>2</c:v>
                </c:pt>
                <c:pt idx="14">
                  <c:v>1</c:v>
                </c:pt>
                <c:pt idx="15">
                  <c:v>4</c:v>
                </c:pt>
                <c:pt idx="16">
                  <c:v>2</c:v>
                </c:pt>
                <c:pt idx="17">
                  <c:v>1</c:v>
                </c:pt>
                <c:pt idx="18">
                  <c:v>5</c:v>
                </c:pt>
                <c:pt idx="19">
                  <c:v>2</c:v>
                </c:pt>
                <c:pt idx="20">
                  <c:v>1</c:v>
                </c:pt>
                <c:pt idx="21">
                  <c:v>3</c:v>
                </c:pt>
                <c:pt idx="22">
                  <c:v>1</c:v>
                </c:pt>
                <c:pt idx="23">
                  <c:v>2</c:v>
                </c:pt>
                <c:pt idx="24">
                  <c:v>4</c:v>
                </c:pt>
                <c:pt idx="25">
                  <c:v>1</c:v>
                </c:pt>
                <c:pt idx="26">
                  <c:v>2</c:v>
                </c:pt>
                <c:pt idx="27">
                  <c:v>4</c:v>
                </c:pt>
                <c:pt idx="28">
                  <c:v>1</c:v>
                </c:pt>
                <c:pt idx="29">
                  <c:v>2</c:v>
                </c:pt>
                <c:pt idx="30">
                  <c:v>4</c:v>
                </c:pt>
                <c:pt idx="31">
                  <c:v>1</c:v>
                </c:pt>
                <c:pt idx="32">
                  <c:v>2</c:v>
                </c:pt>
                <c:pt idx="33">
                  <c:v>3</c:v>
                </c:pt>
                <c:pt idx="34">
                  <c:v>1</c:v>
                </c:pt>
                <c:pt idx="35">
                  <c:v>1</c:v>
                </c:pt>
              </c:numCache>
            </c:numRef>
          </c:val>
          <c:extLst>
            <c:ext xmlns:c16="http://schemas.microsoft.com/office/drawing/2014/chart" uri="{C3380CC4-5D6E-409C-BE32-E72D297353CC}">
              <c16:uniqueId val="{00000001-3667-4AD0-B08B-50EF832CF06B}"/>
            </c:ext>
          </c:extLst>
        </c:ser>
        <c:dLbls>
          <c:showLegendKey val="0"/>
          <c:showVal val="1"/>
          <c:showCatName val="0"/>
          <c:showSerName val="0"/>
          <c:showPercent val="0"/>
          <c:showBubbleSize val="0"/>
        </c:dLbls>
        <c:gapWidth val="150"/>
        <c:shape val="box"/>
        <c:axId val="1101254960"/>
        <c:axId val="1101258568"/>
        <c:axId val="0"/>
      </c:bar3DChart>
      <c:catAx>
        <c:axId val="110125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Sprint</a:t>
                </a:r>
                <a:r>
                  <a:rPr lang="en-US" baseline="0"/>
                  <a:t> PO Invoices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58568"/>
        <c:crosses val="autoZero"/>
        <c:auto val="1"/>
        <c:lblAlgn val="ctr"/>
        <c:lblOffset val="100"/>
        <c:noMultiLvlLbl val="0"/>
      </c:catAx>
      <c:valAx>
        <c:axId val="1101258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User Stories and Unique Projects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54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NFL AVG</a:t>
            </a:r>
            <a:r>
              <a:rPr lang="en-US" baseline="0"/>
              <a:t> Rushing Yards</a:t>
            </a:r>
          </a:p>
          <a:p>
            <a:pPr>
              <a:defRPr/>
            </a:pPr>
            <a:r>
              <a:rPr lang="en-US" baseline="0"/>
              <a:t>Exp Smooth .2</a:t>
            </a:r>
            <a:endParaRPr lang="en-US"/>
          </a:p>
        </c:rich>
      </c:tx>
      <c:overlay val="0"/>
    </c:title>
    <c:autoTitleDeleted val="0"/>
    <c:plotArea>
      <c:layout/>
      <c:lineChart>
        <c:grouping val="standard"/>
        <c:varyColors val="0"/>
        <c:ser>
          <c:idx val="0"/>
          <c:order val="0"/>
          <c:tx>
            <c:v>Actual</c:v>
          </c:tx>
          <c:val>
            <c:numRef>
              <c:f>'A4'!$C$6:$C$34</c:f>
              <c:numCache>
                <c:formatCode>General</c:formatCode>
                <c:ptCount val="29"/>
                <c:pt idx="0">
                  <c:v>127.5</c:v>
                </c:pt>
                <c:pt idx="1">
                  <c:v>130.1</c:v>
                </c:pt>
                <c:pt idx="2">
                  <c:v>117.8</c:v>
                </c:pt>
                <c:pt idx="3">
                  <c:v>129.69999999999999</c:v>
                </c:pt>
                <c:pt idx="4">
                  <c:v>123.9</c:v>
                </c:pt>
                <c:pt idx="5">
                  <c:v>124.9</c:v>
                </c:pt>
                <c:pt idx="6">
                  <c:v>118.7</c:v>
                </c:pt>
                <c:pt idx="7">
                  <c:v>123.9</c:v>
                </c:pt>
                <c:pt idx="8">
                  <c:v>121.4</c:v>
                </c:pt>
                <c:pt idx="9">
                  <c:v>115.3</c:v>
                </c:pt>
                <c:pt idx="10">
                  <c:v>113.9</c:v>
                </c:pt>
                <c:pt idx="11">
                  <c:v>107.7</c:v>
                </c:pt>
                <c:pt idx="12">
                  <c:v>110.5</c:v>
                </c:pt>
                <c:pt idx="13">
                  <c:v>110</c:v>
                </c:pt>
                <c:pt idx="14">
                  <c:v>104.3</c:v>
                </c:pt>
                <c:pt idx="15">
                  <c:v>108.10000000000001</c:v>
                </c:pt>
                <c:pt idx="16">
                  <c:v>109</c:v>
                </c:pt>
                <c:pt idx="17">
                  <c:v>113</c:v>
                </c:pt>
                <c:pt idx="18">
                  <c:v>112.7</c:v>
                </c:pt>
                <c:pt idx="19">
                  <c:v>106.5</c:v>
                </c:pt>
                <c:pt idx="20">
                  <c:v>112.60000000000001</c:v>
                </c:pt>
                <c:pt idx="21">
                  <c:v>111.8</c:v>
                </c:pt>
                <c:pt idx="22">
                  <c:v>116.10000000000001</c:v>
                </c:pt>
                <c:pt idx="23">
                  <c:v>117.9</c:v>
                </c:pt>
                <c:pt idx="24">
                  <c:v>116.60000000000001</c:v>
                </c:pt>
                <c:pt idx="25">
                  <c:v>112.5</c:v>
                </c:pt>
                <c:pt idx="26">
                  <c:v>117.3</c:v>
                </c:pt>
                <c:pt idx="27">
                  <c:v>110.9</c:v>
                </c:pt>
                <c:pt idx="28">
                  <c:v>114.60000000000001</c:v>
                </c:pt>
              </c:numCache>
            </c:numRef>
          </c:val>
          <c:smooth val="0"/>
          <c:extLst>
            <c:ext xmlns:c16="http://schemas.microsoft.com/office/drawing/2014/chart" uri="{C3380CC4-5D6E-409C-BE32-E72D297353CC}">
              <c16:uniqueId val="{00000001-297B-4B39-9AEA-CBA5277BA415}"/>
            </c:ext>
          </c:extLst>
        </c:ser>
        <c:ser>
          <c:idx val="1"/>
          <c:order val="1"/>
          <c:tx>
            <c:v>Forecast</c:v>
          </c:tx>
          <c:val>
            <c:numRef>
              <c:f>'A4'!$E$6:$E$34</c:f>
              <c:numCache>
                <c:formatCode>General</c:formatCode>
                <c:ptCount val="29"/>
                <c:pt idx="0">
                  <c:v>#N/A</c:v>
                </c:pt>
                <c:pt idx="1">
                  <c:v>127.5</c:v>
                </c:pt>
                <c:pt idx="2">
                  <c:v>129.57999999999998</c:v>
                </c:pt>
                <c:pt idx="3">
                  <c:v>120.15600000000001</c:v>
                </c:pt>
                <c:pt idx="4">
                  <c:v>127.79119999999999</c:v>
                </c:pt>
                <c:pt idx="5">
                  <c:v>124.67824</c:v>
                </c:pt>
                <c:pt idx="6">
                  <c:v>124.85564800000002</c:v>
                </c:pt>
                <c:pt idx="7">
                  <c:v>119.93112960000002</c:v>
                </c:pt>
                <c:pt idx="8">
                  <c:v>123.10622592000001</c:v>
                </c:pt>
                <c:pt idx="9">
                  <c:v>121.74124518400001</c:v>
                </c:pt>
                <c:pt idx="10">
                  <c:v>116.58824903680001</c:v>
                </c:pt>
                <c:pt idx="11">
                  <c:v>114.43764980736</c:v>
                </c:pt>
                <c:pt idx="12">
                  <c:v>109.04752996147201</c:v>
                </c:pt>
                <c:pt idx="13">
                  <c:v>110.20950599229441</c:v>
                </c:pt>
                <c:pt idx="14">
                  <c:v>110.04190119845889</c:v>
                </c:pt>
                <c:pt idx="15">
                  <c:v>105.44838023969177</c:v>
                </c:pt>
                <c:pt idx="16">
                  <c:v>107.56967604793837</c:v>
                </c:pt>
                <c:pt idx="17">
                  <c:v>108.71393520958767</c:v>
                </c:pt>
                <c:pt idx="18">
                  <c:v>112.14278704191754</c:v>
                </c:pt>
                <c:pt idx="19">
                  <c:v>112.58855740838352</c:v>
                </c:pt>
                <c:pt idx="20">
                  <c:v>107.7177114816767</c:v>
                </c:pt>
                <c:pt idx="21">
                  <c:v>111.62354229633536</c:v>
                </c:pt>
                <c:pt idx="22">
                  <c:v>111.76470845926707</c:v>
                </c:pt>
                <c:pt idx="23">
                  <c:v>115.23294169185343</c:v>
                </c:pt>
                <c:pt idx="24">
                  <c:v>117.36658833837069</c:v>
                </c:pt>
                <c:pt idx="25">
                  <c:v>116.75331766767415</c:v>
                </c:pt>
                <c:pt idx="26">
                  <c:v>113.35066353353483</c:v>
                </c:pt>
                <c:pt idx="27">
                  <c:v>116.51013270670697</c:v>
                </c:pt>
                <c:pt idx="28">
                  <c:v>112.0220265413414</c:v>
                </c:pt>
              </c:numCache>
            </c:numRef>
          </c:val>
          <c:smooth val="0"/>
          <c:extLst>
            <c:ext xmlns:c16="http://schemas.microsoft.com/office/drawing/2014/chart" uri="{C3380CC4-5D6E-409C-BE32-E72D297353CC}">
              <c16:uniqueId val="{00000002-297B-4B39-9AEA-CBA5277BA415}"/>
            </c:ext>
          </c:extLst>
        </c:ser>
        <c:dLbls>
          <c:showLegendKey val="0"/>
          <c:showVal val="0"/>
          <c:showCatName val="0"/>
          <c:showSerName val="0"/>
          <c:showPercent val="0"/>
          <c:showBubbleSize val="0"/>
        </c:dLbls>
        <c:marker val="1"/>
        <c:smooth val="0"/>
        <c:axId val="940439200"/>
        <c:axId val="940439528"/>
      </c:lineChart>
      <c:catAx>
        <c:axId val="940439200"/>
        <c:scaling>
          <c:orientation val="minMax"/>
        </c:scaling>
        <c:delete val="0"/>
        <c:axPos val="b"/>
        <c:title>
          <c:tx>
            <c:rich>
              <a:bodyPr/>
              <a:lstStyle/>
              <a:p>
                <a:pPr>
                  <a:defRPr/>
                </a:pPr>
                <a:r>
                  <a:rPr lang="en-US"/>
                  <a:t>Year</a:t>
                </a:r>
              </a:p>
            </c:rich>
          </c:tx>
          <c:overlay val="0"/>
        </c:title>
        <c:majorTickMark val="out"/>
        <c:minorTickMark val="none"/>
        <c:tickLblPos val="nextTo"/>
        <c:crossAx val="940439528"/>
        <c:crosses val="autoZero"/>
        <c:auto val="1"/>
        <c:lblAlgn val="ctr"/>
        <c:lblOffset val="100"/>
        <c:noMultiLvlLbl val="0"/>
      </c:catAx>
      <c:valAx>
        <c:axId val="940439528"/>
        <c:scaling>
          <c:orientation val="minMax"/>
          <c:min val="80"/>
        </c:scaling>
        <c:delete val="0"/>
        <c:axPos val="l"/>
        <c:title>
          <c:tx>
            <c:rich>
              <a:bodyPr/>
              <a:lstStyle/>
              <a:p>
                <a:pPr>
                  <a:defRPr/>
                </a:pPr>
                <a:r>
                  <a:rPr lang="en-US"/>
                  <a:t>Avg</a:t>
                </a:r>
                <a:r>
                  <a:rPr lang="en-US" baseline="0"/>
                  <a:t> Rushing Yards</a:t>
                </a:r>
                <a:endParaRPr lang="en-US"/>
              </a:p>
            </c:rich>
          </c:tx>
          <c:overlay val="0"/>
        </c:title>
        <c:numFmt formatCode="General" sourceLinked="1"/>
        <c:majorTickMark val="out"/>
        <c:minorTickMark val="none"/>
        <c:tickLblPos val="nextTo"/>
        <c:crossAx val="940439200"/>
        <c:crosses val="autoZero"/>
        <c:crossBetween val="midCat"/>
        <c:majorUnit val="5"/>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NFL AVG Rushing Yards</a:t>
            </a:r>
          </a:p>
        </c:rich>
      </c:tx>
      <c:overlay val="0"/>
    </c:title>
    <c:autoTitleDeleted val="0"/>
    <c:plotArea>
      <c:layout/>
      <c:lineChart>
        <c:grouping val="standard"/>
        <c:varyColors val="0"/>
        <c:ser>
          <c:idx val="0"/>
          <c:order val="0"/>
          <c:tx>
            <c:v>Actual</c:v>
          </c:tx>
          <c:val>
            <c:numRef>
              <c:f>'A5'!$C$6:$C$34</c:f>
              <c:numCache>
                <c:formatCode>General</c:formatCode>
                <c:ptCount val="29"/>
                <c:pt idx="0">
                  <c:v>127.5</c:v>
                </c:pt>
                <c:pt idx="1">
                  <c:v>130.1</c:v>
                </c:pt>
                <c:pt idx="2">
                  <c:v>117.8</c:v>
                </c:pt>
                <c:pt idx="3">
                  <c:v>129.69999999999999</c:v>
                </c:pt>
                <c:pt idx="4">
                  <c:v>123.9</c:v>
                </c:pt>
                <c:pt idx="5">
                  <c:v>124.9</c:v>
                </c:pt>
                <c:pt idx="6">
                  <c:v>118.7</c:v>
                </c:pt>
                <c:pt idx="7">
                  <c:v>123.9</c:v>
                </c:pt>
                <c:pt idx="8">
                  <c:v>121.4</c:v>
                </c:pt>
                <c:pt idx="9">
                  <c:v>115.3</c:v>
                </c:pt>
                <c:pt idx="10">
                  <c:v>113.9</c:v>
                </c:pt>
                <c:pt idx="11">
                  <c:v>107.7</c:v>
                </c:pt>
                <c:pt idx="12">
                  <c:v>110.5</c:v>
                </c:pt>
                <c:pt idx="13">
                  <c:v>110</c:v>
                </c:pt>
                <c:pt idx="14">
                  <c:v>104.3</c:v>
                </c:pt>
                <c:pt idx="15">
                  <c:v>108.10000000000001</c:v>
                </c:pt>
                <c:pt idx="16">
                  <c:v>109</c:v>
                </c:pt>
                <c:pt idx="17">
                  <c:v>113</c:v>
                </c:pt>
                <c:pt idx="18">
                  <c:v>112.7</c:v>
                </c:pt>
                <c:pt idx="19">
                  <c:v>106.5</c:v>
                </c:pt>
                <c:pt idx="20">
                  <c:v>112.60000000000001</c:v>
                </c:pt>
                <c:pt idx="21">
                  <c:v>111.8</c:v>
                </c:pt>
                <c:pt idx="22">
                  <c:v>116.10000000000001</c:v>
                </c:pt>
                <c:pt idx="23">
                  <c:v>117.9</c:v>
                </c:pt>
                <c:pt idx="24">
                  <c:v>116.60000000000001</c:v>
                </c:pt>
                <c:pt idx="25">
                  <c:v>112.5</c:v>
                </c:pt>
                <c:pt idx="26">
                  <c:v>117.3</c:v>
                </c:pt>
                <c:pt idx="27">
                  <c:v>110.9</c:v>
                </c:pt>
                <c:pt idx="28">
                  <c:v>114.60000000000001</c:v>
                </c:pt>
              </c:numCache>
            </c:numRef>
          </c:val>
          <c:smooth val="0"/>
          <c:extLst>
            <c:ext xmlns:c16="http://schemas.microsoft.com/office/drawing/2014/chart" uri="{C3380CC4-5D6E-409C-BE32-E72D297353CC}">
              <c16:uniqueId val="{00000001-C081-4BF2-9D52-C7E685FB83C5}"/>
            </c:ext>
          </c:extLst>
        </c:ser>
        <c:ser>
          <c:idx val="1"/>
          <c:order val="1"/>
          <c:tx>
            <c:v>Forecast</c:v>
          </c:tx>
          <c:val>
            <c:numRef>
              <c:f>'A5'!$D$7:$D$35</c:f>
              <c:numCache>
                <c:formatCode>General</c:formatCode>
                <c:ptCount val="29"/>
                <c:pt idx="0">
                  <c:v>#N/A</c:v>
                </c:pt>
                <c:pt idx="1">
                  <c:v>#N/A</c:v>
                </c:pt>
                <c:pt idx="2">
                  <c:v>#N/A</c:v>
                </c:pt>
                <c:pt idx="3">
                  <c:v>#N/A</c:v>
                </c:pt>
                <c:pt idx="4">
                  <c:v>125.8</c:v>
                </c:pt>
                <c:pt idx="5">
                  <c:v>125.28</c:v>
                </c:pt>
                <c:pt idx="6">
                  <c:v>123</c:v>
                </c:pt>
                <c:pt idx="7">
                  <c:v>124.22</c:v>
                </c:pt>
                <c:pt idx="8">
                  <c:v>122.55999999999999</c:v>
                </c:pt>
                <c:pt idx="9">
                  <c:v>120.83999999999999</c:v>
                </c:pt>
                <c:pt idx="10">
                  <c:v>118.64000000000001</c:v>
                </c:pt>
                <c:pt idx="11">
                  <c:v>116.44000000000001</c:v>
                </c:pt>
                <c:pt idx="12">
                  <c:v>113.75999999999999</c:v>
                </c:pt>
                <c:pt idx="13">
                  <c:v>111.47999999999999</c:v>
                </c:pt>
                <c:pt idx="14">
                  <c:v>109.28</c:v>
                </c:pt>
                <c:pt idx="15">
                  <c:v>108.12</c:v>
                </c:pt>
                <c:pt idx="16">
                  <c:v>108.38000000000002</c:v>
                </c:pt>
                <c:pt idx="17">
                  <c:v>108.88000000000002</c:v>
                </c:pt>
                <c:pt idx="18">
                  <c:v>109.42</c:v>
                </c:pt>
                <c:pt idx="19">
                  <c:v>109.85999999999999</c:v>
                </c:pt>
                <c:pt idx="20">
                  <c:v>110.75999999999999</c:v>
                </c:pt>
                <c:pt idx="21">
                  <c:v>111.32000000000001</c:v>
                </c:pt>
                <c:pt idx="22">
                  <c:v>111.94000000000001</c:v>
                </c:pt>
                <c:pt idx="23">
                  <c:v>112.98000000000002</c:v>
                </c:pt>
                <c:pt idx="24">
                  <c:v>115</c:v>
                </c:pt>
                <c:pt idx="25">
                  <c:v>114.98000000000002</c:v>
                </c:pt>
                <c:pt idx="26">
                  <c:v>116.08</c:v>
                </c:pt>
                <c:pt idx="27">
                  <c:v>115.04</c:v>
                </c:pt>
                <c:pt idx="28">
                  <c:v>114.38000000000002</c:v>
                </c:pt>
              </c:numCache>
            </c:numRef>
          </c:val>
          <c:smooth val="0"/>
          <c:extLst>
            <c:ext xmlns:c16="http://schemas.microsoft.com/office/drawing/2014/chart" uri="{C3380CC4-5D6E-409C-BE32-E72D297353CC}">
              <c16:uniqueId val="{00000002-C081-4BF2-9D52-C7E685FB83C5}"/>
            </c:ext>
          </c:extLst>
        </c:ser>
        <c:dLbls>
          <c:showLegendKey val="0"/>
          <c:showVal val="0"/>
          <c:showCatName val="0"/>
          <c:showSerName val="0"/>
          <c:showPercent val="0"/>
          <c:showBubbleSize val="0"/>
        </c:dLbls>
        <c:marker val="1"/>
        <c:smooth val="0"/>
        <c:axId val="792360824"/>
        <c:axId val="792363120"/>
      </c:lineChart>
      <c:catAx>
        <c:axId val="792360824"/>
        <c:scaling>
          <c:orientation val="minMax"/>
        </c:scaling>
        <c:delete val="0"/>
        <c:axPos val="b"/>
        <c:majorTickMark val="out"/>
        <c:minorTickMark val="none"/>
        <c:tickLblPos val="nextTo"/>
        <c:crossAx val="792363120"/>
        <c:crosses val="autoZero"/>
        <c:auto val="1"/>
        <c:lblAlgn val="ctr"/>
        <c:lblOffset val="100"/>
        <c:noMultiLvlLbl val="0"/>
      </c:catAx>
      <c:valAx>
        <c:axId val="792363120"/>
        <c:scaling>
          <c:orientation val="minMax"/>
          <c:min val="80"/>
        </c:scaling>
        <c:delete val="0"/>
        <c:axPos val="l"/>
        <c:title>
          <c:tx>
            <c:rich>
              <a:bodyPr/>
              <a:lstStyle/>
              <a:p>
                <a:pPr>
                  <a:defRPr/>
                </a:pPr>
                <a:r>
                  <a:rPr lang="en-US"/>
                  <a:t>Avg</a:t>
                </a:r>
                <a:r>
                  <a:rPr lang="en-US" baseline="0"/>
                  <a:t> Rushing Yards</a:t>
                </a:r>
                <a:endParaRPr lang="en-US"/>
              </a:p>
            </c:rich>
          </c:tx>
          <c:overlay val="0"/>
        </c:title>
        <c:numFmt formatCode="General" sourceLinked="1"/>
        <c:majorTickMark val="out"/>
        <c:minorTickMark val="none"/>
        <c:tickLblPos val="nextTo"/>
        <c:crossAx val="792360824"/>
        <c:crosses val="autoZero"/>
        <c:crossBetween val="midCat"/>
        <c:majorUnit val="5"/>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 H1, PO Invoice Corrections</a:t>
            </a:r>
            <a:r>
              <a:rPr lang="en-US" baseline="0"/>
              <a:t> and Within Threshold Frequency's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'Measure-SoftTools'!$B$152</c:f>
              <c:strCache>
                <c:ptCount val="1"/>
                <c:pt idx="0">
                  <c:v>Percent 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'Measure-SoftTools'!$C$151:$D$151</c:f>
              <c:strCache>
                <c:ptCount val="2"/>
                <c:pt idx="0">
                  <c:v>Needed Correction</c:v>
                </c:pt>
                <c:pt idx="1">
                  <c:v>Within Threshold</c:v>
                </c:pt>
              </c:strCache>
            </c:strRef>
          </c:cat>
          <c:val>
            <c:numRef>
              <c:f>'Measure-SoftTools'!$C$152:$D$152</c:f>
              <c:numCache>
                <c:formatCode>0.00%</c:formatCode>
                <c:ptCount val="2"/>
                <c:pt idx="0">
                  <c:v>0.69</c:v>
                </c:pt>
                <c:pt idx="1">
                  <c:v>0.19</c:v>
                </c:pt>
              </c:numCache>
            </c:numRef>
          </c:val>
          <c:extLst>
            <c:ext xmlns:c16="http://schemas.microsoft.com/office/drawing/2014/chart" uri="{C3380CC4-5D6E-409C-BE32-E72D297353CC}">
              <c16:uniqueId val="{00000000-111E-462E-8AF8-A515E542F0ED}"/>
            </c:ext>
          </c:extLst>
        </c:ser>
        <c:ser>
          <c:idx val="1"/>
          <c:order val="1"/>
          <c:tx>
            <c:strRef>
              <c:f>'Measure-SoftTools'!$B$153</c:f>
              <c:strCache>
                <c:ptCount val="1"/>
                <c:pt idx="0">
                  <c:v>Percent 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'Measure-SoftTools'!$C$151:$D$151</c:f>
              <c:strCache>
                <c:ptCount val="2"/>
                <c:pt idx="0">
                  <c:v>Needed Correction</c:v>
                </c:pt>
                <c:pt idx="1">
                  <c:v>Within Threshold</c:v>
                </c:pt>
              </c:strCache>
            </c:strRef>
          </c:cat>
          <c:val>
            <c:numRef>
              <c:f>'Measure-SoftTools'!$C$153:$D$153</c:f>
              <c:numCache>
                <c:formatCode>0.00%</c:formatCode>
                <c:ptCount val="2"/>
                <c:pt idx="0">
                  <c:v>0.31</c:v>
                </c:pt>
                <c:pt idx="1">
                  <c:v>0.81</c:v>
                </c:pt>
              </c:numCache>
            </c:numRef>
          </c:val>
          <c:extLst>
            <c:ext xmlns:c16="http://schemas.microsoft.com/office/drawing/2014/chart" uri="{C3380CC4-5D6E-409C-BE32-E72D297353CC}">
              <c16:uniqueId val="{00000001-111E-462E-8AF8-A515E542F0ED}"/>
            </c:ext>
          </c:extLst>
        </c:ser>
        <c:dLbls>
          <c:dLblPos val="ctr"/>
          <c:showLegendKey val="0"/>
          <c:showVal val="1"/>
          <c:showCatName val="0"/>
          <c:showSerName val="0"/>
          <c:showPercent val="0"/>
          <c:showBubbleSize val="0"/>
        </c:dLbls>
        <c:gapWidth val="150"/>
        <c:overlap val="100"/>
        <c:axId val="752751416"/>
        <c:axId val="752752400"/>
      </c:barChart>
      <c:catAx>
        <c:axId val="75275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52400"/>
        <c:crosses val="autoZero"/>
        <c:auto val="1"/>
        <c:lblAlgn val="ctr"/>
        <c:lblOffset val="100"/>
        <c:noMultiLvlLbl val="0"/>
      </c:catAx>
      <c:valAx>
        <c:axId val="75275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Frequency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51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PO Invoice Approval Cycle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'Measure-SoftTools'!$B$161</c:f>
              <c:strCache>
                <c:ptCount val="1"/>
                <c:pt idx="0">
                  <c:v>PO Approval Cycle Time (days)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cat>
            <c:strRef>
              <c:f>'Measure-SoftTools'!$A$162:$A$177</c:f>
              <c:strCache>
                <c:ptCount val="16"/>
                <c:pt idx="0">
                  <c:v>PO ID</c:v>
                </c:pt>
                <c:pt idx="1">
                  <c:v>PO40</c:v>
                </c:pt>
                <c:pt idx="2">
                  <c:v>PO41</c:v>
                </c:pt>
                <c:pt idx="3">
                  <c:v>PO42</c:v>
                </c:pt>
                <c:pt idx="4">
                  <c:v>PO43</c:v>
                </c:pt>
                <c:pt idx="5">
                  <c:v>PO44</c:v>
                </c:pt>
                <c:pt idx="6">
                  <c:v>PO45</c:v>
                </c:pt>
                <c:pt idx="7">
                  <c:v>PO46</c:v>
                </c:pt>
                <c:pt idx="8">
                  <c:v>PO47</c:v>
                </c:pt>
                <c:pt idx="9">
                  <c:v>PO48</c:v>
                </c:pt>
                <c:pt idx="10">
                  <c:v>PO49</c:v>
                </c:pt>
                <c:pt idx="11">
                  <c:v>PO50</c:v>
                </c:pt>
                <c:pt idx="12">
                  <c:v>PO51</c:v>
                </c:pt>
                <c:pt idx="13">
                  <c:v>PO52</c:v>
                </c:pt>
                <c:pt idx="14">
                  <c:v>PO53</c:v>
                </c:pt>
                <c:pt idx="15">
                  <c:v>PO54</c:v>
                </c:pt>
              </c:strCache>
            </c:strRef>
          </c:cat>
          <c:val>
            <c:numRef>
              <c:f>'Measure-SoftTools'!$B$162:$B$177</c:f>
              <c:numCache>
                <c:formatCode>General</c:formatCode>
                <c:ptCount val="16"/>
                <c:pt idx="1">
                  <c:v>13</c:v>
                </c:pt>
                <c:pt idx="2">
                  <c:v>13</c:v>
                </c:pt>
                <c:pt idx="3">
                  <c:v>13</c:v>
                </c:pt>
                <c:pt idx="4">
                  <c:v>10</c:v>
                </c:pt>
                <c:pt idx="5">
                  <c:v>10</c:v>
                </c:pt>
                <c:pt idx="6">
                  <c:v>13</c:v>
                </c:pt>
                <c:pt idx="7">
                  <c:v>10</c:v>
                </c:pt>
                <c:pt idx="8">
                  <c:v>10</c:v>
                </c:pt>
                <c:pt idx="9">
                  <c:v>10</c:v>
                </c:pt>
                <c:pt idx="10">
                  <c:v>6</c:v>
                </c:pt>
                <c:pt idx="11">
                  <c:v>10</c:v>
                </c:pt>
                <c:pt idx="12">
                  <c:v>6</c:v>
                </c:pt>
                <c:pt idx="13">
                  <c:v>3</c:v>
                </c:pt>
                <c:pt idx="14">
                  <c:v>3</c:v>
                </c:pt>
                <c:pt idx="15">
                  <c:v>3</c:v>
                </c:pt>
              </c:numCache>
            </c:numRef>
          </c:val>
          <c:smooth val="0"/>
          <c:extLst>
            <c:ext xmlns:c16="http://schemas.microsoft.com/office/drawing/2014/chart" uri="{C3380CC4-5D6E-409C-BE32-E72D297353CC}">
              <c16:uniqueId val="{00000000-757A-43CB-BD35-BADC9FC4BC8E}"/>
            </c:ext>
          </c:extLst>
        </c:ser>
        <c:ser>
          <c:idx val="1"/>
          <c:order val="1"/>
          <c:tx>
            <c:strRef>
              <c:f>'Measure-SoftTools'!$C$161</c:f>
              <c:strCache>
                <c:ptCount val="1"/>
                <c:pt idx="0">
                  <c:v>Discount Threshold (days)</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'Measure-SoftTools'!$A$162:$A$177</c:f>
              <c:strCache>
                <c:ptCount val="16"/>
                <c:pt idx="0">
                  <c:v>PO ID</c:v>
                </c:pt>
                <c:pt idx="1">
                  <c:v>PO40</c:v>
                </c:pt>
                <c:pt idx="2">
                  <c:v>PO41</c:v>
                </c:pt>
                <c:pt idx="3">
                  <c:v>PO42</c:v>
                </c:pt>
                <c:pt idx="4">
                  <c:v>PO43</c:v>
                </c:pt>
                <c:pt idx="5">
                  <c:v>PO44</c:v>
                </c:pt>
                <c:pt idx="6">
                  <c:v>PO45</c:v>
                </c:pt>
                <c:pt idx="7">
                  <c:v>PO46</c:v>
                </c:pt>
                <c:pt idx="8">
                  <c:v>PO47</c:v>
                </c:pt>
                <c:pt idx="9">
                  <c:v>PO48</c:v>
                </c:pt>
                <c:pt idx="10">
                  <c:v>PO49</c:v>
                </c:pt>
                <c:pt idx="11">
                  <c:v>PO50</c:v>
                </c:pt>
                <c:pt idx="12">
                  <c:v>PO51</c:v>
                </c:pt>
                <c:pt idx="13">
                  <c:v>PO52</c:v>
                </c:pt>
                <c:pt idx="14">
                  <c:v>PO53</c:v>
                </c:pt>
                <c:pt idx="15">
                  <c:v>PO54</c:v>
                </c:pt>
              </c:strCache>
            </c:strRef>
          </c:cat>
          <c:val>
            <c:numRef>
              <c:f>'Measure-SoftTools'!$C$162:$C$177</c:f>
              <c:numCache>
                <c:formatCode>General</c:formatCode>
                <c:ptCount val="16"/>
                <c:pt idx="1">
                  <c:v>19</c:v>
                </c:pt>
                <c:pt idx="2">
                  <c:v>19</c:v>
                </c:pt>
                <c:pt idx="3">
                  <c:v>19</c:v>
                </c:pt>
                <c:pt idx="4">
                  <c:v>19</c:v>
                </c:pt>
                <c:pt idx="5">
                  <c:v>19</c:v>
                </c:pt>
                <c:pt idx="6">
                  <c:v>19</c:v>
                </c:pt>
                <c:pt idx="7">
                  <c:v>19</c:v>
                </c:pt>
                <c:pt idx="8">
                  <c:v>19</c:v>
                </c:pt>
                <c:pt idx="9">
                  <c:v>19</c:v>
                </c:pt>
                <c:pt idx="10">
                  <c:v>19</c:v>
                </c:pt>
                <c:pt idx="11">
                  <c:v>19</c:v>
                </c:pt>
                <c:pt idx="12">
                  <c:v>19</c:v>
                </c:pt>
                <c:pt idx="13">
                  <c:v>19</c:v>
                </c:pt>
                <c:pt idx="14">
                  <c:v>19</c:v>
                </c:pt>
                <c:pt idx="15">
                  <c:v>19</c:v>
                </c:pt>
              </c:numCache>
            </c:numRef>
          </c:val>
          <c:smooth val="0"/>
          <c:extLst>
            <c:ext xmlns:c16="http://schemas.microsoft.com/office/drawing/2014/chart" uri="{C3380CC4-5D6E-409C-BE32-E72D297353CC}">
              <c16:uniqueId val="{00000001-757A-43CB-BD35-BADC9FC4BC8E}"/>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788832680"/>
        <c:axId val="788834648"/>
      </c:lineChart>
      <c:catAx>
        <c:axId val="788832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PO Invoice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8834648"/>
        <c:crosses val="autoZero"/>
        <c:auto val="1"/>
        <c:lblAlgn val="ctr"/>
        <c:lblOffset val="100"/>
        <c:noMultiLvlLbl val="0"/>
      </c:catAx>
      <c:valAx>
        <c:axId val="7888346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Days to Approve a PO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8832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 of PO Invoices that needed to be corrected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'Measure-SoftTools'!$K$122:$L$122</c:f>
              <c:strCache>
                <c:ptCount val="2"/>
                <c:pt idx="0">
                  <c:v>% Needed Correction</c:v>
                </c:pt>
                <c:pt idx="1">
                  <c:v>% Did Not Need Correction</c:v>
                </c:pt>
              </c:strCache>
            </c:strRef>
          </c:cat>
          <c:val>
            <c:numRef>
              <c:f>'Measure-SoftTools'!$K$123:$L$123</c:f>
              <c:numCache>
                <c:formatCode>0.00%</c:formatCode>
                <c:ptCount val="2"/>
                <c:pt idx="0">
                  <c:v>0.13333333333333333</c:v>
                </c:pt>
                <c:pt idx="1">
                  <c:v>0.8666666666666667</c:v>
                </c:pt>
              </c:numCache>
            </c:numRef>
          </c:val>
          <c:extLst>
            <c:ext xmlns:c16="http://schemas.microsoft.com/office/drawing/2014/chart" uri="{C3380CC4-5D6E-409C-BE32-E72D297353CC}">
              <c16:uniqueId val="{00000000-9243-4759-BAF6-C3E425544B9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 Invoices, Approval Cycle Time</a:t>
            </a:r>
          </a:p>
          <a:p>
            <a:pPr>
              <a:defRPr/>
            </a:pPr>
            <a:r>
              <a:rPr lang="en-US"/>
              <a:t>Above / Below Threshold</a:t>
            </a:r>
          </a:p>
        </c:rich>
      </c:tx>
      <c:layout>
        <c:manualLayout>
          <c:xMode val="edge"/>
          <c:yMode val="edge"/>
          <c:x val="0.16983006535947709"/>
          <c:y val="4.5914895634075442E-2"/>
        </c:manualLayout>
      </c:layout>
      <c:overlay val="0"/>
    </c:title>
    <c:autoTitleDeleted val="0"/>
    <c:plotArea>
      <c:layout/>
      <c:barChart>
        <c:barDir val="col"/>
        <c:grouping val="clustered"/>
        <c:varyColors val="0"/>
        <c:ser>
          <c:idx val="0"/>
          <c:order val="0"/>
          <c:tx>
            <c:v>Frequency</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'Analyze-POInvoiceApprovalCycleT'!$H$12:$H$14</c:f>
              <c:strCache>
                <c:ptCount val="3"/>
                <c:pt idx="0">
                  <c:v>19</c:v>
                </c:pt>
                <c:pt idx="1">
                  <c:v>40</c:v>
                </c:pt>
                <c:pt idx="2">
                  <c:v>More</c:v>
                </c:pt>
              </c:strCache>
            </c:strRef>
          </c:cat>
          <c:val>
            <c:numRef>
              <c:f>'Analyze-POInvoiceApprovalCycleT'!$I$12:$I$14</c:f>
              <c:numCache>
                <c:formatCode>General</c:formatCode>
                <c:ptCount val="3"/>
                <c:pt idx="0">
                  <c:v>7</c:v>
                </c:pt>
                <c:pt idx="1">
                  <c:v>29</c:v>
                </c:pt>
                <c:pt idx="2">
                  <c:v>0</c:v>
                </c:pt>
              </c:numCache>
            </c:numRef>
          </c:val>
          <c:extLst>
            <c:ext xmlns:c16="http://schemas.microsoft.com/office/drawing/2014/chart" uri="{C3380CC4-5D6E-409C-BE32-E72D297353CC}">
              <c16:uniqueId val="{00000001-D6F1-487A-AD21-20F9338C9A12}"/>
            </c:ext>
          </c:extLst>
        </c:ser>
        <c:dLbls>
          <c:dLblPos val="ctr"/>
          <c:showLegendKey val="0"/>
          <c:showVal val="1"/>
          <c:showCatName val="0"/>
          <c:showSerName val="0"/>
          <c:showPercent val="0"/>
          <c:showBubbleSize val="0"/>
        </c:dLbls>
        <c:gapWidth val="150"/>
        <c:axId val="501782872"/>
        <c:axId val="501786480"/>
      </c:barChart>
      <c:catAx>
        <c:axId val="501782872"/>
        <c:scaling>
          <c:orientation val="minMax"/>
        </c:scaling>
        <c:delete val="0"/>
        <c:axPos val="b"/>
        <c:title>
          <c:tx>
            <c:rich>
              <a:bodyPr/>
              <a:lstStyle/>
              <a:p>
                <a:pPr>
                  <a:defRPr/>
                </a:pPr>
                <a:r>
                  <a:rPr lang="en-US"/>
                  <a:t>Below</a:t>
                </a:r>
                <a:r>
                  <a:rPr lang="en-US" baseline="0"/>
                  <a:t> / Above Threshold</a:t>
                </a:r>
                <a:endParaRPr lang="en-US"/>
              </a:p>
            </c:rich>
          </c:tx>
          <c:overlay val="0"/>
        </c:title>
        <c:numFmt formatCode="General" sourceLinked="1"/>
        <c:majorTickMark val="out"/>
        <c:minorTickMark val="none"/>
        <c:tickLblPos val="nextTo"/>
        <c:crossAx val="501786480"/>
        <c:crosses val="autoZero"/>
        <c:auto val="0"/>
        <c:lblAlgn val="ctr"/>
        <c:lblOffset val="100"/>
        <c:noMultiLvlLbl val="0"/>
      </c:catAx>
      <c:valAx>
        <c:axId val="50178648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5017828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 Invoices, Approval Cycle Time</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'Analyze-POInvoiceApprovalCycleT'!$J$28:$J$34</c:f>
              <c:strCache>
                <c:ptCount val="7"/>
                <c:pt idx="0">
                  <c:v>7</c:v>
                </c:pt>
                <c:pt idx="1">
                  <c:v>11</c:v>
                </c:pt>
                <c:pt idx="2">
                  <c:v>15</c:v>
                </c:pt>
                <c:pt idx="3">
                  <c:v>19</c:v>
                </c:pt>
                <c:pt idx="4">
                  <c:v>22</c:v>
                </c:pt>
                <c:pt idx="5">
                  <c:v>26</c:v>
                </c:pt>
                <c:pt idx="6">
                  <c:v>More</c:v>
                </c:pt>
              </c:strCache>
            </c:strRef>
          </c:cat>
          <c:val>
            <c:numRef>
              <c:f>'Analyze-POInvoiceApprovalCycleT'!$K$28:$K$34</c:f>
              <c:numCache>
                <c:formatCode>General</c:formatCode>
                <c:ptCount val="7"/>
                <c:pt idx="0">
                  <c:v>1</c:v>
                </c:pt>
                <c:pt idx="1">
                  <c:v>3</c:v>
                </c:pt>
                <c:pt idx="2">
                  <c:v>1</c:v>
                </c:pt>
                <c:pt idx="3">
                  <c:v>2</c:v>
                </c:pt>
                <c:pt idx="4">
                  <c:v>11</c:v>
                </c:pt>
                <c:pt idx="5">
                  <c:v>13</c:v>
                </c:pt>
                <c:pt idx="6">
                  <c:v>5</c:v>
                </c:pt>
              </c:numCache>
            </c:numRef>
          </c:val>
          <c:extLst>
            <c:ext xmlns:c16="http://schemas.microsoft.com/office/drawing/2014/chart" uri="{C3380CC4-5D6E-409C-BE32-E72D297353CC}">
              <c16:uniqueId val="{00000001-6A9D-4816-9CCB-E4131487EE05}"/>
            </c:ext>
          </c:extLst>
        </c:ser>
        <c:dLbls>
          <c:dLblPos val="outEnd"/>
          <c:showLegendKey val="0"/>
          <c:showVal val="1"/>
          <c:showCatName val="0"/>
          <c:showSerName val="0"/>
          <c:showPercent val="0"/>
          <c:showBubbleSize val="0"/>
        </c:dLbls>
        <c:gapWidth val="150"/>
        <c:axId val="842971776"/>
        <c:axId val="842970792"/>
      </c:barChart>
      <c:catAx>
        <c:axId val="842971776"/>
        <c:scaling>
          <c:orientation val="minMax"/>
        </c:scaling>
        <c:delete val="0"/>
        <c:axPos val="b"/>
        <c:title>
          <c:tx>
            <c:rich>
              <a:bodyPr/>
              <a:lstStyle/>
              <a:p>
                <a:pPr>
                  <a:defRPr/>
                </a:pPr>
                <a:r>
                  <a:rPr lang="en-US"/>
                  <a:t>Number</a:t>
                </a:r>
                <a:r>
                  <a:rPr lang="en-US" baseline="0"/>
                  <a:t> of days to complete Approval Cycle Time</a:t>
                </a:r>
                <a:endParaRPr lang="en-US"/>
              </a:p>
            </c:rich>
          </c:tx>
          <c:overlay val="0"/>
        </c:title>
        <c:numFmt formatCode="General" sourceLinked="1"/>
        <c:majorTickMark val="out"/>
        <c:minorTickMark val="none"/>
        <c:tickLblPos val="nextTo"/>
        <c:crossAx val="842970792"/>
        <c:crosses val="autoZero"/>
        <c:auto val="1"/>
        <c:lblAlgn val="ctr"/>
        <c:lblOffset val="100"/>
        <c:noMultiLvlLbl val="0"/>
      </c:catAx>
      <c:valAx>
        <c:axId val="842970792"/>
        <c:scaling>
          <c:orientation val="minMax"/>
        </c:scaling>
        <c:delete val="0"/>
        <c:axPos val="l"/>
        <c:majorGridlines/>
        <c:title>
          <c:tx>
            <c:rich>
              <a:bodyPr/>
              <a:lstStyle/>
              <a:p>
                <a:pPr>
                  <a:defRPr/>
                </a:pPr>
                <a:r>
                  <a:rPr lang="en-US"/>
                  <a:t>Frequency</a:t>
                </a:r>
              </a:p>
            </c:rich>
          </c:tx>
          <c:overlay val="0"/>
        </c:title>
        <c:numFmt formatCode="General" sourceLinked="1"/>
        <c:majorTickMark val="out"/>
        <c:minorTickMark val="none"/>
        <c:tickLblPos val="nextTo"/>
        <c:crossAx val="8429717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 Invoice Correction Frequency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36C-4203-B57A-C9A1819BE10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36C-4203-B57A-C9A1819BE10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'Analyze-CorrectionVsWithinThrsh'!$R$12:$S$12</c:f>
              <c:strCache>
                <c:ptCount val="2"/>
                <c:pt idx="0">
                  <c:v>% Corrected</c:v>
                </c:pt>
                <c:pt idx="1">
                  <c:v>% Not Corrected</c:v>
                </c:pt>
              </c:strCache>
            </c:strRef>
          </c:cat>
          <c:val>
            <c:numRef>
              <c:f>'Analyze-CorrectionVsWithinThrsh'!$R$13:$S$13</c:f>
              <c:numCache>
                <c:formatCode>0.00%</c:formatCode>
                <c:ptCount val="2"/>
                <c:pt idx="0">
                  <c:v>0.69444444444444442</c:v>
                </c:pt>
                <c:pt idx="1">
                  <c:v>0.30555555555555558</c:v>
                </c:pt>
              </c:numCache>
            </c:numRef>
          </c:val>
          <c:extLst>
            <c:ext xmlns:c16="http://schemas.microsoft.com/office/drawing/2014/chart" uri="{C3380CC4-5D6E-409C-BE32-E72D297353CC}">
              <c16:uniqueId val="{00000004-636C-4203-B57A-C9A1819BE10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9837007874015755"/>
          <c:y val="0.45711687080781571"/>
          <c:w val="0.26282678321597464"/>
          <c:h val="0.2569466316710410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PO Invoice, Approval Cycel Time (days)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 Invoice, Approval Cycel Time (days)</a:t>
          </a:r>
        </a:p>
      </cx:txPr>
    </cx:title>
    <cx:plotArea>
      <cx:plotAreaRegion>
        <cx:series layoutId="clusteredColumn" uniqueId="{818D0CE8-C6BE-414D-A877-F6491CA1FA27}">
          <cx:tx>
            <cx:txData>
              <cx:f>_xlchart.v1.3</cx:f>
              <cx:v>PO Approval Cycle Time (days)</cx:v>
            </cx:txData>
          </cx:tx>
          <cx:dataLabels pos="ctr">
            <cx:visibility seriesName="0" categoryName="0" value="1"/>
            <cx:separator>, </cx:separator>
          </cx:dataLabels>
          <cx:dataId val="0"/>
          <cx:layoutPr>
            <cx:binning intervalClosed="r"/>
          </cx:layoutPr>
          <cx:axisId val="1"/>
        </cx:series>
        <cx:series layoutId="paretoLine" ownerIdx="0" uniqueId="{34090B8B-0616-4FF1-8501-74534DC5CF11}">
          <cx:axisId val="2"/>
        </cx:series>
      </cx:plotAreaRegion>
      <cx:axis id="0">
        <cx:catScaling gapWidth="0"/>
        <cx:tickLabels/>
      </cx:axis>
      <cx:axis id="1">
        <cx:valScaling/>
        <cx:majorGridlines/>
        <cx:min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7</xdr:col>
      <xdr:colOff>432707</xdr:colOff>
      <xdr:row>4</xdr:row>
      <xdr:rowOff>13607</xdr:rowOff>
    </xdr:from>
    <xdr:to>
      <xdr:col>7</xdr:col>
      <xdr:colOff>628650</xdr:colOff>
      <xdr:row>5</xdr:row>
      <xdr:rowOff>160565</xdr:rowOff>
    </xdr:to>
    <xdr:sp macro="" textlink="">
      <xdr:nvSpPr>
        <xdr:cNvPr id="2" name="Arrow: Down 1">
          <a:extLst>
            <a:ext uri="{FF2B5EF4-FFF2-40B4-BE49-F238E27FC236}">
              <a16:creationId xmlns:a16="http://schemas.microsoft.com/office/drawing/2014/main" id="{ADED8B88-F473-4C67-8F8C-237B645A9958}"/>
            </a:ext>
          </a:extLst>
        </xdr:cNvPr>
        <xdr:cNvSpPr/>
      </xdr:nvSpPr>
      <xdr:spPr>
        <a:xfrm>
          <a:off x="5071382" y="899432"/>
          <a:ext cx="195943" cy="346983"/>
        </a:xfrm>
        <a:prstGeom prst="downArrow">
          <a:avLst/>
        </a:prstGeom>
        <a:solidFill>
          <a:srgbClr val="C0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12</xdr:col>
      <xdr:colOff>428625</xdr:colOff>
      <xdr:row>4</xdr:row>
      <xdr:rowOff>0</xdr:rowOff>
    </xdr:from>
    <xdr:to>
      <xdr:col>13</xdr:col>
      <xdr:colOff>14969</xdr:colOff>
      <xdr:row>5</xdr:row>
      <xdr:rowOff>161926</xdr:rowOff>
    </xdr:to>
    <xdr:sp macro="" textlink="">
      <xdr:nvSpPr>
        <xdr:cNvPr id="3" name="Arrow: Down 2">
          <a:extLst>
            <a:ext uri="{FF2B5EF4-FFF2-40B4-BE49-F238E27FC236}">
              <a16:creationId xmlns:a16="http://schemas.microsoft.com/office/drawing/2014/main" id="{8067132F-BBE1-4558-9CEB-DB7DAD2B6ADE}"/>
            </a:ext>
          </a:extLst>
        </xdr:cNvPr>
        <xdr:cNvSpPr/>
      </xdr:nvSpPr>
      <xdr:spPr>
        <a:xfrm>
          <a:off x="8924925" y="885825"/>
          <a:ext cx="195944" cy="361951"/>
        </a:xfrm>
        <a:prstGeom prst="downArrow">
          <a:avLst/>
        </a:prstGeom>
        <a:solidFill>
          <a:srgbClr val="C0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5</xdr:col>
      <xdr:colOff>19050</xdr:colOff>
      <xdr:row>10</xdr:row>
      <xdr:rowOff>76200</xdr:rowOff>
    </xdr:from>
    <xdr:to>
      <xdr:col>6</xdr:col>
      <xdr:colOff>13335</xdr:colOff>
      <xdr:row>10</xdr:row>
      <xdr:rowOff>76200</xdr:rowOff>
    </xdr:to>
    <xdr:cxnSp macro="">
      <xdr:nvCxnSpPr>
        <xdr:cNvPr id="5" name="Straight Connector 4">
          <a:extLst>
            <a:ext uri="{FF2B5EF4-FFF2-40B4-BE49-F238E27FC236}">
              <a16:creationId xmlns:a16="http://schemas.microsoft.com/office/drawing/2014/main" id="{C9475DD3-4831-4BAE-81E0-80C7BDCCC2CB}"/>
            </a:ext>
          </a:extLst>
        </xdr:cNvPr>
        <xdr:cNvCxnSpPr/>
      </xdr:nvCxnSpPr>
      <xdr:spPr>
        <a:xfrm>
          <a:off x="3067050" y="2028825"/>
          <a:ext cx="822960" cy="0"/>
        </a:xfrm>
        <a:prstGeom prst="line">
          <a:avLst/>
        </a:prstGeom>
        <a:ln>
          <a:solidFill>
            <a:schemeClr val="tx1">
              <a:lumMod val="50000"/>
              <a:lumOff val="50000"/>
            </a:schemeClr>
          </a:solidFill>
        </a:ln>
      </xdr:spPr>
      <xdr:style>
        <a:lnRef idx="2">
          <a:schemeClr val="dk1"/>
        </a:lnRef>
        <a:fillRef idx="0">
          <a:schemeClr val="dk1"/>
        </a:fillRef>
        <a:effectRef idx="1">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504824</xdr:colOff>
      <xdr:row>13</xdr:row>
      <xdr:rowOff>19050</xdr:rowOff>
    </xdr:from>
    <xdr:to>
      <xdr:col>15</xdr:col>
      <xdr:colOff>180975</xdr:colOff>
      <xdr:row>32</xdr:row>
      <xdr:rowOff>133350</xdr:rowOff>
    </xdr:to>
    <xdr:graphicFrame macro="">
      <xdr:nvGraphicFramePr>
        <xdr:cNvPr id="2" name="Chart 1">
          <a:extLst>
            <a:ext uri="{FF2B5EF4-FFF2-40B4-BE49-F238E27FC236}">
              <a16:creationId xmlns:a16="http://schemas.microsoft.com/office/drawing/2014/main" id="{93EFB5AF-A894-4BE5-8824-B3981C1AC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21</xdr:col>
      <xdr:colOff>326735</xdr:colOff>
      <xdr:row>3</xdr:row>
      <xdr:rowOff>37666</xdr:rowOff>
    </xdr:from>
    <xdr:to>
      <xdr:col>32</xdr:col>
      <xdr:colOff>25399</xdr:colOff>
      <xdr:row>19</xdr:row>
      <xdr:rowOff>144318</xdr:rowOff>
    </xdr:to>
    <xdr:graphicFrame macro="">
      <xdr:nvGraphicFramePr>
        <xdr:cNvPr id="2" name="Chart 1">
          <a:extLst>
            <a:ext uri="{FF2B5EF4-FFF2-40B4-BE49-F238E27FC236}">
              <a16:creationId xmlns:a16="http://schemas.microsoft.com/office/drawing/2014/main" id="{951700B4-E110-40A4-839D-D59DA0C19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365124</xdr:colOff>
      <xdr:row>21</xdr:row>
      <xdr:rowOff>157161</xdr:rowOff>
    </xdr:from>
    <xdr:to>
      <xdr:col>32</xdr:col>
      <xdr:colOff>0</xdr:colOff>
      <xdr:row>37</xdr:row>
      <xdr:rowOff>158749</xdr:rowOff>
    </xdr:to>
    <xdr:graphicFrame macro="">
      <xdr:nvGraphicFramePr>
        <xdr:cNvPr id="3" name="Chart 2">
          <a:extLst>
            <a:ext uri="{FF2B5EF4-FFF2-40B4-BE49-F238E27FC236}">
              <a16:creationId xmlns:a16="http://schemas.microsoft.com/office/drawing/2014/main" id="{7F71875B-4AF5-4083-8D16-5EEAD49C1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391101</xdr:colOff>
      <xdr:row>41</xdr:row>
      <xdr:rowOff>100445</xdr:rowOff>
    </xdr:from>
    <xdr:to>
      <xdr:col>32</xdr:col>
      <xdr:colOff>28863</xdr:colOff>
      <xdr:row>57</xdr:row>
      <xdr:rowOff>14432</xdr:rowOff>
    </xdr:to>
    <xdr:graphicFrame macro="">
      <xdr:nvGraphicFramePr>
        <xdr:cNvPr id="4" name="Chart 3">
          <a:extLst>
            <a:ext uri="{FF2B5EF4-FFF2-40B4-BE49-F238E27FC236}">
              <a16:creationId xmlns:a16="http://schemas.microsoft.com/office/drawing/2014/main" id="{E15AE416-A8C4-4112-8DDC-810DA77AE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448827</xdr:colOff>
      <xdr:row>59</xdr:row>
      <xdr:rowOff>129308</xdr:rowOff>
    </xdr:from>
    <xdr:to>
      <xdr:col>32</xdr:col>
      <xdr:colOff>519544</xdr:colOff>
      <xdr:row>81</xdr:row>
      <xdr:rowOff>129887</xdr:rowOff>
    </xdr:to>
    <xdr:graphicFrame macro="">
      <xdr:nvGraphicFramePr>
        <xdr:cNvPr id="5" name="Chart 4">
          <a:extLst>
            <a:ext uri="{FF2B5EF4-FFF2-40B4-BE49-F238E27FC236}">
              <a16:creationId xmlns:a16="http://schemas.microsoft.com/office/drawing/2014/main" id="{BE0A2723-59F1-4D09-8E1E-60FD29AD5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21</xdr:col>
      <xdr:colOff>326734</xdr:colOff>
      <xdr:row>3</xdr:row>
      <xdr:rowOff>37666</xdr:rowOff>
    </xdr:from>
    <xdr:to>
      <xdr:col>37</xdr:col>
      <xdr:colOff>447386</xdr:colOff>
      <xdr:row>21</xdr:row>
      <xdr:rowOff>158750</xdr:rowOff>
    </xdr:to>
    <xdr:graphicFrame macro="">
      <xdr:nvGraphicFramePr>
        <xdr:cNvPr id="2" name="Chart 1">
          <a:extLst>
            <a:ext uri="{FF2B5EF4-FFF2-40B4-BE49-F238E27FC236}">
              <a16:creationId xmlns:a16="http://schemas.microsoft.com/office/drawing/2014/main" id="{276E9466-DD16-4203-99E8-7C51437D3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466146</xdr:colOff>
      <xdr:row>27</xdr:row>
      <xdr:rowOff>56138</xdr:rowOff>
    </xdr:from>
    <xdr:to>
      <xdr:col>37</xdr:col>
      <xdr:colOff>447386</xdr:colOff>
      <xdr:row>45</xdr:row>
      <xdr:rowOff>43296</xdr:rowOff>
    </xdr:to>
    <xdr:graphicFrame macro="">
      <xdr:nvGraphicFramePr>
        <xdr:cNvPr id="3" name="Chart 2">
          <a:extLst>
            <a:ext uri="{FF2B5EF4-FFF2-40B4-BE49-F238E27FC236}">
              <a16:creationId xmlns:a16="http://schemas.microsoft.com/office/drawing/2014/main" id="{EF89DDFB-8344-4478-894D-D70488115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495300</xdr:colOff>
      <xdr:row>1</xdr:row>
      <xdr:rowOff>142875</xdr:rowOff>
    </xdr:from>
    <xdr:to>
      <xdr:col>12</xdr:col>
      <xdr:colOff>390525</xdr:colOff>
      <xdr:row>3</xdr:row>
      <xdr:rowOff>114300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0334625" y="342900"/>
          <a:ext cx="0" cy="762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277585</xdr:colOff>
      <xdr:row>4</xdr:row>
      <xdr:rowOff>24491</xdr:rowOff>
    </xdr:from>
    <xdr:to>
      <xdr:col>12</xdr:col>
      <xdr:colOff>212272</xdr:colOff>
      <xdr:row>19</xdr:row>
      <xdr:rowOff>185055</xdr:rowOff>
    </xdr:to>
    <xdr:graphicFrame macro="">
      <xdr:nvGraphicFramePr>
        <xdr:cNvPr id="3" name="Chart 2">
          <a:extLst>
            <a:ext uri="{FF2B5EF4-FFF2-40B4-BE49-F238E27FC236}">
              <a16:creationId xmlns:a16="http://schemas.microsoft.com/office/drawing/2014/main" id="{3594E5D9-E298-432C-9A27-490F51E99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27214</xdr:colOff>
      <xdr:row>5</xdr:row>
      <xdr:rowOff>10886</xdr:rowOff>
    </xdr:from>
    <xdr:to>
      <xdr:col>14</xdr:col>
      <xdr:colOff>446314</xdr:colOff>
      <xdr:row>23</xdr:row>
      <xdr:rowOff>70758</xdr:rowOff>
    </xdr:to>
    <xdr:graphicFrame macro="">
      <xdr:nvGraphicFramePr>
        <xdr:cNvPr id="2" name="Chart 1">
          <a:extLst>
            <a:ext uri="{FF2B5EF4-FFF2-40B4-BE49-F238E27FC236}">
              <a16:creationId xmlns:a16="http://schemas.microsoft.com/office/drawing/2014/main" id="{E7F394BB-DC27-4B03-BA7A-D02B21DCC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32657</xdr:colOff>
      <xdr:row>24</xdr:row>
      <xdr:rowOff>43544</xdr:rowOff>
    </xdr:from>
    <xdr:to>
      <xdr:col>14</xdr:col>
      <xdr:colOff>500742</xdr:colOff>
      <xdr:row>42</xdr:row>
      <xdr:rowOff>157843</xdr:rowOff>
    </xdr:to>
    <xdr:graphicFrame macro="">
      <xdr:nvGraphicFramePr>
        <xdr:cNvPr id="4" name="Chart 3">
          <a:extLst>
            <a:ext uri="{FF2B5EF4-FFF2-40B4-BE49-F238E27FC236}">
              <a16:creationId xmlns:a16="http://schemas.microsoft.com/office/drawing/2014/main" id="{0A8B9530-CEE0-44DF-8E76-DB452FA91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375556</xdr:colOff>
      <xdr:row>5</xdr:row>
      <xdr:rowOff>97969</xdr:rowOff>
    </xdr:from>
    <xdr:to>
      <xdr:col>14</xdr:col>
      <xdr:colOff>538843</xdr:colOff>
      <xdr:row>24</xdr:row>
      <xdr:rowOff>70757</xdr:rowOff>
    </xdr:to>
    <xdr:graphicFrame macro="">
      <xdr:nvGraphicFramePr>
        <xdr:cNvPr id="2" name="Chart 1">
          <a:extLst>
            <a:ext uri="{FF2B5EF4-FFF2-40B4-BE49-F238E27FC236}">
              <a16:creationId xmlns:a16="http://schemas.microsoft.com/office/drawing/2014/main" id="{EBD682B4-1D51-437D-B1F6-8319714DD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66674</xdr:colOff>
      <xdr:row>9</xdr:row>
      <xdr:rowOff>38099</xdr:rowOff>
    </xdr:from>
    <xdr:to>
      <xdr:col>24</xdr:col>
      <xdr:colOff>266700</xdr:colOff>
      <xdr:row>29</xdr:row>
      <xdr:rowOff>0</xdr:rowOff>
    </xdr:to>
    <xdr:graphicFrame macro="">
      <xdr:nvGraphicFramePr>
        <xdr:cNvPr id="3" name="Chart 2">
          <a:extLst>
            <a:ext uri="{FF2B5EF4-FFF2-40B4-BE49-F238E27FC236}">
              <a16:creationId xmlns:a16="http://schemas.microsoft.com/office/drawing/2014/main" id="{0D353D9C-D49A-4E39-BD6D-FBF861E44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49</xdr:row>
      <xdr:rowOff>85725</xdr:rowOff>
    </xdr:from>
    <xdr:to>
      <xdr:col>20</xdr:col>
      <xdr:colOff>476250</xdr:colOff>
      <xdr:row>75</xdr:row>
      <xdr:rowOff>66675</xdr:rowOff>
    </xdr:to>
    <xdr:graphicFrame macro="">
      <xdr:nvGraphicFramePr>
        <xdr:cNvPr id="4" name="Chart 3">
          <a:extLst>
            <a:ext uri="{FF2B5EF4-FFF2-40B4-BE49-F238E27FC236}">
              <a16:creationId xmlns:a16="http://schemas.microsoft.com/office/drawing/2014/main" id="{0F682B98-E7F3-4821-924F-EFE1D02D7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223836</xdr:colOff>
      <xdr:row>77</xdr:row>
      <xdr:rowOff>28573</xdr:rowOff>
    </xdr:from>
    <xdr:to>
      <xdr:col>23</xdr:col>
      <xdr:colOff>476250</xdr:colOff>
      <xdr:row>99</xdr:row>
      <xdr:rowOff>76199</xdr:rowOff>
    </xdr:to>
    <xdr:graphicFrame macro="">
      <xdr:nvGraphicFramePr>
        <xdr:cNvPr id="5" name="Chart 4">
          <a:extLst>
            <a:ext uri="{FF2B5EF4-FFF2-40B4-BE49-F238E27FC236}">
              <a16:creationId xmlns:a16="http://schemas.microsoft.com/office/drawing/2014/main" id="{833C41C2-9591-4ACA-B0B7-78D9DE959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589359</xdr:colOff>
      <xdr:row>135</xdr:row>
      <xdr:rowOff>35719</xdr:rowOff>
    </xdr:from>
    <xdr:to>
      <xdr:col>16</xdr:col>
      <xdr:colOff>202405</xdr:colOff>
      <xdr:row>153</xdr:row>
      <xdr:rowOff>109538</xdr:rowOff>
    </xdr:to>
    <xdr:graphicFrame macro="">
      <xdr:nvGraphicFramePr>
        <xdr:cNvPr id="2" name="Chart 1">
          <a:extLst>
            <a:ext uri="{FF2B5EF4-FFF2-40B4-BE49-F238E27FC236}">
              <a16:creationId xmlns:a16="http://schemas.microsoft.com/office/drawing/2014/main" id="{58DE322C-878D-48A8-A561-C17C19C0E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303609</xdr:colOff>
      <xdr:row>160</xdr:row>
      <xdr:rowOff>98821</xdr:rowOff>
    </xdr:from>
    <xdr:to>
      <xdr:col>18</xdr:col>
      <xdr:colOff>214313</xdr:colOff>
      <xdr:row>180</xdr:row>
      <xdr:rowOff>59531</xdr:rowOff>
    </xdr:to>
    <xdr:graphicFrame macro="">
      <xdr:nvGraphicFramePr>
        <xdr:cNvPr id="6" name="Chart 5">
          <a:extLst>
            <a:ext uri="{FF2B5EF4-FFF2-40B4-BE49-F238E27FC236}">
              <a16:creationId xmlns:a16="http://schemas.microsoft.com/office/drawing/2014/main" id="{709452C5-976D-4A9C-A9F0-399FC2D41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583405</xdr:colOff>
      <xdr:row>118</xdr:row>
      <xdr:rowOff>134540</xdr:rowOff>
    </xdr:from>
    <xdr:to>
      <xdr:col>20</xdr:col>
      <xdr:colOff>517920</xdr:colOff>
      <xdr:row>132</xdr:row>
      <xdr:rowOff>139303</xdr:rowOff>
    </xdr:to>
    <xdr:graphicFrame macro="">
      <xdr:nvGraphicFramePr>
        <xdr:cNvPr id="7" name="Chart 6">
          <a:extLst>
            <a:ext uri="{FF2B5EF4-FFF2-40B4-BE49-F238E27FC236}">
              <a16:creationId xmlns:a16="http://schemas.microsoft.com/office/drawing/2014/main" id="{1BAE6692-5BDC-471B-961B-9082E0969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9</xdr:row>
      <xdr:rowOff>152399</xdr:rowOff>
    </xdr:from>
    <xdr:to>
      <xdr:col>17</xdr:col>
      <xdr:colOff>295275</xdr:colOff>
      <xdr:row>22</xdr:row>
      <xdr:rowOff>161925</xdr:rowOff>
    </xdr:to>
    <xdr:graphicFrame macro="">
      <xdr:nvGraphicFramePr>
        <xdr:cNvPr id="3" name="Chart 2">
          <a:extLst>
            <a:ext uri="{FF2B5EF4-FFF2-40B4-BE49-F238E27FC236}">
              <a16:creationId xmlns:a16="http://schemas.microsoft.com/office/drawing/2014/main" id="{AD2328FF-18A2-440C-9CF3-B3C532E23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123824</xdr:colOff>
      <xdr:row>25</xdr:row>
      <xdr:rowOff>104775</xdr:rowOff>
    </xdr:from>
    <xdr:to>
      <xdr:col>20</xdr:col>
      <xdr:colOff>266699</xdr:colOff>
      <xdr:row>36</xdr:row>
      <xdr:rowOff>114300</xdr:rowOff>
    </xdr:to>
    <xdr:graphicFrame macro="">
      <xdr:nvGraphicFramePr>
        <xdr:cNvPr id="4" name="Chart 3">
          <a:extLst>
            <a:ext uri="{FF2B5EF4-FFF2-40B4-BE49-F238E27FC236}">
              <a16:creationId xmlns:a16="http://schemas.microsoft.com/office/drawing/2014/main" id="{6A5CF6B8-0065-4DA6-B047-37D8BE82B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409575</xdr:colOff>
      <xdr:row>34</xdr:row>
      <xdr:rowOff>109537</xdr:rowOff>
    </xdr:from>
    <xdr:to>
      <xdr:col>9</xdr:col>
      <xdr:colOff>485775</xdr:colOff>
      <xdr:row>48</xdr:row>
      <xdr:rowOff>138112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EB571F0-D6D3-410B-9CEC-5E88BEDEC0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52700" y="67198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28575</xdr:colOff>
      <xdr:row>13</xdr:row>
      <xdr:rowOff>95250</xdr:rowOff>
    </xdr:from>
    <xdr:to>
      <xdr:col>21</xdr:col>
      <xdr:colOff>561975</xdr:colOff>
      <xdr:row>26</xdr:row>
      <xdr:rowOff>152400</xdr:rowOff>
    </xdr:to>
    <xdr:graphicFrame macro="">
      <xdr:nvGraphicFramePr>
        <xdr:cNvPr id="2" name="Chart 1">
          <a:extLst>
            <a:ext uri="{FF2B5EF4-FFF2-40B4-BE49-F238E27FC236}">
              <a16:creationId xmlns:a16="http://schemas.microsoft.com/office/drawing/2014/main" id="{E90E9E08-EC0E-49DD-B98E-53BED90E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257175</xdr:colOff>
      <xdr:row>12</xdr:row>
      <xdr:rowOff>66675</xdr:rowOff>
    </xdr:from>
    <xdr:to>
      <xdr:col>14</xdr:col>
      <xdr:colOff>314325</xdr:colOff>
      <xdr:row>26</xdr:row>
      <xdr:rowOff>95250</xdr:rowOff>
    </xdr:to>
    <xdr:graphicFrame macro="">
      <xdr:nvGraphicFramePr>
        <xdr:cNvPr id="3" name="Chart 2">
          <a:extLst>
            <a:ext uri="{FF2B5EF4-FFF2-40B4-BE49-F238E27FC236}">
              <a16:creationId xmlns:a16="http://schemas.microsoft.com/office/drawing/2014/main" id="{ADAF5FD7-2346-4513-A4A6-BA8749FF7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495300</xdr:colOff>
      <xdr:row>18</xdr:row>
      <xdr:rowOff>33337</xdr:rowOff>
    </xdr:from>
    <xdr:to>
      <xdr:col>27</xdr:col>
      <xdr:colOff>190500</xdr:colOff>
      <xdr:row>32</xdr:row>
      <xdr:rowOff>52387</xdr:rowOff>
    </xdr:to>
    <xdr:graphicFrame macro="">
      <xdr:nvGraphicFramePr>
        <xdr:cNvPr id="2" name="Chart 1">
          <a:extLst>
            <a:ext uri="{FF2B5EF4-FFF2-40B4-BE49-F238E27FC236}">
              <a16:creationId xmlns:a16="http://schemas.microsoft.com/office/drawing/2014/main" id="{F29E5C78-B838-42BC-A113-F6432BC12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409574</xdr:colOff>
      <xdr:row>13</xdr:row>
      <xdr:rowOff>557212</xdr:rowOff>
    </xdr:from>
    <xdr:to>
      <xdr:col>17</xdr:col>
      <xdr:colOff>409575</xdr:colOff>
      <xdr:row>29</xdr:row>
      <xdr:rowOff>142875</xdr:rowOff>
    </xdr:to>
    <xdr:graphicFrame macro="">
      <xdr:nvGraphicFramePr>
        <xdr:cNvPr id="3" name="Chart 2">
          <a:extLst>
            <a:ext uri="{FF2B5EF4-FFF2-40B4-BE49-F238E27FC236}">
              <a16:creationId xmlns:a16="http://schemas.microsoft.com/office/drawing/2014/main" id="{E95008E3-927B-42F0-B804-EEF738B57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30</xdr:row>
      <xdr:rowOff>185736</xdr:rowOff>
    </xdr:from>
    <xdr:to>
      <xdr:col>19</xdr:col>
      <xdr:colOff>247650</xdr:colOff>
      <xdr:row>46</xdr:row>
      <xdr:rowOff>76200</xdr:rowOff>
    </xdr:to>
    <xdr:graphicFrame macro="">
      <xdr:nvGraphicFramePr>
        <xdr:cNvPr id="4" name="Chart 3">
          <a:extLst>
            <a:ext uri="{FF2B5EF4-FFF2-40B4-BE49-F238E27FC236}">
              <a16:creationId xmlns:a16="http://schemas.microsoft.com/office/drawing/2014/main" id="{1D0A701C-97CA-446D-8889-6E39F3C84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104775</xdr:colOff>
      <xdr:row>28</xdr:row>
      <xdr:rowOff>42862</xdr:rowOff>
    </xdr:from>
    <xdr:to>
      <xdr:col>6</xdr:col>
      <xdr:colOff>800100</xdr:colOff>
      <xdr:row>40</xdr:row>
      <xdr:rowOff>180975</xdr:rowOff>
    </xdr:to>
    <xdr:graphicFrame macro="">
      <xdr:nvGraphicFramePr>
        <xdr:cNvPr id="5" name="Chart 4">
          <a:extLst>
            <a:ext uri="{FF2B5EF4-FFF2-40B4-BE49-F238E27FC236}">
              <a16:creationId xmlns:a16="http://schemas.microsoft.com/office/drawing/2014/main" id="{96084F96-6577-42CA-AAFA-815828001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476249</xdr:colOff>
      <xdr:row>60</xdr:row>
      <xdr:rowOff>0</xdr:rowOff>
    </xdr:from>
    <xdr:to>
      <xdr:col>17</xdr:col>
      <xdr:colOff>114300</xdr:colOff>
      <xdr:row>72</xdr:row>
      <xdr:rowOff>9525</xdr:rowOff>
    </xdr:to>
    <xdr:graphicFrame macro="">
      <xdr:nvGraphicFramePr>
        <xdr:cNvPr id="6" name="Chart 5">
          <a:extLst>
            <a:ext uri="{FF2B5EF4-FFF2-40B4-BE49-F238E27FC236}">
              <a16:creationId xmlns:a16="http://schemas.microsoft.com/office/drawing/2014/main" id="{8EF3F4EA-0B0F-4C3F-8A67-D40392015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104774</xdr:colOff>
      <xdr:row>71</xdr:row>
      <xdr:rowOff>52386</xdr:rowOff>
    </xdr:from>
    <xdr:to>
      <xdr:col>7</xdr:col>
      <xdr:colOff>238125</xdr:colOff>
      <xdr:row>86</xdr:row>
      <xdr:rowOff>47625</xdr:rowOff>
    </xdr:to>
    <xdr:graphicFrame macro="">
      <xdr:nvGraphicFramePr>
        <xdr:cNvPr id="8" name="Chart 7">
          <a:extLst>
            <a:ext uri="{FF2B5EF4-FFF2-40B4-BE49-F238E27FC236}">
              <a16:creationId xmlns:a16="http://schemas.microsoft.com/office/drawing/2014/main" id="{A8BE5FFF-FC06-41EA-AE54-924433570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638175</xdr:colOff>
      <xdr:row>13</xdr:row>
      <xdr:rowOff>185737</xdr:rowOff>
    </xdr:from>
    <xdr:to>
      <xdr:col>17</xdr:col>
      <xdr:colOff>0</xdr:colOff>
      <xdr:row>26</xdr:row>
      <xdr:rowOff>142875</xdr:rowOff>
    </xdr:to>
    <xdr:graphicFrame macro="">
      <xdr:nvGraphicFramePr>
        <xdr:cNvPr id="2" name="Chart 1">
          <a:extLst>
            <a:ext uri="{FF2B5EF4-FFF2-40B4-BE49-F238E27FC236}">
              <a16:creationId xmlns:a16="http://schemas.microsoft.com/office/drawing/2014/main" id="{9EA3B568-DB59-4DE9-8E3B-704593677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16</xdr:row>
      <xdr:rowOff>33337</xdr:rowOff>
    </xdr:from>
    <xdr:to>
      <xdr:col>12</xdr:col>
      <xdr:colOff>219075</xdr:colOff>
      <xdr:row>30</xdr:row>
      <xdr:rowOff>52387</xdr:rowOff>
    </xdr:to>
    <xdr:graphicFrame macro="">
      <xdr:nvGraphicFramePr>
        <xdr:cNvPr id="3" name="Chart 2">
          <a:extLst>
            <a:ext uri="{FF2B5EF4-FFF2-40B4-BE49-F238E27FC236}">
              <a16:creationId xmlns:a16="http://schemas.microsoft.com/office/drawing/2014/main" id="{B6FDDE02-300F-4470-A461-6EC56724D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603250</xdr:colOff>
      <xdr:row>18</xdr:row>
      <xdr:rowOff>52917</xdr:rowOff>
    </xdr:from>
    <xdr:to>
      <xdr:col>9</xdr:col>
      <xdr:colOff>522818</xdr:colOff>
      <xdr:row>43</xdr:row>
      <xdr:rowOff>100542</xdr:rowOff>
    </xdr:to>
    <xdr:graphicFrame macro="">
      <xdr:nvGraphicFramePr>
        <xdr:cNvPr id="2" name="Chart 1">
          <a:extLst>
            <a:ext uri="{FF2B5EF4-FFF2-40B4-BE49-F238E27FC236}">
              <a16:creationId xmlns:a16="http://schemas.microsoft.com/office/drawing/2014/main" id="{F832FB7D-F1D8-43D6-A9CE-CA54AB88D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495300</xdr:colOff>
      <xdr:row>12</xdr:row>
      <xdr:rowOff>762000</xdr:rowOff>
    </xdr:from>
    <xdr:to>
      <xdr:col>15</xdr:col>
      <xdr:colOff>419100</xdr:colOff>
      <xdr:row>34</xdr:row>
      <xdr:rowOff>57150</xdr:rowOff>
    </xdr:to>
    <xdr:graphicFrame macro="">
      <xdr:nvGraphicFramePr>
        <xdr:cNvPr id="2" name="Chart 1">
          <a:extLst>
            <a:ext uri="{FF2B5EF4-FFF2-40B4-BE49-F238E27FC236}">
              <a16:creationId xmlns:a16="http://schemas.microsoft.com/office/drawing/2014/main" id="{5F8114F1-A9EE-4003-94BB-F1BDB627B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C0573-9251-4332-948C-779D71192FAB}">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5ED-8D9D-4084-AC3E-6F86E11EDC41}">
  <dimension ref="A2:Y49"/>
  <sheetViews>
    <sheetView workbookViewId="0">
      <selection activeCell="K21" sqref="K21"/>
    </sheetView>
  </sheetViews>
  <sheetFormatPr defaultRowHeight="15" x14ac:dyDescent="0.25"/>
  <cols>
    <col min="1" max="3" width="9.140625" style="120"/>
    <col min="4" max="4" width="8.140625" style="120" customWidth="1"/>
    <col min="5" max="5" width="11.42578125" style="120" bestFit="1" customWidth="1"/>
    <col min="6" max="6" width="10.5703125" style="120" bestFit="1" customWidth="1"/>
    <col min="7" max="16384" width="9.140625" style="120"/>
  </cols>
  <sheetData>
    <row r="2" spans="1:25" ht="16.5" thickBot="1" x14ac:dyDescent="0.3">
      <c r="C2" s="389" t="s">
        <v>354</v>
      </c>
      <c r="D2" s="389"/>
      <c r="E2" s="389"/>
      <c r="F2" s="389"/>
      <c r="G2" s="389"/>
      <c r="H2" s="389"/>
      <c r="I2" s="389"/>
      <c r="J2" s="389"/>
      <c r="K2" s="389"/>
      <c r="M2" s="410" t="s">
        <v>380</v>
      </c>
      <c r="N2" s="410"/>
      <c r="O2" s="410"/>
      <c r="P2" s="410"/>
      <c r="Q2" s="410"/>
      <c r="R2" s="410"/>
      <c r="T2" s="411" t="s">
        <v>389</v>
      </c>
      <c r="U2" s="411"/>
      <c r="V2" s="411"/>
      <c r="W2" s="411"/>
      <c r="X2" s="411"/>
      <c r="Y2" s="411"/>
    </row>
    <row r="3" spans="1:25" ht="15" customHeight="1" x14ac:dyDescent="0.25">
      <c r="C3" s="416" t="s">
        <v>411</v>
      </c>
      <c r="D3" s="417"/>
      <c r="E3" s="417"/>
      <c r="F3" s="417"/>
      <c r="G3" s="417"/>
      <c r="H3" s="417"/>
      <c r="I3" s="417"/>
      <c r="J3" s="417"/>
      <c r="K3" s="418"/>
      <c r="M3" s="424"/>
      <c r="N3" s="425"/>
      <c r="O3" s="425"/>
      <c r="P3" s="425"/>
      <c r="Q3" s="425"/>
      <c r="R3" s="426"/>
      <c r="T3" s="424" t="s">
        <v>412</v>
      </c>
      <c r="U3" s="425"/>
      <c r="V3" s="425"/>
      <c r="W3" s="425"/>
      <c r="X3" s="425"/>
      <c r="Y3" s="426"/>
    </row>
    <row r="4" spans="1:25" x14ac:dyDescent="0.25">
      <c r="C4" s="419"/>
      <c r="D4" s="406"/>
      <c r="E4" s="406"/>
      <c r="F4" s="406"/>
      <c r="G4" s="406"/>
      <c r="H4" s="406"/>
      <c r="I4" s="406"/>
      <c r="J4" s="406"/>
      <c r="K4" s="420"/>
      <c r="M4" s="427"/>
      <c r="N4" s="394"/>
      <c r="O4" s="394"/>
      <c r="P4" s="394"/>
      <c r="Q4" s="394"/>
      <c r="R4" s="428"/>
      <c r="T4" s="427"/>
      <c r="U4" s="394"/>
      <c r="V4" s="394"/>
      <c r="W4" s="394"/>
      <c r="X4" s="394"/>
      <c r="Y4" s="428"/>
    </row>
    <row r="5" spans="1:25" x14ac:dyDescent="0.25">
      <c r="C5" s="419"/>
      <c r="D5" s="406"/>
      <c r="E5" s="406"/>
      <c r="F5" s="406"/>
      <c r="G5" s="406"/>
      <c r="H5" s="406"/>
      <c r="I5" s="406"/>
      <c r="J5" s="406"/>
      <c r="K5" s="420"/>
      <c r="M5" s="427"/>
      <c r="N5" s="394"/>
      <c r="O5" s="394"/>
      <c r="P5" s="394"/>
      <c r="Q5" s="394"/>
      <c r="R5" s="428"/>
      <c r="T5" s="427"/>
      <c r="U5" s="394"/>
      <c r="V5" s="394"/>
      <c r="W5" s="394"/>
      <c r="X5" s="394"/>
      <c r="Y5" s="428"/>
    </row>
    <row r="6" spans="1:25" x14ac:dyDescent="0.25">
      <c r="C6" s="419"/>
      <c r="D6" s="406"/>
      <c r="E6" s="406"/>
      <c r="F6" s="406"/>
      <c r="G6" s="406"/>
      <c r="H6" s="406"/>
      <c r="I6" s="406"/>
      <c r="J6" s="406"/>
      <c r="K6" s="420"/>
      <c r="M6" s="427"/>
      <c r="N6" s="394"/>
      <c r="O6" s="394"/>
      <c r="P6" s="394"/>
      <c r="Q6" s="394"/>
      <c r="R6" s="428"/>
      <c r="T6" s="427"/>
      <c r="U6" s="394"/>
      <c r="V6" s="394"/>
      <c r="W6" s="394"/>
      <c r="X6" s="394"/>
      <c r="Y6" s="428"/>
    </row>
    <row r="7" spans="1:25" x14ac:dyDescent="0.25">
      <c r="C7" s="419"/>
      <c r="D7" s="406"/>
      <c r="E7" s="406"/>
      <c r="F7" s="406"/>
      <c r="G7" s="406"/>
      <c r="H7" s="406"/>
      <c r="I7" s="406"/>
      <c r="J7" s="406"/>
      <c r="K7" s="420"/>
      <c r="M7" s="427"/>
      <c r="N7" s="394"/>
      <c r="O7" s="394"/>
      <c r="P7" s="394"/>
      <c r="Q7" s="394"/>
      <c r="R7" s="428"/>
      <c r="T7" s="427"/>
      <c r="U7" s="394"/>
      <c r="V7" s="394"/>
      <c r="W7" s="394"/>
      <c r="X7" s="394"/>
      <c r="Y7" s="428"/>
    </row>
    <row r="8" spans="1:25" x14ac:dyDescent="0.25">
      <c r="C8" s="419"/>
      <c r="D8" s="406"/>
      <c r="E8" s="406"/>
      <c r="F8" s="406"/>
      <c r="G8" s="406"/>
      <c r="H8" s="406"/>
      <c r="I8" s="406"/>
      <c r="J8" s="406"/>
      <c r="K8" s="420"/>
      <c r="M8" s="427"/>
      <c r="N8" s="394"/>
      <c r="O8" s="394"/>
      <c r="P8" s="394"/>
      <c r="Q8" s="394"/>
      <c r="R8" s="428"/>
      <c r="T8" s="427"/>
      <c r="U8" s="394"/>
      <c r="V8" s="394"/>
      <c r="W8" s="394"/>
      <c r="X8" s="394"/>
      <c r="Y8" s="428"/>
    </row>
    <row r="9" spans="1:25" x14ac:dyDescent="0.25">
      <c r="C9" s="419"/>
      <c r="D9" s="406"/>
      <c r="E9" s="406"/>
      <c r="F9" s="406"/>
      <c r="G9" s="406"/>
      <c r="H9" s="406"/>
      <c r="I9" s="406"/>
      <c r="J9" s="406"/>
      <c r="K9" s="420"/>
      <c r="M9" s="427"/>
      <c r="N9" s="394"/>
      <c r="O9" s="394"/>
      <c r="P9" s="394"/>
      <c r="Q9" s="394"/>
      <c r="R9" s="428"/>
      <c r="T9" s="427"/>
      <c r="U9" s="394"/>
      <c r="V9" s="394"/>
      <c r="W9" s="394"/>
      <c r="X9" s="394"/>
      <c r="Y9" s="428"/>
    </row>
    <row r="10" spans="1:25" x14ac:dyDescent="0.25">
      <c r="C10" s="419"/>
      <c r="D10" s="406"/>
      <c r="E10" s="406"/>
      <c r="F10" s="406"/>
      <c r="G10" s="406"/>
      <c r="H10" s="406"/>
      <c r="I10" s="406"/>
      <c r="J10" s="406"/>
      <c r="K10" s="420"/>
      <c r="M10" s="427"/>
      <c r="N10" s="394"/>
      <c r="O10" s="394"/>
      <c r="P10" s="394"/>
      <c r="Q10" s="394"/>
      <c r="R10" s="428"/>
      <c r="T10" s="427"/>
      <c r="U10" s="394"/>
      <c r="V10" s="394"/>
      <c r="W10" s="394"/>
      <c r="X10" s="394"/>
      <c r="Y10" s="428"/>
    </row>
    <row r="11" spans="1:25" ht="15.75" thickBot="1" x14ac:dyDescent="0.3">
      <c r="C11" s="421"/>
      <c r="D11" s="422"/>
      <c r="E11" s="422"/>
      <c r="F11" s="422"/>
      <c r="G11" s="422"/>
      <c r="H11" s="422"/>
      <c r="I11" s="422"/>
      <c r="J11" s="422"/>
      <c r="K11" s="423"/>
      <c r="M11" s="429"/>
      <c r="N11" s="430"/>
      <c r="O11" s="430"/>
      <c r="P11" s="430"/>
      <c r="Q11" s="430"/>
      <c r="R11" s="431"/>
      <c r="T11" s="429"/>
      <c r="U11" s="430"/>
      <c r="V11" s="430"/>
      <c r="W11" s="430"/>
      <c r="X11" s="430"/>
      <c r="Y11" s="431"/>
    </row>
    <row r="12" spans="1:25" ht="48.75" thickBot="1" x14ac:dyDescent="0.3">
      <c r="A12" s="247" t="s">
        <v>256</v>
      </c>
      <c r="B12" s="231" t="s">
        <v>138</v>
      </c>
      <c r="C12" s="231" t="s">
        <v>167</v>
      </c>
      <c r="D12" s="260" t="s">
        <v>413</v>
      </c>
      <c r="H12" s="216"/>
      <c r="M12" s="120">
        <f>1-(_xlfn.NORM.S.DIST(-6.432,TRUE))</f>
        <v>0.99999999993703215</v>
      </c>
      <c r="P12" s="227" t="s">
        <v>387</v>
      </c>
      <c r="Q12" s="227" t="s">
        <v>388</v>
      </c>
      <c r="R12" s="227" t="s">
        <v>386</v>
      </c>
      <c r="S12" s="227" t="s">
        <v>395</v>
      </c>
    </row>
    <row r="13" spans="1:25" ht="15.75" thickTop="1" x14ac:dyDescent="0.25">
      <c r="A13" s="219" t="s">
        <v>257</v>
      </c>
      <c r="B13" s="248" t="s">
        <v>159</v>
      </c>
      <c r="C13" s="249" t="str">
        <f t="shared" ref="C13:C15" si="0">IF(A13 &lt;=$Y$2,"Y","N")</f>
        <v>N</v>
      </c>
      <c r="D13" s="198" t="str">
        <f>IF(AND(B13 = "Y",C13 = "N"),"1","0")</f>
        <v>1</v>
      </c>
      <c r="H13" s="216"/>
      <c r="P13" s="216">
        <f>COUNTIF(B13:B48, "Y")</f>
        <v>25</v>
      </c>
      <c r="Q13" s="216">
        <f>COUNTIF(B13:B48, "N")</f>
        <v>11</v>
      </c>
      <c r="R13" s="229">
        <f>P13/B49</f>
        <v>0.69444444444444442</v>
      </c>
      <c r="S13" s="229">
        <f>Q13/B49</f>
        <v>0.30555555555555558</v>
      </c>
    </row>
    <row r="14" spans="1:25" x14ac:dyDescent="0.25">
      <c r="A14" s="219" t="s">
        <v>258</v>
      </c>
      <c r="B14" s="248" t="s">
        <v>159</v>
      </c>
      <c r="C14" s="249" t="str">
        <f t="shared" si="0"/>
        <v>N</v>
      </c>
      <c r="D14" s="198" t="str">
        <f t="shared" ref="D14:D48" si="1">IF(AND(B14 = "Y",C14 = "N"),"1","0")</f>
        <v>1</v>
      </c>
      <c r="E14" s="216"/>
      <c r="F14" s="216"/>
      <c r="G14" s="216"/>
    </row>
    <row r="15" spans="1:25" ht="15.75" thickBot="1" x14ac:dyDescent="0.3">
      <c r="A15" s="250" t="s">
        <v>259</v>
      </c>
      <c r="B15" s="251" t="s">
        <v>159</v>
      </c>
      <c r="C15" s="252" t="str">
        <f t="shared" si="0"/>
        <v>N</v>
      </c>
      <c r="D15" s="198" t="str">
        <f t="shared" si="1"/>
        <v>1</v>
      </c>
      <c r="E15" s="216"/>
      <c r="F15" s="216"/>
      <c r="G15" s="216"/>
    </row>
    <row r="16" spans="1:25" x14ac:dyDescent="0.25">
      <c r="A16" s="219" t="s">
        <v>260</v>
      </c>
      <c r="B16" s="248" t="s">
        <v>159</v>
      </c>
      <c r="C16" s="249" t="str">
        <f>IF(A16 &lt;=$Y$2,"Y","N")</f>
        <v>N</v>
      </c>
      <c r="D16" s="198" t="str">
        <f t="shared" si="1"/>
        <v>1</v>
      </c>
      <c r="E16" s="219"/>
      <c r="F16" s="219"/>
      <c r="G16" s="219"/>
      <c r="H16" s="198"/>
    </row>
    <row r="17" spans="1:7" x14ac:dyDescent="0.25">
      <c r="A17" s="219" t="s">
        <v>261</v>
      </c>
      <c r="B17" s="248" t="s">
        <v>159</v>
      </c>
      <c r="C17" s="249" t="str">
        <f>IF(A17 &lt;=$Y$2,"Y","N")</f>
        <v>N</v>
      </c>
      <c r="D17" s="198" t="str">
        <f t="shared" si="1"/>
        <v>1</v>
      </c>
      <c r="E17" s="216"/>
      <c r="F17" s="216"/>
      <c r="G17" s="216"/>
    </row>
    <row r="18" spans="1:7" ht="15.75" thickBot="1" x14ac:dyDescent="0.3">
      <c r="A18" s="250" t="s">
        <v>262</v>
      </c>
      <c r="B18" s="251" t="s">
        <v>159</v>
      </c>
      <c r="C18" s="252" t="str">
        <f>IF(A18 &lt;= $Y$2,"Y","N")</f>
        <v>N</v>
      </c>
      <c r="D18" s="198" t="str">
        <f t="shared" si="1"/>
        <v>1</v>
      </c>
      <c r="E18" s="216"/>
      <c r="F18" s="216"/>
      <c r="G18" s="216"/>
    </row>
    <row r="19" spans="1:7" x14ac:dyDescent="0.25">
      <c r="A19" s="219" t="s">
        <v>263</v>
      </c>
      <c r="B19" s="248" t="s">
        <v>159</v>
      </c>
      <c r="C19" s="249" t="str">
        <f>IF(A19 &lt;= $Y$2,"Y","N")</f>
        <v>N</v>
      </c>
      <c r="D19" s="198" t="str">
        <f t="shared" si="1"/>
        <v>1</v>
      </c>
      <c r="E19" s="216"/>
      <c r="F19" s="216"/>
      <c r="G19" s="216"/>
    </row>
    <row r="20" spans="1:7" x14ac:dyDescent="0.25">
      <c r="A20" s="219" t="s">
        <v>264</v>
      </c>
      <c r="B20" s="248" t="s">
        <v>158</v>
      </c>
      <c r="C20" s="249" t="str">
        <f t="shared" ref="C20:C47" si="2">IF(A20 &lt;= $Y$2,"Y","N")</f>
        <v>N</v>
      </c>
      <c r="D20" s="198" t="str">
        <f t="shared" si="1"/>
        <v>0</v>
      </c>
      <c r="E20" s="216"/>
      <c r="F20" s="216"/>
      <c r="G20" s="216"/>
    </row>
    <row r="21" spans="1:7" ht="15.75" thickBot="1" x14ac:dyDescent="0.3">
      <c r="A21" s="253" t="s">
        <v>265</v>
      </c>
      <c r="B21" s="254" t="s">
        <v>159</v>
      </c>
      <c r="C21" s="255" t="str">
        <f t="shared" si="2"/>
        <v>N</v>
      </c>
      <c r="D21" s="198" t="str">
        <f t="shared" si="1"/>
        <v>1</v>
      </c>
      <c r="E21" s="216"/>
      <c r="F21" s="216"/>
      <c r="G21" s="216"/>
    </row>
    <row r="22" spans="1:7" x14ac:dyDescent="0.25">
      <c r="A22" s="219" t="s">
        <v>266</v>
      </c>
      <c r="B22" s="248" t="s">
        <v>159</v>
      </c>
      <c r="C22" s="249" t="str">
        <f t="shared" si="2"/>
        <v>N</v>
      </c>
      <c r="D22" s="198" t="str">
        <f t="shared" si="1"/>
        <v>1</v>
      </c>
      <c r="E22" s="216"/>
      <c r="F22" s="216"/>
      <c r="G22" s="216"/>
    </row>
    <row r="23" spans="1:7" x14ac:dyDescent="0.25">
      <c r="A23" s="219" t="s">
        <v>267</v>
      </c>
      <c r="B23" s="248" t="s">
        <v>159</v>
      </c>
      <c r="C23" s="249" t="str">
        <f t="shared" si="2"/>
        <v>N</v>
      </c>
      <c r="D23" s="198" t="str">
        <f t="shared" si="1"/>
        <v>1</v>
      </c>
      <c r="E23" s="216"/>
      <c r="F23" s="216"/>
      <c r="G23" s="216"/>
    </row>
    <row r="24" spans="1:7" ht="15.75" thickBot="1" x14ac:dyDescent="0.3">
      <c r="A24" s="250" t="s">
        <v>268</v>
      </c>
      <c r="B24" s="251" t="s">
        <v>158</v>
      </c>
      <c r="C24" s="252" t="str">
        <f t="shared" si="2"/>
        <v>N</v>
      </c>
      <c r="D24" s="198" t="str">
        <f t="shared" si="1"/>
        <v>0</v>
      </c>
      <c r="E24" s="216"/>
      <c r="F24" s="216"/>
      <c r="G24" s="216"/>
    </row>
    <row r="25" spans="1:7" x14ac:dyDescent="0.25">
      <c r="A25" s="219" t="s">
        <v>269</v>
      </c>
      <c r="B25" s="248" t="s">
        <v>159</v>
      </c>
      <c r="C25" s="249" t="str">
        <f t="shared" si="2"/>
        <v>N</v>
      </c>
      <c r="D25" s="198" t="str">
        <f t="shared" si="1"/>
        <v>1</v>
      </c>
      <c r="E25" s="216"/>
      <c r="F25" s="216"/>
      <c r="G25" s="216"/>
    </row>
    <row r="26" spans="1:7" x14ac:dyDescent="0.25">
      <c r="A26" s="219" t="s">
        <v>270</v>
      </c>
      <c r="B26" s="248" t="s">
        <v>159</v>
      </c>
      <c r="C26" s="249" t="str">
        <f t="shared" si="2"/>
        <v>N</v>
      </c>
      <c r="D26" s="198" t="str">
        <f t="shared" si="1"/>
        <v>1</v>
      </c>
      <c r="E26" s="216"/>
      <c r="F26" s="216"/>
      <c r="G26" s="216"/>
    </row>
    <row r="27" spans="1:7" ht="15.75" thickBot="1" x14ac:dyDescent="0.3">
      <c r="A27" s="250" t="s">
        <v>271</v>
      </c>
      <c r="B27" s="251" t="s">
        <v>159</v>
      </c>
      <c r="C27" s="252" t="str">
        <f t="shared" si="2"/>
        <v>N</v>
      </c>
      <c r="D27" s="198" t="str">
        <f t="shared" si="1"/>
        <v>1</v>
      </c>
      <c r="E27" s="216"/>
      <c r="F27" s="216"/>
      <c r="G27" s="216"/>
    </row>
    <row r="28" spans="1:7" x14ac:dyDescent="0.25">
      <c r="A28" s="219" t="s">
        <v>272</v>
      </c>
      <c r="B28" s="248" t="s">
        <v>159</v>
      </c>
      <c r="C28" s="249" t="str">
        <f t="shared" si="2"/>
        <v>N</v>
      </c>
      <c r="D28" s="198" t="str">
        <f t="shared" si="1"/>
        <v>1</v>
      </c>
      <c r="E28" s="216"/>
      <c r="F28" s="216"/>
      <c r="G28" s="216"/>
    </row>
    <row r="29" spans="1:7" x14ac:dyDescent="0.25">
      <c r="A29" s="219" t="s">
        <v>273</v>
      </c>
      <c r="B29" s="248" t="s">
        <v>159</v>
      </c>
      <c r="C29" s="249" t="str">
        <f t="shared" si="2"/>
        <v>N</v>
      </c>
      <c r="D29" s="198" t="str">
        <f t="shared" si="1"/>
        <v>1</v>
      </c>
      <c r="E29" s="216"/>
      <c r="F29" s="216"/>
      <c r="G29" s="216"/>
    </row>
    <row r="30" spans="1:7" ht="15.75" thickBot="1" x14ac:dyDescent="0.3">
      <c r="A30" s="256" t="s">
        <v>274</v>
      </c>
      <c r="B30" s="257" t="s">
        <v>158</v>
      </c>
      <c r="C30" s="258" t="str">
        <f t="shared" si="2"/>
        <v>N</v>
      </c>
      <c r="D30" s="198" t="str">
        <f t="shared" si="1"/>
        <v>0</v>
      </c>
      <c r="E30" s="216"/>
      <c r="F30" s="216"/>
      <c r="G30" s="216"/>
    </row>
    <row r="31" spans="1:7" ht="15.75" thickTop="1" x14ac:dyDescent="0.25">
      <c r="A31" s="219" t="s">
        <v>275</v>
      </c>
      <c r="B31" s="248" t="s">
        <v>159</v>
      </c>
      <c r="C31" s="249" t="str">
        <f t="shared" si="2"/>
        <v>N</v>
      </c>
      <c r="D31" s="198" t="str">
        <f t="shared" si="1"/>
        <v>1</v>
      </c>
      <c r="E31" s="216"/>
      <c r="F31" s="216"/>
      <c r="G31" s="216"/>
    </row>
    <row r="32" spans="1:7" x14ac:dyDescent="0.25">
      <c r="A32" s="219" t="s">
        <v>276</v>
      </c>
      <c r="B32" s="248" t="s">
        <v>159</v>
      </c>
      <c r="C32" s="249" t="str">
        <f t="shared" si="2"/>
        <v>N</v>
      </c>
      <c r="D32" s="198" t="str">
        <f t="shared" si="1"/>
        <v>1</v>
      </c>
      <c r="E32" s="216"/>
      <c r="F32" s="216"/>
      <c r="G32" s="216"/>
    </row>
    <row r="33" spans="1:7" ht="15.75" thickBot="1" x14ac:dyDescent="0.3">
      <c r="A33" s="250" t="s">
        <v>277</v>
      </c>
      <c r="B33" s="251" t="s">
        <v>158</v>
      </c>
      <c r="C33" s="252" t="str">
        <f t="shared" si="2"/>
        <v>N</v>
      </c>
      <c r="D33" s="198" t="str">
        <f t="shared" si="1"/>
        <v>0</v>
      </c>
      <c r="E33" s="216"/>
      <c r="F33" s="216"/>
      <c r="G33" s="216"/>
    </row>
    <row r="34" spans="1:7" x14ac:dyDescent="0.25">
      <c r="A34" s="219" t="s">
        <v>278</v>
      </c>
      <c r="B34" s="248" t="s">
        <v>159</v>
      </c>
      <c r="C34" s="249" t="str">
        <f t="shared" si="2"/>
        <v>N</v>
      </c>
      <c r="D34" s="198" t="str">
        <f t="shared" si="1"/>
        <v>1</v>
      </c>
      <c r="E34" s="216"/>
      <c r="F34" s="216"/>
      <c r="G34" s="216"/>
    </row>
    <row r="35" spans="1:7" x14ac:dyDescent="0.25">
      <c r="A35" s="219" t="s">
        <v>279</v>
      </c>
      <c r="B35" s="248" t="s">
        <v>158</v>
      </c>
      <c r="C35" s="249" t="str">
        <f t="shared" si="2"/>
        <v>N</v>
      </c>
      <c r="D35" s="198" t="str">
        <f t="shared" si="1"/>
        <v>0</v>
      </c>
      <c r="E35" s="216"/>
      <c r="F35" s="216"/>
      <c r="G35" s="216"/>
    </row>
    <row r="36" spans="1:7" ht="15.75" thickBot="1" x14ac:dyDescent="0.3">
      <c r="A36" s="250" t="s">
        <v>280</v>
      </c>
      <c r="B36" s="251" t="s">
        <v>159</v>
      </c>
      <c r="C36" s="252" t="str">
        <f t="shared" si="2"/>
        <v>N</v>
      </c>
      <c r="D36" s="198" t="str">
        <f t="shared" si="1"/>
        <v>1</v>
      </c>
      <c r="E36" s="216"/>
      <c r="F36" s="216"/>
      <c r="G36" s="216"/>
    </row>
    <row r="37" spans="1:7" x14ac:dyDescent="0.25">
      <c r="A37" s="219" t="s">
        <v>281</v>
      </c>
      <c r="B37" s="248" t="s">
        <v>159</v>
      </c>
      <c r="C37" s="249" t="str">
        <f t="shared" si="2"/>
        <v>N</v>
      </c>
      <c r="D37" s="198" t="str">
        <f t="shared" si="1"/>
        <v>1</v>
      </c>
      <c r="E37" s="216"/>
      <c r="F37" s="216"/>
      <c r="G37" s="216"/>
    </row>
    <row r="38" spans="1:7" x14ac:dyDescent="0.25">
      <c r="A38" s="219" t="s">
        <v>282</v>
      </c>
      <c r="B38" s="248" t="s">
        <v>158</v>
      </c>
      <c r="C38" s="249" t="str">
        <f t="shared" si="2"/>
        <v>N</v>
      </c>
      <c r="D38" s="198" t="str">
        <f t="shared" si="1"/>
        <v>0</v>
      </c>
      <c r="E38" s="216"/>
      <c r="F38" s="216"/>
      <c r="G38" s="216"/>
    </row>
    <row r="39" spans="1:7" ht="15.75" thickBot="1" x14ac:dyDescent="0.3">
      <c r="A39" s="253" t="s">
        <v>283</v>
      </c>
      <c r="B39" s="254" t="s">
        <v>158</v>
      </c>
      <c r="C39" s="255" t="str">
        <f t="shared" si="2"/>
        <v>N</v>
      </c>
      <c r="D39" s="198" t="str">
        <f t="shared" si="1"/>
        <v>0</v>
      </c>
      <c r="E39" s="216"/>
      <c r="F39" s="216"/>
      <c r="G39" s="216"/>
    </row>
    <row r="40" spans="1:7" x14ac:dyDescent="0.25">
      <c r="A40" s="219" t="s">
        <v>284</v>
      </c>
      <c r="B40" s="248" t="s">
        <v>159</v>
      </c>
      <c r="C40" s="249" t="str">
        <f t="shared" si="2"/>
        <v>N</v>
      </c>
      <c r="D40" s="198" t="str">
        <f t="shared" si="1"/>
        <v>1</v>
      </c>
      <c r="E40" s="216"/>
      <c r="F40" s="216"/>
      <c r="G40" s="216"/>
    </row>
    <row r="41" spans="1:7" x14ac:dyDescent="0.25">
      <c r="A41" s="219" t="s">
        <v>285</v>
      </c>
      <c r="B41" s="248" t="s">
        <v>158</v>
      </c>
      <c r="C41" s="249" t="str">
        <f t="shared" si="2"/>
        <v>N</v>
      </c>
      <c r="D41" s="198" t="str">
        <f t="shared" si="1"/>
        <v>0</v>
      </c>
      <c r="E41" s="216"/>
      <c r="F41" s="216"/>
      <c r="G41" s="216"/>
    </row>
    <row r="42" spans="1:7" ht="15.75" thickBot="1" x14ac:dyDescent="0.3">
      <c r="A42" s="250" t="s">
        <v>286</v>
      </c>
      <c r="B42" s="251" t="s">
        <v>158</v>
      </c>
      <c r="C42" s="252" t="str">
        <f t="shared" si="2"/>
        <v>N</v>
      </c>
      <c r="D42" s="198" t="str">
        <f t="shared" si="1"/>
        <v>0</v>
      </c>
      <c r="E42" s="216"/>
      <c r="F42" s="216"/>
      <c r="G42" s="216"/>
    </row>
    <row r="43" spans="1:7" x14ac:dyDescent="0.25">
      <c r="A43" s="219" t="s">
        <v>287</v>
      </c>
      <c r="B43" s="248" t="s">
        <v>159</v>
      </c>
      <c r="C43" s="249" t="str">
        <f t="shared" si="2"/>
        <v>N</v>
      </c>
      <c r="D43" s="198" t="str">
        <f t="shared" si="1"/>
        <v>1</v>
      </c>
      <c r="E43" s="216"/>
      <c r="F43" s="216"/>
      <c r="G43" s="216"/>
    </row>
    <row r="44" spans="1:7" x14ac:dyDescent="0.25">
      <c r="A44" s="219" t="s">
        <v>288</v>
      </c>
      <c r="B44" s="248" t="s">
        <v>158</v>
      </c>
      <c r="C44" s="249" t="str">
        <f t="shared" si="2"/>
        <v>N</v>
      </c>
      <c r="D44" s="198" t="str">
        <f t="shared" si="1"/>
        <v>0</v>
      </c>
      <c r="E44" s="216"/>
      <c r="F44" s="216"/>
      <c r="G44" s="216"/>
    </row>
    <row r="45" spans="1:7" ht="15.75" thickBot="1" x14ac:dyDescent="0.3">
      <c r="A45" s="250" t="s">
        <v>289</v>
      </c>
      <c r="B45" s="251" t="s">
        <v>159</v>
      </c>
      <c r="C45" s="252" t="str">
        <f t="shared" si="2"/>
        <v>N</v>
      </c>
      <c r="D45" s="198" t="str">
        <f t="shared" si="1"/>
        <v>1</v>
      </c>
      <c r="E45" s="216"/>
      <c r="F45" s="216"/>
      <c r="G45" s="216"/>
    </row>
    <row r="46" spans="1:7" x14ac:dyDescent="0.25">
      <c r="A46" s="219" t="s">
        <v>290</v>
      </c>
      <c r="B46" s="248" t="s">
        <v>159</v>
      </c>
      <c r="C46" s="249" t="str">
        <f t="shared" si="2"/>
        <v>N</v>
      </c>
      <c r="D46" s="198" t="str">
        <f t="shared" si="1"/>
        <v>1</v>
      </c>
      <c r="E46" s="216"/>
      <c r="F46" s="216"/>
      <c r="G46" s="216"/>
    </row>
    <row r="47" spans="1:7" x14ac:dyDescent="0.25">
      <c r="A47" s="219" t="s">
        <v>291</v>
      </c>
      <c r="B47" s="248" t="s">
        <v>159</v>
      </c>
      <c r="C47" s="249" t="str">
        <f t="shared" si="2"/>
        <v>N</v>
      </c>
      <c r="D47" s="198" t="str">
        <f t="shared" si="1"/>
        <v>1</v>
      </c>
      <c r="E47" s="216"/>
      <c r="F47" s="216"/>
      <c r="G47" s="216"/>
    </row>
    <row r="48" spans="1:7" ht="15.75" thickBot="1" x14ac:dyDescent="0.3">
      <c r="A48" s="256" t="s">
        <v>292</v>
      </c>
      <c r="B48" s="257" t="s">
        <v>158</v>
      </c>
      <c r="C48" s="258" t="s">
        <v>158</v>
      </c>
      <c r="D48" s="198" t="str">
        <f t="shared" si="1"/>
        <v>0</v>
      </c>
      <c r="E48" s="216"/>
      <c r="F48" s="216"/>
      <c r="G48" s="216"/>
    </row>
    <row r="49" spans="1:7" ht="15.75" thickTop="1" x14ac:dyDescent="0.25">
      <c r="A49" s="259" t="s">
        <v>385</v>
      </c>
      <c r="B49" s="216">
        <f>COUNTIF(B13:B48,"*")</f>
        <v>36</v>
      </c>
      <c r="C49" s="216"/>
      <c r="D49" s="216">
        <v>25</v>
      </c>
      <c r="E49" s="216">
        <f>25/36</f>
        <v>0.69444444444444442</v>
      </c>
      <c r="F49" s="216"/>
      <c r="G49" s="216"/>
    </row>
  </sheetData>
  <mergeCells count="6">
    <mergeCell ref="C2:K2"/>
    <mergeCell ref="M2:R2"/>
    <mergeCell ref="T2:Y2"/>
    <mergeCell ref="C3:K11"/>
    <mergeCell ref="M3:R11"/>
    <mergeCell ref="T3:Y11"/>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stacked" displayEmptyCellsAs="gap" negative="1" xr2:uid="{7C3303FD-B21F-4D97-BA0E-9EDEE2703CB0}">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'Analyze-CorrectionVsWithinThrsh'!B13:B48</xm:f>
              <xm:sqref>Q14</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7A99-61B0-409B-ADAC-DF9D5B4C9DC7}">
  <dimension ref="A2:Y49"/>
  <sheetViews>
    <sheetView workbookViewId="0">
      <selection activeCell="D13" sqref="D13"/>
    </sheetView>
  </sheetViews>
  <sheetFormatPr defaultRowHeight="15" x14ac:dyDescent="0.25"/>
  <cols>
    <col min="4" max="4" width="12" bestFit="1" customWidth="1"/>
    <col min="5" max="5" width="11.42578125" bestFit="1" customWidth="1"/>
    <col min="6" max="6" width="10.5703125" bestFit="1" customWidth="1"/>
  </cols>
  <sheetData>
    <row r="2" spans="1:25" ht="16.5" thickBot="1" x14ac:dyDescent="0.3">
      <c r="C2" s="389" t="s">
        <v>354</v>
      </c>
      <c r="D2" s="389"/>
      <c r="E2" s="389"/>
      <c r="F2" s="389"/>
      <c r="G2" s="389"/>
      <c r="H2" s="389"/>
      <c r="I2" s="389"/>
      <c r="J2" s="389"/>
      <c r="K2" s="389"/>
      <c r="M2" s="410" t="s">
        <v>380</v>
      </c>
      <c r="N2" s="410"/>
      <c r="O2" s="410"/>
      <c r="P2" s="410"/>
      <c r="Q2" s="410"/>
      <c r="R2" s="410"/>
      <c r="T2" s="411" t="s">
        <v>389</v>
      </c>
      <c r="U2" s="411"/>
      <c r="V2" s="411"/>
      <c r="W2" s="411"/>
      <c r="X2" s="411"/>
      <c r="Y2" s="411"/>
    </row>
    <row r="3" spans="1:25" ht="15" customHeight="1" x14ac:dyDescent="0.25">
      <c r="C3" s="416" t="s">
        <v>393</v>
      </c>
      <c r="D3" s="417"/>
      <c r="E3" s="417"/>
      <c r="F3" s="417"/>
      <c r="G3" s="417"/>
      <c r="H3" s="417"/>
      <c r="I3" s="417"/>
      <c r="J3" s="417"/>
      <c r="K3" s="418"/>
      <c r="M3" s="424" t="s">
        <v>394</v>
      </c>
      <c r="N3" s="425"/>
      <c r="O3" s="425"/>
      <c r="P3" s="425"/>
      <c r="Q3" s="425"/>
      <c r="R3" s="426"/>
      <c r="T3" s="424" t="s">
        <v>390</v>
      </c>
      <c r="U3" s="425"/>
      <c r="V3" s="425"/>
      <c r="W3" s="425"/>
      <c r="X3" s="425"/>
      <c r="Y3" s="426"/>
    </row>
    <row r="4" spans="1:25" x14ac:dyDescent="0.25">
      <c r="C4" s="419"/>
      <c r="D4" s="406"/>
      <c r="E4" s="406"/>
      <c r="F4" s="406"/>
      <c r="G4" s="406"/>
      <c r="H4" s="406"/>
      <c r="I4" s="406"/>
      <c r="J4" s="406"/>
      <c r="K4" s="420"/>
      <c r="M4" s="427"/>
      <c r="N4" s="394"/>
      <c r="O4" s="394"/>
      <c r="P4" s="394"/>
      <c r="Q4" s="394"/>
      <c r="R4" s="428"/>
      <c r="T4" s="427"/>
      <c r="U4" s="394"/>
      <c r="V4" s="394"/>
      <c r="W4" s="394"/>
      <c r="X4" s="394"/>
      <c r="Y4" s="428"/>
    </row>
    <row r="5" spans="1:25" x14ac:dyDescent="0.25">
      <c r="C5" s="419"/>
      <c r="D5" s="406"/>
      <c r="E5" s="406"/>
      <c r="F5" s="406"/>
      <c r="G5" s="406"/>
      <c r="H5" s="406"/>
      <c r="I5" s="406"/>
      <c r="J5" s="406"/>
      <c r="K5" s="420"/>
      <c r="M5" s="427"/>
      <c r="N5" s="394"/>
      <c r="O5" s="394"/>
      <c r="P5" s="394"/>
      <c r="Q5" s="394"/>
      <c r="R5" s="428"/>
      <c r="T5" s="427"/>
      <c r="U5" s="394"/>
      <c r="V5" s="394"/>
      <c r="W5" s="394"/>
      <c r="X5" s="394"/>
      <c r="Y5" s="428"/>
    </row>
    <row r="6" spans="1:25" x14ac:dyDescent="0.25">
      <c r="C6" s="419"/>
      <c r="D6" s="406"/>
      <c r="E6" s="406"/>
      <c r="F6" s="406"/>
      <c r="G6" s="406"/>
      <c r="H6" s="406"/>
      <c r="I6" s="406"/>
      <c r="J6" s="406"/>
      <c r="K6" s="420"/>
      <c r="M6" s="427"/>
      <c r="N6" s="394"/>
      <c r="O6" s="394"/>
      <c r="P6" s="394"/>
      <c r="Q6" s="394"/>
      <c r="R6" s="428"/>
      <c r="T6" s="427"/>
      <c r="U6" s="394"/>
      <c r="V6" s="394"/>
      <c r="W6" s="394"/>
      <c r="X6" s="394"/>
      <c r="Y6" s="428"/>
    </row>
    <row r="7" spans="1:25" x14ac:dyDescent="0.25">
      <c r="C7" s="419"/>
      <c r="D7" s="406"/>
      <c r="E7" s="406"/>
      <c r="F7" s="406"/>
      <c r="G7" s="406"/>
      <c r="H7" s="406"/>
      <c r="I7" s="406"/>
      <c r="J7" s="406"/>
      <c r="K7" s="420"/>
      <c r="M7" s="427"/>
      <c r="N7" s="394"/>
      <c r="O7" s="394"/>
      <c r="P7" s="394"/>
      <c r="Q7" s="394"/>
      <c r="R7" s="428"/>
      <c r="T7" s="427"/>
      <c r="U7" s="394"/>
      <c r="V7" s="394"/>
      <c r="W7" s="394"/>
      <c r="X7" s="394"/>
      <c r="Y7" s="428"/>
    </row>
    <row r="8" spans="1:25" x14ac:dyDescent="0.25">
      <c r="C8" s="419"/>
      <c r="D8" s="406"/>
      <c r="E8" s="406"/>
      <c r="F8" s="406"/>
      <c r="G8" s="406"/>
      <c r="H8" s="406"/>
      <c r="I8" s="406"/>
      <c r="J8" s="406"/>
      <c r="K8" s="420"/>
      <c r="M8" s="427"/>
      <c r="N8" s="394"/>
      <c r="O8" s="394"/>
      <c r="P8" s="394"/>
      <c r="Q8" s="394"/>
      <c r="R8" s="428"/>
      <c r="T8" s="427"/>
      <c r="U8" s="394"/>
      <c r="V8" s="394"/>
      <c r="W8" s="394"/>
      <c r="X8" s="394"/>
      <c r="Y8" s="428"/>
    </row>
    <row r="9" spans="1:25" x14ac:dyDescent="0.25">
      <c r="C9" s="419"/>
      <c r="D9" s="406"/>
      <c r="E9" s="406"/>
      <c r="F9" s="406"/>
      <c r="G9" s="406"/>
      <c r="H9" s="406"/>
      <c r="I9" s="406"/>
      <c r="J9" s="406"/>
      <c r="K9" s="420"/>
      <c r="M9" s="427"/>
      <c r="N9" s="394"/>
      <c r="O9" s="394"/>
      <c r="P9" s="394"/>
      <c r="Q9" s="394"/>
      <c r="R9" s="428"/>
      <c r="T9" s="427"/>
      <c r="U9" s="394"/>
      <c r="V9" s="394"/>
      <c r="W9" s="394"/>
      <c r="X9" s="394"/>
      <c r="Y9" s="428"/>
    </row>
    <row r="10" spans="1:25" x14ac:dyDescent="0.25">
      <c r="C10" s="419"/>
      <c r="D10" s="406"/>
      <c r="E10" s="406"/>
      <c r="F10" s="406"/>
      <c r="G10" s="406"/>
      <c r="H10" s="406"/>
      <c r="I10" s="406"/>
      <c r="J10" s="406"/>
      <c r="K10" s="420"/>
      <c r="M10" s="427"/>
      <c r="N10" s="394"/>
      <c r="O10" s="394"/>
      <c r="P10" s="394"/>
      <c r="Q10" s="394"/>
      <c r="R10" s="428"/>
      <c r="T10" s="427"/>
      <c r="U10" s="394"/>
      <c r="V10" s="394"/>
      <c r="W10" s="394"/>
      <c r="X10" s="394"/>
      <c r="Y10" s="428"/>
    </row>
    <row r="11" spans="1:25" ht="15.75" thickBot="1" x14ac:dyDescent="0.3">
      <c r="C11" s="421"/>
      <c r="D11" s="422"/>
      <c r="E11" s="422"/>
      <c r="F11" s="422"/>
      <c r="G11" s="422"/>
      <c r="H11" s="422"/>
      <c r="I11" s="422"/>
      <c r="J11" s="422"/>
      <c r="K11" s="423"/>
      <c r="M11" s="429"/>
      <c r="N11" s="430"/>
      <c r="O11" s="430"/>
      <c r="P11" s="430"/>
      <c r="Q11" s="430"/>
      <c r="R11" s="431"/>
      <c r="T11" s="429"/>
      <c r="U11" s="430"/>
      <c r="V11" s="430"/>
      <c r="W11" s="430"/>
      <c r="X11" s="430"/>
      <c r="Y11" s="431"/>
    </row>
    <row r="12" spans="1:25" ht="34.5" thickBot="1" x14ac:dyDescent="0.3">
      <c r="A12" s="225" t="s">
        <v>256</v>
      </c>
      <c r="B12" s="226" t="s">
        <v>138</v>
      </c>
      <c r="D12" s="227" t="s">
        <v>387</v>
      </c>
      <c r="E12" s="227" t="s">
        <v>388</v>
      </c>
      <c r="F12" s="227" t="s">
        <v>386</v>
      </c>
      <c r="G12" s="227" t="s">
        <v>395</v>
      </c>
      <c r="H12" s="216"/>
      <c r="M12" s="120">
        <f>1-(_xlfn.NORM.S.DIST(-6.432,TRUE))</f>
        <v>0.99999999993703215</v>
      </c>
    </row>
    <row r="13" spans="1:25" ht="15.75" thickTop="1" x14ac:dyDescent="0.25">
      <c r="A13" s="198" t="s">
        <v>257</v>
      </c>
      <c r="B13" s="58" t="s">
        <v>159</v>
      </c>
      <c r="D13" s="216">
        <f>COUNTIF(B13:B48, "Y")</f>
        <v>25</v>
      </c>
      <c r="E13" s="216">
        <f>COUNTIF(B13:B48, "N")</f>
        <v>11</v>
      </c>
      <c r="F13" s="229">
        <f>D13/B49</f>
        <v>0.69444444444444442</v>
      </c>
      <c r="G13" s="229">
        <f>E13/B49</f>
        <v>0.30555555555555558</v>
      </c>
      <c r="H13" s="216"/>
    </row>
    <row r="14" spans="1:25" x14ac:dyDescent="0.25">
      <c r="A14" s="198" t="s">
        <v>258</v>
      </c>
      <c r="B14" s="58" t="s">
        <v>159</v>
      </c>
    </row>
    <row r="15" spans="1:25" ht="15.75" thickBot="1" x14ac:dyDescent="0.3">
      <c r="A15" s="71" t="s">
        <v>259</v>
      </c>
      <c r="B15" s="77" t="s">
        <v>159</v>
      </c>
    </row>
    <row r="16" spans="1:25" x14ac:dyDescent="0.25">
      <c r="A16" s="198" t="s">
        <v>260</v>
      </c>
      <c r="B16" s="58" t="s">
        <v>159</v>
      </c>
      <c r="E16" s="198"/>
      <c r="F16" s="198"/>
      <c r="G16" s="198"/>
      <c r="H16" s="198"/>
    </row>
    <row r="17" spans="1:2" x14ac:dyDescent="0.25">
      <c r="A17" s="198" t="s">
        <v>261</v>
      </c>
      <c r="B17" s="58" t="s">
        <v>159</v>
      </c>
    </row>
    <row r="18" spans="1:2" ht="15.75" thickBot="1" x14ac:dyDescent="0.3">
      <c r="A18" s="71" t="s">
        <v>262</v>
      </c>
      <c r="B18" s="77" t="s">
        <v>159</v>
      </c>
    </row>
    <row r="19" spans="1:2" x14ac:dyDescent="0.25">
      <c r="A19" s="198" t="s">
        <v>263</v>
      </c>
      <c r="B19" s="58" t="s">
        <v>159</v>
      </c>
    </row>
    <row r="20" spans="1:2" x14ac:dyDescent="0.25">
      <c r="A20" s="198" t="s">
        <v>264</v>
      </c>
      <c r="B20" s="58" t="s">
        <v>158</v>
      </c>
    </row>
    <row r="21" spans="1:2" ht="15.75" thickBot="1" x14ac:dyDescent="0.3">
      <c r="A21" s="153" t="s">
        <v>265</v>
      </c>
      <c r="B21" s="160" t="s">
        <v>159</v>
      </c>
    </row>
    <row r="22" spans="1:2" x14ac:dyDescent="0.25">
      <c r="A22" s="198" t="s">
        <v>266</v>
      </c>
      <c r="B22" s="58" t="s">
        <v>159</v>
      </c>
    </row>
    <row r="23" spans="1:2" x14ac:dyDescent="0.25">
      <c r="A23" s="198" t="s">
        <v>267</v>
      </c>
      <c r="B23" s="58" t="s">
        <v>159</v>
      </c>
    </row>
    <row r="24" spans="1:2" ht="15.75" thickBot="1" x14ac:dyDescent="0.3">
      <c r="A24" s="71" t="s">
        <v>268</v>
      </c>
      <c r="B24" s="77" t="s">
        <v>158</v>
      </c>
    </row>
    <row r="25" spans="1:2" x14ac:dyDescent="0.25">
      <c r="A25" s="198" t="s">
        <v>269</v>
      </c>
      <c r="B25" s="58" t="s">
        <v>159</v>
      </c>
    </row>
    <row r="26" spans="1:2" x14ac:dyDescent="0.25">
      <c r="A26" s="198" t="s">
        <v>270</v>
      </c>
      <c r="B26" s="58" t="s">
        <v>159</v>
      </c>
    </row>
    <row r="27" spans="1:2" ht="15.75" thickBot="1" x14ac:dyDescent="0.3">
      <c r="A27" s="71" t="s">
        <v>271</v>
      </c>
      <c r="B27" s="77" t="s">
        <v>159</v>
      </c>
    </row>
    <row r="28" spans="1:2" x14ac:dyDescent="0.25">
      <c r="A28" s="198" t="s">
        <v>272</v>
      </c>
      <c r="B28" s="58" t="s">
        <v>159</v>
      </c>
    </row>
    <row r="29" spans="1:2" x14ac:dyDescent="0.25">
      <c r="A29" s="198" t="s">
        <v>273</v>
      </c>
      <c r="B29" s="58" t="s">
        <v>159</v>
      </c>
    </row>
    <row r="30" spans="1:2" ht="15.75" thickBot="1" x14ac:dyDescent="0.3">
      <c r="A30" s="128" t="s">
        <v>274</v>
      </c>
      <c r="B30" s="135" t="s">
        <v>158</v>
      </c>
    </row>
    <row r="31" spans="1:2" ht="15.75" thickTop="1" x14ac:dyDescent="0.25">
      <c r="A31" s="198" t="s">
        <v>275</v>
      </c>
      <c r="B31" s="58" t="s">
        <v>159</v>
      </c>
    </row>
    <row r="32" spans="1:2" x14ac:dyDescent="0.25">
      <c r="A32" s="198" t="s">
        <v>276</v>
      </c>
      <c r="B32" s="58" t="s">
        <v>159</v>
      </c>
    </row>
    <row r="33" spans="1:2" ht="15.75" thickBot="1" x14ac:dyDescent="0.3">
      <c r="A33" s="71" t="s">
        <v>277</v>
      </c>
      <c r="B33" s="77" t="s">
        <v>158</v>
      </c>
    </row>
    <row r="34" spans="1:2" x14ac:dyDescent="0.25">
      <c r="A34" s="198" t="s">
        <v>278</v>
      </c>
      <c r="B34" s="58" t="s">
        <v>159</v>
      </c>
    </row>
    <row r="35" spans="1:2" x14ac:dyDescent="0.25">
      <c r="A35" s="198" t="s">
        <v>279</v>
      </c>
      <c r="B35" s="58" t="s">
        <v>158</v>
      </c>
    </row>
    <row r="36" spans="1:2" ht="15.75" thickBot="1" x14ac:dyDescent="0.3">
      <c r="A36" s="71" t="s">
        <v>280</v>
      </c>
      <c r="B36" s="77" t="s">
        <v>159</v>
      </c>
    </row>
    <row r="37" spans="1:2" x14ac:dyDescent="0.25">
      <c r="A37" s="198" t="s">
        <v>281</v>
      </c>
      <c r="B37" s="58" t="s">
        <v>159</v>
      </c>
    </row>
    <row r="38" spans="1:2" x14ac:dyDescent="0.25">
      <c r="A38" s="198" t="s">
        <v>282</v>
      </c>
      <c r="B38" s="58" t="s">
        <v>158</v>
      </c>
    </row>
    <row r="39" spans="1:2" ht="15.75" thickBot="1" x14ac:dyDescent="0.3">
      <c r="A39" s="153" t="s">
        <v>283</v>
      </c>
      <c r="B39" s="160" t="s">
        <v>158</v>
      </c>
    </row>
    <row r="40" spans="1:2" x14ac:dyDescent="0.25">
      <c r="A40" s="198" t="s">
        <v>284</v>
      </c>
      <c r="B40" s="58" t="s">
        <v>159</v>
      </c>
    </row>
    <row r="41" spans="1:2" x14ac:dyDescent="0.25">
      <c r="A41" s="198" t="s">
        <v>285</v>
      </c>
      <c r="B41" s="58" t="s">
        <v>158</v>
      </c>
    </row>
    <row r="42" spans="1:2" ht="15.75" thickBot="1" x14ac:dyDescent="0.3">
      <c r="A42" s="71" t="s">
        <v>286</v>
      </c>
      <c r="B42" s="77" t="s">
        <v>158</v>
      </c>
    </row>
    <row r="43" spans="1:2" x14ac:dyDescent="0.25">
      <c r="A43" s="198" t="s">
        <v>287</v>
      </c>
      <c r="B43" s="58" t="s">
        <v>159</v>
      </c>
    </row>
    <row r="44" spans="1:2" x14ac:dyDescent="0.25">
      <c r="A44" s="198" t="s">
        <v>288</v>
      </c>
      <c r="B44" s="58" t="s">
        <v>158</v>
      </c>
    </row>
    <row r="45" spans="1:2" ht="15.75" thickBot="1" x14ac:dyDescent="0.3">
      <c r="A45" s="71" t="s">
        <v>289</v>
      </c>
      <c r="B45" s="77" t="s">
        <v>159</v>
      </c>
    </row>
    <row r="46" spans="1:2" x14ac:dyDescent="0.25">
      <c r="A46" s="198" t="s">
        <v>290</v>
      </c>
      <c r="B46" s="58" t="s">
        <v>159</v>
      </c>
    </row>
    <row r="47" spans="1:2" x14ac:dyDescent="0.25">
      <c r="A47" s="198" t="s">
        <v>291</v>
      </c>
      <c r="B47" s="58" t="s">
        <v>159</v>
      </c>
    </row>
    <row r="48" spans="1:2" ht="15.75" thickBot="1" x14ac:dyDescent="0.3">
      <c r="A48" s="128" t="s">
        <v>292</v>
      </c>
      <c r="B48" s="135" t="s">
        <v>158</v>
      </c>
    </row>
    <row r="49" spans="1:2" ht="15.75" thickTop="1" x14ac:dyDescent="0.25">
      <c r="A49" s="228" t="s">
        <v>385</v>
      </c>
      <c r="B49">
        <f>COUNTIF(B13:B48,"*")</f>
        <v>36</v>
      </c>
    </row>
  </sheetData>
  <mergeCells count="6">
    <mergeCell ref="T3:Y11"/>
    <mergeCell ref="T2:Y2"/>
    <mergeCell ref="C2:K2"/>
    <mergeCell ref="M2:R2"/>
    <mergeCell ref="C3:K11"/>
    <mergeCell ref="M3:R11"/>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stacked" displayEmptyCellsAs="gap" negative="1" xr2:uid="{757F9085-0C12-401E-B1CC-1050F934AAB6}">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'Analyze-POInvoiceCorrectionFrq'!B13:B48</xm:f>
              <xm:sqref>Q14</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17C5-29CB-48BC-939E-9CB601EF5DFD}">
  <dimension ref="A2:AA69"/>
  <sheetViews>
    <sheetView topLeftCell="A52" workbookViewId="0">
      <selection activeCell="A54" sqref="A54:C69"/>
    </sheetView>
  </sheetViews>
  <sheetFormatPr defaultRowHeight="15" x14ac:dyDescent="0.25"/>
  <cols>
    <col min="3" max="3" width="9.85546875" bestFit="1" customWidth="1"/>
    <col min="4" max="4" width="18.28515625" style="120" bestFit="1" customWidth="1"/>
    <col min="5" max="5" width="16" style="120" bestFit="1" customWidth="1"/>
    <col min="6" max="6" width="17.7109375" customWidth="1"/>
    <col min="7" max="7" width="13.5703125" customWidth="1"/>
  </cols>
  <sheetData>
    <row r="2" spans="1:27" ht="15.75" x14ac:dyDescent="0.25">
      <c r="C2" s="389" t="s">
        <v>354</v>
      </c>
      <c r="D2" s="389"/>
      <c r="E2" s="389"/>
      <c r="F2" s="389"/>
      <c r="G2" s="389"/>
      <c r="H2" s="389"/>
      <c r="I2" s="389"/>
      <c r="J2" s="389"/>
      <c r="K2" s="389"/>
      <c r="L2" s="389"/>
      <c r="M2" s="389"/>
      <c r="O2" s="410" t="s">
        <v>380</v>
      </c>
      <c r="P2" s="410"/>
      <c r="Q2" s="410"/>
      <c r="R2" s="410"/>
      <c r="S2" s="410"/>
      <c r="T2" s="410"/>
      <c r="V2" s="411" t="s">
        <v>389</v>
      </c>
      <c r="W2" s="411"/>
      <c r="X2" s="411"/>
      <c r="Y2" s="411"/>
      <c r="Z2" s="411"/>
      <c r="AA2" s="411"/>
    </row>
    <row r="3" spans="1:27" ht="15" customHeight="1" x14ac:dyDescent="0.25">
      <c r="C3" s="406" t="s">
        <v>396</v>
      </c>
      <c r="D3" s="406"/>
      <c r="E3" s="406"/>
      <c r="F3" s="406"/>
      <c r="G3" s="406"/>
      <c r="H3" s="406"/>
      <c r="I3" s="406"/>
      <c r="J3" s="406"/>
      <c r="K3" s="406"/>
      <c r="L3" s="406"/>
      <c r="M3" s="406"/>
      <c r="O3" s="433" t="s">
        <v>398</v>
      </c>
      <c r="P3" s="425"/>
      <c r="Q3" s="425"/>
      <c r="R3" s="425"/>
      <c r="S3" s="425"/>
      <c r="T3" s="426"/>
      <c r="V3" s="424" t="s">
        <v>397</v>
      </c>
      <c r="W3" s="425"/>
      <c r="X3" s="425"/>
      <c r="Y3" s="425"/>
      <c r="Z3" s="425"/>
      <c r="AA3" s="426"/>
    </row>
    <row r="4" spans="1:27" x14ac:dyDescent="0.25">
      <c r="C4" s="406"/>
      <c r="D4" s="406"/>
      <c r="E4" s="406"/>
      <c r="F4" s="406"/>
      <c r="G4" s="406"/>
      <c r="H4" s="406"/>
      <c r="I4" s="406"/>
      <c r="J4" s="406"/>
      <c r="K4" s="406"/>
      <c r="L4" s="406"/>
      <c r="M4" s="406"/>
      <c r="O4" s="427"/>
      <c r="P4" s="394"/>
      <c r="Q4" s="394"/>
      <c r="R4" s="394"/>
      <c r="S4" s="394"/>
      <c r="T4" s="428"/>
      <c r="V4" s="427"/>
      <c r="W4" s="394"/>
      <c r="X4" s="394"/>
      <c r="Y4" s="394"/>
      <c r="Z4" s="394"/>
      <c r="AA4" s="428"/>
    </row>
    <row r="5" spans="1:27" x14ac:dyDescent="0.25">
      <c r="C5" s="406"/>
      <c r="D5" s="406"/>
      <c r="E5" s="406"/>
      <c r="F5" s="406"/>
      <c r="G5" s="406"/>
      <c r="H5" s="406"/>
      <c r="I5" s="406"/>
      <c r="J5" s="406"/>
      <c r="K5" s="406"/>
      <c r="L5" s="406"/>
      <c r="M5" s="406"/>
      <c r="O5" s="427"/>
      <c r="P5" s="394"/>
      <c r="Q5" s="394"/>
      <c r="R5" s="394"/>
      <c r="S5" s="394"/>
      <c r="T5" s="428"/>
      <c r="V5" s="427"/>
      <c r="W5" s="394"/>
      <c r="X5" s="394"/>
      <c r="Y5" s="394"/>
      <c r="Z5" s="394"/>
      <c r="AA5" s="428"/>
    </row>
    <row r="6" spans="1:27" x14ac:dyDescent="0.25">
      <c r="C6" s="406"/>
      <c r="D6" s="406"/>
      <c r="E6" s="406"/>
      <c r="F6" s="406"/>
      <c r="G6" s="406"/>
      <c r="H6" s="406"/>
      <c r="I6" s="406"/>
      <c r="J6" s="406"/>
      <c r="K6" s="406"/>
      <c r="L6" s="406"/>
      <c r="M6" s="406"/>
      <c r="O6" s="427"/>
      <c r="P6" s="394"/>
      <c r="Q6" s="394"/>
      <c r="R6" s="394"/>
      <c r="S6" s="394"/>
      <c r="T6" s="428"/>
      <c r="V6" s="427"/>
      <c r="W6" s="394"/>
      <c r="X6" s="394"/>
      <c r="Y6" s="394"/>
      <c r="Z6" s="394"/>
      <c r="AA6" s="428"/>
    </row>
    <row r="7" spans="1:27" x14ac:dyDescent="0.25">
      <c r="C7" s="406"/>
      <c r="D7" s="406"/>
      <c r="E7" s="406"/>
      <c r="F7" s="406"/>
      <c r="G7" s="406"/>
      <c r="H7" s="406"/>
      <c r="I7" s="406"/>
      <c r="J7" s="406"/>
      <c r="K7" s="406"/>
      <c r="L7" s="406"/>
      <c r="M7" s="406"/>
      <c r="O7" s="427"/>
      <c r="P7" s="394"/>
      <c r="Q7" s="394"/>
      <c r="R7" s="394"/>
      <c r="S7" s="394"/>
      <c r="T7" s="428"/>
      <c r="V7" s="427"/>
      <c r="W7" s="394"/>
      <c r="X7" s="394"/>
      <c r="Y7" s="394"/>
      <c r="Z7" s="394"/>
      <c r="AA7" s="428"/>
    </row>
    <row r="8" spans="1:27" x14ac:dyDescent="0.25">
      <c r="C8" s="406"/>
      <c r="D8" s="406"/>
      <c r="E8" s="406"/>
      <c r="F8" s="406"/>
      <c r="G8" s="406"/>
      <c r="H8" s="406"/>
      <c r="I8" s="406"/>
      <c r="J8" s="406"/>
      <c r="K8" s="406"/>
      <c r="L8" s="406"/>
      <c r="M8" s="406"/>
      <c r="O8" s="427"/>
      <c r="P8" s="394"/>
      <c r="Q8" s="394"/>
      <c r="R8" s="394"/>
      <c r="S8" s="394"/>
      <c r="T8" s="428"/>
      <c r="V8" s="427"/>
      <c r="W8" s="394"/>
      <c r="X8" s="394"/>
      <c r="Y8" s="394"/>
      <c r="Z8" s="394"/>
      <c r="AA8" s="428"/>
    </row>
    <row r="9" spans="1:27" x14ac:dyDescent="0.25">
      <c r="C9" s="406"/>
      <c r="D9" s="406"/>
      <c r="E9" s="406"/>
      <c r="F9" s="406"/>
      <c r="G9" s="406"/>
      <c r="H9" s="406"/>
      <c r="I9" s="406"/>
      <c r="J9" s="406"/>
      <c r="K9" s="406"/>
      <c r="L9" s="406"/>
      <c r="M9" s="406"/>
      <c r="O9" s="427"/>
      <c r="P9" s="394"/>
      <c r="Q9" s="394"/>
      <c r="R9" s="394"/>
      <c r="S9" s="394"/>
      <c r="T9" s="428"/>
      <c r="V9" s="427"/>
      <c r="W9" s="394"/>
      <c r="X9" s="394"/>
      <c r="Y9" s="394"/>
      <c r="Z9" s="394"/>
      <c r="AA9" s="428"/>
    </row>
    <row r="10" spans="1:27" x14ac:dyDescent="0.25">
      <c r="C10" s="406"/>
      <c r="D10" s="406"/>
      <c r="E10" s="406"/>
      <c r="F10" s="406"/>
      <c r="G10" s="406"/>
      <c r="H10" s="406"/>
      <c r="I10" s="406"/>
      <c r="J10" s="406"/>
      <c r="K10" s="406"/>
      <c r="L10" s="406"/>
      <c r="M10" s="406"/>
      <c r="O10" s="427"/>
      <c r="P10" s="394"/>
      <c r="Q10" s="394"/>
      <c r="R10" s="394"/>
      <c r="S10" s="394"/>
      <c r="T10" s="428"/>
      <c r="V10" s="427"/>
      <c r="W10" s="394"/>
      <c r="X10" s="394"/>
      <c r="Y10" s="394"/>
      <c r="Z10" s="394"/>
      <c r="AA10" s="428"/>
    </row>
    <row r="11" spans="1:27" x14ac:dyDescent="0.25">
      <c r="C11" s="406"/>
      <c r="D11" s="406"/>
      <c r="E11" s="406"/>
      <c r="F11" s="406"/>
      <c r="G11" s="406"/>
      <c r="H11" s="406"/>
      <c r="I11" s="406"/>
      <c r="J11" s="406"/>
      <c r="K11" s="406"/>
      <c r="L11" s="406"/>
      <c r="M11" s="406"/>
      <c r="O11" s="429"/>
      <c r="P11" s="430"/>
      <c r="Q11" s="430"/>
      <c r="R11" s="430"/>
      <c r="S11" s="430"/>
      <c r="T11" s="431"/>
      <c r="V11" s="429"/>
      <c r="W11" s="430"/>
      <c r="X11" s="430"/>
      <c r="Y11" s="430"/>
      <c r="Z11" s="430"/>
      <c r="AA11" s="431"/>
    </row>
    <row r="14" spans="1:27" ht="48.75" thickBot="1" x14ac:dyDescent="0.3">
      <c r="A14" s="506" t="s">
        <v>256</v>
      </c>
      <c r="B14" s="507" t="s">
        <v>137</v>
      </c>
      <c r="C14" s="505" t="s">
        <v>493</v>
      </c>
      <c r="D14" s="505" t="s">
        <v>496</v>
      </c>
      <c r="E14" s="505" t="s">
        <v>497</v>
      </c>
    </row>
    <row r="15" spans="1:27" x14ac:dyDescent="0.25">
      <c r="A15" s="198" t="s">
        <v>257</v>
      </c>
      <c r="B15" s="78">
        <v>3</v>
      </c>
      <c r="C15" s="206">
        <v>2</v>
      </c>
      <c r="D15" s="206">
        <f>COUNTIF(B15:B50,"&gt;2")</f>
        <v>24</v>
      </c>
      <c r="E15" s="206">
        <f>COUNTIF(B15:B50,"&lt;=2")</f>
        <v>12</v>
      </c>
      <c r="F15" s="432" t="s">
        <v>405</v>
      </c>
      <c r="G15" s="432"/>
    </row>
    <row r="16" spans="1:27" x14ac:dyDescent="0.25">
      <c r="A16" s="198" t="s">
        <v>258</v>
      </c>
      <c r="B16" s="78">
        <v>4</v>
      </c>
      <c r="C16" s="206">
        <v>2</v>
      </c>
      <c r="D16" s="206"/>
      <c r="E16" s="206"/>
      <c r="F16" s="244"/>
      <c r="G16" s="244"/>
    </row>
    <row r="17" spans="1:7" ht="15.75" thickBot="1" x14ac:dyDescent="0.3">
      <c r="A17" s="71" t="s">
        <v>259</v>
      </c>
      <c r="B17" s="79">
        <v>2</v>
      </c>
      <c r="C17" s="206">
        <v>2</v>
      </c>
      <c r="D17" s="219" t="s">
        <v>494</v>
      </c>
      <c r="E17" s="219" t="s">
        <v>495</v>
      </c>
      <c r="F17" s="244" t="s">
        <v>312</v>
      </c>
      <c r="G17" s="271">
        <v>2.9166666666666665</v>
      </c>
    </row>
    <row r="18" spans="1:7" x14ac:dyDescent="0.25">
      <c r="A18" s="198" t="s">
        <v>260</v>
      </c>
      <c r="B18" s="78">
        <v>3</v>
      </c>
      <c r="C18" s="206">
        <v>2</v>
      </c>
      <c r="D18" s="508">
        <f>D15/G29</f>
        <v>0.66666666666666663</v>
      </c>
      <c r="E18" s="508">
        <f>E15/G29</f>
        <v>0.33333333333333331</v>
      </c>
      <c r="F18" s="244" t="s">
        <v>25</v>
      </c>
      <c r="G18" s="244">
        <v>0.19262184352553216</v>
      </c>
    </row>
    <row r="19" spans="1:7" x14ac:dyDescent="0.25">
      <c r="A19" s="198" t="s">
        <v>261</v>
      </c>
      <c r="B19" s="78">
        <v>3</v>
      </c>
      <c r="C19" s="206">
        <v>2</v>
      </c>
      <c r="D19" s="206"/>
      <c r="E19" s="206"/>
      <c r="F19" s="244" t="s">
        <v>313</v>
      </c>
      <c r="G19" s="244">
        <v>3</v>
      </c>
    </row>
    <row r="20" spans="1:7" ht="15.75" thickBot="1" x14ac:dyDescent="0.3">
      <c r="A20" s="71" t="s">
        <v>262</v>
      </c>
      <c r="B20" s="79">
        <v>2</v>
      </c>
      <c r="C20" s="206">
        <v>2</v>
      </c>
      <c r="D20" s="206"/>
      <c r="E20" s="206"/>
      <c r="F20" s="244" t="s">
        <v>314</v>
      </c>
      <c r="G20" s="244">
        <v>3</v>
      </c>
    </row>
    <row r="21" spans="1:7" x14ac:dyDescent="0.25">
      <c r="A21" s="198" t="s">
        <v>263</v>
      </c>
      <c r="B21" s="78">
        <v>4</v>
      </c>
      <c r="C21" s="206">
        <v>2</v>
      </c>
      <c r="D21" s="206"/>
      <c r="E21" s="206"/>
      <c r="F21" s="244" t="s">
        <v>315</v>
      </c>
      <c r="G21" s="244">
        <v>1.155731061153193</v>
      </c>
    </row>
    <row r="22" spans="1:7" x14ac:dyDescent="0.25">
      <c r="A22" s="198" t="s">
        <v>264</v>
      </c>
      <c r="B22" s="78">
        <v>3</v>
      </c>
      <c r="C22" s="206">
        <v>2</v>
      </c>
      <c r="D22" s="206"/>
      <c r="E22" s="206"/>
      <c r="F22" s="244" t="s">
        <v>316</v>
      </c>
      <c r="G22" s="244">
        <v>1.3357142857142856</v>
      </c>
    </row>
    <row r="23" spans="1:7" ht="15.75" thickBot="1" x14ac:dyDescent="0.3">
      <c r="A23" s="153" t="s">
        <v>265</v>
      </c>
      <c r="B23" s="161">
        <v>3</v>
      </c>
      <c r="C23" s="206">
        <v>2</v>
      </c>
      <c r="D23" s="206"/>
      <c r="E23" s="206"/>
      <c r="F23" s="244" t="s">
        <v>317</v>
      </c>
      <c r="G23" s="244">
        <v>-0.61468347136493673</v>
      </c>
    </row>
    <row r="24" spans="1:7" x14ac:dyDescent="0.25">
      <c r="A24" s="198" t="s">
        <v>266</v>
      </c>
      <c r="B24" s="78">
        <v>3</v>
      </c>
      <c r="C24" s="206">
        <v>2</v>
      </c>
      <c r="D24" s="206"/>
      <c r="E24" s="206"/>
      <c r="F24" s="244" t="s">
        <v>318</v>
      </c>
      <c r="G24" s="244">
        <v>-6.4506136711108122E-2</v>
      </c>
    </row>
    <row r="25" spans="1:7" x14ac:dyDescent="0.25">
      <c r="A25" s="198" t="s">
        <v>267</v>
      </c>
      <c r="B25" s="78">
        <v>3</v>
      </c>
      <c r="C25" s="206">
        <v>2</v>
      </c>
      <c r="D25" s="206"/>
      <c r="E25" s="206"/>
      <c r="F25" s="244" t="s">
        <v>319</v>
      </c>
      <c r="G25" s="244">
        <v>4</v>
      </c>
    </row>
    <row r="26" spans="1:7" ht="15.75" thickBot="1" x14ac:dyDescent="0.3">
      <c r="A26" s="71" t="s">
        <v>268</v>
      </c>
      <c r="B26" s="79">
        <v>3</v>
      </c>
      <c r="C26" s="206">
        <v>2</v>
      </c>
      <c r="D26" s="206"/>
      <c r="E26" s="206"/>
      <c r="F26" s="244" t="s">
        <v>320</v>
      </c>
      <c r="G26" s="244">
        <v>1</v>
      </c>
    </row>
    <row r="27" spans="1:7" x14ac:dyDescent="0.25">
      <c r="A27" s="198" t="s">
        <v>269</v>
      </c>
      <c r="B27" s="78">
        <v>3</v>
      </c>
      <c r="C27" s="206">
        <v>2</v>
      </c>
      <c r="D27" s="206"/>
      <c r="E27" s="206"/>
      <c r="F27" s="244" t="s">
        <v>321</v>
      </c>
      <c r="G27" s="244">
        <v>5</v>
      </c>
    </row>
    <row r="28" spans="1:7" x14ac:dyDescent="0.25">
      <c r="A28" s="198" t="s">
        <v>270</v>
      </c>
      <c r="B28" s="78">
        <v>4</v>
      </c>
      <c r="C28" s="206">
        <v>2</v>
      </c>
      <c r="D28" s="206"/>
      <c r="E28" s="206"/>
      <c r="F28" s="244" t="s">
        <v>322</v>
      </c>
      <c r="G28" s="244">
        <v>105</v>
      </c>
    </row>
    <row r="29" spans="1:7" ht="15.75" thickBot="1" x14ac:dyDescent="0.3">
      <c r="A29" s="71" t="s">
        <v>271</v>
      </c>
      <c r="B29" s="79">
        <v>2</v>
      </c>
      <c r="C29" s="206">
        <v>2</v>
      </c>
      <c r="D29" s="206"/>
      <c r="E29" s="206"/>
      <c r="F29" s="244" t="s">
        <v>323</v>
      </c>
      <c r="G29" s="244">
        <v>36</v>
      </c>
    </row>
    <row r="30" spans="1:7" ht="15.75" thickBot="1" x14ac:dyDescent="0.3">
      <c r="A30" s="198" t="s">
        <v>272</v>
      </c>
      <c r="B30" s="78">
        <v>4</v>
      </c>
      <c r="C30" s="206">
        <v>2</v>
      </c>
      <c r="D30" s="206"/>
      <c r="E30" s="206"/>
      <c r="F30" s="245" t="s">
        <v>403</v>
      </c>
      <c r="G30" s="245">
        <v>0.39104313169538002</v>
      </c>
    </row>
    <row r="31" spans="1:7" x14ac:dyDescent="0.25">
      <c r="A31" s="198" t="s">
        <v>273</v>
      </c>
      <c r="B31" s="78">
        <v>4</v>
      </c>
      <c r="C31" s="206">
        <v>2</v>
      </c>
      <c r="D31" s="206"/>
      <c r="E31" s="206"/>
    </row>
    <row r="32" spans="1:7" ht="15.75" thickBot="1" x14ac:dyDescent="0.3">
      <c r="A32" s="128" t="s">
        <v>274</v>
      </c>
      <c r="B32" s="136">
        <v>1</v>
      </c>
      <c r="C32" s="206">
        <v>2</v>
      </c>
      <c r="D32" s="206"/>
      <c r="E32" s="206"/>
    </row>
    <row r="33" spans="1:9" ht="16.5" thickTop="1" thickBot="1" x14ac:dyDescent="0.3">
      <c r="A33" s="198" t="s">
        <v>275</v>
      </c>
      <c r="B33" s="78">
        <v>4</v>
      </c>
      <c r="C33" s="206">
        <v>2</v>
      </c>
      <c r="D33" s="206"/>
      <c r="E33" s="206"/>
    </row>
    <row r="34" spans="1:9" x14ac:dyDescent="0.25">
      <c r="A34" s="198" t="s">
        <v>276</v>
      </c>
      <c r="B34" s="78">
        <v>4</v>
      </c>
      <c r="C34" s="206">
        <v>2</v>
      </c>
      <c r="D34" s="206"/>
      <c r="E34" s="206"/>
      <c r="G34" s="432" t="s">
        <v>405</v>
      </c>
      <c r="H34" s="432"/>
    </row>
    <row r="35" spans="1:9" ht="15.75" thickBot="1" x14ac:dyDescent="0.3">
      <c r="A35" s="71" t="s">
        <v>277</v>
      </c>
      <c r="B35" s="79">
        <v>1</v>
      </c>
      <c r="C35" s="206">
        <v>2</v>
      </c>
      <c r="D35" s="206"/>
      <c r="E35" s="206"/>
      <c r="G35" s="244"/>
      <c r="H35" s="244"/>
    </row>
    <row r="36" spans="1:9" x14ac:dyDescent="0.25">
      <c r="A36" s="198" t="s">
        <v>278</v>
      </c>
      <c r="B36" s="78">
        <v>4</v>
      </c>
      <c r="C36" s="206">
        <v>2</v>
      </c>
      <c r="D36" s="206"/>
      <c r="E36" s="206"/>
      <c r="G36" s="244" t="s">
        <v>312</v>
      </c>
      <c r="H36" s="271">
        <v>2.9166666666666665</v>
      </c>
    </row>
    <row r="37" spans="1:9" x14ac:dyDescent="0.25">
      <c r="A37" s="198" t="s">
        <v>279</v>
      </c>
      <c r="B37" s="78">
        <v>3</v>
      </c>
      <c r="C37" s="206">
        <v>2</v>
      </c>
      <c r="D37" s="206"/>
      <c r="E37" s="206"/>
      <c r="G37" s="244" t="s">
        <v>25</v>
      </c>
      <c r="H37" s="271">
        <v>0.19262184352553216</v>
      </c>
    </row>
    <row r="38" spans="1:9" ht="15.75" thickBot="1" x14ac:dyDescent="0.3">
      <c r="A38" s="71" t="s">
        <v>280</v>
      </c>
      <c r="B38" s="79">
        <v>2</v>
      </c>
      <c r="C38" s="206">
        <v>2</v>
      </c>
      <c r="D38" s="206"/>
      <c r="E38" s="206"/>
      <c r="G38" s="244" t="s">
        <v>313</v>
      </c>
      <c r="H38" s="244">
        <v>3</v>
      </c>
    </row>
    <row r="39" spans="1:9" x14ac:dyDescent="0.25">
      <c r="A39" s="198" t="s">
        <v>281</v>
      </c>
      <c r="B39" s="78">
        <v>5</v>
      </c>
      <c r="C39" s="206">
        <v>2</v>
      </c>
      <c r="D39" s="206"/>
      <c r="E39" s="206"/>
      <c r="G39" s="244" t="s">
        <v>315</v>
      </c>
      <c r="H39" s="244">
        <v>1.155731061153193</v>
      </c>
    </row>
    <row r="40" spans="1:9" x14ac:dyDescent="0.25">
      <c r="A40" s="198" t="s">
        <v>282</v>
      </c>
      <c r="B40" s="78">
        <v>3</v>
      </c>
      <c r="C40" s="206">
        <v>2</v>
      </c>
      <c r="D40" s="206"/>
      <c r="E40" s="206"/>
      <c r="G40" s="244" t="s">
        <v>316</v>
      </c>
      <c r="H40" s="244">
        <v>1.3357142857142856</v>
      </c>
    </row>
    <row r="41" spans="1:9" ht="15.75" thickBot="1" x14ac:dyDescent="0.3">
      <c r="A41" s="153" t="s">
        <v>283</v>
      </c>
      <c r="B41" s="161">
        <v>1</v>
      </c>
      <c r="C41" s="206">
        <v>2</v>
      </c>
      <c r="D41" s="206"/>
      <c r="E41" s="206"/>
      <c r="G41" s="244" t="s">
        <v>319</v>
      </c>
      <c r="H41" s="244">
        <v>4</v>
      </c>
    </row>
    <row r="42" spans="1:9" x14ac:dyDescent="0.25">
      <c r="A42" s="198" t="s">
        <v>284</v>
      </c>
      <c r="B42" s="78">
        <v>5</v>
      </c>
      <c r="C42" s="206">
        <v>2</v>
      </c>
      <c r="D42" s="206"/>
      <c r="E42" s="206"/>
      <c r="G42" s="244" t="s">
        <v>320</v>
      </c>
      <c r="H42" s="244">
        <v>1</v>
      </c>
    </row>
    <row r="43" spans="1:9" x14ac:dyDescent="0.25">
      <c r="A43" s="198" t="s">
        <v>285</v>
      </c>
      <c r="B43" s="78">
        <v>2</v>
      </c>
      <c r="C43" s="206">
        <v>2</v>
      </c>
      <c r="D43" s="206"/>
      <c r="E43" s="206"/>
      <c r="G43" s="244" t="s">
        <v>321</v>
      </c>
      <c r="H43" s="244">
        <v>5</v>
      </c>
    </row>
    <row r="44" spans="1:9" ht="15.75" thickBot="1" x14ac:dyDescent="0.3">
      <c r="A44" s="71" t="s">
        <v>286</v>
      </c>
      <c r="B44" s="79">
        <v>1</v>
      </c>
      <c r="C44" s="206">
        <v>2</v>
      </c>
      <c r="D44" s="206"/>
      <c r="E44" s="206"/>
      <c r="G44" s="245" t="s">
        <v>323</v>
      </c>
      <c r="H44" s="245">
        <v>36</v>
      </c>
    </row>
    <row r="45" spans="1:9" ht="15.75" thickBot="1" x14ac:dyDescent="0.3">
      <c r="A45" s="198" t="s">
        <v>287</v>
      </c>
      <c r="B45" s="78">
        <v>5</v>
      </c>
      <c r="C45" s="206">
        <v>2</v>
      </c>
      <c r="D45" s="206"/>
      <c r="E45" s="206"/>
      <c r="G45" s="245"/>
      <c r="H45" s="245"/>
    </row>
    <row r="46" spans="1:9" x14ac:dyDescent="0.25">
      <c r="A46" s="198" t="s">
        <v>288</v>
      </c>
      <c r="B46" s="78">
        <v>2</v>
      </c>
      <c r="C46" s="206">
        <v>2</v>
      </c>
      <c r="D46" s="206"/>
      <c r="E46" s="206"/>
    </row>
    <row r="47" spans="1:9" ht="15.75" thickBot="1" x14ac:dyDescent="0.3">
      <c r="A47" s="71" t="s">
        <v>289</v>
      </c>
      <c r="B47" s="79">
        <v>1</v>
      </c>
      <c r="C47" s="206">
        <v>2</v>
      </c>
      <c r="D47" s="206"/>
      <c r="E47" s="206"/>
      <c r="G47" s="244"/>
      <c r="H47" s="244"/>
    </row>
    <row r="48" spans="1:9" ht="15.75" thickBot="1" x14ac:dyDescent="0.3">
      <c r="A48" s="198" t="s">
        <v>290</v>
      </c>
      <c r="B48" s="78">
        <v>3</v>
      </c>
      <c r="C48" s="206">
        <v>2</v>
      </c>
      <c r="D48" s="206"/>
      <c r="E48" s="206"/>
      <c r="G48" s="496" t="s">
        <v>494</v>
      </c>
      <c r="H48" s="503" t="s">
        <v>495</v>
      </c>
      <c r="I48" s="503"/>
    </row>
    <row r="49" spans="1:14" x14ac:dyDescent="0.25">
      <c r="A49" s="198" t="s">
        <v>291</v>
      </c>
      <c r="B49" s="78">
        <v>3</v>
      </c>
      <c r="C49" s="206">
        <v>2</v>
      </c>
      <c r="D49" s="206"/>
      <c r="E49" s="206"/>
    </row>
    <row r="50" spans="1:14" ht="15.75" thickBot="1" x14ac:dyDescent="0.3">
      <c r="A50" s="128" t="s">
        <v>292</v>
      </c>
      <c r="B50" s="136">
        <v>2</v>
      </c>
      <c r="C50" s="206">
        <v>2</v>
      </c>
      <c r="D50" s="206"/>
      <c r="E50" s="206"/>
    </row>
    <row r="51" spans="1:14" ht="15.75" thickTop="1" x14ac:dyDescent="0.25"/>
    <row r="54" spans="1:14" ht="48.75" thickBot="1" x14ac:dyDescent="0.3">
      <c r="A54" s="211" t="s">
        <v>256</v>
      </c>
      <c r="B54" s="511" t="s">
        <v>137</v>
      </c>
      <c r="C54" s="505" t="s">
        <v>493</v>
      </c>
      <c r="D54" s="505" t="s">
        <v>496</v>
      </c>
      <c r="E54" s="505" t="s">
        <v>497</v>
      </c>
    </row>
    <row r="55" spans="1:14" ht="15.75" thickTop="1" x14ac:dyDescent="0.25">
      <c r="A55" s="206" t="s">
        <v>296</v>
      </c>
      <c r="B55" s="512">
        <v>1</v>
      </c>
      <c r="C55" s="206">
        <v>2</v>
      </c>
      <c r="D55" s="206">
        <f>COUNTIF(B55:B69,"&gt;2")</f>
        <v>0</v>
      </c>
      <c r="E55" s="206">
        <f>COUNTIF(B55:B69,"&lt;=2")</f>
        <v>15</v>
      </c>
      <c r="F55" s="243" t="s">
        <v>137</v>
      </c>
      <c r="G55" s="243"/>
      <c r="I55" s="17" t="s">
        <v>377</v>
      </c>
      <c r="J55" s="17" t="s">
        <v>379</v>
      </c>
      <c r="K55" s="17" t="s">
        <v>507</v>
      </c>
      <c r="L55" s="17" t="s">
        <v>377</v>
      </c>
      <c r="M55" s="17" t="s">
        <v>379</v>
      </c>
      <c r="N55" s="17" t="s">
        <v>507</v>
      </c>
    </row>
    <row r="56" spans="1:14" x14ac:dyDescent="0.25">
      <c r="A56" s="206" t="s">
        <v>297</v>
      </c>
      <c r="B56" s="512">
        <v>1</v>
      </c>
      <c r="C56" s="206">
        <v>2</v>
      </c>
      <c r="D56" s="206"/>
      <c r="E56" s="206"/>
      <c r="F56" s="244"/>
      <c r="G56" s="244"/>
      <c r="I56" s="15">
        <v>0.25</v>
      </c>
      <c r="J56" s="15">
        <v>3</v>
      </c>
      <c r="K56" s="515">
        <v>0.2</v>
      </c>
      <c r="L56" s="223">
        <v>1.4166666666666667</v>
      </c>
      <c r="M56" s="15">
        <v>7</v>
      </c>
      <c r="N56" s="515">
        <v>0.46666666666666667</v>
      </c>
    </row>
    <row r="57" spans="1:14" ht="15.75" thickBot="1" x14ac:dyDescent="0.3">
      <c r="A57" s="71" t="s">
        <v>300</v>
      </c>
      <c r="B57" s="513">
        <v>0.5</v>
      </c>
      <c r="C57" s="206">
        <v>2</v>
      </c>
      <c r="D57" s="219" t="s">
        <v>494</v>
      </c>
      <c r="E57" s="219" t="s">
        <v>495</v>
      </c>
      <c r="F57" s="244" t="s">
        <v>312</v>
      </c>
      <c r="G57" s="271">
        <v>0.85</v>
      </c>
      <c r="I57" s="15">
        <v>0.83333333333333337</v>
      </c>
      <c r="J57" s="15">
        <v>3</v>
      </c>
      <c r="K57" s="515">
        <v>0.4</v>
      </c>
      <c r="L57" s="223">
        <v>0.25</v>
      </c>
      <c r="M57" s="15">
        <v>3</v>
      </c>
      <c r="N57" s="515">
        <v>0.66666666666666663</v>
      </c>
    </row>
    <row r="58" spans="1:14" x14ac:dyDescent="0.25">
      <c r="A58" s="206" t="s">
        <v>298</v>
      </c>
      <c r="B58" s="512">
        <v>1</v>
      </c>
      <c r="C58" s="206">
        <v>2</v>
      </c>
      <c r="D58" s="508">
        <f>D55/G64</f>
        <v>0</v>
      </c>
      <c r="E58" s="508">
        <f>E55/G64</f>
        <v>1</v>
      </c>
      <c r="F58" s="244" t="s">
        <v>25</v>
      </c>
      <c r="G58" s="244">
        <v>0.12630273533214137</v>
      </c>
      <c r="I58" s="15">
        <v>1.4166666666666667</v>
      </c>
      <c r="J58" s="15">
        <v>7</v>
      </c>
      <c r="K58" s="515">
        <v>0.8666666666666667</v>
      </c>
      <c r="L58" s="223">
        <v>0.83333333333333337</v>
      </c>
      <c r="M58" s="15">
        <v>3</v>
      </c>
      <c r="N58" s="515">
        <v>0.8666666666666667</v>
      </c>
    </row>
    <row r="59" spans="1:14" ht="15.75" thickBot="1" x14ac:dyDescent="0.3">
      <c r="A59" s="206" t="s">
        <v>301</v>
      </c>
      <c r="B59" s="512">
        <v>0.5</v>
      </c>
      <c r="C59" s="206">
        <v>2</v>
      </c>
      <c r="F59" s="244" t="s">
        <v>315</v>
      </c>
      <c r="G59" s="244">
        <v>0.48916839052182659</v>
      </c>
      <c r="I59" s="16" t="s">
        <v>378</v>
      </c>
      <c r="J59" s="16">
        <v>2</v>
      </c>
      <c r="K59" s="516">
        <v>1</v>
      </c>
      <c r="L59" s="517" t="s">
        <v>378</v>
      </c>
      <c r="M59" s="16">
        <v>2</v>
      </c>
      <c r="N59" s="516">
        <v>1</v>
      </c>
    </row>
    <row r="60" spans="1:14" ht="15.75" thickBot="1" x14ac:dyDescent="0.3">
      <c r="A60" s="71" t="s">
        <v>302</v>
      </c>
      <c r="B60" s="513">
        <v>1.5</v>
      </c>
      <c r="C60" s="206">
        <v>2</v>
      </c>
      <c r="F60" s="244" t="s">
        <v>316</v>
      </c>
      <c r="G60" s="244">
        <v>0.23928571428571427</v>
      </c>
    </row>
    <row r="61" spans="1:14" x14ac:dyDescent="0.25">
      <c r="A61" s="206" t="s">
        <v>303</v>
      </c>
      <c r="B61" s="512">
        <v>1</v>
      </c>
      <c r="C61" s="206">
        <v>2</v>
      </c>
      <c r="F61" s="244" t="s">
        <v>319</v>
      </c>
      <c r="G61" s="244">
        <v>1.75</v>
      </c>
    </row>
    <row r="62" spans="1:14" x14ac:dyDescent="0.25">
      <c r="A62" s="206" t="s">
        <v>304</v>
      </c>
      <c r="B62" s="512">
        <v>0.5</v>
      </c>
      <c r="C62" s="206">
        <v>2</v>
      </c>
      <c r="F62" s="244" t="s">
        <v>320</v>
      </c>
      <c r="G62" s="244">
        <v>0.25</v>
      </c>
    </row>
    <row r="63" spans="1:14" ht="15.75" thickBot="1" x14ac:dyDescent="0.3">
      <c r="A63" s="144" t="s">
        <v>299</v>
      </c>
      <c r="B63" s="514">
        <v>0.25</v>
      </c>
      <c r="C63" s="206">
        <v>2</v>
      </c>
      <c r="F63" s="244" t="s">
        <v>321</v>
      </c>
      <c r="G63" s="244">
        <v>2</v>
      </c>
    </row>
    <row r="64" spans="1:14" ht="16.5" thickTop="1" thickBot="1" x14ac:dyDescent="0.3">
      <c r="A64" s="206" t="s">
        <v>305</v>
      </c>
      <c r="B64" s="512">
        <v>1</v>
      </c>
      <c r="C64" s="206">
        <v>2</v>
      </c>
      <c r="F64" s="245" t="s">
        <v>323</v>
      </c>
      <c r="G64" s="245">
        <v>15</v>
      </c>
    </row>
    <row r="65" spans="1:7" x14ac:dyDescent="0.25">
      <c r="A65" s="206" t="s">
        <v>306</v>
      </c>
      <c r="B65" s="512">
        <v>2</v>
      </c>
      <c r="C65" s="206">
        <v>2</v>
      </c>
    </row>
    <row r="66" spans="1:7" ht="15.75" thickBot="1" x14ac:dyDescent="0.3">
      <c r="A66" s="71" t="s">
        <v>307</v>
      </c>
      <c r="B66" s="513">
        <v>0.25</v>
      </c>
      <c r="C66" s="206">
        <v>2</v>
      </c>
    </row>
    <row r="67" spans="1:7" x14ac:dyDescent="0.25">
      <c r="A67" s="206" t="s">
        <v>308</v>
      </c>
      <c r="B67" s="512">
        <v>1</v>
      </c>
      <c r="C67" s="206">
        <v>2</v>
      </c>
    </row>
    <row r="68" spans="1:7" x14ac:dyDescent="0.25">
      <c r="A68" s="206" t="s">
        <v>309</v>
      </c>
      <c r="B68" s="512">
        <v>1</v>
      </c>
      <c r="C68" s="206">
        <v>2</v>
      </c>
      <c r="F68" s="244"/>
      <c r="G68" s="244"/>
    </row>
    <row r="69" spans="1:7" ht="15.75" thickBot="1" x14ac:dyDescent="0.3">
      <c r="A69" s="71" t="s">
        <v>310</v>
      </c>
      <c r="B69" s="513">
        <v>0.25</v>
      </c>
      <c r="C69" s="206">
        <v>2</v>
      </c>
    </row>
  </sheetData>
  <sortState ref="L56:M59">
    <sortCondition descending="1" ref="M56"/>
  </sortState>
  <mergeCells count="9">
    <mergeCell ref="G34:H34"/>
    <mergeCell ref="H48:I48"/>
    <mergeCell ref="F15:G15"/>
    <mergeCell ref="C2:M2"/>
    <mergeCell ref="O2:T2"/>
    <mergeCell ref="V2:AA2"/>
    <mergeCell ref="V3:AA11"/>
    <mergeCell ref="O3:T11"/>
    <mergeCell ref="C3:M11"/>
  </mergeCells>
  <conditionalFormatting sqref="B55:B69">
    <cfRule type="cellIs" dxfId="9" priority="4" operator="equal">
      <formula>2</formula>
    </cfRule>
    <cfRule type="cellIs" dxfId="8" priority="5" operator="greaterThan">
      <formula>2</formula>
    </cfRule>
    <cfRule type="cellIs" dxfId="7" priority="6" operator="lessThan">
      <formula>2</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1FC84-347F-4688-9480-336FCD53B22B}">
  <dimension ref="A2:Y51"/>
  <sheetViews>
    <sheetView workbookViewId="0">
      <selection activeCell="D17" sqref="D17:E18"/>
    </sheetView>
  </sheetViews>
  <sheetFormatPr defaultRowHeight="15" x14ac:dyDescent="0.25"/>
  <cols>
    <col min="4" max="4" width="15.42578125" customWidth="1"/>
    <col min="5" max="5" width="15.7109375" customWidth="1"/>
    <col min="7" max="7" width="16.140625" bestFit="1" customWidth="1"/>
    <col min="9" max="9" width="19.85546875" bestFit="1" customWidth="1"/>
  </cols>
  <sheetData>
    <row r="2" spans="1:25" ht="15.75" x14ac:dyDescent="0.25">
      <c r="C2" s="389" t="s">
        <v>354</v>
      </c>
      <c r="D2" s="389"/>
      <c r="E2" s="389"/>
      <c r="F2" s="389"/>
      <c r="G2" s="389"/>
      <c r="H2" s="389"/>
      <c r="I2" s="389"/>
      <c r="J2" s="389"/>
      <c r="K2" s="389"/>
      <c r="M2" s="410" t="s">
        <v>380</v>
      </c>
      <c r="N2" s="410"/>
      <c r="O2" s="410"/>
      <c r="P2" s="410"/>
      <c r="Q2" s="410"/>
      <c r="R2" s="410"/>
      <c r="T2" s="411" t="s">
        <v>389</v>
      </c>
      <c r="U2" s="411"/>
      <c r="V2" s="411"/>
      <c r="W2" s="411"/>
      <c r="X2" s="411"/>
      <c r="Y2" s="411"/>
    </row>
    <row r="3" spans="1:25" ht="15" customHeight="1" x14ac:dyDescent="0.25">
      <c r="C3" s="406" t="s">
        <v>399</v>
      </c>
      <c r="D3" s="406"/>
      <c r="E3" s="406"/>
      <c r="F3" s="406"/>
      <c r="G3" s="406"/>
      <c r="H3" s="406"/>
      <c r="I3" s="406"/>
      <c r="J3" s="406"/>
      <c r="K3" s="406"/>
      <c r="M3" s="424"/>
      <c r="N3" s="425"/>
      <c r="O3" s="425"/>
      <c r="P3" s="425"/>
      <c r="Q3" s="425"/>
      <c r="R3" s="426"/>
      <c r="T3" s="424" t="s">
        <v>397</v>
      </c>
      <c r="U3" s="425"/>
      <c r="V3" s="425"/>
      <c r="W3" s="425"/>
      <c r="X3" s="425"/>
      <c r="Y3" s="426"/>
    </row>
    <row r="4" spans="1:25" x14ac:dyDescent="0.25">
      <c r="C4" s="406"/>
      <c r="D4" s="406"/>
      <c r="E4" s="406"/>
      <c r="F4" s="406"/>
      <c r="G4" s="406"/>
      <c r="H4" s="406"/>
      <c r="I4" s="406"/>
      <c r="J4" s="406"/>
      <c r="K4" s="406"/>
      <c r="M4" s="427"/>
      <c r="N4" s="394"/>
      <c r="O4" s="394"/>
      <c r="P4" s="394"/>
      <c r="Q4" s="394"/>
      <c r="R4" s="428"/>
      <c r="T4" s="427"/>
      <c r="U4" s="394"/>
      <c r="V4" s="394"/>
      <c r="W4" s="394"/>
      <c r="X4" s="394"/>
      <c r="Y4" s="428"/>
    </row>
    <row r="5" spans="1:25" x14ac:dyDescent="0.25">
      <c r="C5" s="406"/>
      <c r="D5" s="406"/>
      <c r="E5" s="406"/>
      <c r="F5" s="406"/>
      <c r="G5" s="406"/>
      <c r="H5" s="406"/>
      <c r="I5" s="406"/>
      <c r="J5" s="406"/>
      <c r="K5" s="406"/>
      <c r="M5" s="427"/>
      <c r="N5" s="394"/>
      <c r="O5" s="394"/>
      <c r="P5" s="394"/>
      <c r="Q5" s="394"/>
      <c r="R5" s="428"/>
      <c r="T5" s="427"/>
      <c r="U5" s="394"/>
      <c r="V5" s="394"/>
      <c r="W5" s="394"/>
      <c r="X5" s="394"/>
      <c r="Y5" s="428"/>
    </row>
    <row r="6" spans="1:25" x14ac:dyDescent="0.25">
      <c r="C6" s="406"/>
      <c r="D6" s="406"/>
      <c r="E6" s="406"/>
      <c r="F6" s="406"/>
      <c r="G6" s="406"/>
      <c r="H6" s="406"/>
      <c r="I6" s="406"/>
      <c r="J6" s="406"/>
      <c r="K6" s="406"/>
      <c r="M6" s="427"/>
      <c r="N6" s="394"/>
      <c r="O6" s="394"/>
      <c r="P6" s="394"/>
      <c r="Q6" s="394"/>
      <c r="R6" s="428"/>
      <c r="T6" s="427"/>
      <c r="U6" s="394"/>
      <c r="V6" s="394"/>
      <c r="W6" s="394"/>
      <c r="X6" s="394"/>
      <c r="Y6" s="428"/>
    </row>
    <row r="7" spans="1:25" x14ac:dyDescent="0.25">
      <c r="C7" s="406"/>
      <c r="D7" s="406"/>
      <c r="E7" s="406"/>
      <c r="F7" s="406"/>
      <c r="G7" s="406"/>
      <c r="H7" s="406"/>
      <c r="I7" s="406"/>
      <c r="J7" s="406"/>
      <c r="K7" s="406"/>
      <c r="M7" s="427"/>
      <c r="N7" s="394"/>
      <c r="O7" s="394"/>
      <c r="P7" s="394"/>
      <c r="Q7" s="394"/>
      <c r="R7" s="428"/>
      <c r="T7" s="427"/>
      <c r="U7" s="394"/>
      <c r="V7" s="394"/>
      <c r="W7" s="394"/>
      <c r="X7" s="394"/>
      <c r="Y7" s="428"/>
    </row>
    <row r="8" spans="1:25" x14ac:dyDescent="0.25">
      <c r="C8" s="406"/>
      <c r="D8" s="406"/>
      <c r="E8" s="406"/>
      <c r="F8" s="406"/>
      <c r="G8" s="406"/>
      <c r="H8" s="406"/>
      <c r="I8" s="406"/>
      <c r="J8" s="406"/>
      <c r="K8" s="406"/>
      <c r="M8" s="427"/>
      <c r="N8" s="394"/>
      <c r="O8" s="394"/>
      <c r="P8" s="394"/>
      <c r="Q8" s="394"/>
      <c r="R8" s="428"/>
      <c r="T8" s="427"/>
      <c r="U8" s="394"/>
      <c r="V8" s="394"/>
      <c r="W8" s="394"/>
      <c r="X8" s="394"/>
      <c r="Y8" s="428"/>
    </row>
    <row r="9" spans="1:25" x14ac:dyDescent="0.25">
      <c r="C9" s="406"/>
      <c r="D9" s="406"/>
      <c r="E9" s="406"/>
      <c r="F9" s="406"/>
      <c r="G9" s="406"/>
      <c r="H9" s="406"/>
      <c r="I9" s="406"/>
      <c r="J9" s="406"/>
      <c r="K9" s="406"/>
      <c r="M9" s="427"/>
      <c r="N9" s="394"/>
      <c r="O9" s="394"/>
      <c r="P9" s="394"/>
      <c r="Q9" s="394"/>
      <c r="R9" s="428"/>
      <c r="T9" s="427"/>
      <c r="U9" s="394"/>
      <c r="V9" s="394"/>
      <c r="W9" s="394"/>
      <c r="X9" s="394"/>
      <c r="Y9" s="428"/>
    </row>
    <row r="10" spans="1:25" x14ac:dyDescent="0.25">
      <c r="C10" s="406"/>
      <c r="D10" s="406"/>
      <c r="E10" s="406"/>
      <c r="F10" s="406"/>
      <c r="G10" s="406"/>
      <c r="H10" s="406"/>
      <c r="I10" s="406"/>
      <c r="J10" s="406"/>
      <c r="K10" s="406"/>
      <c r="M10" s="427"/>
      <c r="N10" s="394"/>
      <c r="O10" s="394"/>
      <c r="P10" s="394"/>
      <c r="Q10" s="394"/>
      <c r="R10" s="428"/>
      <c r="T10" s="427"/>
      <c r="U10" s="394"/>
      <c r="V10" s="394"/>
      <c r="W10" s="394"/>
      <c r="X10" s="394"/>
      <c r="Y10" s="428"/>
    </row>
    <row r="11" spans="1:25" x14ac:dyDescent="0.25">
      <c r="C11" s="406"/>
      <c r="D11" s="406"/>
      <c r="E11" s="406"/>
      <c r="F11" s="406"/>
      <c r="G11" s="406"/>
      <c r="H11" s="406"/>
      <c r="I11" s="406"/>
      <c r="J11" s="406"/>
      <c r="K11" s="406"/>
      <c r="M11" s="429"/>
      <c r="N11" s="430"/>
      <c r="O11" s="430"/>
      <c r="P11" s="430"/>
      <c r="Q11" s="430"/>
      <c r="R11" s="431"/>
      <c r="T11" s="429"/>
      <c r="U11" s="430"/>
      <c r="V11" s="430"/>
      <c r="W11" s="430"/>
      <c r="X11" s="430"/>
      <c r="Y11" s="431"/>
    </row>
    <row r="14" spans="1:25" ht="45.75" thickBot="1" x14ac:dyDescent="0.3">
      <c r="A14" s="225" t="s">
        <v>256</v>
      </c>
      <c r="B14" s="226" t="s">
        <v>164</v>
      </c>
      <c r="C14" s="505" t="s">
        <v>493</v>
      </c>
      <c r="D14" s="505" t="s">
        <v>496</v>
      </c>
      <c r="E14" s="505" t="s">
        <v>497</v>
      </c>
    </row>
    <row r="15" spans="1:25" ht="15.75" thickTop="1" x14ac:dyDescent="0.25">
      <c r="A15" s="198" t="s">
        <v>257</v>
      </c>
      <c r="B15" s="78">
        <v>3</v>
      </c>
      <c r="C15" s="206">
        <v>3</v>
      </c>
      <c r="D15" s="206">
        <f>COUNTIF(B15:B50,"&gt;3")</f>
        <v>13</v>
      </c>
      <c r="E15" s="206">
        <f>COUNTIF(B15:B50,"&lt;=3")</f>
        <v>23</v>
      </c>
      <c r="G15" s="243" t="s">
        <v>404</v>
      </c>
      <c r="H15" s="243"/>
    </row>
    <row r="16" spans="1:25" x14ac:dyDescent="0.25">
      <c r="A16" s="198" t="s">
        <v>258</v>
      </c>
      <c r="B16" s="78">
        <v>4</v>
      </c>
      <c r="C16" s="206">
        <v>3</v>
      </c>
      <c r="D16" s="206"/>
      <c r="E16" s="206"/>
      <c r="G16" s="244"/>
      <c r="H16" s="244"/>
    </row>
    <row r="17" spans="1:10" ht="15.75" thickBot="1" x14ac:dyDescent="0.3">
      <c r="A17" s="71" t="s">
        <v>259</v>
      </c>
      <c r="B17" s="79">
        <v>3</v>
      </c>
      <c r="C17" s="206">
        <v>3</v>
      </c>
      <c r="D17" s="504" t="s">
        <v>494</v>
      </c>
      <c r="E17" s="504" t="s">
        <v>495</v>
      </c>
      <c r="G17" s="244" t="s">
        <v>312</v>
      </c>
      <c r="H17" s="271">
        <v>2.5416666666666665</v>
      </c>
    </row>
    <row r="18" spans="1:10" x14ac:dyDescent="0.25">
      <c r="A18" s="198" t="s">
        <v>260</v>
      </c>
      <c r="B18" s="78">
        <v>4</v>
      </c>
      <c r="C18" s="206">
        <v>3</v>
      </c>
      <c r="D18" s="508">
        <f>D15/H26</f>
        <v>0.3611111111111111</v>
      </c>
      <c r="E18" s="508">
        <f>E15/H26</f>
        <v>0.63888888888888884</v>
      </c>
      <c r="G18" s="244" t="s">
        <v>25</v>
      </c>
      <c r="H18" s="271">
        <v>0.2212653007891959</v>
      </c>
    </row>
    <row r="19" spans="1:10" x14ac:dyDescent="0.25">
      <c r="A19" s="198" t="s">
        <v>261</v>
      </c>
      <c r="B19" s="78">
        <v>4</v>
      </c>
      <c r="C19" s="206">
        <v>3</v>
      </c>
      <c r="G19" s="244" t="s">
        <v>313</v>
      </c>
      <c r="H19" s="244">
        <v>3</v>
      </c>
    </row>
    <row r="20" spans="1:10" ht="15.75" thickBot="1" x14ac:dyDescent="0.3">
      <c r="A20" s="71" t="s">
        <v>262</v>
      </c>
      <c r="B20" s="79">
        <v>3</v>
      </c>
      <c r="C20" s="206">
        <v>3</v>
      </c>
      <c r="G20" s="244" t="s">
        <v>314</v>
      </c>
      <c r="H20" s="244">
        <v>4</v>
      </c>
    </row>
    <row r="21" spans="1:10" x14ac:dyDescent="0.25">
      <c r="A21" s="198" t="s">
        <v>263</v>
      </c>
      <c r="B21" s="78">
        <v>4</v>
      </c>
      <c r="C21" s="206">
        <v>3</v>
      </c>
      <c r="G21" s="244" t="s">
        <v>315</v>
      </c>
      <c r="H21" s="244">
        <v>1.3275918047351754</v>
      </c>
    </row>
    <row r="22" spans="1:10" x14ac:dyDescent="0.25">
      <c r="A22" s="198" t="s">
        <v>264</v>
      </c>
      <c r="B22" s="78">
        <v>1</v>
      </c>
      <c r="C22" s="206">
        <v>3</v>
      </c>
      <c r="G22" s="244" t="s">
        <v>316</v>
      </c>
      <c r="H22" s="244">
        <v>1.7625</v>
      </c>
    </row>
    <row r="23" spans="1:10" ht="15.75" thickBot="1" x14ac:dyDescent="0.3">
      <c r="A23" s="153" t="s">
        <v>265</v>
      </c>
      <c r="B23" s="161">
        <v>1</v>
      </c>
      <c r="C23" s="206">
        <v>3</v>
      </c>
      <c r="G23" s="244" t="s">
        <v>319</v>
      </c>
      <c r="H23" s="244">
        <v>3</v>
      </c>
    </row>
    <row r="24" spans="1:10" x14ac:dyDescent="0.25">
      <c r="A24" s="198" t="s">
        <v>266</v>
      </c>
      <c r="B24" s="78">
        <v>3</v>
      </c>
      <c r="C24" s="206">
        <v>3</v>
      </c>
      <c r="G24" s="244" t="s">
        <v>320</v>
      </c>
      <c r="H24" s="244">
        <v>1</v>
      </c>
    </row>
    <row r="25" spans="1:10" x14ac:dyDescent="0.25">
      <c r="A25" s="198" t="s">
        <v>267</v>
      </c>
      <c r="B25" s="78">
        <v>3</v>
      </c>
      <c r="C25" s="206">
        <v>3</v>
      </c>
      <c r="G25" s="244" t="s">
        <v>321</v>
      </c>
      <c r="H25" s="244">
        <v>4</v>
      </c>
    </row>
    <row r="26" spans="1:10" ht="15.75" thickBot="1" x14ac:dyDescent="0.3">
      <c r="A26" s="71" t="s">
        <v>268</v>
      </c>
      <c r="B26" s="79">
        <v>1.5</v>
      </c>
      <c r="C26" s="206">
        <v>3</v>
      </c>
      <c r="G26" s="245" t="s">
        <v>323</v>
      </c>
      <c r="H26" s="245">
        <v>36</v>
      </c>
    </row>
    <row r="27" spans="1:10" x14ac:dyDescent="0.25">
      <c r="A27" s="198" t="s">
        <v>269</v>
      </c>
      <c r="B27" s="78">
        <v>3</v>
      </c>
      <c r="C27" s="206">
        <v>3</v>
      </c>
    </row>
    <row r="28" spans="1:10" x14ac:dyDescent="0.25">
      <c r="A28" s="198" t="s">
        <v>270</v>
      </c>
      <c r="B28" s="78">
        <v>4</v>
      </c>
      <c r="C28" s="206">
        <v>3</v>
      </c>
      <c r="I28" s="244"/>
      <c r="J28" s="244"/>
    </row>
    <row r="29" spans="1:10" ht="15.75" thickBot="1" x14ac:dyDescent="0.3">
      <c r="A29" s="71" t="s">
        <v>271</v>
      </c>
      <c r="B29" s="79">
        <v>1</v>
      </c>
      <c r="C29" s="206">
        <v>3</v>
      </c>
    </row>
    <row r="30" spans="1:10" ht="15.75" thickBot="1" x14ac:dyDescent="0.3">
      <c r="A30" s="198" t="s">
        <v>272</v>
      </c>
      <c r="B30" s="78">
        <v>3</v>
      </c>
      <c r="C30" s="206">
        <v>3</v>
      </c>
      <c r="I30" s="245"/>
      <c r="J30" s="272"/>
    </row>
    <row r="31" spans="1:10" x14ac:dyDescent="0.25">
      <c r="A31" s="198" t="s">
        <v>273</v>
      </c>
      <c r="B31" s="78">
        <v>4</v>
      </c>
      <c r="C31" s="206">
        <v>3</v>
      </c>
      <c r="D31" s="216"/>
      <c r="E31" s="216"/>
    </row>
    <row r="32" spans="1:10" ht="15.75" thickBot="1" x14ac:dyDescent="0.3">
      <c r="A32" s="128" t="s">
        <v>274</v>
      </c>
      <c r="B32" s="136">
        <v>1</v>
      </c>
      <c r="C32" s="206">
        <v>3</v>
      </c>
    </row>
    <row r="33" spans="1:3" ht="15.75" thickTop="1" x14ac:dyDescent="0.25">
      <c r="A33" s="198" t="s">
        <v>275</v>
      </c>
      <c r="B33" s="78">
        <v>4</v>
      </c>
      <c r="C33" s="206">
        <v>3</v>
      </c>
    </row>
    <row r="34" spans="1:3" x14ac:dyDescent="0.25">
      <c r="A34" s="198" t="s">
        <v>276</v>
      </c>
      <c r="B34" s="78">
        <v>4</v>
      </c>
      <c r="C34" s="206">
        <v>3</v>
      </c>
    </row>
    <row r="35" spans="1:3" ht="15.75" thickBot="1" x14ac:dyDescent="0.3">
      <c r="A35" s="71" t="s">
        <v>277</v>
      </c>
      <c r="B35" s="79">
        <v>1</v>
      </c>
      <c r="C35" s="206">
        <v>3</v>
      </c>
    </row>
    <row r="36" spans="1:3" x14ac:dyDescent="0.25">
      <c r="A36" s="198" t="s">
        <v>278</v>
      </c>
      <c r="B36" s="78">
        <v>4</v>
      </c>
      <c r="C36" s="206">
        <v>3</v>
      </c>
    </row>
    <row r="37" spans="1:3" x14ac:dyDescent="0.25">
      <c r="A37" s="198" t="s">
        <v>279</v>
      </c>
      <c r="B37" s="78">
        <v>1</v>
      </c>
      <c r="C37" s="206">
        <v>3</v>
      </c>
    </row>
    <row r="38" spans="1:3" ht="15.75" thickBot="1" x14ac:dyDescent="0.3">
      <c r="A38" s="71" t="s">
        <v>280</v>
      </c>
      <c r="B38" s="79">
        <v>1</v>
      </c>
      <c r="C38" s="206">
        <v>3</v>
      </c>
    </row>
    <row r="39" spans="1:3" x14ac:dyDescent="0.25">
      <c r="A39" s="198" t="s">
        <v>281</v>
      </c>
      <c r="B39" s="78">
        <v>4</v>
      </c>
      <c r="C39" s="206">
        <v>3</v>
      </c>
    </row>
    <row r="40" spans="1:3" x14ac:dyDescent="0.25">
      <c r="A40" s="198" t="s">
        <v>282</v>
      </c>
      <c r="B40" s="78">
        <v>1</v>
      </c>
      <c r="C40" s="206">
        <v>3</v>
      </c>
    </row>
    <row r="41" spans="1:3" ht="15.75" thickBot="1" x14ac:dyDescent="0.3">
      <c r="A41" s="153" t="s">
        <v>283</v>
      </c>
      <c r="B41" s="161">
        <v>1</v>
      </c>
      <c r="C41" s="206">
        <v>3</v>
      </c>
    </row>
    <row r="42" spans="1:3" x14ac:dyDescent="0.25">
      <c r="A42" s="198" t="s">
        <v>284</v>
      </c>
      <c r="B42" s="78">
        <v>4</v>
      </c>
      <c r="C42" s="206">
        <v>3</v>
      </c>
    </row>
    <row r="43" spans="1:3" x14ac:dyDescent="0.25">
      <c r="A43" s="198" t="s">
        <v>285</v>
      </c>
      <c r="B43" s="78">
        <v>1</v>
      </c>
      <c r="C43" s="206">
        <v>3</v>
      </c>
    </row>
    <row r="44" spans="1:3" ht="15.75" thickBot="1" x14ac:dyDescent="0.3">
      <c r="A44" s="71" t="s">
        <v>286</v>
      </c>
      <c r="B44" s="79">
        <v>1</v>
      </c>
      <c r="C44" s="206">
        <v>3</v>
      </c>
    </row>
    <row r="45" spans="1:3" x14ac:dyDescent="0.25">
      <c r="A45" s="198" t="s">
        <v>287</v>
      </c>
      <c r="B45" s="78">
        <v>4</v>
      </c>
      <c r="C45" s="206">
        <v>3</v>
      </c>
    </row>
    <row r="46" spans="1:3" x14ac:dyDescent="0.25">
      <c r="A46" s="198" t="s">
        <v>288</v>
      </c>
      <c r="B46" s="78">
        <v>1</v>
      </c>
      <c r="C46" s="206">
        <v>3</v>
      </c>
    </row>
    <row r="47" spans="1:3" ht="15.75" thickBot="1" x14ac:dyDescent="0.3">
      <c r="A47" s="71" t="s">
        <v>289</v>
      </c>
      <c r="B47" s="79">
        <v>2</v>
      </c>
      <c r="C47" s="206">
        <v>3</v>
      </c>
    </row>
    <row r="48" spans="1:3" x14ac:dyDescent="0.25">
      <c r="A48" s="198" t="s">
        <v>290</v>
      </c>
      <c r="B48" s="78">
        <v>4</v>
      </c>
      <c r="C48" s="206">
        <v>3</v>
      </c>
    </row>
    <row r="49" spans="1:3" x14ac:dyDescent="0.25">
      <c r="A49" s="198" t="s">
        <v>291</v>
      </c>
      <c r="B49" s="78">
        <v>2</v>
      </c>
      <c r="C49" s="206">
        <v>3</v>
      </c>
    </row>
    <row r="50" spans="1:3" ht="15.75" thickBot="1" x14ac:dyDescent="0.3">
      <c r="A50" s="128" t="s">
        <v>292</v>
      </c>
      <c r="B50" s="136">
        <v>1</v>
      </c>
      <c r="C50" s="206">
        <v>3</v>
      </c>
    </row>
    <row r="51" spans="1:3" ht="15.75" thickTop="1" x14ac:dyDescent="0.25"/>
  </sheetData>
  <mergeCells count="6">
    <mergeCell ref="C2:K2"/>
    <mergeCell ref="M2:R2"/>
    <mergeCell ref="T2:Y2"/>
    <mergeCell ref="T3:Y11"/>
    <mergeCell ref="M3:R11"/>
    <mergeCell ref="C3:K1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AEAF-AAF4-4D95-BFE3-59A94FDA8729}">
  <dimension ref="A2:Y73"/>
  <sheetViews>
    <sheetView topLeftCell="A19" zoomScale="90" zoomScaleNormal="90" workbookViewId="0">
      <selection activeCell="S63" sqref="S63"/>
    </sheetView>
  </sheetViews>
  <sheetFormatPr defaultRowHeight="15" x14ac:dyDescent="0.25"/>
  <cols>
    <col min="1" max="1" width="9.140625" style="120"/>
    <col min="2" max="2" width="11" style="120" customWidth="1"/>
    <col min="3" max="5" width="9.140625" style="120"/>
    <col min="6" max="6" width="30.7109375" style="120" bestFit="1" customWidth="1"/>
    <col min="7" max="7" width="23.28515625" style="120" bestFit="1" customWidth="1"/>
    <col min="8" max="8" width="20" style="120" bestFit="1" customWidth="1"/>
    <col min="9" max="9" width="28.42578125" style="120" bestFit="1" customWidth="1"/>
    <col min="10" max="11" width="9.140625" style="120"/>
    <col min="12" max="12" width="20.140625" style="120" bestFit="1" customWidth="1"/>
    <col min="13" max="13" width="13.28515625" style="120" bestFit="1" customWidth="1"/>
    <col min="14" max="14" width="14.5703125" style="120" bestFit="1" customWidth="1"/>
    <col min="15" max="16384" width="9.140625" style="120"/>
  </cols>
  <sheetData>
    <row r="2" spans="1:25" ht="15.75" x14ac:dyDescent="0.25">
      <c r="C2" s="389" t="s">
        <v>354</v>
      </c>
      <c r="D2" s="389"/>
      <c r="E2" s="389"/>
      <c r="F2" s="389"/>
      <c r="G2" s="389"/>
      <c r="H2" s="389"/>
      <c r="I2" s="389"/>
      <c r="J2" s="389"/>
      <c r="K2" s="389"/>
      <c r="M2" s="410" t="s">
        <v>380</v>
      </c>
      <c r="N2" s="410"/>
      <c r="O2" s="410"/>
      <c r="P2" s="410"/>
      <c r="Q2" s="410"/>
      <c r="R2" s="410"/>
      <c r="T2" s="411" t="s">
        <v>389</v>
      </c>
      <c r="U2" s="411"/>
      <c r="V2" s="411"/>
      <c r="W2" s="411"/>
      <c r="X2" s="411"/>
      <c r="Y2" s="411"/>
    </row>
    <row r="3" spans="1:25" ht="15" customHeight="1" x14ac:dyDescent="0.25">
      <c r="C3" s="437" t="s">
        <v>401</v>
      </c>
      <c r="D3" s="437"/>
      <c r="E3" s="437"/>
      <c r="F3" s="437"/>
      <c r="G3" s="437"/>
      <c r="H3" s="437"/>
      <c r="I3" s="437"/>
      <c r="J3" s="437"/>
      <c r="K3" s="437"/>
      <c r="M3" s="424"/>
      <c r="N3" s="425"/>
      <c r="O3" s="425"/>
      <c r="P3" s="425"/>
      <c r="Q3" s="425"/>
      <c r="R3" s="426"/>
      <c r="T3" s="424" t="s">
        <v>390</v>
      </c>
      <c r="U3" s="425"/>
      <c r="V3" s="425"/>
      <c r="W3" s="425"/>
      <c r="X3" s="425"/>
      <c r="Y3" s="426"/>
    </row>
    <row r="4" spans="1:25" x14ac:dyDescent="0.25">
      <c r="C4" s="437"/>
      <c r="D4" s="437"/>
      <c r="E4" s="437"/>
      <c r="F4" s="437"/>
      <c r="G4" s="437"/>
      <c r="H4" s="437"/>
      <c r="I4" s="437"/>
      <c r="J4" s="437"/>
      <c r="K4" s="437"/>
      <c r="M4" s="427"/>
      <c r="N4" s="394"/>
      <c r="O4" s="394"/>
      <c r="P4" s="394"/>
      <c r="Q4" s="394"/>
      <c r="R4" s="428"/>
      <c r="T4" s="427"/>
      <c r="U4" s="394"/>
      <c r="V4" s="394"/>
      <c r="W4" s="394"/>
      <c r="X4" s="394"/>
      <c r="Y4" s="428"/>
    </row>
    <row r="5" spans="1:25" x14ac:dyDescent="0.25">
      <c r="C5" s="437"/>
      <c r="D5" s="437"/>
      <c r="E5" s="437"/>
      <c r="F5" s="437"/>
      <c r="G5" s="437"/>
      <c r="H5" s="437"/>
      <c r="I5" s="437"/>
      <c r="J5" s="437"/>
      <c r="K5" s="437"/>
      <c r="M5" s="427"/>
      <c r="N5" s="394"/>
      <c r="O5" s="394"/>
      <c r="P5" s="394"/>
      <c r="Q5" s="394"/>
      <c r="R5" s="428"/>
      <c r="T5" s="427"/>
      <c r="U5" s="394"/>
      <c r="V5" s="394"/>
      <c r="W5" s="394"/>
      <c r="X5" s="394"/>
      <c r="Y5" s="428"/>
    </row>
    <row r="6" spans="1:25" x14ac:dyDescent="0.25">
      <c r="C6" s="437"/>
      <c r="D6" s="437"/>
      <c r="E6" s="437"/>
      <c r="F6" s="437"/>
      <c r="G6" s="437"/>
      <c r="H6" s="437"/>
      <c r="I6" s="437"/>
      <c r="J6" s="437"/>
      <c r="K6" s="437"/>
      <c r="M6" s="427"/>
      <c r="N6" s="394"/>
      <c r="O6" s="394"/>
      <c r="P6" s="394"/>
      <c r="Q6" s="394"/>
      <c r="R6" s="428"/>
      <c r="T6" s="427"/>
      <c r="U6" s="394"/>
      <c r="V6" s="394"/>
      <c r="W6" s="394"/>
      <c r="X6" s="394"/>
      <c r="Y6" s="428"/>
    </row>
    <row r="7" spans="1:25" x14ac:dyDescent="0.25">
      <c r="C7" s="437"/>
      <c r="D7" s="437"/>
      <c r="E7" s="437"/>
      <c r="F7" s="437"/>
      <c r="G7" s="437"/>
      <c r="H7" s="437"/>
      <c r="I7" s="437"/>
      <c r="J7" s="437"/>
      <c r="K7" s="437"/>
      <c r="M7" s="427"/>
      <c r="N7" s="394"/>
      <c r="O7" s="394"/>
      <c r="P7" s="394"/>
      <c r="Q7" s="394"/>
      <c r="R7" s="428"/>
      <c r="T7" s="427"/>
      <c r="U7" s="394"/>
      <c r="V7" s="394"/>
      <c r="W7" s="394"/>
      <c r="X7" s="394"/>
      <c r="Y7" s="428"/>
    </row>
    <row r="8" spans="1:25" x14ac:dyDescent="0.25">
      <c r="C8" s="437"/>
      <c r="D8" s="437"/>
      <c r="E8" s="437"/>
      <c r="F8" s="437"/>
      <c r="G8" s="437"/>
      <c r="H8" s="437"/>
      <c r="I8" s="437"/>
      <c r="J8" s="437"/>
      <c r="K8" s="437"/>
      <c r="M8" s="427"/>
      <c r="N8" s="394"/>
      <c r="O8" s="394"/>
      <c r="P8" s="394"/>
      <c r="Q8" s="394"/>
      <c r="R8" s="428"/>
      <c r="T8" s="427"/>
      <c r="U8" s="394"/>
      <c r="V8" s="394"/>
      <c r="W8" s="394"/>
      <c r="X8" s="394"/>
      <c r="Y8" s="428"/>
    </row>
    <row r="9" spans="1:25" x14ac:dyDescent="0.25">
      <c r="C9" s="437"/>
      <c r="D9" s="437"/>
      <c r="E9" s="437"/>
      <c r="F9" s="437"/>
      <c r="G9" s="437"/>
      <c r="H9" s="437"/>
      <c r="I9" s="437"/>
      <c r="J9" s="437"/>
      <c r="K9" s="437"/>
      <c r="M9" s="427"/>
      <c r="N9" s="394"/>
      <c r="O9" s="394"/>
      <c r="P9" s="394"/>
      <c r="Q9" s="394"/>
      <c r="R9" s="428"/>
      <c r="T9" s="427"/>
      <c r="U9" s="394"/>
      <c r="V9" s="394"/>
      <c r="W9" s="394"/>
      <c r="X9" s="394"/>
      <c r="Y9" s="428"/>
    </row>
    <row r="10" spans="1:25" x14ac:dyDescent="0.25">
      <c r="C10" s="437"/>
      <c r="D10" s="437"/>
      <c r="E10" s="437"/>
      <c r="F10" s="437"/>
      <c r="G10" s="437"/>
      <c r="H10" s="437"/>
      <c r="I10" s="437"/>
      <c r="J10" s="437"/>
      <c r="K10" s="437"/>
      <c r="M10" s="427"/>
      <c r="N10" s="394"/>
      <c r="O10" s="394"/>
      <c r="P10" s="394"/>
      <c r="Q10" s="394"/>
      <c r="R10" s="428"/>
      <c r="T10" s="427"/>
      <c r="U10" s="394"/>
      <c r="V10" s="394"/>
      <c r="W10" s="394"/>
      <c r="X10" s="394"/>
      <c r="Y10" s="428"/>
    </row>
    <row r="11" spans="1:25" x14ac:dyDescent="0.25">
      <c r="C11" s="437"/>
      <c r="D11" s="437"/>
      <c r="E11" s="437"/>
      <c r="F11" s="437"/>
      <c r="G11" s="437"/>
      <c r="H11" s="437"/>
      <c r="I11" s="437"/>
      <c r="J11" s="437"/>
      <c r="K11" s="437"/>
      <c r="M11" s="429"/>
      <c r="N11" s="430"/>
      <c r="O11" s="430"/>
      <c r="P11" s="430"/>
      <c r="Q11" s="430"/>
      <c r="R11" s="431"/>
      <c r="T11" s="429"/>
      <c r="U11" s="430"/>
      <c r="V11" s="430"/>
      <c r="W11" s="430"/>
      <c r="X11" s="430"/>
      <c r="Y11" s="431"/>
    </row>
    <row r="13" spans="1:25" ht="46.5" customHeight="1" thickBot="1" x14ac:dyDescent="0.3">
      <c r="A13" s="226" t="s">
        <v>256</v>
      </c>
      <c r="B13" s="233" t="s">
        <v>163</v>
      </c>
      <c r="C13" s="226" t="s">
        <v>137</v>
      </c>
      <c r="D13" s="226" t="s">
        <v>164</v>
      </c>
      <c r="F13" s="434" t="s">
        <v>406</v>
      </c>
      <c r="G13" s="434"/>
      <c r="H13" s="434"/>
      <c r="I13" s="434"/>
      <c r="L13" s="435" t="s">
        <v>407</v>
      </c>
      <c r="M13" s="435"/>
      <c r="N13" s="435"/>
      <c r="O13" s="435"/>
      <c r="P13" s="435"/>
    </row>
    <row r="14" spans="1:25" ht="15.75" thickTop="1" x14ac:dyDescent="0.25">
      <c r="A14" s="234" t="s">
        <v>257</v>
      </c>
      <c r="B14" s="234">
        <v>29</v>
      </c>
      <c r="C14" s="235">
        <v>3</v>
      </c>
      <c r="D14" s="235">
        <v>3</v>
      </c>
      <c r="F14" s="246"/>
      <c r="G14" s="246" t="s">
        <v>163</v>
      </c>
      <c r="H14" s="246" t="s">
        <v>137</v>
      </c>
      <c r="I14" s="246" t="s">
        <v>164</v>
      </c>
      <c r="L14" t="s">
        <v>20</v>
      </c>
      <c r="M14"/>
      <c r="N14"/>
      <c r="O14"/>
      <c r="P14"/>
      <c r="Q14"/>
      <c r="R14"/>
      <c r="S14"/>
      <c r="T14"/>
    </row>
    <row r="15" spans="1:25" ht="15.75" thickBot="1" x14ac:dyDescent="0.3">
      <c r="A15" s="234" t="s">
        <v>258</v>
      </c>
      <c r="B15" s="234">
        <v>30</v>
      </c>
      <c r="C15" s="235">
        <v>4</v>
      </c>
      <c r="D15" s="235">
        <v>4</v>
      </c>
      <c r="F15" s="244" t="s">
        <v>163</v>
      </c>
      <c r="G15" s="244">
        <v>1</v>
      </c>
      <c r="H15" s="244"/>
      <c r="I15" s="244"/>
      <c r="L15"/>
      <c r="M15"/>
      <c r="N15"/>
      <c r="O15"/>
      <c r="P15"/>
      <c r="Q15"/>
      <c r="R15"/>
      <c r="S15"/>
      <c r="T15"/>
    </row>
    <row r="16" spans="1:25" ht="15.75" thickBot="1" x14ac:dyDescent="0.3">
      <c r="A16" s="236" t="s">
        <v>259</v>
      </c>
      <c r="B16" s="234">
        <v>30</v>
      </c>
      <c r="C16" s="237">
        <v>2</v>
      </c>
      <c r="D16" s="237">
        <v>3</v>
      </c>
      <c r="F16" s="244" t="s">
        <v>137</v>
      </c>
      <c r="G16" s="244">
        <v>0.41060010439693295</v>
      </c>
      <c r="H16" s="244">
        <v>1</v>
      </c>
      <c r="I16" s="244"/>
      <c r="L16" s="18" t="s">
        <v>21</v>
      </c>
      <c r="M16" s="18"/>
      <c r="N16"/>
      <c r="O16"/>
      <c r="P16"/>
      <c r="Q16"/>
      <c r="R16"/>
      <c r="S16"/>
      <c r="T16"/>
    </row>
    <row r="17" spans="1:20" ht="15.75" thickBot="1" x14ac:dyDescent="0.3">
      <c r="A17" s="234" t="s">
        <v>260</v>
      </c>
      <c r="B17" s="234">
        <v>24</v>
      </c>
      <c r="C17" s="235">
        <v>3</v>
      </c>
      <c r="D17" s="235">
        <v>4</v>
      </c>
      <c r="F17" s="245" t="s">
        <v>164</v>
      </c>
      <c r="G17" s="245">
        <v>0.48794568470482252</v>
      </c>
      <c r="H17" s="245">
        <v>0.73787004972725367</v>
      </c>
      <c r="I17" s="245">
        <v>1</v>
      </c>
      <c r="L17" s="19" t="s">
        <v>22</v>
      </c>
      <c r="M17" s="19">
        <v>0.41060010439693245</v>
      </c>
      <c r="N17"/>
      <c r="O17"/>
      <c r="P17"/>
      <c r="Q17"/>
      <c r="R17"/>
      <c r="S17"/>
      <c r="T17"/>
    </row>
    <row r="18" spans="1:20" x14ac:dyDescent="0.25">
      <c r="A18" s="234" t="s">
        <v>261</v>
      </c>
      <c r="B18" s="234">
        <v>23</v>
      </c>
      <c r="C18" s="235">
        <v>3</v>
      </c>
      <c r="D18" s="235">
        <v>4</v>
      </c>
      <c r="L18" s="19" t="s">
        <v>23</v>
      </c>
      <c r="M18" s="19">
        <v>0.16859244573077184</v>
      </c>
      <c r="N18" t="s">
        <v>409</v>
      </c>
      <c r="O18"/>
      <c r="P18"/>
      <c r="Q18"/>
      <c r="R18"/>
      <c r="S18"/>
      <c r="T18"/>
    </row>
    <row r="19" spans="1:20" ht="15.75" thickBot="1" x14ac:dyDescent="0.3">
      <c r="A19" s="236" t="s">
        <v>262</v>
      </c>
      <c r="B19" s="234">
        <v>24</v>
      </c>
      <c r="C19" s="237">
        <v>2</v>
      </c>
      <c r="D19" s="237">
        <v>3</v>
      </c>
      <c r="L19" s="15" t="s">
        <v>24</v>
      </c>
      <c r="M19" s="15">
        <v>0.14413928236991216</v>
      </c>
      <c r="N19"/>
      <c r="O19"/>
      <c r="P19"/>
      <c r="Q19"/>
      <c r="R19"/>
      <c r="S19"/>
      <c r="T19"/>
    </row>
    <row r="20" spans="1:20" x14ac:dyDescent="0.25">
      <c r="A20" s="234" t="s">
        <v>263</v>
      </c>
      <c r="B20" s="234">
        <v>23</v>
      </c>
      <c r="C20" s="235">
        <v>4</v>
      </c>
      <c r="D20" s="235">
        <v>4</v>
      </c>
      <c r="L20" s="15" t="s">
        <v>25</v>
      </c>
      <c r="M20" s="15">
        <v>5.091937250440842</v>
      </c>
      <c r="N20"/>
      <c r="O20"/>
      <c r="P20"/>
      <c r="Q20"/>
      <c r="R20"/>
      <c r="S20"/>
      <c r="T20"/>
    </row>
    <row r="21" spans="1:20" ht="15.75" thickBot="1" x14ac:dyDescent="0.3">
      <c r="A21" s="234" t="s">
        <v>264</v>
      </c>
      <c r="B21" s="234">
        <v>23</v>
      </c>
      <c r="C21" s="235">
        <v>3</v>
      </c>
      <c r="D21" s="235">
        <v>1</v>
      </c>
      <c r="L21" s="16" t="s">
        <v>26</v>
      </c>
      <c r="M21" s="16">
        <v>36</v>
      </c>
      <c r="N21"/>
      <c r="O21"/>
      <c r="P21"/>
      <c r="Q21"/>
      <c r="R21"/>
      <c r="S21"/>
      <c r="T21"/>
    </row>
    <row r="22" spans="1:20" ht="15.75" thickBot="1" x14ac:dyDescent="0.3">
      <c r="A22" s="238" t="s">
        <v>265</v>
      </c>
      <c r="B22" s="234">
        <v>20</v>
      </c>
      <c r="C22" s="239">
        <v>3</v>
      </c>
      <c r="D22" s="239">
        <v>1</v>
      </c>
      <c r="L22"/>
      <c r="M22"/>
      <c r="N22"/>
      <c r="O22"/>
      <c r="P22"/>
      <c r="Q22"/>
      <c r="R22"/>
      <c r="S22"/>
      <c r="T22"/>
    </row>
    <row r="23" spans="1:20" ht="15.75" thickBot="1" x14ac:dyDescent="0.3">
      <c r="A23" s="234" t="s">
        <v>266</v>
      </c>
      <c r="B23" s="234">
        <v>20</v>
      </c>
      <c r="C23" s="235">
        <v>3</v>
      </c>
      <c r="D23" s="235">
        <v>3</v>
      </c>
      <c r="L23" t="s">
        <v>27</v>
      </c>
      <c r="M23"/>
      <c r="N23"/>
      <c r="O23"/>
      <c r="P23"/>
      <c r="Q23"/>
      <c r="R23"/>
      <c r="S23"/>
      <c r="T23"/>
    </row>
    <row r="24" spans="1:20" x14ac:dyDescent="0.25">
      <c r="A24" s="234" t="s">
        <v>267</v>
      </c>
      <c r="B24" s="234">
        <v>20</v>
      </c>
      <c r="C24" s="235">
        <v>3</v>
      </c>
      <c r="D24" s="235">
        <v>3</v>
      </c>
      <c r="L24" s="17"/>
      <c r="M24" s="17" t="s">
        <v>32</v>
      </c>
      <c r="N24" s="17" t="s">
        <v>33</v>
      </c>
      <c r="O24" s="17" t="s">
        <v>34</v>
      </c>
      <c r="P24" s="17" t="s">
        <v>35</v>
      </c>
      <c r="Q24" s="17" t="s">
        <v>36</v>
      </c>
      <c r="R24"/>
      <c r="S24"/>
      <c r="T24"/>
    </row>
    <row r="25" spans="1:20" ht="15.75" thickBot="1" x14ac:dyDescent="0.3">
      <c r="A25" s="236" t="s">
        <v>268</v>
      </c>
      <c r="B25" s="234">
        <v>20</v>
      </c>
      <c r="C25" s="237">
        <v>3</v>
      </c>
      <c r="D25" s="237">
        <v>1.5</v>
      </c>
      <c r="L25" s="15" t="s">
        <v>28</v>
      </c>
      <c r="M25" s="15">
        <v>1</v>
      </c>
      <c r="N25" s="15">
        <v>178.75950683303586</v>
      </c>
      <c r="O25" s="15">
        <v>178.75950683303586</v>
      </c>
      <c r="P25" s="15">
        <v>6.8945045368087277</v>
      </c>
      <c r="Q25" s="15">
        <v>1.2866412566907218E-2</v>
      </c>
      <c r="R25"/>
      <c r="S25"/>
      <c r="T25"/>
    </row>
    <row r="26" spans="1:20" x14ac:dyDescent="0.25">
      <c r="A26" s="234" t="s">
        <v>269</v>
      </c>
      <c r="B26" s="234">
        <v>24</v>
      </c>
      <c r="C26" s="235">
        <v>3</v>
      </c>
      <c r="D26" s="235">
        <v>3</v>
      </c>
      <c r="L26" s="15" t="s">
        <v>29</v>
      </c>
      <c r="M26" s="15">
        <v>34</v>
      </c>
      <c r="N26" s="15">
        <v>881.54604872251957</v>
      </c>
      <c r="O26" s="15">
        <v>25.927824962427046</v>
      </c>
      <c r="P26" s="15"/>
      <c r="Q26" s="15"/>
      <c r="R26"/>
      <c r="S26"/>
      <c r="T26"/>
    </row>
    <row r="27" spans="1:20" ht="15.75" thickBot="1" x14ac:dyDescent="0.3">
      <c r="A27" s="234" t="s">
        <v>270</v>
      </c>
      <c r="B27" s="234">
        <v>20</v>
      </c>
      <c r="C27" s="235">
        <v>4</v>
      </c>
      <c r="D27" s="235">
        <v>4</v>
      </c>
      <c r="L27" s="16" t="s">
        <v>30</v>
      </c>
      <c r="M27" s="16">
        <v>35</v>
      </c>
      <c r="N27" s="16">
        <v>1060.3055555555554</v>
      </c>
      <c r="O27" s="16"/>
      <c r="P27" s="16"/>
      <c r="Q27" s="16"/>
      <c r="R27"/>
      <c r="S27"/>
      <c r="T27"/>
    </row>
    <row r="28" spans="1:20" ht="15.75" thickBot="1" x14ac:dyDescent="0.3">
      <c r="A28" s="236" t="s">
        <v>271</v>
      </c>
      <c r="B28" s="234">
        <v>24</v>
      </c>
      <c r="C28" s="237">
        <v>2</v>
      </c>
      <c r="D28" s="237">
        <v>1</v>
      </c>
      <c r="L28"/>
      <c r="M28"/>
      <c r="N28"/>
      <c r="O28"/>
      <c r="P28"/>
      <c r="Q28"/>
      <c r="R28"/>
      <c r="S28"/>
      <c r="T28"/>
    </row>
    <row r="29" spans="1:20" x14ac:dyDescent="0.25">
      <c r="A29" s="234" t="s">
        <v>272</v>
      </c>
      <c r="B29" s="234">
        <v>20</v>
      </c>
      <c r="C29" s="235">
        <v>4</v>
      </c>
      <c r="D29" s="235">
        <v>3</v>
      </c>
      <c r="L29" s="17"/>
      <c r="M29" s="17" t="s">
        <v>37</v>
      </c>
      <c r="N29" s="17" t="s">
        <v>25</v>
      </c>
      <c r="O29" s="17" t="s">
        <v>38</v>
      </c>
      <c r="P29" s="17" t="s">
        <v>39</v>
      </c>
      <c r="Q29" s="17" t="s">
        <v>40</v>
      </c>
      <c r="R29" s="17" t="s">
        <v>41</v>
      </c>
      <c r="S29" s="17" t="s">
        <v>42</v>
      </c>
      <c r="T29" s="17" t="s">
        <v>43</v>
      </c>
    </row>
    <row r="30" spans="1:20" x14ac:dyDescent="0.25">
      <c r="A30" s="234" t="s">
        <v>273</v>
      </c>
      <c r="B30" s="234">
        <v>24</v>
      </c>
      <c r="C30" s="235">
        <v>4</v>
      </c>
      <c r="D30" s="235">
        <v>4</v>
      </c>
      <c r="L30" s="15" t="s">
        <v>31</v>
      </c>
      <c r="M30" s="15">
        <v>15.435531788472966</v>
      </c>
      <c r="N30" s="15">
        <v>2.3319988814253221</v>
      </c>
      <c r="O30" s="15">
        <v>6.6190133757863299</v>
      </c>
      <c r="P30" s="15">
        <v>1.3684198573243386E-7</v>
      </c>
      <c r="Q30" s="15">
        <v>10.696339865961292</v>
      </c>
      <c r="R30" s="15">
        <v>20.17472371098464</v>
      </c>
      <c r="S30" s="15">
        <v>10.696339865961292</v>
      </c>
      <c r="T30" s="15">
        <v>20.17472371098464</v>
      </c>
    </row>
    <row r="31" spans="1:20" ht="15.75" thickBot="1" x14ac:dyDescent="0.3">
      <c r="A31" s="240" t="s">
        <v>274</v>
      </c>
      <c r="B31" s="234">
        <v>10</v>
      </c>
      <c r="C31" s="241">
        <v>1</v>
      </c>
      <c r="D31" s="241">
        <v>1</v>
      </c>
      <c r="K31" s="120" t="s">
        <v>408</v>
      </c>
      <c r="L31" s="16" t="s">
        <v>44</v>
      </c>
      <c r="M31" s="20">
        <v>1.9554367201426022</v>
      </c>
      <c r="N31" s="16">
        <v>0.74471865932662229</v>
      </c>
      <c r="O31" s="16">
        <v>2.6257388554097947</v>
      </c>
      <c r="P31" s="16">
        <v>1.2866412566907154E-2</v>
      </c>
      <c r="Q31" s="16">
        <v>0.44198631373962116</v>
      </c>
      <c r="R31" s="16">
        <v>3.4688871265455834</v>
      </c>
      <c r="S31" s="16">
        <v>0.44198631373962116</v>
      </c>
      <c r="T31" s="16">
        <v>3.4688871265455834</v>
      </c>
    </row>
    <row r="32" spans="1:20" ht="15.75" thickTop="1" x14ac:dyDescent="0.25">
      <c r="A32" s="234" t="s">
        <v>275</v>
      </c>
      <c r="B32" s="234">
        <v>21</v>
      </c>
      <c r="C32" s="235">
        <v>4</v>
      </c>
      <c r="D32" s="235">
        <v>4</v>
      </c>
      <c r="L32"/>
      <c r="M32"/>
      <c r="N32"/>
      <c r="O32"/>
      <c r="P32"/>
      <c r="Q32"/>
      <c r="R32"/>
      <c r="S32"/>
      <c r="T32"/>
    </row>
    <row r="33" spans="1:20" x14ac:dyDescent="0.25">
      <c r="A33" s="234" t="s">
        <v>276</v>
      </c>
      <c r="B33" s="234">
        <v>21</v>
      </c>
      <c r="C33" s="235">
        <v>4</v>
      </c>
      <c r="D33" s="235">
        <v>4</v>
      </c>
      <c r="L33" s="436" t="s">
        <v>410</v>
      </c>
      <c r="M33" s="436"/>
      <c r="N33" s="436"/>
      <c r="O33" s="436"/>
      <c r="P33" s="436"/>
      <c r="Q33" s="436"/>
      <c r="R33"/>
      <c r="S33"/>
      <c r="T33"/>
    </row>
    <row r="34" spans="1:20" ht="15.75" thickBot="1" x14ac:dyDescent="0.3">
      <c r="A34" s="236" t="s">
        <v>277</v>
      </c>
      <c r="B34" s="234">
        <v>17</v>
      </c>
      <c r="C34" s="237">
        <v>1</v>
      </c>
      <c r="D34" s="237">
        <v>1</v>
      </c>
      <c r="L34" t="s">
        <v>20</v>
      </c>
      <c r="M34"/>
      <c r="N34"/>
      <c r="O34"/>
      <c r="P34"/>
      <c r="Q34"/>
      <c r="R34"/>
      <c r="S34"/>
      <c r="T34"/>
    </row>
    <row r="35" spans="1:20" ht="15.75" thickBot="1" x14ac:dyDescent="0.3">
      <c r="A35" s="234" t="s">
        <v>278</v>
      </c>
      <c r="B35" s="234">
        <v>21</v>
      </c>
      <c r="C35" s="235">
        <v>4</v>
      </c>
      <c r="D35" s="235">
        <v>4</v>
      </c>
      <c r="L35"/>
      <c r="M35"/>
      <c r="N35"/>
      <c r="O35"/>
      <c r="P35"/>
      <c r="Q35"/>
      <c r="R35"/>
      <c r="S35"/>
      <c r="T35"/>
    </row>
    <row r="36" spans="1:20" x14ac:dyDescent="0.25">
      <c r="A36" s="234" t="s">
        <v>279</v>
      </c>
      <c r="B36" s="234">
        <v>21</v>
      </c>
      <c r="C36" s="235">
        <v>3</v>
      </c>
      <c r="D36" s="235">
        <v>1</v>
      </c>
      <c r="L36" s="18" t="s">
        <v>21</v>
      </c>
      <c r="M36" s="18"/>
      <c r="N36"/>
      <c r="O36"/>
      <c r="P36"/>
      <c r="Q36"/>
      <c r="R36"/>
      <c r="S36"/>
      <c r="T36"/>
    </row>
    <row r="37" spans="1:20" ht="15.75" thickBot="1" x14ac:dyDescent="0.3">
      <c r="A37" s="236" t="s">
        <v>280</v>
      </c>
      <c r="B37" s="234">
        <v>24</v>
      </c>
      <c r="C37" s="237">
        <v>2</v>
      </c>
      <c r="D37" s="237">
        <v>1</v>
      </c>
      <c r="L37" s="19" t="s">
        <v>22</v>
      </c>
      <c r="M37" s="19">
        <v>0.48794568470482241</v>
      </c>
      <c r="N37"/>
      <c r="O37"/>
      <c r="P37"/>
      <c r="Q37"/>
      <c r="R37"/>
      <c r="S37"/>
      <c r="T37"/>
    </row>
    <row r="38" spans="1:20" x14ac:dyDescent="0.25">
      <c r="A38" s="234" t="s">
        <v>281</v>
      </c>
      <c r="B38" s="234">
        <v>21</v>
      </c>
      <c r="C38" s="235">
        <v>5</v>
      </c>
      <c r="D38" s="235">
        <v>4</v>
      </c>
      <c r="L38" s="19" t="s">
        <v>23</v>
      </c>
      <c r="M38" s="19">
        <v>0.23809099122205798</v>
      </c>
      <c r="N38"/>
      <c r="O38"/>
      <c r="P38"/>
      <c r="Q38"/>
      <c r="R38"/>
      <c r="S38"/>
      <c r="T38"/>
    </row>
    <row r="39" spans="1:20" x14ac:dyDescent="0.25">
      <c r="A39" s="234" t="s">
        <v>282</v>
      </c>
      <c r="B39" s="234">
        <v>24</v>
      </c>
      <c r="C39" s="235">
        <v>3</v>
      </c>
      <c r="D39" s="235">
        <v>1</v>
      </c>
      <c r="L39" s="15" t="s">
        <v>24</v>
      </c>
      <c r="M39" s="15">
        <v>0.21568190272858909</v>
      </c>
      <c r="N39"/>
      <c r="O39"/>
      <c r="P39"/>
      <c r="Q39"/>
      <c r="R39"/>
      <c r="S39"/>
      <c r="T39"/>
    </row>
    <row r="40" spans="1:20" ht="15.75" thickBot="1" x14ac:dyDescent="0.3">
      <c r="A40" s="238" t="s">
        <v>283</v>
      </c>
      <c r="B40" s="234">
        <v>13</v>
      </c>
      <c r="C40" s="239">
        <v>1</v>
      </c>
      <c r="D40" s="239">
        <v>1</v>
      </c>
      <c r="L40" s="15" t="s">
        <v>25</v>
      </c>
      <c r="M40" s="15">
        <v>4.8744723842238686</v>
      </c>
      <c r="N40"/>
      <c r="O40"/>
      <c r="P40"/>
      <c r="Q40"/>
      <c r="R40"/>
      <c r="S40"/>
      <c r="T40"/>
    </row>
    <row r="41" spans="1:20" ht="15.75" thickBot="1" x14ac:dyDescent="0.3">
      <c r="A41" s="234" t="s">
        <v>284</v>
      </c>
      <c r="B41" s="234">
        <v>24</v>
      </c>
      <c r="C41" s="235">
        <v>5</v>
      </c>
      <c r="D41" s="235">
        <v>4</v>
      </c>
      <c r="L41" s="16" t="s">
        <v>26</v>
      </c>
      <c r="M41" s="16">
        <v>36</v>
      </c>
      <c r="N41"/>
      <c r="O41"/>
      <c r="P41"/>
      <c r="Q41"/>
      <c r="R41"/>
      <c r="S41"/>
      <c r="T41"/>
    </row>
    <row r="42" spans="1:20" x14ac:dyDescent="0.25">
      <c r="A42" s="234" t="s">
        <v>285</v>
      </c>
      <c r="B42" s="234">
        <v>10</v>
      </c>
      <c r="C42" s="235">
        <v>2</v>
      </c>
      <c r="D42" s="235">
        <v>1</v>
      </c>
      <c r="L42"/>
      <c r="M42"/>
      <c r="N42"/>
      <c r="O42"/>
      <c r="P42"/>
      <c r="Q42"/>
      <c r="R42"/>
      <c r="S42"/>
      <c r="T42"/>
    </row>
    <row r="43" spans="1:20" ht="15.75" thickBot="1" x14ac:dyDescent="0.3">
      <c r="A43" s="236" t="s">
        <v>286</v>
      </c>
      <c r="B43" s="234">
        <v>10</v>
      </c>
      <c r="C43" s="237">
        <v>1</v>
      </c>
      <c r="D43" s="237">
        <v>1</v>
      </c>
      <c r="L43" t="s">
        <v>27</v>
      </c>
      <c r="M43"/>
      <c r="N43"/>
      <c r="O43"/>
      <c r="P43"/>
      <c r="Q43"/>
      <c r="R43"/>
      <c r="S43"/>
      <c r="T43"/>
    </row>
    <row r="44" spans="1:20" x14ac:dyDescent="0.25">
      <c r="A44" s="234" t="s">
        <v>287</v>
      </c>
      <c r="B44" s="234">
        <v>24</v>
      </c>
      <c r="C44" s="235">
        <v>5</v>
      </c>
      <c r="D44" s="235">
        <v>4</v>
      </c>
      <c r="L44" s="17"/>
      <c r="M44" s="17" t="s">
        <v>32</v>
      </c>
      <c r="N44" s="17" t="s">
        <v>33</v>
      </c>
      <c r="O44" s="17" t="s">
        <v>34</v>
      </c>
      <c r="P44" s="17" t="s">
        <v>35</v>
      </c>
      <c r="Q44" s="17" t="s">
        <v>36</v>
      </c>
      <c r="R44"/>
      <c r="S44"/>
      <c r="T44"/>
    </row>
    <row r="45" spans="1:20" x14ac:dyDescent="0.25">
      <c r="A45" s="234" t="s">
        <v>288</v>
      </c>
      <c r="B45" s="234">
        <v>17</v>
      </c>
      <c r="C45" s="235">
        <v>2</v>
      </c>
      <c r="D45" s="235">
        <v>1</v>
      </c>
      <c r="L45" s="15" t="s">
        <v>28</v>
      </c>
      <c r="M45" s="15">
        <v>1</v>
      </c>
      <c r="N45" s="15">
        <v>252.44920072047705</v>
      </c>
      <c r="O45" s="15">
        <v>252.44920072047705</v>
      </c>
      <c r="P45" s="15">
        <v>10.62475126069717</v>
      </c>
      <c r="Q45" s="15">
        <v>2.5370449389618978E-3</v>
      </c>
      <c r="R45"/>
      <c r="S45"/>
      <c r="T45"/>
    </row>
    <row r="46" spans="1:20" ht="15.75" thickBot="1" x14ac:dyDescent="0.3">
      <c r="A46" s="236" t="s">
        <v>289</v>
      </c>
      <c r="B46" s="234">
        <v>27</v>
      </c>
      <c r="C46" s="237">
        <v>1</v>
      </c>
      <c r="D46" s="237">
        <v>2</v>
      </c>
      <c r="L46" s="15" t="s">
        <v>29</v>
      </c>
      <c r="M46" s="15">
        <v>34</v>
      </c>
      <c r="N46" s="15">
        <v>807.85635483507838</v>
      </c>
      <c r="O46" s="15">
        <v>23.76048102456113</v>
      </c>
      <c r="P46" s="15"/>
      <c r="Q46" s="15"/>
      <c r="R46"/>
      <c r="S46"/>
      <c r="T46"/>
    </row>
    <row r="47" spans="1:20" ht="15.75" thickBot="1" x14ac:dyDescent="0.3">
      <c r="A47" s="234" t="s">
        <v>290</v>
      </c>
      <c r="B47" s="234">
        <v>24</v>
      </c>
      <c r="C47" s="235">
        <v>3</v>
      </c>
      <c r="D47" s="235">
        <v>4</v>
      </c>
      <c r="L47" s="16" t="s">
        <v>30</v>
      </c>
      <c r="M47" s="16">
        <v>35</v>
      </c>
      <c r="N47" s="16">
        <v>1060.3055555555554</v>
      </c>
      <c r="O47" s="16"/>
      <c r="P47" s="16"/>
      <c r="Q47" s="16"/>
      <c r="R47"/>
      <c r="S47"/>
      <c r="T47"/>
    </row>
    <row r="48" spans="1:20" ht="15.75" thickBot="1" x14ac:dyDescent="0.3">
      <c r="A48" s="234" t="s">
        <v>291</v>
      </c>
      <c r="B48" s="234">
        <v>27</v>
      </c>
      <c r="C48" s="235">
        <v>3</v>
      </c>
      <c r="D48" s="235">
        <v>2</v>
      </c>
      <c r="L48"/>
      <c r="M48"/>
      <c r="N48"/>
      <c r="O48"/>
      <c r="P48"/>
      <c r="Q48"/>
      <c r="R48"/>
      <c r="S48"/>
      <c r="T48"/>
    </row>
    <row r="49" spans="1:20" ht="15.75" thickBot="1" x14ac:dyDescent="0.3">
      <c r="A49" s="240" t="s">
        <v>292</v>
      </c>
      <c r="B49" s="242">
        <v>7</v>
      </c>
      <c r="C49" s="241">
        <v>2</v>
      </c>
      <c r="D49" s="241">
        <v>1</v>
      </c>
      <c r="L49" s="17"/>
      <c r="M49" s="17" t="s">
        <v>37</v>
      </c>
      <c r="N49" s="17" t="s">
        <v>25</v>
      </c>
      <c r="O49" s="17" t="s">
        <v>38</v>
      </c>
      <c r="P49" s="17" t="s">
        <v>39</v>
      </c>
      <c r="Q49" s="17" t="s">
        <v>40</v>
      </c>
      <c r="R49" s="17" t="s">
        <v>41</v>
      </c>
      <c r="S49" s="17" t="s">
        <v>42</v>
      </c>
      <c r="T49" s="17" t="s">
        <v>43</v>
      </c>
    </row>
    <row r="50" spans="1:20" ht="15.75" thickTop="1" x14ac:dyDescent="0.25">
      <c r="L50" s="15" t="s">
        <v>31</v>
      </c>
      <c r="M50" s="15">
        <v>15.997185635483509</v>
      </c>
      <c r="N50" s="15">
        <v>1.7743366148563293</v>
      </c>
      <c r="O50" s="15">
        <v>9.0158685232220304</v>
      </c>
      <c r="P50" s="15">
        <v>1.5449706662012098E-10</v>
      </c>
      <c r="Q50" s="15">
        <v>12.391299792260346</v>
      </c>
      <c r="R50" s="15">
        <v>19.603071478706674</v>
      </c>
      <c r="S50" s="15">
        <v>12.391299792260346</v>
      </c>
      <c r="T50" s="15">
        <v>19.603071478706674</v>
      </c>
    </row>
    <row r="51" spans="1:20" ht="15.75" thickBot="1" x14ac:dyDescent="0.3">
      <c r="K51" s="120" t="s">
        <v>408</v>
      </c>
      <c r="L51" s="16" t="s">
        <v>44</v>
      </c>
      <c r="M51" s="20">
        <v>2.022965214454576</v>
      </c>
      <c r="N51" s="16">
        <v>0.62062466194648458</v>
      </c>
      <c r="O51" s="16">
        <v>3.2595630475106914</v>
      </c>
      <c r="P51" s="16">
        <v>2.5370449389618749E-3</v>
      </c>
      <c r="Q51" s="16">
        <v>0.76170415286666726</v>
      </c>
      <c r="R51" s="16">
        <v>3.2842262760424847</v>
      </c>
      <c r="S51" s="16">
        <v>0.76170415286666726</v>
      </c>
      <c r="T51" s="16">
        <v>3.2842262760424847</v>
      </c>
    </row>
    <row r="52" spans="1:20" x14ac:dyDescent="0.25">
      <c r="L52"/>
      <c r="M52"/>
      <c r="N52"/>
      <c r="O52"/>
      <c r="P52"/>
      <c r="Q52"/>
      <c r="R52"/>
      <c r="S52"/>
      <c r="T52"/>
    </row>
    <row r="53" spans="1:20" x14ac:dyDescent="0.25">
      <c r="L53"/>
      <c r="M53"/>
      <c r="N53"/>
      <c r="O53"/>
      <c r="P53"/>
      <c r="Q53"/>
      <c r="R53"/>
      <c r="S53"/>
      <c r="T53"/>
    </row>
    <row r="54" spans="1:20" x14ac:dyDescent="0.25">
      <c r="L54"/>
      <c r="M54"/>
      <c r="N54"/>
      <c r="O54"/>
      <c r="P54"/>
      <c r="Q54"/>
      <c r="R54"/>
      <c r="S54"/>
      <c r="T54"/>
    </row>
    <row r="55" spans="1:20" x14ac:dyDescent="0.25">
      <c r="L55" s="15"/>
      <c r="M55" s="15"/>
      <c r="N55"/>
      <c r="O55"/>
      <c r="P55"/>
      <c r="Q55"/>
      <c r="R55"/>
      <c r="S55"/>
      <c r="T55"/>
    </row>
    <row r="56" spans="1:20" x14ac:dyDescent="0.25">
      <c r="L56" s="15"/>
      <c r="M56" s="15"/>
      <c r="N56"/>
      <c r="O56"/>
      <c r="P56"/>
      <c r="Q56"/>
      <c r="R56"/>
      <c r="S56"/>
      <c r="T56"/>
    </row>
    <row r="57" spans="1:20" x14ac:dyDescent="0.25">
      <c r="L57" s="15"/>
      <c r="M57" s="15"/>
      <c r="N57"/>
      <c r="O57"/>
      <c r="P57"/>
      <c r="Q57"/>
      <c r="R57"/>
      <c r="S57"/>
      <c r="T57"/>
    </row>
    <row r="58" spans="1:20" x14ac:dyDescent="0.25">
      <c r="L58" s="452" t="s">
        <v>444</v>
      </c>
      <c r="M58" s="453"/>
      <c r="N58" s="94"/>
      <c r="O58" s="454" t="s">
        <v>31</v>
      </c>
      <c r="P58"/>
      <c r="Q58"/>
      <c r="R58"/>
      <c r="S58"/>
      <c r="T58"/>
    </row>
    <row r="59" spans="1:20" x14ac:dyDescent="0.25">
      <c r="L59" s="452" t="s">
        <v>445</v>
      </c>
      <c r="M59" s="455"/>
      <c r="N59" s="95"/>
      <c r="O59" s="454" t="s">
        <v>446</v>
      </c>
      <c r="P59"/>
      <c r="Q59"/>
      <c r="R59"/>
      <c r="S59"/>
      <c r="T59"/>
    </row>
    <row r="60" spans="1:20" ht="17.25" x14ac:dyDescent="0.25">
      <c r="L60" s="452" t="s">
        <v>447</v>
      </c>
      <c r="M60" s="455"/>
      <c r="N60" s="95"/>
      <c r="O60" s="454" t="s">
        <v>448</v>
      </c>
      <c r="P60"/>
      <c r="Q60"/>
      <c r="R60"/>
      <c r="S60"/>
      <c r="T60"/>
    </row>
    <row r="61" spans="1:20" x14ac:dyDescent="0.25">
      <c r="L61" s="452" t="s">
        <v>35</v>
      </c>
      <c r="M61" s="455"/>
      <c r="N61" s="95"/>
      <c r="O61" s="454" t="s">
        <v>449</v>
      </c>
      <c r="P61"/>
      <c r="Q61"/>
      <c r="R61"/>
      <c r="S61"/>
      <c r="T61"/>
    </row>
    <row r="62" spans="1:20" x14ac:dyDescent="0.25">
      <c r="L62" s="452" t="s">
        <v>450</v>
      </c>
      <c r="M62" s="456"/>
      <c r="N62" s="457"/>
      <c r="O62" s="454" t="s">
        <v>451</v>
      </c>
      <c r="P62"/>
      <c r="Q62"/>
      <c r="R62"/>
      <c r="S62"/>
      <c r="T62"/>
    </row>
    <row r="63" spans="1:20" x14ac:dyDescent="0.25">
      <c r="L63" s="15"/>
      <c r="M63" s="15"/>
      <c r="N63"/>
      <c r="O63"/>
      <c r="P63"/>
      <c r="Q63"/>
      <c r="R63"/>
      <c r="S63"/>
      <c r="T63"/>
    </row>
    <row r="64" spans="1:20" x14ac:dyDescent="0.25">
      <c r="L64" s="15"/>
      <c r="M64" s="15"/>
      <c r="N64"/>
      <c r="O64"/>
      <c r="P64"/>
      <c r="Q64"/>
      <c r="R64"/>
      <c r="S64"/>
      <c r="T64"/>
    </row>
    <row r="65" spans="12:20" x14ac:dyDescent="0.25">
      <c r="L65" s="15"/>
      <c r="M65" s="15"/>
      <c r="N65"/>
      <c r="O65"/>
      <c r="P65"/>
      <c r="Q65"/>
      <c r="R65"/>
      <c r="S65"/>
      <c r="T65"/>
    </row>
    <row r="66" spans="12:20" x14ac:dyDescent="0.25">
      <c r="L66" s="15"/>
      <c r="M66" s="15"/>
      <c r="N66"/>
      <c r="O66"/>
      <c r="P66"/>
      <c r="Q66"/>
      <c r="R66"/>
      <c r="S66"/>
      <c r="T66"/>
    </row>
    <row r="67" spans="12:20" x14ac:dyDescent="0.25">
      <c r="L67" s="15"/>
      <c r="M67" s="15"/>
      <c r="N67"/>
      <c r="O67"/>
      <c r="P67"/>
      <c r="Q67"/>
      <c r="R67"/>
      <c r="S67"/>
      <c r="T67"/>
    </row>
    <row r="68" spans="12:20" x14ac:dyDescent="0.25">
      <c r="L68" s="15"/>
      <c r="M68" s="15"/>
      <c r="N68"/>
      <c r="O68"/>
      <c r="P68"/>
      <c r="Q68"/>
      <c r="R68"/>
      <c r="S68"/>
      <c r="T68"/>
    </row>
    <row r="69" spans="12:20" x14ac:dyDescent="0.25">
      <c r="L69" s="15"/>
      <c r="M69" s="15"/>
      <c r="N69"/>
      <c r="O69"/>
      <c r="P69"/>
      <c r="Q69"/>
      <c r="R69"/>
      <c r="S69"/>
      <c r="T69"/>
    </row>
    <row r="70" spans="12:20" x14ac:dyDescent="0.25">
      <c r="L70" s="15"/>
      <c r="M70" s="15"/>
      <c r="N70"/>
      <c r="O70"/>
      <c r="P70"/>
      <c r="Q70"/>
      <c r="R70"/>
      <c r="S70"/>
      <c r="T70"/>
    </row>
    <row r="71" spans="12:20" x14ac:dyDescent="0.25">
      <c r="L71" s="15"/>
      <c r="M71" s="15"/>
      <c r="N71"/>
      <c r="O71"/>
      <c r="P71"/>
      <c r="Q71"/>
      <c r="R71"/>
      <c r="S71"/>
      <c r="T71"/>
    </row>
    <row r="72" spans="12:20" x14ac:dyDescent="0.25">
      <c r="L72" s="15"/>
      <c r="M72" s="15"/>
      <c r="N72"/>
      <c r="O72"/>
      <c r="P72"/>
      <c r="Q72"/>
      <c r="R72"/>
      <c r="S72"/>
      <c r="T72"/>
    </row>
    <row r="73" spans="12:20" ht="15.75" thickBot="1" x14ac:dyDescent="0.3">
      <c r="L73" s="16"/>
      <c r="M73" s="16"/>
      <c r="N73"/>
      <c r="O73"/>
      <c r="P73"/>
      <c r="Q73"/>
      <c r="R73"/>
      <c r="S73"/>
      <c r="T73"/>
    </row>
  </sheetData>
  <sortState ref="M38:M73">
    <sortCondition ref="M38"/>
  </sortState>
  <mergeCells count="9">
    <mergeCell ref="T2:Y2"/>
    <mergeCell ref="C3:K11"/>
    <mergeCell ref="M3:R11"/>
    <mergeCell ref="T3:Y11"/>
    <mergeCell ref="F13:I13"/>
    <mergeCell ref="L13:P13"/>
    <mergeCell ref="L33:Q33"/>
    <mergeCell ref="C2:K2"/>
    <mergeCell ref="M2:R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4C69-636C-420F-BD6D-2C918BCE404A}">
  <dimension ref="A2:Y52"/>
  <sheetViews>
    <sheetView topLeftCell="A22" workbookViewId="0">
      <selection activeCell="F14" sqref="F14"/>
    </sheetView>
  </sheetViews>
  <sheetFormatPr defaultRowHeight="15" x14ac:dyDescent="0.25"/>
  <cols>
    <col min="2" max="2" width="11" customWidth="1"/>
    <col min="5" max="5" width="8.5703125" customWidth="1"/>
  </cols>
  <sheetData>
    <row r="2" spans="1:25" ht="15.75" x14ac:dyDescent="0.25">
      <c r="C2" s="389" t="s">
        <v>354</v>
      </c>
      <c r="D2" s="389"/>
      <c r="E2" s="389"/>
      <c r="F2" s="389"/>
      <c r="G2" s="389"/>
      <c r="H2" s="389"/>
      <c r="I2" s="389"/>
      <c r="J2" s="389"/>
      <c r="K2" s="389"/>
      <c r="M2" s="410" t="s">
        <v>380</v>
      </c>
      <c r="N2" s="410"/>
      <c r="O2" s="410"/>
      <c r="P2" s="410"/>
      <c r="Q2" s="410"/>
      <c r="R2" s="410"/>
      <c r="T2" s="411" t="s">
        <v>389</v>
      </c>
      <c r="U2" s="411"/>
      <c r="V2" s="411"/>
      <c r="W2" s="411"/>
      <c r="X2" s="411"/>
      <c r="Y2" s="411"/>
    </row>
    <row r="3" spans="1:25" ht="15" customHeight="1" x14ac:dyDescent="0.25">
      <c r="C3" s="437" t="s">
        <v>400</v>
      </c>
      <c r="D3" s="437"/>
      <c r="E3" s="437"/>
      <c r="F3" s="437"/>
      <c r="G3" s="437"/>
      <c r="H3" s="437"/>
      <c r="I3" s="437"/>
      <c r="J3" s="437"/>
      <c r="K3" s="437"/>
      <c r="M3" s="424"/>
      <c r="N3" s="425"/>
      <c r="O3" s="425"/>
      <c r="P3" s="425"/>
      <c r="Q3" s="425"/>
      <c r="R3" s="426"/>
      <c r="T3" s="424" t="s">
        <v>390</v>
      </c>
      <c r="U3" s="425"/>
      <c r="V3" s="425"/>
      <c r="W3" s="425"/>
      <c r="X3" s="425"/>
      <c r="Y3" s="426"/>
    </row>
    <row r="4" spans="1:25" x14ac:dyDescent="0.25">
      <c r="C4" s="437"/>
      <c r="D4" s="437"/>
      <c r="E4" s="437"/>
      <c r="F4" s="437"/>
      <c r="G4" s="437"/>
      <c r="H4" s="437"/>
      <c r="I4" s="437"/>
      <c r="J4" s="437"/>
      <c r="K4" s="437"/>
      <c r="M4" s="427"/>
      <c r="N4" s="394"/>
      <c r="O4" s="394"/>
      <c r="P4" s="394"/>
      <c r="Q4" s="394"/>
      <c r="R4" s="428"/>
      <c r="T4" s="427"/>
      <c r="U4" s="394"/>
      <c r="V4" s="394"/>
      <c r="W4" s="394"/>
      <c r="X4" s="394"/>
      <c r="Y4" s="428"/>
    </row>
    <row r="5" spans="1:25" x14ac:dyDescent="0.25">
      <c r="C5" s="437"/>
      <c r="D5" s="437"/>
      <c r="E5" s="437"/>
      <c r="F5" s="437"/>
      <c r="G5" s="437"/>
      <c r="H5" s="437"/>
      <c r="I5" s="437"/>
      <c r="J5" s="437"/>
      <c r="K5" s="437"/>
      <c r="M5" s="427"/>
      <c r="N5" s="394"/>
      <c r="O5" s="394"/>
      <c r="P5" s="394"/>
      <c r="Q5" s="394"/>
      <c r="R5" s="428"/>
      <c r="T5" s="427"/>
      <c r="U5" s="394"/>
      <c r="V5" s="394"/>
      <c r="W5" s="394"/>
      <c r="X5" s="394"/>
      <c r="Y5" s="428"/>
    </row>
    <row r="6" spans="1:25" x14ac:dyDescent="0.25">
      <c r="C6" s="437"/>
      <c r="D6" s="437"/>
      <c r="E6" s="437"/>
      <c r="F6" s="437"/>
      <c r="G6" s="437"/>
      <c r="H6" s="437"/>
      <c r="I6" s="437"/>
      <c r="J6" s="437"/>
      <c r="K6" s="437"/>
      <c r="M6" s="427"/>
      <c r="N6" s="394"/>
      <c r="O6" s="394"/>
      <c r="P6" s="394"/>
      <c r="Q6" s="394"/>
      <c r="R6" s="428"/>
      <c r="T6" s="427"/>
      <c r="U6" s="394"/>
      <c r="V6" s="394"/>
      <c r="W6" s="394"/>
      <c r="X6" s="394"/>
      <c r="Y6" s="428"/>
    </row>
    <row r="7" spans="1:25" x14ac:dyDescent="0.25">
      <c r="C7" s="437"/>
      <c r="D7" s="437"/>
      <c r="E7" s="437"/>
      <c r="F7" s="437"/>
      <c r="G7" s="437"/>
      <c r="H7" s="437"/>
      <c r="I7" s="437"/>
      <c r="J7" s="437"/>
      <c r="K7" s="437"/>
      <c r="M7" s="427"/>
      <c r="N7" s="394"/>
      <c r="O7" s="394"/>
      <c r="P7" s="394"/>
      <c r="Q7" s="394"/>
      <c r="R7" s="428"/>
      <c r="T7" s="427"/>
      <c r="U7" s="394"/>
      <c r="V7" s="394"/>
      <c r="W7" s="394"/>
      <c r="X7" s="394"/>
      <c r="Y7" s="428"/>
    </row>
    <row r="8" spans="1:25" x14ac:dyDescent="0.25">
      <c r="C8" s="437"/>
      <c r="D8" s="437"/>
      <c r="E8" s="437"/>
      <c r="F8" s="437"/>
      <c r="G8" s="437"/>
      <c r="H8" s="437"/>
      <c r="I8" s="437"/>
      <c r="J8" s="437"/>
      <c r="K8" s="437"/>
      <c r="M8" s="427"/>
      <c r="N8" s="394"/>
      <c r="O8" s="394"/>
      <c r="P8" s="394"/>
      <c r="Q8" s="394"/>
      <c r="R8" s="428"/>
      <c r="T8" s="427"/>
      <c r="U8" s="394"/>
      <c r="V8" s="394"/>
      <c r="W8" s="394"/>
      <c r="X8" s="394"/>
      <c r="Y8" s="428"/>
    </row>
    <row r="9" spans="1:25" x14ac:dyDescent="0.25">
      <c r="C9" s="437"/>
      <c r="D9" s="437"/>
      <c r="E9" s="437"/>
      <c r="F9" s="437"/>
      <c r="G9" s="437"/>
      <c r="H9" s="437"/>
      <c r="I9" s="437"/>
      <c r="J9" s="437"/>
      <c r="K9" s="437"/>
      <c r="M9" s="427"/>
      <c r="N9" s="394"/>
      <c r="O9" s="394"/>
      <c r="P9" s="394"/>
      <c r="Q9" s="394"/>
      <c r="R9" s="428"/>
      <c r="T9" s="427"/>
      <c r="U9" s="394"/>
      <c r="V9" s="394"/>
      <c r="W9" s="394"/>
      <c r="X9" s="394"/>
      <c r="Y9" s="428"/>
    </row>
    <row r="10" spans="1:25" x14ac:dyDescent="0.25">
      <c r="C10" s="437"/>
      <c r="D10" s="437"/>
      <c r="E10" s="437"/>
      <c r="F10" s="437"/>
      <c r="G10" s="437"/>
      <c r="H10" s="437"/>
      <c r="I10" s="437"/>
      <c r="J10" s="437"/>
      <c r="K10" s="437"/>
      <c r="M10" s="427"/>
      <c r="N10" s="394"/>
      <c r="O10" s="394"/>
      <c r="P10" s="394"/>
      <c r="Q10" s="394"/>
      <c r="R10" s="428"/>
      <c r="T10" s="427"/>
      <c r="U10" s="394"/>
      <c r="V10" s="394"/>
      <c r="W10" s="394"/>
      <c r="X10" s="394"/>
      <c r="Y10" s="428"/>
    </row>
    <row r="11" spans="1:25" x14ac:dyDescent="0.25">
      <c r="C11" s="437"/>
      <c r="D11" s="437"/>
      <c r="E11" s="437"/>
      <c r="F11" s="437"/>
      <c r="G11" s="437"/>
      <c r="H11" s="437"/>
      <c r="I11" s="437"/>
      <c r="J11" s="437"/>
      <c r="K11" s="437"/>
      <c r="M11" s="429"/>
      <c r="N11" s="430"/>
      <c r="O11" s="430"/>
      <c r="P11" s="430"/>
      <c r="Q11" s="430"/>
      <c r="R11" s="431"/>
      <c r="T11" s="429"/>
      <c r="U11" s="430"/>
      <c r="V11" s="430"/>
      <c r="W11" s="430"/>
      <c r="X11" s="430"/>
      <c r="Y11" s="431"/>
    </row>
    <row r="13" spans="1:25" ht="46.5" customHeight="1" thickBot="1" x14ac:dyDescent="0.3">
      <c r="A13" s="225" t="s">
        <v>256</v>
      </c>
      <c r="B13" s="232" t="s">
        <v>163</v>
      </c>
      <c r="C13" s="231" t="s">
        <v>138</v>
      </c>
      <c r="F13" s="200" t="s">
        <v>326</v>
      </c>
      <c r="G13" s="200" t="s">
        <v>327</v>
      </c>
    </row>
    <row r="14" spans="1:25" ht="15.75" thickTop="1" x14ac:dyDescent="0.25">
      <c r="A14" s="198" t="s">
        <v>257</v>
      </c>
      <c r="B14" s="198">
        <v>29</v>
      </c>
      <c r="C14" s="58" t="s">
        <v>159</v>
      </c>
      <c r="F14" s="264">
        <f>IF(C14 = "Y",B14,0)</f>
        <v>29</v>
      </c>
      <c r="G14" s="265"/>
    </row>
    <row r="15" spans="1:25" x14ac:dyDescent="0.25">
      <c r="A15" s="198" t="s">
        <v>258</v>
      </c>
      <c r="B15" s="198">
        <v>30</v>
      </c>
      <c r="C15" s="58" t="s">
        <v>159</v>
      </c>
      <c r="F15" s="266">
        <f t="shared" ref="F15:F48" si="0">IF(C15 = "Y",B15,0)</f>
        <v>30</v>
      </c>
      <c r="G15" s="267"/>
    </row>
    <row r="16" spans="1:25" ht="15.75" thickBot="1" x14ac:dyDescent="0.3">
      <c r="A16" s="71" t="s">
        <v>259</v>
      </c>
      <c r="B16" s="198">
        <v>30</v>
      </c>
      <c r="C16" s="77" t="s">
        <v>159</v>
      </c>
      <c r="F16" s="266">
        <f t="shared" si="0"/>
        <v>30</v>
      </c>
      <c r="G16" s="267"/>
    </row>
    <row r="17" spans="1:7" x14ac:dyDescent="0.25">
      <c r="A17" s="198" t="s">
        <v>260</v>
      </c>
      <c r="B17" s="198">
        <v>24</v>
      </c>
      <c r="C17" s="58" t="s">
        <v>159</v>
      </c>
      <c r="F17" s="266">
        <f t="shared" si="0"/>
        <v>24</v>
      </c>
      <c r="G17" s="267"/>
    </row>
    <row r="18" spans="1:7" x14ac:dyDescent="0.25">
      <c r="A18" s="198" t="s">
        <v>261</v>
      </c>
      <c r="B18" s="198">
        <v>23</v>
      </c>
      <c r="C18" s="58" t="s">
        <v>159</v>
      </c>
      <c r="F18" s="266">
        <f t="shared" si="0"/>
        <v>23</v>
      </c>
      <c r="G18" s="267"/>
    </row>
    <row r="19" spans="1:7" ht="15.75" thickBot="1" x14ac:dyDescent="0.3">
      <c r="A19" s="71" t="s">
        <v>262</v>
      </c>
      <c r="B19" s="198">
        <v>24</v>
      </c>
      <c r="C19" s="77" t="s">
        <v>159</v>
      </c>
      <c r="F19" s="266">
        <f t="shared" si="0"/>
        <v>24</v>
      </c>
      <c r="G19" s="267"/>
    </row>
    <row r="20" spans="1:7" x14ac:dyDescent="0.25">
      <c r="A20" s="198" t="s">
        <v>263</v>
      </c>
      <c r="B20" s="198">
        <v>23</v>
      </c>
      <c r="C20" s="58" t="s">
        <v>159</v>
      </c>
      <c r="F20" s="266">
        <f t="shared" si="0"/>
        <v>23</v>
      </c>
      <c r="G20" s="267"/>
    </row>
    <row r="21" spans="1:7" x14ac:dyDescent="0.25">
      <c r="A21" s="198" t="s">
        <v>264</v>
      </c>
      <c r="B21" s="198">
        <v>23</v>
      </c>
      <c r="C21" s="58" t="s">
        <v>158</v>
      </c>
      <c r="F21" s="266"/>
      <c r="G21" s="267">
        <f t="shared" ref="G21:G49" si="1">IF(C21 = "N",B21,0)</f>
        <v>23</v>
      </c>
    </row>
    <row r="22" spans="1:7" ht="15.75" thickBot="1" x14ac:dyDescent="0.3">
      <c r="A22" s="153" t="s">
        <v>265</v>
      </c>
      <c r="B22" s="198">
        <v>20</v>
      </c>
      <c r="C22" s="160" t="s">
        <v>159</v>
      </c>
      <c r="F22" s="266">
        <f t="shared" si="0"/>
        <v>20</v>
      </c>
      <c r="G22" s="267"/>
    </row>
    <row r="23" spans="1:7" x14ac:dyDescent="0.25">
      <c r="A23" s="198" t="s">
        <v>266</v>
      </c>
      <c r="B23" s="198">
        <v>20</v>
      </c>
      <c r="C23" s="58" t="s">
        <v>159</v>
      </c>
      <c r="F23" s="266">
        <f t="shared" si="0"/>
        <v>20</v>
      </c>
      <c r="G23" s="267"/>
    </row>
    <row r="24" spans="1:7" x14ac:dyDescent="0.25">
      <c r="A24" s="198" t="s">
        <v>267</v>
      </c>
      <c r="B24" s="198">
        <v>20</v>
      </c>
      <c r="C24" s="58" t="s">
        <v>159</v>
      </c>
      <c r="F24" s="266">
        <f t="shared" si="0"/>
        <v>20</v>
      </c>
      <c r="G24" s="267"/>
    </row>
    <row r="25" spans="1:7" ht="15.75" thickBot="1" x14ac:dyDescent="0.3">
      <c r="A25" s="71" t="s">
        <v>268</v>
      </c>
      <c r="B25" s="198">
        <v>20</v>
      </c>
      <c r="C25" s="77" t="s">
        <v>158</v>
      </c>
      <c r="F25" s="266"/>
      <c r="G25" s="267">
        <f t="shared" si="1"/>
        <v>20</v>
      </c>
    </row>
    <row r="26" spans="1:7" x14ac:dyDescent="0.25">
      <c r="A26" s="198" t="s">
        <v>269</v>
      </c>
      <c r="B26" s="198">
        <v>24</v>
      </c>
      <c r="C26" s="58" t="s">
        <v>159</v>
      </c>
      <c r="F26" s="266">
        <f t="shared" si="0"/>
        <v>24</v>
      </c>
      <c r="G26" s="267"/>
    </row>
    <row r="27" spans="1:7" x14ac:dyDescent="0.25">
      <c r="A27" s="198" t="s">
        <v>270</v>
      </c>
      <c r="B27" s="198">
        <v>20</v>
      </c>
      <c r="C27" s="58" t="s">
        <v>159</v>
      </c>
      <c r="F27" s="266">
        <f t="shared" si="0"/>
        <v>20</v>
      </c>
      <c r="G27" s="267"/>
    </row>
    <row r="28" spans="1:7" ht="15.75" thickBot="1" x14ac:dyDescent="0.3">
      <c r="A28" s="71" t="s">
        <v>271</v>
      </c>
      <c r="B28" s="198">
        <v>24</v>
      </c>
      <c r="C28" s="77" t="s">
        <v>159</v>
      </c>
      <c r="F28" s="266">
        <f t="shared" si="0"/>
        <v>24</v>
      </c>
      <c r="G28" s="267"/>
    </row>
    <row r="29" spans="1:7" x14ac:dyDescent="0.25">
      <c r="A29" s="198" t="s">
        <v>272</v>
      </c>
      <c r="B29" s="198">
        <v>20</v>
      </c>
      <c r="C29" s="58" t="s">
        <v>159</v>
      </c>
      <c r="F29" s="266">
        <f t="shared" si="0"/>
        <v>20</v>
      </c>
      <c r="G29" s="267"/>
    </row>
    <row r="30" spans="1:7" x14ac:dyDescent="0.25">
      <c r="A30" s="198" t="s">
        <v>273</v>
      </c>
      <c r="B30" s="198">
        <v>24</v>
      </c>
      <c r="C30" s="58" t="s">
        <v>159</v>
      </c>
      <c r="F30" s="266">
        <f t="shared" si="0"/>
        <v>24</v>
      </c>
      <c r="G30" s="267"/>
    </row>
    <row r="31" spans="1:7" ht="15.75" thickBot="1" x14ac:dyDescent="0.3">
      <c r="A31" s="128" t="s">
        <v>274</v>
      </c>
      <c r="B31" s="198">
        <v>10</v>
      </c>
      <c r="C31" s="135" t="s">
        <v>158</v>
      </c>
      <c r="F31" s="266"/>
      <c r="G31" s="267">
        <f t="shared" si="1"/>
        <v>10</v>
      </c>
    </row>
    <row r="32" spans="1:7" ht="15.75" thickTop="1" x14ac:dyDescent="0.25">
      <c r="A32" s="198" t="s">
        <v>275</v>
      </c>
      <c r="B32" s="198">
        <v>21</v>
      </c>
      <c r="C32" s="58" t="s">
        <v>159</v>
      </c>
      <c r="F32" s="266">
        <f t="shared" si="0"/>
        <v>21</v>
      </c>
      <c r="G32" s="267"/>
    </row>
    <row r="33" spans="1:7" x14ac:dyDescent="0.25">
      <c r="A33" s="198" t="s">
        <v>276</v>
      </c>
      <c r="B33" s="198">
        <v>21</v>
      </c>
      <c r="C33" s="58" t="s">
        <v>159</v>
      </c>
      <c r="F33" s="266">
        <f t="shared" si="0"/>
        <v>21</v>
      </c>
      <c r="G33" s="267"/>
    </row>
    <row r="34" spans="1:7" ht="15.75" thickBot="1" x14ac:dyDescent="0.3">
      <c r="A34" s="71" t="s">
        <v>277</v>
      </c>
      <c r="B34" s="198">
        <v>17</v>
      </c>
      <c r="C34" s="77" t="s">
        <v>158</v>
      </c>
      <c r="F34" s="266"/>
      <c r="G34" s="267">
        <f t="shared" si="1"/>
        <v>17</v>
      </c>
    </row>
    <row r="35" spans="1:7" x14ac:dyDescent="0.25">
      <c r="A35" s="198" t="s">
        <v>278</v>
      </c>
      <c r="B35" s="198">
        <v>21</v>
      </c>
      <c r="C35" s="58" t="s">
        <v>159</v>
      </c>
      <c r="F35" s="266">
        <f t="shared" si="0"/>
        <v>21</v>
      </c>
      <c r="G35" s="267"/>
    </row>
    <row r="36" spans="1:7" x14ac:dyDescent="0.25">
      <c r="A36" s="198" t="s">
        <v>279</v>
      </c>
      <c r="B36" s="198">
        <v>21</v>
      </c>
      <c r="C36" s="58" t="s">
        <v>158</v>
      </c>
      <c r="F36" s="266"/>
      <c r="G36" s="267">
        <f t="shared" si="1"/>
        <v>21</v>
      </c>
    </row>
    <row r="37" spans="1:7" ht="15.75" thickBot="1" x14ac:dyDescent="0.3">
      <c r="A37" s="71" t="s">
        <v>280</v>
      </c>
      <c r="B37" s="198">
        <v>24</v>
      </c>
      <c r="C37" s="77" t="s">
        <v>159</v>
      </c>
      <c r="F37" s="266">
        <f t="shared" si="0"/>
        <v>24</v>
      </c>
      <c r="G37" s="267"/>
    </row>
    <row r="38" spans="1:7" x14ac:dyDescent="0.25">
      <c r="A38" s="198" t="s">
        <v>281</v>
      </c>
      <c r="B38" s="198">
        <v>21</v>
      </c>
      <c r="C38" s="58" t="s">
        <v>159</v>
      </c>
      <c r="F38" s="266">
        <f t="shared" si="0"/>
        <v>21</v>
      </c>
      <c r="G38" s="267"/>
    </row>
    <row r="39" spans="1:7" x14ac:dyDescent="0.25">
      <c r="A39" s="198" t="s">
        <v>282</v>
      </c>
      <c r="B39" s="198">
        <v>24</v>
      </c>
      <c r="C39" s="58" t="s">
        <v>158</v>
      </c>
      <c r="F39" s="266"/>
      <c r="G39" s="267">
        <f t="shared" si="1"/>
        <v>24</v>
      </c>
    </row>
    <row r="40" spans="1:7" ht="15.75" thickBot="1" x14ac:dyDescent="0.3">
      <c r="A40" s="153" t="s">
        <v>283</v>
      </c>
      <c r="B40" s="198">
        <v>13</v>
      </c>
      <c r="C40" s="160" t="s">
        <v>158</v>
      </c>
      <c r="F40" s="266"/>
      <c r="G40" s="267">
        <f t="shared" si="1"/>
        <v>13</v>
      </c>
    </row>
    <row r="41" spans="1:7" x14ac:dyDescent="0.25">
      <c r="A41" s="198" t="s">
        <v>284</v>
      </c>
      <c r="B41" s="198">
        <v>24</v>
      </c>
      <c r="C41" s="58" t="s">
        <v>159</v>
      </c>
      <c r="F41" s="266">
        <f t="shared" si="0"/>
        <v>24</v>
      </c>
      <c r="G41" s="267"/>
    </row>
    <row r="42" spans="1:7" x14ac:dyDescent="0.25">
      <c r="A42" s="198" t="s">
        <v>285</v>
      </c>
      <c r="B42" s="198">
        <v>10</v>
      </c>
      <c r="C42" s="58" t="s">
        <v>158</v>
      </c>
      <c r="F42" s="266"/>
      <c r="G42" s="267">
        <f t="shared" si="1"/>
        <v>10</v>
      </c>
    </row>
    <row r="43" spans="1:7" ht="15.75" thickBot="1" x14ac:dyDescent="0.3">
      <c r="A43" s="71" t="s">
        <v>286</v>
      </c>
      <c r="B43" s="198">
        <v>10</v>
      </c>
      <c r="C43" s="77" t="s">
        <v>158</v>
      </c>
      <c r="F43" s="266"/>
      <c r="G43" s="267">
        <f t="shared" si="1"/>
        <v>10</v>
      </c>
    </row>
    <row r="44" spans="1:7" x14ac:dyDescent="0.25">
      <c r="A44" s="198" t="s">
        <v>287</v>
      </c>
      <c r="B44" s="198">
        <v>24</v>
      </c>
      <c r="C44" s="58" t="s">
        <v>159</v>
      </c>
      <c r="F44" s="266">
        <f t="shared" si="0"/>
        <v>24</v>
      </c>
      <c r="G44" s="267"/>
    </row>
    <row r="45" spans="1:7" x14ac:dyDescent="0.25">
      <c r="A45" s="198" t="s">
        <v>288</v>
      </c>
      <c r="B45" s="198">
        <v>17</v>
      </c>
      <c r="C45" s="58" t="s">
        <v>158</v>
      </c>
      <c r="F45" s="266"/>
      <c r="G45" s="267">
        <f t="shared" si="1"/>
        <v>17</v>
      </c>
    </row>
    <row r="46" spans="1:7" ht="15.75" thickBot="1" x14ac:dyDescent="0.3">
      <c r="A46" s="71" t="s">
        <v>289</v>
      </c>
      <c r="B46" s="198">
        <v>27</v>
      </c>
      <c r="C46" s="77" t="s">
        <v>159</v>
      </c>
      <c r="F46" s="266">
        <f t="shared" si="0"/>
        <v>27</v>
      </c>
      <c r="G46" s="267"/>
    </row>
    <row r="47" spans="1:7" x14ac:dyDescent="0.25">
      <c r="A47" s="198" t="s">
        <v>290</v>
      </c>
      <c r="B47" s="198">
        <v>24</v>
      </c>
      <c r="C47" s="58" t="s">
        <v>159</v>
      </c>
      <c r="F47" s="266">
        <f t="shared" si="0"/>
        <v>24</v>
      </c>
      <c r="G47" s="267"/>
    </row>
    <row r="48" spans="1:7" x14ac:dyDescent="0.25">
      <c r="A48" s="198" t="s">
        <v>291</v>
      </c>
      <c r="B48" s="198">
        <v>27</v>
      </c>
      <c r="C48" s="58" t="s">
        <v>159</v>
      </c>
      <c r="F48" s="266">
        <f t="shared" si="0"/>
        <v>27</v>
      </c>
      <c r="G48" s="267"/>
    </row>
    <row r="49" spans="1:7" ht="15.75" thickBot="1" x14ac:dyDescent="0.3">
      <c r="A49" s="128" t="s">
        <v>292</v>
      </c>
      <c r="B49" s="221">
        <v>7</v>
      </c>
      <c r="C49" s="135" t="s">
        <v>158</v>
      </c>
      <c r="F49" s="268"/>
      <c r="G49" s="269">
        <f t="shared" si="1"/>
        <v>7</v>
      </c>
    </row>
    <row r="50" spans="1:7" ht="15.75" thickTop="1" x14ac:dyDescent="0.25">
      <c r="E50" t="s">
        <v>192</v>
      </c>
      <c r="F50" s="261">
        <f>AVERAGE(F14:F49)</f>
        <v>23.56</v>
      </c>
      <c r="G50" s="262">
        <f>AVERAGE(G14:G49)</f>
        <v>15.636363636363637</v>
      </c>
    </row>
    <row r="51" spans="1:7" x14ac:dyDescent="0.25">
      <c r="E51" t="s">
        <v>140</v>
      </c>
      <c r="F51" s="263">
        <f>_xlfn.STDEV.P(F14:F49)</f>
        <v>3.0209932141598732</v>
      </c>
      <c r="G51" s="263">
        <f>_xlfn.STDEV.P(G14:G49)</f>
        <v>5.661235446160096</v>
      </c>
    </row>
    <row r="52" spans="1:7" x14ac:dyDescent="0.25">
      <c r="E52" t="s">
        <v>414</v>
      </c>
    </row>
  </sheetData>
  <mergeCells count="6">
    <mergeCell ref="C2:K2"/>
    <mergeCell ref="M2:R2"/>
    <mergeCell ref="T2:Y2"/>
    <mergeCell ref="T3:Y11"/>
    <mergeCell ref="M3:R11"/>
    <mergeCell ref="C3:K1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CA36-E131-4ED8-81BB-097521669D67}">
  <dimension ref="A2:Y70"/>
  <sheetViews>
    <sheetView workbookViewId="0">
      <selection activeCell="C3" sqref="C3:K11"/>
    </sheetView>
  </sheetViews>
  <sheetFormatPr defaultRowHeight="15" x14ac:dyDescent="0.25"/>
  <cols>
    <col min="1" max="1" width="15.42578125" bestFit="1" customWidth="1"/>
    <col min="2" max="2" width="10.42578125" bestFit="1" customWidth="1"/>
    <col min="3" max="3" width="11.5703125" bestFit="1" customWidth="1"/>
    <col min="4" max="4" width="9.28515625" bestFit="1" customWidth="1"/>
    <col min="5" max="5" width="10.42578125" bestFit="1" customWidth="1"/>
    <col min="6" max="6" width="11.140625" bestFit="1" customWidth="1"/>
    <col min="7" max="9" width="9.28515625" bestFit="1" customWidth="1"/>
  </cols>
  <sheetData>
    <row r="2" spans="1:25" ht="15.75" x14ac:dyDescent="0.25">
      <c r="C2" s="389" t="s">
        <v>354</v>
      </c>
      <c r="D2" s="389"/>
      <c r="E2" s="389"/>
      <c r="F2" s="389"/>
      <c r="G2" s="389"/>
      <c r="H2" s="389"/>
      <c r="I2" s="389"/>
      <c r="J2" s="389"/>
      <c r="K2" s="389"/>
      <c r="M2" s="410" t="s">
        <v>380</v>
      </c>
      <c r="N2" s="410"/>
      <c r="O2" s="410"/>
      <c r="P2" s="410"/>
      <c r="Q2" s="410"/>
      <c r="R2" s="410"/>
      <c r="T2" s="411" t="s">
        <v>389</v>
      </c>
      <c r="U2" s="411"/>
      <c r="V2" s="411"/>
      <c r="W2" s="411"/>
      <c r="X2" s="411"/>
      <c r="Y2" s="411"/>
    </row>
    <row r="3" spans="1:25" ht="15" customHeight="1" x14ac:dyDescent="0.25">
      <c r="C3" s="437" t="s">
        <v>502</v>
      </c>
      <c r="D3" s="437"/>
      <c r="E3" s="437"/>
      <c r="F3" s="437"/>
      <c r="G3" s="437"/>
      <c r="H3" s="437"/>
      <c r="I3" s="437"/>
      <c r="J3" s="437"/>
      <c r="K3" s="437"/>
      <c r="M3" s="424"/>
      <c r="N3" s="425"/>
      <c r="O3" s="425"/>
      <c r="P3" s="425"/>
      <c r="Q3" s="425"/>
      <c r="R3" s="426"/>
      <c r="T3" s="424" t="s">
        <v>390</v>
      </c>
      <c r="U3" s="425"/>
      <c r="V3" s="425"/>
      <c r="W3" s="425"/>
      <c r="X3" s="425"/>
      <c r="Y3" s="426"/>
    </row>
    <row r="4" spans="1:25" x14ac:dyDescent="0.25">
      <c r="C4" s="437"/>
      <c r="D4" s="437"/>
      <c r="E4" s="437"/>
      <c r="F4" s="437"/>
      <c r="G4" s="437"/>
      <c r="H4" s="437"/>
      <c r="I4" s="437"/>
      <c r="J4" s="437"/>
      <c r="K4" s="437"/>
      <c r="M4" s="427"/>
      <c r="N4" s="394"/>
      <c r="O4" s="394"/>
      <c r="P4" s="394"/>
      <c r="Q4" s="394"/>
      <c r="R4" s="428"/>
      <c r="T4" s="427"/>
      <c r="U4" s="394"/>
      <c r="V4" s="394"/>
      <c r="W4" s="394"/>
      <c r="X4" s="394"/>
      <c r="Y4" s="428"/>
    </row>
    <row r="5" spans="1:25" x14ac:dyDescent="0.25">
      <c r="C5" s="437"/>
      <c r="D5" s="437"/>
      <c r="E5" s="437"/>
      <c r="F5" s="437"/>
      <c r="G5" s="437"/>
      <c r="H5" s="437"/>
      <c r="I5" s="437"/>
      <c r="J5" s="437"/>
      <c r="K5" s="437"/>
      <c r="M5" s="427"/>
      <c r="N5" s="394"/>
      <c r="O5" s="394"/>
      <c r="P5" s="394"/>
      <c r="Q5" s="394"/>
      <c r="R5" s="428"/>
      <c r="T5" s="427"/>
      <c r="U5" s="394"/>
      <c r="V5" s="394"/>
      <c r="W5" s="394"/>
      <c r="X5" s="394"/>
      <c r="Y5" s="428"/>
    </row>
    <row r="6" spans="1:25" x14ac:dyDescent="0.25">
      <c r="C6" s="437"/>
      <c r="D6" s="437"/>
      <c r="E6" s="437"/>
      <c r="F6" s="437"/>
      <c r="G6" s="437"/>
      <c r="H6" s="437"/>
      <c r="I6" s="437"/>
      <c r="J6" s="437"/>
      <c r="K6" s="437"/>
      <c r="M6" s="427"/>
      <c r="N6" s="394"/>
      <c r="O6" s="394"/>
      <c r="P6" s="394"/>
      <c r="Q6" s="394"/>
      <c r="R6" s="428"/>
      <c r="T6" s="427"/>
      <c r="U6" s="394"/>
      <c r="V6" s="394"/>
      <c r="W6" s="394"/>
      <c r="X6" s="394"/>
      <c r="Y6" s="428"/>
    </row>
    <row r="7" spans="1:25" x14ac:dyDescent="0.25">
      <c r="C7" s="437"/>
      <c r="D7" s="437"/>
      <c r="E7" s="437"/>
      <c r="F7" s="437"/>
      <c r="G7" s="437"/>
      <c r="H7" s="437"/>
      <c r="I7" s="437"/>
      <c r="J7" s="437"/>
      <c r="K7" s="437"/>
      <c r="M7" s="427"/>
      <c r="N7" s="394"/>
      <c r="O7" s="394"/>
      <c r="P7" s="394"/>
      <c r="Q7" s="394"/>
      <c r="R7" s="428"/>
      <c r="T7" s="427"/>
      <c r="U7" s="394"/>
      <c r="V7" s="394"/>
      <c r="W7" s="394"/>
      <c r="X7" s="394"/>
      <c r="Y7" s="428"/>
    </row>
    <row r="8" spans="1:25" x14ac:dyDescent="0.25">
      <c r="C8" s="437"/>
      <c r="D8" s="437"/>
      <c r="E8" s="437"/>
      <c r="F8" s="437"/>
      <c r="G8" s="437"/>
      <c r="H8" s="437"/>
      <c r="I8" s="437"/>
      <c r="J8" s="437"/>
      <c r="K8" s="437"/>
      <c r="M8" s="427"/>
      <c r="N8" s="394"/>
      <c r="O8" s="394"/>
      <c r="P8" s="394"/>
      <c r="Q8" s="394"/>
      <c r="R8" s="428"/>
      <c r="T8" s="427"/>
      <c r="U8" s="394"/>
      <c r="V8" s="394"/>
      <c r="W8" s="394"/>
      <c r="X8" s="394"/>
      <c r="Y8" s="428"/>
    </row>
    <row r="9" spans="1:25" x14ac:dyDescent="0.25">
      <c r="C9" s="437"/>
      <c r="D9" s="437"/>
      <c r="E9" s="437"/>
      <c r="F9" s="437"/>
      <c r="G9" s="437"/>
      <c r="H9" s="437"/>
      <c r="I9" s="437"/>
      <c r="J9" s="437"/>
      <c r="K9" s="437"/>
      <c r="M9" s="427"/>
      <c r="N9" s="394"/>
      <c r="O9" s="394"/>
      <c r="P9" s="394"/>
      <c r="Q9" s="394"/>
      <c r="R9" s="428"/>
      <c r="T9" s="427"/>
      <c r="U9" s="394"/>
      <c r="V9" s="394"/>
      <c r="W9" s="394"/>
      <c r="X9" s="394"/>
      <c r="Y9" s="428"/>
    </row>
    <row r="10" spans="1:25" x14ac:dyDescent="0.25">
      <c r="C10" s="437"/>
      <c r="D10" s="437"/>
      <c r="E10" s="437"/>
      <c r="F10" s="437"/>
      <c r="G10" s="437"/>
      <c r="H10" s="437"/>
      <c r="I10" s="437"/>
      <c r="J10" s="437"/>
      <c r="K10" s="437"/>
      <c r="M10" s="427"/>
      <c r="N10" s="394"/>
      <c r="O10" s="394"/>
      <c r="P10" s="394"/>
      <c r="Q10" s="394"/>
      <c r="R10" s="428"/>
      <c r="T10" s="427"/>
      <c r="U10" s="394"/>
      <c r="V10" s="394"/>
      <c r="W10" s="394"/>
      <c r="X10" s="394"/>
      <c r="Y10" s="428"/>
    </row>
    <row r="11" spans="1:25" x14ac:dyDescent="0.25">
      <c r="C11" s="437"/>
      <c r="D11" s="437"/>
      <c r="E11" s="437"/>
      <c r="F11" s="437"/>
      <c r="G11" s="437"/>
      <c r="H11" s="437"/>
      <c r="I11" s="437"/>
      <c r="J11" s="437"/>
      <c r="K11" s="437"/>
      <c r="M11" s="429"/>
      <c r="N11" s="430"/>
      <c r="O11" s="430"/>
      <c r="P11" s="430"/>
      <c r="Q11" s="430"/>
      <c r="R11" s="431"/>
      <c r="T11" s="429"/>
      <c r="U11" s="430"/>
      <c r="V11" s="430"/>
      <c r="W11" s="430"/>
      <c r="X11" s="430"/>
      <c r="Y11" s="431"/>
    </row>
    <row r="13" spans="1:25" ht="60.75" thickBot="1" x14ac:dyDescent="0.3">
      <c r="A13" s="225" t="s">
        <v>256</v>
      </c>
      <c r="B13" s="232" t="s">
        <v>163</v>
      </c>
      <c r="C13" s="231" t="s">
        <v>150</v>
      </c>
    </row>
    <row r="14" spans="1:25" ht="15.75" thickTop="1" x14ac:dyDescent="0.25">
      <c r="A14" s="198" t="s">
        <v>257</v>
      </c>
      <c r="B14" s="198">
        <v>29</v>
      </c>
      <c r="C14" s="53">
        <v>10</v>
      </c>
    </row>
    <row r="15" spans="1:25" x14ac:dyDescent="0.25">
      <c r="A15" s="198" t="s">
        <v>258</v>
      </c>
      <c r="B15" s="198">
        <v>30</v>
      </c>
      <c r="C15" s="53">
        <v>15</v>
      </c>
    </row>
    <row r="16" spans="1:25" ht="15.75" thickBot="1" x14ac:dyDescent="0.3">
      <c r="A16" s="71" t="s">
        <v>259</v>
      </c>
      <c r="B16" s="198">
        <v>30</v>
      </c>
      <c r="C16" s="75">
        <v>8</v>
      </c>
    </row>
    <row r="17" spans="1:3" x14ac:dyDescent="0.25">
      <c r="A17" s="198" t="s">
        <v>260</v>
      </c>
      <c r="B17" s="198">
        <v>24</v>
      </c>
      <c r="C17" s="53">
        <v>14</v>
      </c>
    </row>
    <row r="18" spans="1:3" x14ac:dyDescent="0.25">
      <c r="A18" s="198" t="s">
        <v>261</v>
      </c>
      <c r="B18" s="198">
        <v>23</v>
      </c>
      <c r="C18" s="53">
        <v>15</v>
      </c>
    </row>
    <row r="19" spans="1:3" ht="15.75" thickBot="1" x14ac:dyDescent="0.3">
      <c r="A19" s="71" t="s">
        <v>262</v>
      </c>
      <c r="B19" s="198">
        <v>24</v>
      </c>
      <c r="C19" s="75">
        <v>6</v>
      </c>
    </row>
    <row r="20" spans="1:3" x14ac:dyDescent="0.25">
      <c r="A20" s="198" t="s">
        <v>263</v>
      </c>
      <c r="B20" s="198">
        <v>23</v>
      </c>
      <c r="C20" s="53">
        <v>15</v>
      </c>
    </row>
    <row r="21" spans="1:3" x14ac:dyDescent="0.25">
      <c r="A21" s="198" t="s">
        <v>264</v>
      </c>
      <c r="B21" s="198">
        <v>23</v>
      </c>
      <c r="C21" s="53">
        <v>15</v>
      </c>
    </row>
    <row r="22" spans="1:3" ht="15.75" thickBot="1" x14ac:dyDescent="0.3">
      <c r="A22" s="153" t="s">
        <v>265</v>
      </c>
      <c r="B22" s="198">
        <v>20</v>
      </c>
      <c r="C22" s="158">
        <v>10</v>
      </c>
    </row>
    <row r="23" spans="1:3" x14ac:dyDescent="0.25">
      <c r="A23" s="198" t="s">
        <v>266</v>
      </c>
      <c r="B23" s="198">
        <v>20</v>
      </c>
      <c r="C23" s="53">
        <v>11</v>
      </c>
    </row>
    <row r="24" spans="1:3" x14ac:dyDescent="0.25">
      <c r="A24" s="198" t="s">
        <v>267</v>
      </c>
      <c r="B24" s="198">
        <v>20</v>
      </c>
      <c r="C24" s="53">
        <v>11</v>
      </c>
    </row>
    <row r="25" spans="1:3" ht="15.75" thickBot="1" x14ac:dyDescent="0.3">
      <c r="A25" s="71" t="s">
        <v>268</v>
      </c>
      <c r="B25" s="198">
        <v>20</v>
      </c>
      <c r="C25" s="75">
        <v>13</v>
      </c>
    </row>
    <row r="26" spans="1:3" x14ac:dyDescent="0.25">
      <c r="A26" s="198" t="s">
        <v>269</v>
      </c>
      <c r="B26" s="198">
        <v>24</v>
      </c>
      <c r="C26" s="53">
        <v>8</v>
      </c>
    </row>
    <row r="27" spans="1:3" x14ac:dyDescent="0.25">
      <c r="A27" s="198" t="s">
        <v>270</v>
      </c>
      <c r="B27" s="198">
        <v>20</v>
      </c>
      <c r="C27" s="53">
        <v>13</v>
      </c>
    </row>
    <row r="28" spans="1:3" ht="15.75" thickBot="1" x14ac:dyDescent="0.3">
      <c r="A28" s="71" t="s">
        <v>271</v>
      </c>
      <c r="B28" s="198">
        <v>24</v>
      </c>
      <c r="C28" s="75">
        <v>8</v>
      </c>
    </row>
    <row r="29" spans="1:3" x14ac:dyDescent="0.25">
      <c r="A29" s="198" t="s">
        <v>272</v>
      </c>
      <c r="B29" s="198">
        <v>20</v>
      </c>
      <c r="C29" s="53">
        <v>9</v>
      </c>
    </row>
    <row r="30" spans="1:3" x14ac:dyDescent="0.25">
      <c r="A30" s="198" t="s">
        <v>273</v>
      </c>
      <c r="B30" s="198">
        <v>24</v>
      </c>
      <c r="C30" s="53">
        <v>11</v>
      </c>
    </row>
    <row r="31" spans="1:3" ht="15.75" thickBot="1" x14ac:dyDescent="0.3">
      <c r="A31" s="128" t="s">
        <v>274</v>
      </c>
      <c r="B31" s="198">
        <v>10</v>
      </c>
      <c r="C31" s="133">
        <v>6</v>
      </c>
    </row>
    <row r="32" spans="1:3" ht="15.75" thickTop="1" x14ac:dyDescent="0.25">
      <c r="A32" s="198" t="s">
        <v>275</v>
      </c>
      <c r="B32" s="198">
        <v>21</v>
      </c>
      <c r="C32" s="53">
        <v>10</v>
      </c>
    </row>
    <row r="33" spans="1:3" x14ac:dyDescent="0.25">
      <c r="A33" s="198" t="s">
        <v>276</v>
      </c>
      <c r="B33" s="198">
        <v>21</v>
      </c>
      <c r="C33" s="53">
        <v>11</v>
      </c>
    </row>
    <row r="34" spans="1:3" ht="15.75" thickBot="1" x14ac:dyDescent="0.3">
      <c r="A34" s="71" t="s">
        <v>277</v>
      </c>
      <c r="B34" s="198">
        <v>17</v>
      </c>
      <c r="C34" s="75">
        <v>5</v>
      </c>
    </row>
    <row r="35" spans="1:3" x14ac:dyDescent="0.25">
      <c r="A35" s="198" t="s">
        <v>278</v>
      </c>
      <c r="B35" s="198">
        <v>21</v>
      </c>
      <c r="C35" s="53">
        <v>10</v>
      </c>
    </row>
    <row r="36" spans="1:3" x14ac:dyDescent="0.25">
      <c r="A36" s="198" t="s">
        <v>279</v>
      </c>
      <c r="B36" s="198">
        <v>21</v>
      </c>
      <c r="C36" s="53">
        <v>11</v>
      </c>
    </row>
    <row r="37" spans="1:3" ht="15.75" thickBot="1" x14ac:dyDescent="0.3">
      <c r="A37" s="71" t="s">
        <v>280</v>
      </c>
      <c r="B37" s="198">
        <v>24</v>
      </c>
      <c r="C37" s="75">
        <v>7</v>
      </c>
    </row>
    <row r="38" spans="1:3" x14ac:dyDescent="0.25">
      <c r="A38" s="198" t="s">
        <v>281</v>
      </c>
      <c r="B38" s="198">
        <v>21</v>
      </c>
      <c r="C38" s="53">
        <v>14</v>
      </c>
    </row>
    <row r="39" spans="1:3" x14ac:dyDescent="0.25">
      <c r="A39" s="198" t="s">
        <v>282</v>
      </c>
      <c r="B39" s="198">
        <v>24</v>
      </c>
      <c r="C39" s="53">
        <v>10</v>
      </c>
    </row>
    <row r="40" spans="1:3" ht="15.75" thickBot="1" x14ac:dyDescent="0.3">
      <c r="A40" s="153" t="s">
        <v>283</v>
      </c>
      <c r="B40" s="198">
        <v>13</v>
      </c>
      <c r="C40" s="158">
        <v>5</v>
      </c>
    </row>
    <row r="41" spans="1:3" x14ac:dyDescent="0.25">
      <c r="A41" s="198" t="s">
        <v>284</v>
      </c>
      <c r="B41" s="198">
        <v>24</v>
      </c>
      <c r="C41" s="53">
        <v>15</v>
      </c>
    </row>
    <row r="42" spans="1:3" x14ac:dyDescent="0.25">
      <c r="A42" s="198" t="s">
        <v>285</v>
      </c>
      <c r="B42" s="198">
        <v>10</v>
      </c>
      <c r="C42" s="53">
        <v>4</v>
      </c>
    </row>
    <row r="43" spans="1:3" ht="15.75" thickBot="1" x14ac:dyDescent="0.3">
      <c r="A43" s="71" t="s">
        <v>286</v>
      </c>
      <c r="B43" s="198">
        <v>10</v>
      </c>
      <c r="C43" s="75">
        <v>5</v>
      </c>
    </row>
    <row r="44" spans="1:3" x14ac:dyDescent="0.25">
      <c r="A44" s="198" t="s">
        <v>287</v>
      </c>
      <c r="B44" s="198">
        <v>24</v>
      </c>
      <c r="C44" s="53">
        <v>15</v>
      </c>
    </row>
    <row r="45" spans="1:3" x14ac:dyDescent="0.25">
      <c r="A45" s="198" t="s">
        <v>288</v>
      </c>
      <c r="B45" s="198">
        <v>17</v>
      </c>
      <c r="C45" s="53">
        <v>6</v>
      </c>
    </row>
    <row r="46" spans="1:3" ht="15.75" thickBot="1" x14ac:dyDescent="0.3">
      <c r="A46" s="71" t="s">
        <v>289</v>
      </c>
      <c r="B46" s="198">
        <v>27</v>
      </c>
      <c r="C46" s="75">
        <v>6</v>
      </c>
    </row>
    <row r="47" spans="1:3" x14ac:dyDescent="0.25">
      <c r="A47" s="198" t="s">
        <v>290</v>
      </c>
      <c r="B47" s="198">
        <v>24</v>
      </c>
      <c r="C47" s="53">
        <v>9</v>
      </c>
    </row>
    <row r="48" spans="1:3" x14ac:dyDescent="0.25">
      <c r="A48" s="198" t="s">
        <v>291</v>
      </c>
      <c r="B48" s="198">
        <v>27</v>
      </c>
      <c r="C48" s="53">
        <v>7</v>
      </c>
    </row>
    <row r="49" spans="1:10" ht="15.75" thickBot="1" x14ac:dyDescent="0.3">
      <c r="A49" s="128" t="s">
        <v>292</v>
      </c>
      <c r="B49" s="221">
        <v>7</v>
      </c>
      <c r="C49" s="133">
        <v>8</v>
      </c>
    </row>
    <row r="50" spans="1:10" ht="15.75" thickTop="1" x14ac:dyDescent="0.25"/>
    <row r="51" spans="1:10" x14ac:dyDescent="0.25">
      <c r="A51" s="216" t="s">
        <v>20</v>
      </c>
      <c r="B51" s="216"/>
      <c r="C51" s="216"/>
      <c r="D51" s="216"/>
      <c r="E51" s="216"/>
      <c r="F51" s="216"/>
      <c r="G51" s="216"/>
      <c r="H51" s="216"/>
      <c r="I51" s="216"/>
      <c r="J51" s="216"/>
    </row>
    <row r="52" spans="1:10" ht="15.75" thickBot="1" x14ac:dyDescent="0.3">
      <c r="A52" s="216"/>
      <c r="B52" s="216"/>
      <c r="C52" s="216"/>
      <c r="D52" s="216"/>
      <c r="E52" s="216"/>
      <c r="F52" s="216"/>
      <c r="G52" s="216"/>
      <c r="H52" s="216"/>
      <c r="I52" s="216"/>
      <c r="J52" s="216"/>
    </row>
    <row r="53" spans="1:10" x14ac:dyDescent="0.25">
      <c r="A53" s="243" t="s">
        <v>21</v>
      </c>
      <c r="B53" s="243"/>
      <c r="C53" s="216"/>
      <c r="D53" s="216"/>
      <c r="E53" s="216"/>
      <c r="F53" s="216"/>
      <c r="G53" s="216"/>
      <c r="H53" s="216"/>
      <c r="I53" s="216"/>
      <c r="J53" s="216"/>
    </row>
    <row r="54" spans="1:10" x14ac:dyDescent="0.25">
      <c r="A54" s="244" t="s">
        <v>22</v>
      </c>
      <c r="B54" s="271">
        <v>0.43169673880677006</v>
      </c>
      <c r="C54" s="216"/>
      <c r="D54" s="216"/>
      <c r="E54" s="216"/>
      <c r="F54" s="216"/>
      <c r="G54" s="216"/>
      <c r="H54" s="216"/>
      <c r="I54" s="216"/>
      <c r="J54" s="216"/>
    </row>
    <row r="55" spans="1:10" x14ac:dyDescent="0.25">
      <c r="A55" s="244" t="s">
        <v>23</v>
      </c>
      <c r="B55" s="271">
        <v>0.18636207429640064</v>
      </c>
      <c r="C55" s="216"/>
      <c r="D55" s="216"/>
      <c r="E55" s="216"/>
      <c r="F55" s="216"/>
      <c r="G55" s="216"/>
      <c r="H55" s="216"/>
      <c r="I55" s="216"/>
      <c r="J55" s="216"/>
    </row>
    <row r="56" spans="1:10" x14ac:dyDescent="0.25">
      <c r="A56" s="244" t="s">
        <v>24</v>
      </c>
      <c r="B56" s="244">
        <v>0.16243154706982418</v>
      </c>
      <c r="C56" s="216"/>
      <c r="D56" s="216"/>
      <c r="E56" s="216"/>
      <c r="F56" s="216"/>
      <c r="G56" s="216"/>
      <c r="H56" s="216"/>
      <c r="I56" s="216"/>
      <c r="J56" s="216"/>
    </row>
    <row r="57" spans="1:10" x14ac:dyDescent="0.25">
      <c r="A57" s="244" t="s">
        <v>25</v>
      </c>
      <c r="B57" s="244">
        <v>5.0372285004466981</v>
      </c>
      <c r="C57" s="216"/>
      <c r="D57" s="216"/>
      <c r="E57" s="216"/>
      <c r="F57" s="216"/>
      <c r="G57" s="216"/>
      <c r="H57" s="216"/>
      <c r="I57" s="216"/>
      <c r="J57" s="216"/>
    </row>
    <row r="58" spans="1:10" ht="15.75" thickBot="1" x14ac:dyDescent="0.3">
      <c r="A58" s="245" t="s">
        <v>26</v>
      </c>
      <c r="B58" s="245">
        <v>36</v>
      </c>
      <c r="C58" s="216"/>
      <c r="D58" s="216"/>
      <c r="E58" s="216"/>
      <c r="F58" s="216"/>
      <c r="G58" s="216"/>
      <c r="H58" s="216"/>
      <c r="I58" s="216"/>
      <c r="J58" s="216"/>
    </row>
    <row r="59" spans="1:10" x14ac:dyDescent="0.25">
      <c r="A59" s="216"/>
      <c r="B59" s="216"/>
      <c r="C59" s="216"/>
      <c r="D59" s="216"/>
      <c r="E59" s="216"/>
      <c r="F59" s="216"/>
      <c r="G59" s="216"/>
      <c r="H59" s="216"/>
      <c r="I59" s="216"/>
      <c r="J59" s="216"/>
    </row>
    <row r="60" spans="1:10" ht="15.75" thickBot="1" x14ac:dyDescent="0.3">
      <c r="A60" s="216" t="s">
        <v>27</v>
      </c>
      <c r="B60" s="216"/>
      <c r="C60" s="216"/>
      <c r="D60" s="216"/>
      <c r="E60" s="216"/>
      <c r="F60" s="216"/>
      <c r="G60" s="216"/>
      <c r="H60" s="216"/>
      <c r="I60" s="216"/>
      <c r="J60" s="216"/>
    </row>
    <row r="61" spans="1:10" x14ac:dyDescent="0.25">
      <c r="A61" s="246"/>
      <c r="B61" s="246" t="s">
        <v>32</v>
      </c>
      <c r="C61" s="246" t="s">
        <v>33</v>
      </c>
      <c r="D61" s="246" t="s">
        <v>34</v>
      </c>
      <c r="E61" s="246" t="s">
        <v>35</v>
      </c>
      <c r="F61" s="246" t="s">
        <v>36</v>
      </c>
      <c r="G61" s="216"/>
      <c r="H61" s="216"/>
      <c r="I61" s="216"/>
      <c r="J61" s="216"/>
    </row>
    <row r="62" spans="1:10" x14ac:dyDescent="0.25">
      <c r="A62" s="244" t="s">
        <v>28</v>
      </c>
      <c r="B62" s="244">
        <v>1</v>
      </c>
      <c r="C62" s="244">
        <v>197.60074272133079</v>
      </c>
      <c r="D62" s="244">
        <v>197.60074272133079</v>
      </c>
      <c r="E62" s="244">
        <v>7.7876292708433565</v>
      </c>
      <c r="F62" s="244">
        <v>8.5639594064395672E-3</v>
      </c>
      <c r="G62" s="216"/>
      <c r="H62" s="216"/>
      <c r="I62" s="216"/>
      <c r="J62" s="216"/>
    </row>
    <row r="63" spans="1:10" x14ac:dyDescent="0.25">
      <c r="A63" s="244" t="s">
        <v>29</v>
      </c>
      <c r="B63" s="244">
        <v>34</v>
      </c>
      <c r="C63" s="244">
        <v>862.70481283422464</v>
      </c>
      <c r="D63" s="244">
        <v>25.373670965712488</v>
      </c>
      <c r="E63" s="244"/>
      <c r="F63" s="244"/>
      <c r="G63" s="216"/>
      <c r="H63" s="216"/>
      <c r="I63" s="216"/>
      <c r="J63" s="216"/>
    </row>
    <row r="64" spans="1:10" ht="15.75" thickBot="1" x14ac:dyDescent="0.3">
      <c r="A64" s="245" t="s">
        <v>30</v>
      </c>
      <c r="B64" s="245">
        <v>35</v>
      </c>
      <c r="C64" s="245">
        <v>1060.3055555555554</v>
      </c>
      <c r="D64" s="245"/>
      <c r="E64" s="245"/>
      <c r="F64" s="245"/>
      <c r="G64" s="216"/>
      <c r="H64" s="216"/>
      <c r="I64" s="216"/>
      <c r="J64" s="216"/>
    </row>
    <row r="65" spans="1:10" ht="15.75" thickBot="1" x14ac:dyDescent="0.3">
      <c r="A65" s="216"/>
      <c r="B65" s="216"/>
      <c r="C65" s="216"/>
      <c r="D65" s="216"/>
      <c r="E65" s="216"/>
      <c r="F65" s="216"/>
      <c r="G65" s="216"/>
      <c r="H65" s="216"/>
      <c r="I65" s="216"/>
      <c r="J65" s="216"/>
    </row>
    <row r="66" spans="1:10" x14ac:dyDescent="0.25">
      <c r="A66" s="246"/>
      <c r="B66" s="270" t="s">
        <v>37</v>
      </c>
      <c r="C66" s="246" t="s">
        <v>25</v>
      </c>
      <c r="D66" s="246" t="s">
        <v>38</v>
      </c>
      <c r="E66" s="270" t="s">
        <v>39</v>
      </c>
      <c r="F66" s="246" t="s">
        <v>40</v>
      </c>
      <c r="G66" s="246" t="s">
        <v>41</v>
      </c>
      <c r="H66" s="246" t="s">
        <v>42</v>
      </c>
      <c r="I66" s="246" t="s">
        <v>43</v>
      </c>
      <c r="J66" s="216"/>
    </row>
    <row r="67" spans="1:10" x14ac:dyDescent="0.25">
      <c r="A67" s="244" t="s">
        <v>31</v>
      </c>
      <c r="B67" s="271">
        <v>14.319786096256687</v>
      </c>
      <c r="C67" s="244">
        <v>2.5837673148917575</v>
      </c>
      <c r="D67" s="244">
        <v>5.5422119529585387</v>
      </c>
      <c r="E67" s="271">
        <v>3.3904654429086323E-6</v>
      </c>
      <c r="F67" s="244">
        <v>9.0689391572133253</v>
      </c>
      <c r="G67" s="244">
        <v>19.570633035300048</v>
      </c>
      <c r="H67" s="244">
        <v>9.0689391572133253</v>
      </c>
      <c r="I67" s="244">
        <v>19.570633035300048</v>
      </c>
      <c r="J67" s="216"/>
    </row>
    <row r="68" spans="1:10" ht="15.75" thickBot="1" x14ac:dyDescent="0.3">
      <c r="A68" s="245" t="s">
        <v>150</v>
      </c>
      <c r="B68" s="272">
        <v>0.68957219251336876</v>
      </c>
      <c r="C68" s="245">
        <v>0.24710248079237612</v>
      </c>
      <c r="D68" s="245">
        <v>2.7906324141390173</v>
      </c>
      <c r="E68" s="272">
        <v>8.5639594064395429E-3</v>
      </c>
      <c r="F68" s="245">
        <v>0.18739953268427523</v>
      </c>
      <c r="G68" s="245">
        <v>1.1917448523424623</v>
      </c>
      <c r="H68" s="245">
        <v>0.18739953268427523</v>
      </c>
      <c r="I68" s="245">
        <v>1.1917448523424623</v>
      </c>
      <c r="J68" s="216"/>
    </row>
    <row r="70" spans="1:10" x14ac:dyDescent="0.25">
      <c r="B70" s="438" t="s">
        <v>415</v>
      </c>
      <c r="C70" s="438"/>
    </row>
  </sheetData>
  <mergeCells count="7">
    <mergeCell ref="B70:C70"/>
    <mergeCell ref="C2:K2"/>
    <mergeCell ref="M2:R2"/>
    <mergeCell ref="T2:Y2"/>
    <mergeCell ref="T3:Y11"/>
    <mergeCell ref="M3:R11"/>
    <mergeCell ref="C3:K1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84E03-A29A-4E53-8711-1A49244F0D4E}">
  <dimension ref="A2:AH51"/>
  <sheetViews>
    <sheetView workbookViewId="0">
      <selection activeCell="T3" sqref="T3:Y11"/>
    </sheetView>
  </sheetViews>
  <sheetFormatPr defaultRowHeight="15" x14ac:dyDescent="0.25"/>
  <sheetData>
    <row r="2" spans="1:34" ht="15.75" x14ac:dyDescent="0.25">
      <c r="C2" s="389" t="s">
        <v>354</v>
      </c>
      <c r="D2" s="389"/>
      <c r="E2" s="389"/>
      <c r="F2" s="389"/>
      <c r="G2" s="389"/>
      <c r="H2" s="389"/>
      <c r="I2" s="389"/>
      <c r="J2" s="389"/>
      <c r="K2" s="389"/>
      <c r="M2" s="410" t="s">
        <v>380</v>
      </c>
      <c r="N2" s="410"/>
      <c r="O2" s="410"/>
      <c r="P2" s="410"/>
      <c r="Q2" s="410"/>
      <c r="R2" s="410"/>
      <c r="T2" s="411" t="s">
        <v>389</v>
      </c>
      <c r="U2" s="411"/>
      <c r="V2" s="411"/>
      <c r="W2" s="411"/>
      <c r="X2" s="411"/>
      <c r="Y2" s="411"/>
    </row>
    <row r="3" spans="1:34" ht="15" customHeight="1" x14ac:dyDescent="0.25">
      <c r="C3" s="437" t="s">
        <v>499</v>
      </c>
      <c r="D3" s="437"/>
      <c r="E3" s="437"/>
      <c r="F3" s="437"/>
      <c r="G3" s="437"/>
      <c r="H3" s="437"/>
      <c r="I3" s="437"/>
      <c r="J3" s="437"/>
      <c r="K3" s="437"/>
      <c r="M3" s="424" t="s">
        <v>438</v>
      </c>
      <c r="N3" s="425"/>
      <c r="O3" s="425"/>
      <c r="P3" s="425"/>
      <c r="Q3" s="425"/>
      <c r="R3" s="426"/>
      <c r="T3" s="424" t="s">
        <v>423</v>
      </c>
      <c r="U3" s="425"/>
      <c r="V3" s="425"/>
      <c r="W3" s="425"/>
      <c r="X3" s="425"/>
      <c r="Y3" s="426"/>
      <c r="AA3" s="283" t="s">
        <v>424</v>
      </c>
      <c r="AB3" s="120"/>
      <c r="AC3" s="120"/>
      <c r="AD3" s="120"/>
      <c r="AE3" s="120"/>
      <c r="AF3" s="120"/>
      <c r="AG3" s="284"/>
      <c r="AH3" s="120"/>
    </row>
    <row r="4" spans="1:34" x14ac:dyDescent="0.25">
      <c r="C4" s="437"/>
      <c r="D4" s="437"/>
      <c r="E4" s="437"/>
      <c r="F4" s="437"/>
      <c r="G4" s="437"/>
      <c r="H4" s="437"/>
      <c r="I4" s="437"/>
      <c r="J4" s="437"/>
      <c r="K4" s="437"/>
      <c r="M4" s="427"/>
      <c r="N4" s="394"/>
      <c r="O4" s="394"/>
      <c r="P4" s="394"/>
      <c r="Q4" s="394"/>
      <c r="R4" s="428"/>
      <c r="T4" s="427"/>
      <c r="U4" s="394"/>
      <c r="V4" s="394"/>
      <c r="W4" s="394"/>
      <c r="X4" s="394"/>
      <c r="Y4" s="428"/>
      <c r="AA4" s="285" t="s">
        <v>425</v>
      </c>
      <c r="AB4" s="286">
        <f xml:space="preserve"> _xlfn.CHISQ.DIST.RT(3.955, 4)</f>
        <v>0.41213019274076812</v>
      </c>
      <c r="AC4" s="287" t="s">
        <v>426</v>
      </c>
      <c r="AD4" s="120"/>
      <c r="AE4" s="120"/>
      <c r="AF4" s="286"/>
      <c r="AG4" s="120"/>
      <c r="AH4" s="120"/>
    </row>
    <row r="5" spans="1:34" x14ac:dyDescent="0.25">
      <c r="C5" s="437"/>
      <c r="D5" s="437"/>
      <c r="E5" s="437"/>
      <c r="F5" s="437"/>
      <c r="G5" s="437"/>
      <c r="H5" s="437"/>
      <c r="I5" s="437"/>
      <c r="J5" s="437"/>
      <c r="K5" s="437"/>
      <c r="M5" s="427"/>
      <c r="N5" s="394"/>
      <c r="O5" s="394"/>
      <c r="P5" s="394"/>
      <c r="Q5" s="394"/>
      <c r="R5" s="428"/>
      <c r="T5" s="427"/>
      <c r="U5" s="394"/>
      <c r="V5" s="394"/>
      <c r="W5" s="394"/>
      <c r="X5" s="394"/>
      <c r="Y5" s="428"/>
      <c r="AA5" s="120" t="s">
        <v>427</v>
      </c>
      <c r="AB5" s="120"/>
      <c r="AC5" s="120" t="s">
        <v>428</v>
      </c>
      <c r="AD5" s="120"/>
      <c r="AE5" s="120"/>
      <c r="AF5" s="120"/>
      <c r="AG5" s="120"/>
      <c r="AH5" s="120"/>
    </row>
    <row r="6" spans="1:34" x14ac:dyDescent="0.25">
      <c r="C6" s="437"/>
      <c r="D6" s="437"/>
      <c r="E6" s="437"/>
      <c r="F6" s="437"/>
      <c r="G6" s="437"/>
      <c r="H6" s="437"/>
      <c r="I6" s="437"/>
      <c r="J6" s="437"/>
      <c r="K6" s="437"/>
      <c r="M6" s="427"/>
      <c r="N6" s="394"/>
      <c r="O6" s="394"/>
      <c r="P6" s="394"/>
      <c r="Q6" s="394"/>
      <c r="R6" s="428"/>
      <c r="T6" s="427"/>
      <c r="U6" s="394"/>
      <c r="V6" s="394"/>
      <c r="W6" s="394"/>
      <c r="X6" s="394"/>
      <c r="Y6" s="428"/>
      <c r="AA6" s="120" t="s">
        <v>429</v>
      </c>
      <c r="AB6" s="120"/>
      <c r="AC6" s="120" t="s">
        <v>430</v>
      </c>
      <c r="AD6" s="120"/>
      <c r="AE6" s="120"/>
      <c r="AF6" s="120"/>
      <c r="AG6" s="120"/>
      <c r="AH6" s="120"/>
    </row>
    <row r="7" spans="1:34" x14ac:dyDescent="0.25">
      <c r="C7" s="437"/>
      <c r="D7" s="437"/>
      <c r="E7" s="437"/>
      <c r="F7" s="437"/>
      <c r="G7" s="437"/>
      <c r="H7" s="437"/>
      <c r="I7" s="437"/>
      <c r="J7" s="437"/>
      <c r="K7" s="437"/>
      <c r="M7" s="427"/>
      <c r="N7" s="394"/>
      <c r="O7" s="394"/>
      <c r="P7" s="394"/>
      <c r="Q7" s="394"/>
      <c r="R7" s="428"/>
      <c r="T7" s="427"/>
      <c r="U7" s="394"/>
      <c r="V7" s="394"/>
      <c r="W7" s="394"/>
      <c r="X7" s="394"/>
      <c r="Y7" s="428"/>
      <c r="AA7" s="120"/>
      <c r="AB7" s="120"/>
      <c r="AC7" s="120" t="s">
        <v>431</v>
      </c>
      <c r="AD7" s="120"/>
      <c r="AE7" s="120"/>
      <c r="AF7" s="120"/>
      <c r="AG7" s="120"/>
      <c r="AH7" s="120"/>
    </row>
    <row r="8" spans="1:34" x14ac:dyDescent="0.25">
      <c r="C8" s="437"/>
      <c r="D8" s="437"/>
      <c r="E8" s="437"/>
      <c r="F8" s="437"/>
      <c r="G8" s="437"/>
      <c r="H8" s="437"/>
      <c r="I8" s="437"/>
      <c r="J8" s="437"/>
      <c r="K8" s="437"/>
      <c r="M8" s="427"/>
      <c r="N8" s="394"/>
      <c r="O8" s="394"/>
      <c r="P8" s="394"/>
      <c r="Q8" s="394"/>
      <c r="R8" s="428"/>
      <c r="T8" s="427"/>
      <c r="U8" s="394"/>
      <c r="V8" s="394"/>
      <c r="W8" s="394"/>
      <c r="X8" s="394"/>
      <c r="Y8" s="428"/>
      <c r="AA8" s="120"/>
      <c r="AB8" s="120"/>
      <c r="AC8" s="120" t="s">
        <v>432</v>
      </c>
      <c r="AD8" s="120"/>
      <c r="AE8" s="120"/>
      <c r="AF8" s="120"/>
      <c r="AG8" s="284"/>
      <c r="AH8" s="120"/>
    </row>
    <row r="9" spans="1:34" x14ac:dyDescent="0.25">
      <c r="C9" s="437"/>
      <c r="D9" s="437"/>
      <c r="E9" s="437"/>
      <c r="F9" s="437"/>
      <c r="G9" s="437"/>
      <c r="H9" s="437"/>
      <c r="I9" s="437"/>
      <c r="J9" s="437"/>
      <c r="K9" s="437"/>
      <c r="M9" s="427"/>
      <c r="N9" s="394"/>
      <c r="O9" s="394"/>
      <c r="P9" s="394"/>
      <c r="Q9" s="394"/>
      <c r="R9" s="428"/>
      <c r="T9" s="427"/>
      <c r="U9" s="394"/>
      <c r="V9" s="394"/>
      <c r="W9" s="394"/>
      <c r="X9" s="394"/>
      <c r="Y9" s="428"/>
      <c r="AA9" s="120"/>
      <c r="AB9" s="120"/>
      <c r="AC9" s="120"/>
      <c r="AD9" s="120"/>
      <c r="AE9" s="120"/>
      <c r="AF9" s="120"/>
      <c r="AG9" s="284"/>
      <c r="AH9" s="120"/>
    </row>
    <row r="10" spans="1:34" x14ac:dyDescent="0.25">
      <c r="C10" s="437"/>
      <c r="D10" s="437"/>
      <c r="E10" s="437"/>
      <c r="F10" s="437"/>
      <c r="G10" s="437"/>
      <c r="H10" s="437"/>
      <c r="I10" s="437"/>
      <c r="J10" s="437"/>
      <c r="K10" s="437"/>
      <c r="M10" s="427"/>
      <c r="N10" s="394"/>
      <c r="O10" s="394"/>
      <c r="P10" s="394"/>
      <c r="Q10" s="394"/>
      <c r="R10" s="428"/>
      <c r="T10" s="427"/>
      <c r="U10" s="394"/>
      <c r="V10" s="394"/>
      <c r="W10" s="394"/>
      <c r="X10" s="394"/>
      <c r="Y10" s="428"/>
      <c r="AA10" s="283" t="s">
        <v>433</v>
      </c>
      <c r="AB10" s="120"/>
      <c r="AC10" s="120"/>
      <c r="AD10" s="120"/>
      <c r="AE10" s="120"/>
      <c r="AF10" s="120"/>
      <c r="AG10" s="120"/>
      <c r="AH10" s="120"/>
    </row>
    <row r="11" spans="1:34" x14ac:dyDescent="0.25">
      <c r="C11" s="437"/>
      <c r="D11" s="437"/>
      <c r="E11" s="437"/>
      <c r="F11" s="437"/>
      <c r="G11" s="437"/>
      <c r="H11" s="437"/>
      <c r="I11" s="437"/>
      <c r="J11" s="437"/>
      <c r="K11" s="437"/>
      <c r="M11" s="429"/>
      <c r="N11" s="430"/>
      <c r="O11" s="430"/>
      <c r="P11" s="430"/>
      <c r="Q11" s="430"/>
      <c r="R11" s="431"/>
      <c r="T11" s="429"/>
      <c r="U11" s="430"/>
      <c r="V11" s="430"/>
      <c r="W11" s="430"/>
      <c r="X11" s="430"/>
      <c r="Y11" s="431"/>
      <c r="AA11" s="120"/>
      <c r="AB11" s="199" t="s">
        <v>434</v>
      </c>
      <c r="AC11" s="288" t="s">
        <v>435</v>
      </c>
      <c r="AD11" s="120"/>
      <c r="AE11" s="120"/>
      <c r="AF11" s="120"/>
      <c r="AG11" s="289"/>
      <c r="AH11" s="120"/>
    </row>
    <row r="12" spans="1:34" s="120" customFormat="1" ht="15" customHeight="1" x14ac:dyDescent="0.25">
      <c r="C12" s="230"/>
      <c r="D12" s="230"/>
      <c r="E12" s="230"/>
      <c r="H12" s="440" t="s">
        <v>420</v>
      </c>
      <c r="I12" s="440"/>
      <c r="J12" s="440"/>
      <c r="K12" s="440"/>
      <c r="L12" s="440"/>
      <c r="N12" s="440" t="s">
        <v>421</v>
      </c>
      <c r="O12" s="440"/>
      <c r="P12" s="440"/>
      <c r="Q12" s="440"/>
      <c r="R12" s="440"/>
      <c r="T12" s="220"/>
      <c r="U12" s="220"/>
      <c r="V12" s="220"/>
      <c r="W12" s="220"/>
      <c r="X12" s="220"/>
      <c r="Y12" s="220"/>
      <c r="AC12" s="120" t="s">
        <v>436</v>
      </c>
    </row>
    <row r="13" spans="1:34" s="120" customFormat="1" ht="15" customHeight="1" x14ac:dyDescent="0.25">
      <c r="C13" s="230"/>
      <c r="D13" s="230"/>
      <c r="E13" s="230"/>
      <c r="H13" s="439" t="s">
        <v>419</v>
      </c>
      <c r="I13" s="439"/>
      <c r="J13" s="439"/>
      <c r="K13" s="439"/>
      <c r="L13" s="439"/>
      <c r="N13" s="439" t="s">
        <v>419</v>
      </c>
      <c r="O13" s="439"/>
      <c r="P13" s="439"/>
      <c r="Q13" s="439"/>
      <c r="R13" s="439"/>
      <c r="T13" s="220"/>
      <c r="U13" s="220"/>
      <c r="V13" s="220"/>
      <c r="W13" s="220"/>
      <c r="X13" s="220"/>
      <c r="Y13" s="220"/>
      <c r="AC13" s="120" t="s">
        <v>437</v>
      </c>
    </row>
    <row r="14" spans="1:34" ht="36.75" thickBot="1" x14ac:dyDescent="0.3">
      <c r="A14" s="225" t="s">
        <v>256</v>
      </c>
      <c r="B14" s="231" t="s">
        <v>150</v>
      </c>
      <c r="C14" s="231" t="s">
        <v>138</v>
      </c>
      <c r="D14" s="275" t="s">
        <v>416</v>
      </c>
      <c r="E14" s="276" t="s">
        <v>417</v>
      </c>
      <c r="F14" s="276" t="s">
        <v>418</v>
      </c>
      <c r="H14" s="231" t="s">
        <v>138</v>
      </c>
      <c r="I14" s="275" t="s">
        <v>416</v>
      </c>
      <c r="J14" s="276" t="s">
        <v>417</v>
      </c>
      <c r="K14" s="276" t="s">
        <v>418</v>
      </c>
      <c r="L14" s="273" t="s">
        <v>30</v>
      </c>
      <c r="N14" s="231" t="s">
        <v>138</v>
      </c>
      <c r="O14" s="275" t="s">
        <v>416</v>
      </c>
      <c r="P14" s="276" t="s">
        <v>417</v>
      </c>
      <c r="Q14" s="276" t="s">
        <v>418</v>
      </c>
      <c r="R14" s="273" t="s">
        <v>30</v>
      </c>
    </row>
    <row r="15" spans="1:34" ht="16.5" thickTop="1" thickBot="1" x14ac:dyDescent="0.3">
      <c r="A15" s="198" t="s">
        <v>257</v>
      </c>
      <c r="B15" s="53">
        <v>10</v>
      </c>
      <c r="C15" s="58" t="s">
        <v>159</v>
      </c>
      <c r="D15" s="120">
        <f>IF(B15 &lt;= 5, 1,0)</f>
        <v>0</v>
      </c>
      <c r="E15" s="120">
        <f>IF(AND(B15&gt;5,B15&lt;11), 1,0)</f>
        <v>1</v>
      </c>
      <c r="F15" s="120">
        <f>IF(AND(B15&gt;10,B15&lt;16), 1,0)</f>
        <v>0</v>
      </c>
      <c r="H15" s="120" t="s">
        <v>327</v>
      </c>
      <c r="I15" s="291">
        <v>4</v>
      </c>
      <c r="J15" s="291">
        <v>4</v>
      </c>
      <c r="K15" s="291">
        <v>3</v>
      </c>
      <c r="L15" s="279">
        <f>SUM(I15:K15)</f>
        <v>11</v>
      </c>
      <c r="N15" s="120" t="s">
        <v>327</v>
      </c>
      <c r="O15" s="293">
        <f>L15*I17/L17</f>
        <v>1.2222222222222223</v>
      </c>
      <c r="P15" s="293">
        <f>L15*J17/L17</f>
        <v>4.8888888888888893</v>
      </c>
      <c r="Q15" s="293">
        <f>L15*K17/L17</f>
        <v>4.8888888888888893</v>
      </c>
      <c r="R15" s="280">
        <f>SUM(O15:Q15)</f>
        <v>11</v>
      </c>
    </row>
    <row r="16" spans="1:34" ht="15.75" thickBot="1" x14ac:dyDescent="0.3">
      <c r="A16" s="198" t="s">
        <v>258</v>
      </c>
      <c r="B16" s="53">
        <v>15</v>
      </c>
      <c r="C16" s="58" t="s">
        <v>159</v>
      </c>
      <c r="D16" s="120">
        <f t="shared" ref="D16:D50" si="0">IF(B16 &lt;= 5, 1,0)</f>
        <v>0</v>
      </c>
      <c r="E16" s="120">
        <f t="shared" ref="E16:E50" si="1">IF(AND(B16&gt;5,B16&lt;11), 1,0)</f>
        <v>0</v>
      </c>
      <c r="F16" s="120">
        <f t="shared" ref="F16:F50" si="2">IF(AND(B16&gt;10,B16&lt;16), 1,0)</f>
        <v>1</v>
      </c>
      <c r="H16" s="120" t="s">
        <v>326</v>
      </c>
      <c r="I16" s="292">
        <v>0</v>
      </c>
      <c r="J16" s="292">
        <v>12</v>
      </c>
      <c r="K16" s="292">
        <v>13</v>
      </c>
      <c r="L16" s="279">
        <f>SUM(I16:K16)</f>
        <v>25</v>
      </c>
      <c r="N16" s="120" t="s">
        <v>326</v>
      </c>
      <c r="O16" s="294">
        <f>L16*I17/L17</f>
        <v>2.7777777777777777</v>
      </c>
      <c r="P16" s="294">
        <f>L16*J17/L17</f>
        <v>11.111111111111111</v>
      </c>
      <c r="Q16" s="294">
        <f>L16*K17/L17</f>
        <v>11.111111111111111</v>
      </c>
      <c r="R16" s="280">
        <f>SUM(O16:Q16)</f>
        <v>25</v>
      </c>
    </row>
    <row r="17" spans="1:18" ht="15.75" thickBot="1" x14ac:dyDescent="0.3">
      <c r="A17" s="71" t="s">
        <v>259</v>
      </c>
      <c r="B17" s="75">
        <v>8</v>
      </c>
      <c r="C17" s="77" t="s">
        <v>159</v>
      </c>
      <c r="D17" s="120">
        <f t="shared" si="0"/>
        <v>0</v>
      </c>
      <c r="E17" s="120">
        <f t="shared" si="1"/>
        <v>1</v>
      </c>
      <c r="F17" s="120">
        <f t="shared" si="2"/>
        <v>0</v>
      </c>
      <c r="H17" s="274" t="s">
        <v>30</v>
      </c>
      <c r="I17" s="277">
        <f>SUM(I15:I16)</f>
        <v>4</v>
      </c>
      <c r="J17" s="277">
        <f>SUM(J15:J16)</f>
        <v>16</v>
      </c>
      <c r="K17" s="277">
        <f>SUM(K15:K16)</f>
        <v>16</v>
      </c>
      <c r="L17" s="278">
        <f>SUM(I17:K17)</f>
        <v>36</v>
      </c>
      <c r="N17" s="274" t="s">
        <v>30</v>
      </c>
      <c r="O17" s="281">
        <f>SUM(O15:O16)</f>
        <v>4</v>
      </c>
      <c r="P17" s="281">
        <f>SUM(P15:P16)</f>
        <v>16</v>
      </c>
      <c r="Q17" s="281">
        <f>SUM(Q15:Q16)</f>
        <v>16</v>
      </c>
      <c r="R17" s="282">
        <f>SUM(O17:Q17)</f>
        <v>36</v>
      </c>
    </row>
    <row r="18" spans="1:18" x14ac:dyDescent="0.25">
      <c r="A18" s="198" t="s">
        <v>260</v>
      </c>
      <c r="B18" s="53">
        <v>14</v>
      </c>
      <c r="C18" s="58" t="s">
        <v>159</v>
      </c>
      <c r="D18" s="120">
        <f t="shared" si="0"/>
        <v>0</v>
      </c>
      <c r="E18" s="120">
        <f t="shared" si="1"/>
        <v>0</v>
      </c>
      <c r="F18" s="120">
        <f t="shared" si="2"/>
        <v>1</v>
      </c>
    </row>
    <row r="19" spans="1:18" x14ac:dyDescent="0.25">
      <c r="A19" s="198" t="s">
        <v>261</v>
      </c>
      <c r="B19" s="53">
        <v>15</v>
      </c>
      <c r="C19" s="58" t="s">
        <v>159</v>
      </c>
      <c r="D19" s="120">
        <f t="shared" si="0"/>
        <v>0</v>
      </c>
      <c r="E19" s="120">
        <f t="shared" si="1"/>
        <v>0</v>
      </c>
      <c r="F19" s="120">
        <f t="shared" si="2"/>
        <v>1</v>
      </c>
      <c r="L19" s="290" t="s">
        <v>422</v>
      </c>
      <c r="M19" s="290">
        <f>_xlfn.CHISQ.TEST(I15:K16,O15:Q16)</f>
        <v>5.5872239383332389E-3</v>
      </c>
    </row>
    <row r="20" spans="1:18" ht="15.75" thickBot="1" x14ac:dyDescent="0.3">
      <c r="A20" s="71" t="s">
        <v>262</v>
      </c>
      <c r="B20" s="75">
        <v>6</v>
      </c>
      <c r="C20" s="77" t="s">
        <v>159</v>
      </c>
      <c r="D20" s="120">
        <f t="shared" si="0"/>
        <v>0</v>
      </c>
      <c r="E20" s="120">
        <f t="shared" si="1"/>
        <v>1</v>
      </c>
      <c r="F20" s="120">
        <f t="shared" si="2"/>
        <v>0</v>
      </c>
    </row>
    <row r="21" spans="1:18" x14ac:dyDescent="0.25">
      <c r="A21" s="198" t="s">
        <v>263</v>
      </c>
      <c r="B21" s="53">
        <v>15</v>
      </c>
      <c r="C21" s="58" t="s">
        <v>159</v>
      </c>
      <c r="D21" s="120">
        <f t="shared" si="0"/>
        <v>0</v>
      </c>
      <c r="E21" s="120">
        <f t="shared" si="1"/>
        <v>0</v>
      </c>
      <c r="F21" s="120">
        <f t="shared" si="2"/>
        <v>1</v>
      </c>
      <c r="H21" s="120"/>
      <c r="I21" s="120"/>
    </row>
    <row r="22" spans="1:18" x14ac:dyDescent="0.25">
      <c r="A22" s="198" t="s">
        <v>264</v>
      </c>
      <c r="B22" s="53">
        <v>15</v>
      </c>
      <c r="C22" s="58" t="s">
        <v>158</v>
      </c>
      <c r="D22" s="120">
        <f t="shared" si="0"/>
        <v>0</v>
      </c>
      <c r="E22" s="120">
        <f t="shared" si="1"/>
        <v>0</v>
      </c>
      <c r="F22" s="120">
        <f t="shared" si="2"/>
        <v>1</v>
      </c>
    </row>
    <row r="23" spans="1:18" ht="15.75" thickBot="1" x14ac:dyDescent="0.3">
      <c r="A23" s="153" t="s">
        <v>265</v>
      </c>
      <c r="B23" s="158">
        <v>10</v>
      </c>
      <c r="C23" s="160" t="s">
        <v>159</v>
      </c>
      <c r="D23" s="120">
        <f t="shared" si="0"/>
        <v>0</v>
      </c>
      <c r="E23" s="120">
        <f t="shared" si="1"/>
        <v>1</v>
      </c>
      <c r="F23" s="120">
        <f t="shared" si="2"/>
        <v>0</v>
      </c>
    </row>
    <row r="24" spans="1:18" x14ac:dyDescent="0.25">
      <c r="A24" s="198" t="s">
        <v>266</v>
      </c>
      <c r="B24" s="53">
        <v>11</v>
      </c>
      <c r="C24" s="58" t="s">
        <v>159</v>
      </c>
      <c r="D24" s="120">
        <f t="shared" si="0"/>
        <v>0</v>
      </c>
      <c r="E24" s="120">
        <f t="shared" si="1"/>
        <v>0</v>
      </c>
      <c r="F24" s="120">
        <f t="shared" si="2"/>
        <v>1</v>
      </c>
    </row>
    <row r="25" spans="1:18" x14ac:dyDescent="0.25">
      <c r="A25" s="198" t="s">
        <v>267</v>
      </c>
      <c r="B25" s="53">
        <v>11</v>
      </c>
      <c r="C25" s="58" t="s">
        <v>159</v>
      </c>
      <c r="D25" s="120">
        <f t="shared" si="0"/>
        <v>0</v>
      </c>
      <c r="E25" s="120">
        <f t="shared" si="1"/>
        <v>0</v>
      </c>
      <c r="F25" s="120">
        <f t="shared" si="2"/>
        <v>1</v>
      </c>
    </row>
    <row r="26" spans="1:18" ht="15.75" thickBot="1" x14ac:dyDescent="0.3">
      <c r="A26" s="71" t="s">
        <v>268</v>
      </c>
      <c r="B26" s="75">
        <v>13</v>
      </c>
      <c r="C26" s="77" t="s">
        <v>158</v>
      </c>
      <c r="D26" s="120">
        <f t="shared" si="0"/>
        <v>0</v>
      </c>
      <c r="E26" s="120">
        <f t="shared" si="1"/>
        <v>0</v>
      </c>
      <c r="F26" s="120">
        <f t="shared" si="2"/>
        <v>1</v>
      </c>
    </row>
    <row r="27" spans="1:18" x14ac:dyDescent="0.25">
      <c r="A27" s="198" t="s">
        <v>269</v>
      </c>
      <c r="B27" s="53">
        <v>8</v>
      </c>
      <c r="C27" s="58" t="s">
        <v>159</v>
      </c>
      <c r="D27" s="120">
        <f t="shared" si="0"/>
        <v>0</v>
      </c>
      <c r="E27" s="120">
        <f t="shared" si="1"/>
        <v>1</v>
      </c>
      <c r="F27" s="120">
        <f t="shared" si="2"/>
        <v>0</v>
      </c>
    </row>
    <row r="28" spans="1:18" x14ac:dyDescent="0.25">
      <c r="A28" s="198" t="s">
        <v>270</v>
      </c>
      <c r="B28" s="53">
        <v>13</v>
      </c>
      <c r="C28" s="58" t="s">
        <v>159</v>
      </c>
      <c r="D28" s="120">
        <f t="shared" si="0"/>
        <v>0</v>
      </c>
      <c r="E28" s="120">
        <f t="shared" si="1"/>
        <v>0</v>
      </c>
      <c r="F28" s="120">
        <f t="shared" si="2"/>
        <v>1</v>
      </c>
    </row>
    <row r="29" spans="1:18" ht="15.75" thickBot="1" x14ac:dyDescent="0.3">
      <c r="A29" s="71" t="s">
        <v>271</v>
      </c>
      <c r="B29" s="75">
        <v>8</v>
      </c>
      <c r="C29" s="77" t="s">
        <v>159</v>
      </c>
      <c r="D29" s="120">
        <f t="shared" si="0"/>
        <v>0</v>
      </c>
      <c r="E29" s="120">
        <f t="shared" si="1"/>
        <v>1</v>
      </c>
      <c r="F29" s="120">
        <f t="shared" si="2"/>
        <v>0</v>
      </c>
    </row>
    <row r="30" spans="1:18" x14ac:dyDescent="0.25">
      <c r="A30" s="198" t="s">
        <v>272</v>
      </c>
      <c r="B30" s="53">
        <v>9</v>
      </c>
      <c r="C30" s="58" t="s">
        <v>159</v>
      </c>
      <c r="D30" s="120">
        <f t="shared" si="0"/>
        <v>0</v>
      </c>
      <c r="E30" s="120">
        <f t="shared" si="1"/>
        <v>1</v>
      </c>
      <c r="F30" s="120">
        <f t="shared" si="2"/>
        <v>0</v>
      </c>
    </row>
    <row r="31" spans="1:18" x14ac:dyDescent="0.25">
      <c r="A31" s="198" t="s">
        <v>273</v>
      </c>
      <c r="B31" s="53">
        <v>11</v>
      </c>
      <c r="C31" s="58" t="s">
        <v>159</v>
      </c>
      <c r="D31" s="120">
        <f t="shared" si="0"/>
        <v>0</v>
      </c>
      <c r="E31" s="120">
        <f t="shared" si="1"/>
        <v>0</v>
      </c>
      <c r="F31" s="120">
        <f t="shared" si="2"/>
        <v>1</v>
      </c>
    </row>
    <row r="32" spans="1:18" ht="15.75" thickBot="1" x14ac:dyDescent="0.3">
      <c r="A32" s="128" t="s">
        <v>274</v>
      </c>
      <c r="B32" s="133">
        <v>6</v>
      </c>
      <c r="C32" s="135" t="s">
        <v>158</v>
      </c>
      <c r="D32" s="120">
        <f t="shared" si="0"/>
        <v>0</v>
      </c>
      <c r="E32" s="120">
        <f t="shared" si="1"/>
        <v>1</v>
      </c>
      <c r="F32" s="120">
        <f t="shared" si="2"/>
        <v>0</v>
      </c>
    </row>
    <row r="33" spans="1:6" ht="15.75" thickTop="1" x14ac:dyDescent="0.25">
      <c r="A33" s="198" t="s">
        <v>275</v>
      </c>
      <c r="B33" s="53">
        <v>10</v>
      </c>
      <c r="C33" s="58" t="s">
        <v>159</v>
      </c>
      <c r="D33" s="120">
        <f t="shared" si="0"/>
        <v>0</v>
      </c>
      <c r="E33" s="120">
        <f t="shared" si="1"/>
        <v>1</v>
      </c>
      <c r="F33" s="120">
        <f t="shared" si="2"/>
        <v>0</v>
      </c>
    </row>
    <row r="34" spans="1:6" x14ac:dyDescent="0.25">
      <c r="A34" s="198" t="s">
        <v>276</v>
      </c>
      <c r="B34" s="53">
        <v>11</v>
      </c>
      <c r="C34" s="58" t="s">
        <v>159</v>
      </c>
      <c r="D34" s="120">
        <f t="shared" si="0"/>
        <v>0</v>
      </c>
      <c r="E34" s="120">
        <f t="shared" si="1"/>
        <v>0</v>
      </c>
      <c r="F34" s="120">
        <f t="shared" si="2"/>
        <v>1</v>
      </c>
    </row>
    <row r="35" spans="1:6" ht="15.75" thickBot="1" x14ac:dyDescent="0.3">
      <c r="A35" s="71" t="s">
        <v>277</v>
      </c>
      <c r="B35" s="75">
        <v>5</v>
      </c>
      <c r="C35" s="77" t="s">
        <v>158</v>
      </c>
      <c r="D35" s="120">
        <f t="shared" si="0"/>
        <v>1</v>
      </c>
      <c r="E35" s="120">
        <f t="shared" si="1"/>
        <v>0</v>
      </c>
      <c r="F35" s="120">
        <f t="shared" si="2"/>
        <v>0</v>
      </c>
    </row>
    <row r="36" spans="1:6" x14ac:dyDescent="0.25">
      <c r="A36" s="198" t="s">
        <v>278</v>
      </c>
      <c r="B36" s="53">
        <v>10</v>
      </c>
      <c r="C36" s="58" t="s">
        <v>159</v>
      </c>
      <c r="D36" s="120">
        <f t="shared" si="0"/>
        <v>0</v>
      </c>
      <c r="E36" s="120">
        <f t="shared" si="1"/>
        <v>1</v>
      </c>
      <c r="F36" s="120">
        <f t="shared" si="2"/>
        <v>0</v>
      </c>
    </row>
    <row r="37" spans="1:6" x14ac:dyDescent="0.25">
      <c r="A37" s="198" t="s">
        <v>279</v>
      </c>
      <c r="B37" s="53">
        <v>11</v>
      </c>
      <c r="C37" s="58" t="s">
        <v>158</v>
      </c>
      <c r="D37" s="120">
        <f t="shared" si="0"/>
        <v>0</v>
      </c>
      <c r="E37" s="120">
        <f t="shared" si="1"/>
        <v>0</v>
      </c>
      <c r="F37" s="120">
        <f t="shared" si="2"/>
        <v>1</v>
      </c>
    </row>
    <row r="38" spans="1:6" ht="15.75" thickBot="1" x14ac:dyDescent="0.3">
      <c r="A38" s="71" t="s">
        <v>280</v>
      </c>
      <c r="B38" s="75">
        <v>7</v>
      </c>
      <c r="C38" s="77" t="s">
        <v>159</v>
      </c>
      <c r="D38" s="120">
        <f t="shared" si="0"/>
        <v>0</v>
      </c>
      <c r="E38" s="120">
        <f t="shared" si="1"/>
        <v>1</v>
      </c>
      <c r="F38" s="120">
        <f t="shared" si="2"/>
        <v>0</v>
      </c>
    </row>
    <row r="39" spans="1:6" x14ac:dyDescent="0.25">
      <c r="A39" s="198" t="s">
        <v>281</v>
      </c>
      <c r="B39" s="53">
        <v>14</v>
      </c>
      <c r="C39" s="58" t="s">
        <v>159</v>
      </c>
      <c r="D39" s="120">
        <f t="shared" si="0"/>
        <v>0</v>
      </c>
      <c r="E39" s="120">
        <f t="shared" si="1"/>
        <v>0</v>
      </c>
      <c r="F39" s="120">
        <f t="shared" si="2"/>
        <v>1</v>
      </c>
    </row>
    <row r="40" spans="1:6" x14ac:dyDescent="0.25">
      <c r="A40" s="198" t="s">
        <v>282</v>
      </c>
      <c r="B40" s="53">
        <v>10</v>
      </c>
      <c r="C40" s="58" t="s">
        <v>158</v>
      </c>
      <c r="D40" s="120">
        <f t="shared" si="0"/>
        <v>0</v>
      </c>
      <c r="E40" s="120">
        <f t="shared" si="1"/>
        <v>1</v>
      </c>
      <c r="F40" s="120">
        <f t="shared" si="2"/>
        <v>0</v>
      </c>
    </row>
    <row r="41" spans="1:6" ht="15.75" thickBot="1" x14ac:dyDescent="0.3">
      <c r="A41" s="153" t="s">
        <v>283</v>
      </c>
      <c r="B41" s="158">
        <v>5</v>
      </c>
      <c r="C41" s="160" t="s">
        <v>158</v>
      </c>
      <c r="D41" s="120">
        <f t="shared" si="0"/>
        <v>1</v>
      </c>
      <c r="E41" s="120">
        <f t="shared" si="1"/>
        <v>0</v>
      </c>
      <c r="F41" s="120">
        <f t="shared" si="2"/>
        <v>0</v>
      </c>
    </row>
    <row r="42" spans="1:6" x14ac:dyDescent="0.25">
      <c r="A42" s="198" t="s">
        <v>284</v>
      </c>
      <c r="B42" s="53">
        <v>15</v>
      </c>
      <c r="C42" s="58" t="s">
        <v>159</v>
      </c>
      <c r="D42" s="120">
        <f t="shared" si="0"/>
        <v>0</v>
      </c>
      <c r="E42" s="120">
        <f t="shared" si="1"/>
        <v>0</v>
      </c>
      <c r="F42" s="120">
        <f t="shared" si="2"/>
        <v>1</v>
      </c>
    </row>
    <row r="43" spans="1:6" x14ac:dyDescent="0.25">
      <c r="A43" s="198" t="s">
        <v>285</v>
      </c>
      <c r="B43" s="53">
        <v>4</v>
      </c>
      <c r="C43" s="58" t="s">
        <v>158</v>
      </c>
      <c r="D43" s="120">
        <f t="shared" si="0"/>
        <v>1</v>
      </c>
      <c r="E43" s="120">
        <f t="shared" si="1"/>
        <v>0</v>
      </c>
      <c r="F43" s="120">
        <f t="shared" si="2"/>
        <v>0</v>
      </c>
    </row>
    <row r="44" spans="1:6" ht="15.75" thickBot="1" x14ac:dyDescent="0.3">
      <c r="A44" s="71" t="s">
        <v>286</v>
      </c>
      <c r="B44" s="75">
        <v>5</v>
      </c>
      <c r="C44" s="77" t="s">
        <v>158</v>
      </c>
      <c r="D44" s="120">
        <f t="shared" si="0"/>
        <v>1</v>
      </c>
      <c r="E44" s="120">
        <f t="shared" si="1"/>
        <v>0</v>
      </c>
      <c r="F44" s="120">
        <f t="shared" si="2"/>
        <v>0</v>
      </c>
    </row>
    <row r="45" spans="1:6" x14ac:dyDescent="0.25">
      <c r="A45" s="198" t="s">
        <v>287</v>
      </c>
      <c r="B45" s="53">
        <v>15</v>
      </c>
      <c r="C45" s="58" t="s">
        <v>159</v>
      </c>
      <c r="D45" s="120">
        <f t="shared" si="0"/>
        <v>0</v>
      </c>
      <c r="E45" s="120">
        <f t="shared" si="1"/>
        <v>0</v>
      </c>
      <c r="F45" s="120">
        <f t="shared" si="2"/>
        <v>1</v>
      </c>
    </row>
    <row r="46" spans="1:6" x14ac:dyDescent="0.25">
      <c r="A46" s="198" t="s">
        <v>288</v>
      </c>
      <c r="B46" s="53">
        <v>6</v>
      </c>
      <c r="C46" s="58" t="s">
        <v>158</v>
      </c>
      <c r="D46" s="120">
        <f t="shared" si="0"/>
        <v>0</v>
      </c>
      <c r="E46" s="120">
        <f t="shared" si="1"/>
        <v>1</v>
      </c>
      <c r="F46" s="120">
        <f t="shared" si="2"/>
        <v>0</v>
      </c>
    </row>
    <row r="47" spans="1:6" ht="15.75" thickBot="1" x14ac:dyDescent="0.3">
      <c r="A47" s="71" t="s">
        <v>289</v>
      </c>
      <c r="B47" s="75">
        <v>6</v>
      </c>
      <c r="C47" s="77" t="s">
        <v>159</v>
      </c>
      <c r="D47" s="120">
        <f t="shared" si="0"/>
        <v>0</v>
      </c>
      <c r="E47" s="120">
        <f t="shared" si="1"/>
        <v>1</v>
      </c>
      <c r="F47" s="120">
        <f t="shared" si="2"/>
        <v>0</v>
      </c>
    </row>
    <row r="48" spans="1:6" x14ac:dyDescent="0.25">
      <c r="A48" s="198" t="s">
        <v>290</v>
      </c>
      <c r="B48" s="53">
        <v>9</v>
      </c>
      <c r="C48" s="58" t="s">
        <v>159</v>
      </c>
      <c r="D48" s="120">
        <f t="shared" si="0"/>
        <v>0</v>
      </c>
      <c r="E48" s="120">
        <f t="shared" si="1"/>
        <v>1</v>
      </c>
      <c r="F48" s="120">
        <f t="shared" si="2"/>
        <v>0</v>
      </c>
    </row>
    <row r="49" spans="1:6" x14ac:dyDescent="0.25">
      <c r="A49" s="198" t="s">
        <v>291</v>
      </c>
      <c r="B49" s="53">
        <v>7</v>
      </c>
      <c r="C49" s="58" t="s">
        <v>159</v>
      </c>
      <c r="D49" s="120">
        <f t="shared" si="0"/>
        <v>0</v>
      </c>
      <c r="E49" s="120">
        <f t="shared" si="1"/>
        <v>1</v>
      </c>
      <c r="F49" s="120">
        <f t="shared" si="2"/>
        <v>0</v>
      </c>
    </row>
    <row r="50" spans="1:6" ht="15.75" thickBot="1" x14ac:dyDescent="0.3">
      <c r="A50" s="128" t="s">
        <v>292</v>
      </c>
      <c r="B50" s="133">
        <v>8</v>
      </c>
      <c r="C50" s="135" t="s">
        <v>158</v>
      </c>
      <c r="D50" s="222">
        <f t="shared" si="0"/>
        <v>0</v>
      </c>
      <c r="E50" s="222">
        <f t="shared" si="1"/>
        <v>1</v>
      </c>
      <c r="F50" s="222">
        <f t="shared" si="2"/>
        <v>0</v>
      </c>
    </row>
    <row r="51" spans="1:6" ht="15.75" thickTop="1" x14ac:dyDescent="0.25"/>
  </sheetData>
  <mergeCells count="10">
    <mergeCell ref="T2:Y2"/>
    <mergeCell ref="T3:Y11"/>
    <mergeCell ref="M3:R11"/>
    <mergeCell ref="C3:K11"/>
    <mergeCell ref="H13:L13"/>
    <mergeCell ref="H12:L12"/>
    <mergeCell ref="N12:R12"/>
    <mergeCell ref="N13:R13"/>
    <mergeCell ref="C2:K2"/>
    <mergeCell ref="M2:R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D66E-77B1-4D6C-B2E2-71B539469D21}">
  <dimension ref="A2:Y68"/>
  <sheetViews>
    <sheetView workbookViewId="0">
      <selection activeCell="U17" sqref="U17"/>
    </sheetView>
  </sheetViews>
  <sheetFormatPr defaultRowHeight="15" x14ac:dyDescent="0.25"/>
  <cols>
    <col min="1" max="1" width="20.140625" bestFit="1" customWidth="1"/>
    <col min="2" max="4" width="9.28515625" bestFit="1" customWidth="1"/>
    <col min="5" max="5" width="12.7109375" customWidth="1"/>
    <col min="6" max="6" width="15.140625" customWidth="1"/>
    <col min="7" max="9" width="9.28515625" bestFit="1" customWidth="1"/>
  </cols>
  <sheetData>
    <row r="2" spans="1:25" ht="15.75" x14ac:dyDescent="0.25">
      <c r="C2" s="389" t="s">
        <v>354</v>
      </c>
      <c r="D2" s="389"/>
      <c r="E2" s="389"/>
      <c r="F2" s="389"/>
      <c r="G2" s="389"/>
      <c r="H2" s="389"/>
      <c r="I2" s="389"/>
      <c r="J2" s="389"/>
      <c r="K2" s="389"/>
      <c r="M2" s="410" t="s">
        <v>380</v>
      </c>
      <c r="N2" s="410"/>
      <c r="O2" s="410"/>
      <c r="P2" s="410"/>
      <c r="Q2" s="410"/>
      <c r="R2" s="410"/>
      <c r="T2" s="411" t="s">
        <v>389</v>
      </c>
      <c r="U2" s="411"/>
      <c r="V2" s="411"/>
      <c r="W2" s="411"/>
      <c r="X2" s="411"/>
      <c r="Y2" s="411"/>
    </row>
    <row r="3" spans="1:25" ht="15" customHeight="1" x14ac:dyDescent="0.25">
      <c r="C3" s="437" t="s">
        <v>503</v>
      </c>
      <c r="D3" s="437"/>
      <c r="E3" s="437"/>
      <c r="F3" s="437"/>
      <c r="G3" s="437"/>
      <c r="H3" s="437"/>
      <c r="I3" s="437"/>
      <c r="J3" s="437"/>
      <c r="K3" s="437"/>
      <c r="M3" s="424"/>
      <c r="N3" s="425"/>
      <c r="O3" s="425"/>
      <c r="P3" s="425"/>
      <c r="Q3" s="425"/>
      <c r="R3" s="426"/>
      <c r="T3" s="424" t="s">
        <v>390</v>
      </c>
      <c r="U3" s="425"/>
      <c r="V3" s="425"/>
      <c r="W3" s="425"/>
      <c r="X3" s="425"/>
      <c r="Y3" s="426"/>
    </row>
    <row r="4" spans="1:25" x14ac:dyDescent="0.25">
      <c r="C4" s="437"/>
      <c r="D4" s="437"/>
      <c r="E4" s="437"/>
      <c r="F4" s="437"/>
      <c r="G4" s="437"/>
      <c r="H4" s="437"/>
      <c r="I4" s="437"/>
      <c r="J4" s="437"/>
      <c r="K4" s="437"/>
      <c r="M4" s="427"/>
      <c r="N4" s="394"/>
      <c r="O4" s="394"/>
      <c r="P4" s="394"/>
      <c r="Q4" s="394"/>
      <c r="R4" s="428"/>
      <c r="T4" s="427"/>
      <c r="U4" s="394"/>
      <c r="V4" s="394"/>
      <c r="W4" s="394"/>
      <c r="X4" s="394"/>
      <c r="Y4" s="428"/>
    </row>
    <row r="5" spans="1:25" x14ac:dyDescent="0.25">
      <c r="C5" s="437"/>
      <c r="D5" s="437"/>
      <c r="E5" s="437"/>
      <c r="F5" s="437"/>
      <c r="G5" s="437"/>
      <c r="H5" s="437"/>
      <c r="I5" s="437"/>
      <c r="J5" s="437"/>
      <c r="K5" s="437"/>
      <c r="M5" s="427"/>
      <c r="N5" s="394"/>
      <c r="O5" s="394"/>
      <c r="P5" s="394"/>
      <c r="Q5" s="394"/>
      <c r="R5" s="428"/>
      <c r="T5" s="427"/>
      <c r="U5" s="394"/>
      <c r="V5" s="394"/>
      <c r="W5" s="394"/>
      <c r="X5" s="394"/>
      <c r="Y5" s="428"/>
    </row>
    <row r="6" spans="1:25" x14ac:dyDescent="0.25">
      <c r="C6" s="437"/>
      <c r="D6" s="437"/>
      <c r="E6" s="437"/>
      <c r="F6" s="437"/>
      <c r="G6" s="437"/>
      <c r="H6" s="437"/>
      <c r="I6" s="437"/>
      <c r="J6" s="437"/>
      <c r="K6" s="437"/>
      <c r="M6" s="427"/>
      <c r="N6" s="394"/>
      <c r="O6" s="394"/>
      <c r="P6" s="394"/>
      <c r="Q6" s="394"/>
      <c r="R6" s="428"/>
      <c r="T6" s="427"/>
      <c r="U6" s="394"/>
      <c r="V6" s="394"/>
      <c r="W6" s="394"/>
      <c r="X6" s="394"/>
      <c r="Y6" s="428"/>
    </row>
    <row r="7" spans="1:25" x14ac:dyDescent="0.25">
      <c r="C7" s="437"/>
      <c r="D7" s="437"/>
      <c r="E7" s="437"/>
      <c r="F7" s="437"/>
      <c r="G7" s="437"/>
      <c r="H7" s="437"/>
      <c r="I7" s="437"/>
      <c r="J7" s="437"/>
      <c r="K7" s="437"/>
      <c r="M7" s="427"/>
      <c r="N7" s="394"/>
      <c r="O7" s="394"/>
      <c r="P7" s="394"/>
      <c r="Q7" s="394"/>
      <c r="R7" s="428"/>
      <c r="T7" s="427"/>
      <c r="U7" s="394"/>
      <c r="V7" s="394"/>
      <c r="W7" s="394"/>
      <c r="X7" s="394"/>
      <c r="Y7" s="428"/>
    </row>
    <row r="8" spans="1:25" x14ac:dyDescent="0.25">
      <c r="C8" s="437"/>
      <c r="D8" s="437"/>
      <c r="E8" s="437"/>
      <c r="F8" s="437"/>
      <c r="G8" s="437"/>
      <c r="H8" s="437"/>
      <c r="I8" s="437"/>
      <c r="J8" s="437"/>
      <c r="K8" s="437"/>
      <c r="M8" s="427"/>
      <c r="N8" s="394"/>
      <c r="O8" s="394"/>
      <c r="P8" s="394"/>
      <c r="Q8" s="394"/>
      <c r="R8" s="428"/>
      <c r="T8" s="427"/>
      <c r="U8" s="394"/>
      <c r="V8" s="394"/>
      <c r="W8" s="394"/>
      <c r="X8" s="394"/>
      <c r="Y8" s="428"/>
    </row>
    <row r="9" spans="1:25" x14ac:dyDescent="0.25">
      <c r="C9" s="437"/>
      <c r="D9" s="437"/>
      <c r="E9" s="437"/>
      <c r="F9" s="437"/>
      <c r="G9" s="437"/>
      <c r="H9" s="437"/>
      <c r="I9" s="437"/>
      <c r="J9" s="437"/>
      <c r="K9" s="437"/>
      <c r="M9" s="427"/>
      <c r="N9" s="394"/>
      <c r="O9" s="394"/>
      <c r="P9" s="394"/>
      <c r="Q9" s="394"/>
      <c r="R9" s="428"/>
      <c r="T9" s="427"/>
      <c r="U9" s="394"/>
      <c r="V9" s="394"/>
      <c r="W9" s="394"/>
      <c r="X9" s="394"/>
      <c r="Y9" s="428"/>
    </row>
    <row r="10" spans="1:25" x14ac:dyDescent="0.25">
      <c r="C10" s="437"/>
      <c r="D10" s="437"/>
      <c r="E10" s="437"/>
      <c r="F10" s="437"/>
      <c r="G10" s="437"/>
      <c r="H10" s="437"/>
      <c r="I10" s="437"/>
      <c r="J10" s="437"/>
      <c r="K10" s="437"/>
      <c r="M10" s="427"/>
      <c r="N10" s="394"/>
      <c r="O10" s="394"/>
      <c r="P10" s="394"/>
      <c r="Q10" s="394"/>
      <c r="R10" s="428"/>
      <c r="T10" s="427"/>
      <c r="U10" s="394"/>
      <c r="V10" s="394"/>
      <c r="W10" s="394"/>
      <c r="X10" s="394"/>
      <c r="Y10" s="428"/>
    </row>
    <row r="11" spans="1:25" x14ac:dyDescent="0.25">
      <c r="C11" s="437"/>
      <c r="D11" s="437"/>
      <c r="E11" s="437"/>
      <c r="F11" s="437"/>
      <c r="G11" s="437"/>
      <c r="H11" s="437"/>
      <c r="I11" s="437"/>
      <c r="J11" s="437"/>
      <c r="K11" s="437"/>
      <c r="M11" s="429"/>
      <c r="N11" s="430"/>
      <c r="O11" s="430"/>
      <c r="P11" s="430"/>
      <c r="Q11" s="430"/>
      <c r="R11" s="431"/>
      <c r="T11" s="429"/>
      <c r="U11" s="430"/>
      <c r="V11" s="430"/>
      <c r="W11" s="430"/>
      <c r="X11" s="430"/>
      <c r="Y11" s="431"/>
    </row>
    <row r="13" spans="1:25" ht="60.75" thickBot="1" x14ac:dyDescent="0.3">
      <c r="A13" s="225" t="s">
        <v>256</v>
      </c>
      <c r="B13" s="232" t="s">
        <v>163</v>
      </c>
      <c r="C13" s="231" t="s">
        <v>156</v>
      </c>
    </row>
    <row r="14" spans="1:25" ht="15.75" thickTop="1" x14ac:dyDescent="0.25">
      <c r="A14" s="198" t="s">
        <v>257</v>
      </c>
      <c r="B14" s="198">
        <v>29</v>
      </c>
      <c r="C14" s="53">
        <v>2</v>
      </c>
    </row>
    <row r="15" spans="1:25" x14ac:dyDescent="0.25">
      <c r="A15" s="198" t="s">
        <v>258</v>
      </c>
      <c r="B15" s="198">
        <v>30</v>
      </c>
      <c r="C15" s="53">
        <v>2</v>
      </c>
    </row>
    <row r="16" spans="1:25" ht="15.75" thickBot="1" x14ac:dyDescent="0.3">
      <c r="A16" s="71" t="s">
        <v>259</v>
      </c>
      <c r="B16" s="198">
        <v>30</v>
      </c>
      <c r="C16" s="75">
        <v>2</v>
      </c>
    </row>
    <row r="17" spans="1:3" x14ac:dyDescent="0.25">
      <c r="A17" s="198" t="s">
        <v>260</v>
      </c>
      <c r="B17" s="198">
        <v>24</v>
      </c>
      <c r="C17" s="53">
        <v>3</v>
      </c>
    </row>
    <row r="18" spans="1:3" x14ac:dyDescent="0.25">
      <c r="A18" s="198" t="s">
        <v>261</v>
      </c>
      <c r="B18" s="198">
        <v>23</v>
      </c>
      <c r="C18" s="53">
        <v>2</v>
      </c>
    </row>
    <row r="19" spans="1:3" ht="15.75" thickBot="1" x14ac:dyDescent="0.3">
      <c r="A19" s="71" t="s">
        <v>262</v>
      </c>
      <c r="B19" s="198">
        <v>24</v>
      </c>
      <c r="C19" s="75">
        <v>4</v>
      </c>
    </row>
    <row r="20" spans="1:3" x14ac:dyDescent="0.25">
      <c r="A20" s="198" t="s">
        <v>263</v>
      </c>
      <c r="B20" s="198">
        <v>23</v>
      </c>
      <c r="C20" s="53">
        <v>3</v>
      </c>
    </row>
    <row r="21" spans="1:3" x14ac:dyDescent="0.25">
      <c r="A21" s="198" t="s">
        <v>264</v>
      </c>
      <c r="B21" s="198">
        <v>23</v>
      </c>
      <c r="C21" s="53">
        <v>2</v>
      </c>
    </row>
    <row r="22" spans="1:3" ht="15.75" thickBot="1" x14ac:dyDescent="0.3">
      <c r="A22" s="153" t="s">
        <v>265</v>
      </c>
      <c r="B22" s="198">
        <v>20</v>
      </c>
      <c r="C22" s="158">
        <v>4</v>
      </c>
    </row>
    <row r="23" spans="1:3" x14ac:dyDescent="0.25">
      <c r="A23" s="198" t="s">
        <v>266</v>
      </c>
      <c r="B23" s="198">
        <v>20</v>
      </c>
      <c r="C23" s="53">
        <v>3</v>
      </c>
    </row>
    <row r="24" spans="1:3" x14ac:dyDescent="0.25">
      <c r="A24" s="198" t="s">
        <v>267</v>
      </c>
      <c r="B24" s="198">
        <v>20</v>
      </c>
      <c r="C24" s="53">
        <v>2</v>
      </c>
    </row>
    <row r="25" spans="1:3" ht="15.75" thickBot="1" x14ac:dyDescent="0.3">
      <c r="A25" s="71" t="s">
        <v>268</v>
      </c>
      <c r="B25" s="198">
        <v>20</v>
      </c>
      <c r="C25" s="75">
        <v>1</v>
      </c>
    </row>
    <row r="26" spans="1:3" x14ac:dyDescent="0.25">
      <c r="A26" s="198" t="s">
        <v>269</v>
      </c>
      <c r="B26" s="198">
        <v>24</v>
      </c>
      <c r="C26" s="53">
        <v>2</v>
      </c>
    </row>
    <row r="27" spans="1:3" x14ac:dyDescent="0.25">
      <c r="A27" s="198" t="s">
        <v>270</v>
      </c>
      <c r="B27" s="198">
        <v>20</v>
      </c>
      <c r="C27" s="53">
        <v>2</v>
      </c>
    </row>
    <row r="28" spans="1:3" ht="15.75" thickBot="1" x14ac:dyDescent="0.3">
      <c r="A28" s="71" t="s">
        <v>271</v>
      </c>
      <c r="B28" s="198">
        <v>24</v>
      </c>
      <c r="C28" s="75">
        <v>1</v>
      </c>
    </row>
    <row r="29" spans="1:3" x14ac:dyDescent="0.25">
      <c r="A29" s="198" t="s">
        <v>272</v>
      </c>
      <c r="B29" s="198">
        <v>20</v>
      </c>
      <c r="C29" s="53">
        <v>4</v>
      </c>
    </row>
    <row r="30" spans="1:3" x14ac:dyDescent="0.25">
      <c r="A30" s="198" t="s">
        <v>273</v>
      </c>
      <c r="B30" s="198">
        <v>24</v>
      </c>
      <c r="C30" s="53">
        <v>2</v>
      </c>
    </row>
    <row r="31" spans="1:3" ht="15.75" thickBot="1" x14ac:dyDescent="0.3">
      <c r="A31" s="128" t="s">
        <v>274</v>
      </c>
      <c r="B31" s="198">
        <v>10</v>
      </c>
      <c r="C31" s="133">
        <v>1</v>
      </c>
    </row>
    <row r="32" spans="1:3" ht="15.75" thickTop="1" x14ac:dyDescent="0.25">
      <c r="A32" s="198" t="s">
        <v>275</v>
      </c>
      <c r="B32" s="198">
        <v>21</v>
      </c>
      <c r="C32" s="53">
        <v>5</v>
      </c>
    </row>
    <row r="33" spans="1:3" x14ac:dyDescent="0.25">
      <c r="A33" s="198" t="s">
        <v>276</v>
      </c>
      <c r="B33" s="198">
        <v>21</v>
      </c>
      <c r="C33" s="53">
        <v>2</v>
      </c>
    </row>
    <row r="34" spans="1:3" ht="15.75" thickBot="1" x14ac:dyDescent="0.3">
      <c r="A34" s="71" t="s">
        <v>277</v>
      </c>
      <c r="B34" s="198">
        <v>17</v>
      </c>
      <c r="C34" s="75">
        <v>1</v>
      </c>
    </row>
    <row r="35" spans="1:3" x14ac:dyDescent="0.25">
      <c r="A35" s="198" t="s">
        <v>278</v>
      </c>
      <c r="B35" s="198">
        <v>21</v>
      </c>
      <c r="C35" s="53">
        <v>3</v>
      </c>
    </row>
    <row r="36" spans="1:3" x14ac:dyDescent="0.25">
      <c r="A36" s="198" t="s">
        <v>279</v>
      </c>
      <c r="B36" s="198">
        <v>21</v>
      </c>
      <c r="C36" s="53">
        <v>1</v>
      </c>
    </row>
    <row r="37" spans="1:3" ht="15.75" thickBot="1" x14ac:dyDescent="0.3">
      <c r="A37" s="71" t="s">
        <v>280</v>
      </c>
      <c r="B37" s="198">
        <v>24</v>
      </c>
      <c r="C37" s="75">
        <v>2</v>
      </c>
    </row>
    <row r="38" spans="1:3" x14ac:dyDescent="0.25">
      <c r="A38" s="198" t="s">
        <v>281</v>
      </c>
      <c r="B38" s="198">
        <v>21</v>
      </c>
      <c r="C38" s="53">
        <v>4</v>
      </c>
    </row>
    <row r="39" spans="1:3" x14ac:dyDescent="0.25">
      <c r="A39" s="198" t="s">
        <v>282</v>
      </c>
      <c r="B39" s="198">
        <v>24</v>
      </c>
      <c r="C39" s="53">
        <v>1</v>
      </c>
    </row>
    <row r="40" spans="1:3" ht="15.75" thickBot="1" x14ac:dyDescent="0.3">
      <c r="A40" s="153" t="s">
        <v>283</v>
      </c>
      <c r="B40" s="198">
        <v>13</v>
      </c>
      <c r="C40" s="158">
        <v>2</v>
      </c>
    </row>
    <row r="41" spans="1:3" x14ac:dyDescent="0.25">
      <c r="A41" s="198" t="s">
        <v>284</v>
      </c>
      <c r="B41" s="198">
        <v>24</v>
      </c>
      <c r="C41" s="53">
        <v>4</v>
      </c>
    </row>
    <row r="42" spans="1:3" x14ac:dyDescent="0.25">
      <c r="A42" s="198" t="s">
        <v>285</v>
      </c>
      <c r="B42" s="198">
        <v>10</v>
      </c>
      <c r="C42" s="53">
        <v>1</v>
      </c>
    </row>
    <row r="43" spans="1:3" ht="15.75" thickBot="1" x14ac:dyDescent="0.3">
      <c r="A43" s="71" t="s">
        <v>286</v>
      </c>
      <c r="B43" s="198">
        <v>10</v>
      </c>
      <c r="C43" s="75">
        <v>2</v>
      </c>
    </row>
    <row r="44" spans="1:3" x14ac:dyDescent="0.25">
      <c r="A44" s="198" t="s">
        <v>287</v>
      </c>
      <c r="B44" s="198">
        <v>24</v>
      </c>
      <c r="C44" s="53">
        <v>4</v>
      </c>
    </row>
    <row r="45" spans="1:3" x14ac:dyDescent="0.25">
      <c r="A45" s="198" t="s">
        <v>288</v>
      </c>
      <c r="B45" s="198">
        <v>17</v>
      </c>
      <c r="C45" s="53">
        <v>1</v>
      </c>
    </row>
    <row r="46" spans="1:3" ht="15.75" thickBot="1" x14ac:dyDescent="0.3">
      <c r="A46" s="71" t="s">
        <v>289</v>
      </c>
      <c r="B46" s="198">
        <v>27</v>
      </c>
      <c r="C46" s="75">
        <v>2</v>
      </c>
    </row>
    <row r="47" spans="1:3" x14ac:dyDescent="0.25">
      <c r="A47" s="198" t="s">
        <v>290</v>
      </c>
      <c r="B47" s="198">
        <v>24</v>
      </c>
      <c r="C47" s="53">
        <v>3</v>
      </c>
    </row>
    <row r="48" spans="1:3" x14ac:dyDescent="0.25">
      <c r="A48" s="198" t="s">
        <v>291</v>
      </c>
      <c r="B48" s="198">
        <v>27</v>
      </c>
      <c r="C48" s="53">
        <v>1</v>
      </c>
    </row>
    <row r="49" spans="1:10" ht="15.75" thickBot="1" x14ac:dyDescent="0.3">
      <c r="A49" s="128" t="s">
        <v>292</v>
      </c>
      <c r="B49" s="221">
        <v>7</v>
      </c>
      <c r="C49" s="133">
        <v>1</v>
      </c>
    </row>
    <row r="50" spans="1:10" ht="15.75" thickTop="1" x14ac:dyDescent="0.25"/>
    <row r="51" spans="1:10" x14ac:dyDescent="0.25">
      <c r="A51" s="216" t="s">
        <v>20</v>
      </c>
      <c r="B51" s="216"/>
      <c r="C51" s="216"/>
      <c r="D51" s="216"/>
      <c r="E51" s="216"/>
      <c r="F51" s="216"/>
      <c r="G51" s="216"/>
      <c r="H51" s="216"/>
      <c r="I51" s="216"/>
      <c r="J51" s="216"/>
    </row>
    <row r="52" spans="1:10" ht="15.75" thickBot="1" x14ac:dyDescent="0.3">
      <c r="A52" s="216"/>
      <c r="B52" s="216"/>
      <c r="C52" s="216"/>
      <c r="D52" s="216"/>
      <c r="E52" s="216"/>
      <c r="F52" s="216"/>
      <c r="G52" s="216"/>
      <c r="H52" s="216"/>
      <c r="I52" s="216"/>
      <c r="J52" s="216"/>
    </row>
    <row r="53" spans="1:10" x14ac:dyDescent="0.25">
      <c r="A53" s="243" t="s">
        <v>21</v>
      </c>
      <c r="B53" s="243"/>
      <c r="C53" s="216"/>
      <c r="D53" s="216"/>
      <c r="E53" s="216"/>
      <c r="F53" s="216"/>
      <c r="G53" s="216"/>
      <c r="H53" s="216"/>
      <c r="I53" s="216"/>
      <c r="J53" s="216"/>
    </row>
    <row r="54" spans="1:10" x14ac:dyDescent="0.25">
      <c r="A54" s="244" t="s">
        <v>22</v>
      </c>
      <c r="B54" s="271">
        <v>0.24026250764586823</v>
      </c>
      <c r="C54" s="216"/>
      <c r="D54" s="216"/>
      <c r="E54" s="216"/>
      <c r="F54" s="216"/>
      <c r="G54" s="216"/>
      <c r="H54" s="216"/>
      <c r="I54" s="216"/>
      <c r="J54" s="216"/>
    </row>
    <row r="55" spans="1:10" x14ac:dyDescent="0.25">
      <c r="A55" s="244" t="s">
        <v>23</v>
      </c>
      <c r="B55" s="271">
        <v>5.7726072580280889E-2</v>
      </c>
      <c r="C55" s="216"/>
      <c r="D55" s="216"/>
      <c r="E55" s="216"/>
      <c r="F55" s="216"/>
      <c r="G55" s="216"/>
      <c r="H55" s="216"/>
      <c r="I55" s="216"/>
      <c r="J55" s="216"/>
    </row>
    <row r="56" spans="1:10" x14ac:dyDescent="0.25">
      <c r="A56" s="244" t="s">
        <v>24</v>
      </c>
      <c r="B56" s="244">
        <v>3.001213353852444E-2</v>
      </c>
      <c r="C56" s="216"/>
      <c r="D56" s="216"/>
      <c r="E56" s="216"/>
      <c r="F56" s="216"/>
      <c r="G56" s="216"/>
      <c r="H56" s="216"/>
      <c r="I56" s="216"/>
      <c r="J56" s="216"/>
    </row>
    <row r="57" spans="1:10" x14ac:dyDescent="0.25">
      <c r="A57" s="244" t="s">
        <v>25</v>
      </c>
      <c r="B57" s="244">
        <v>5.420815762623036</v>
      </c>
      <c r="C57" s="216"/>
      <c r="D57" s="216"/>
      <c r="E57" s="216"/>
      <c r="F57" s="216"/>
      <c r="G57" s="216"/>
      <c r="H57" s="216"/>
      <c r="I57" s="216"/>
      <c r="J57" s="216"/>
    </row>
    <row r="58" spans="1:10" ht="15.75" thickBot="1" x14ac:dyDescent="0.3">
      <c r="A58" s="245" t="s">
        <v>26</v>
      </c>
      <c r="B58" s="245">
        <v>36</v>
      </c>
      <c r="C58" s="216"/>
      <c r="D58" s="216"/>
      <c r="E58" s="216"/>
      <c r="F58" s="216"/>
      <c r="G58" s="216"/>
      <c r="H58" s="216"/>
      <c r="I58" s="216"/>
      <c r="J58" s="216"/>
    </row>
    <row r="59" spans="1:10" x14ac:dyDescent="0.25">
      <c r="A59" s="216"/>
      <c r="B59" s="216"/>
      <c r="C59" s="216"/>
      <c r="D59" s="216"/>
      <c r="E59" s="216"/>
      <c r="F59" s="216"/>
      <c r="G59" s="216"/>
      <c r="H59" s="216"/>
      <c r="I59" s="216"/>
      <c r="J59" s="216"/>
    </row>
    <row r="60" spans="1:10" ht="15.75" thickBot="1" x14ac:dyDescent="0.3">
      <c r="A60" s="216" t="s">
        <v>27</v>
      </c>
      <c r="B60" s="216"/>
      <c r="C60" s="216"/>
      <c r="D60" s="216"/>
      <c r="E60" s="216"/>
      <c r="F60" s="216"/>
      <c r="G60" s="216"/>
      <c r="H60" s="216"/>
      <c r="I60" s="216"/>
      <c r="J60" s="216"/>
    </row>
    <row r="61" spans="1:10" x14ac:dyDescent="0.25">
      <c r="A61" s="246"/>
      <c r="B61" s="246" t="s">
        <v>32</v>
      </c>
      <c r="C61" s="246" t="s">
        <v>33</v>
      </c>
      <c r="D61" s="246" t="s">
        <v>34</v>
      </c>
      <c r="E61" s="246" t="s">
        <v>35</v>
      </c>
      <c r="F61" s="246" t="s">
        <v>36</v>
      </c>
      <c r="G61" s="216"/>
      <c r="H61" s="216"/>
      <c r="I61" s="216"/>
      <c r="J61" s="216"/>
    </row>
    <row r="62" spans="1:10" x14ac:dyDescent="0.25">
      <c r="A62" s="244" t="s">
        <v>28</v>
      </c>
      <c r="B62" s="244">
        <v>1</v>
      </c>
      <c r="C62" s="244">
        <v>61.207275457275045</v>
      </c>
      <c r="D62" s="244">
        <v>61.207275457275045</v>
      </c>
      <c r="E62" s="244">
        <v>2.082925580997538</v>
      </c>
      <c r="F62" s="244">
        <v>0.1581054067033866</v>
      </c>
      <c r="G62" s="216"/>
      <c r="H62" s="216"/>
      <c r="I62" s="216"/>
      <c r="J62" s="216"/>
    </row>
    <row r="63" spans="1:10" x14ac:dyDescent="0.25">
      <c r="A63" s="244" t="s">
        <v>29</v>
      </c>
      <c r="B63" s="244">
        <v>34</v>
      </c>
      <c r="C63" s="244">
        <v>999.09828009828038</v>
      </c>
      <c r="D63" s="244">
        <v>29.385243532302365</v>
      </c>
      <c r="E63" s="244"/>
      <c r="F63" s="244"/>
      <c r="G63" s="216"/>
      <c r="H63" s="216"/>
      <c r="I63" s="216"/>
      <c r="J63" s="216"/>
    </row>
    <row r="64" spans="1:10" ht="15.75" thickBot="1" x14ac:dyDescent="0.3">
      <c r="A64" s="245" t="s">
        <v>30</v>
      </c>
      <c r="B64" s="245">
        <v>35</v>
      </c>
      <c r="C64" s="245">
        <v>1060.3055555555554</v>
      </c>
      <c r="D64" s="245"/>
      <c r="E64" s="245"/>
      <c r="F64" s="245"/>
      <c r="G64" s="216"/>
      <c r="H64" s="216"/>
      <c r="I64" s="216"/>
      <c r="J64" s="216"/>
    </row>
    <row r="65" spans="1:10" ht="15.75" thickBot="1" x14ac:dyDescent="0.3">
      <c r="A65" s="216"/>
      <c r="B65" s="216"/>
      <c r="C65" s="216"/>
      <c r="D65" s="216"/>
      <c r="E65" s="216"/>
      <c r="F65" s="216"/>
      <c r="G65" s="216"/>
      <c r="H65" s="216"/>
      <c r="I65" s="216"/>
      <c r="J65" s="216"/>
    </row>
    <row r="66" spans="1:10" x14ac:dyDescent="0.25">
      <c r="A66" s="246"/>
      <c r="B66" s="270" t="s">
        <v>37</v>
      </c>
      <c r="C66" s="246" t="s">
        <v>25</v>
      </c>
      <c r="D66" s="246" t="s">
        <v>38</v>
      </c>
      <c r="E66" s="270" t="s">
        <v>39</v>
      </c>
      <c r="F66" s="246" t="s">
        <v>40</v>
      </c>
      <c r="G66" s="246" t="s">
        <v>41</v>
      </c>
      <c r="H66" s="246" t="s">
        <v>42</v>
      </c>
      <c r="I66" s="246" t="s">
        <v>43</v>
      </c>
      <c r="J66" s="216"/>
    </row>
    <row r="67" spans="1:10" x14ac:dyDescent="0.25">
      <c r="A67" s="244" t="s">
        <v>31</v>
      </c>
      <c r="B67" s="271">
        <v>18.488943488943491</v>
      </c>
      <c r="C67" s="244">
        <v>2.0463571785961467</v>
      </c>
      <c r="D67" s="244">
        <v>9.0350519852195976</v>
      </c>
      <c r="E67" s="271">
        <v>1.4673237952681903E-10</v>
      </c>
      <c r="F67" s="244">
        <v>14.330245348638574</v>
      </c>
      <c r="G67" s="244">
        <v>22.647641629248408</v>
      </c>
      <c r="H67" s="244">
        <v>14.330245348638574</v>
      </c>
      <c r="I67" s="244">
        <v>22.647641629248408</v>
      </c>
      <c r="J67" s="216"/>
    </row>
    <row r="68" spans="1:10" ht="15.75" thickBot="1" x14ac:dyDescent="0.3">
      <c r="A68" s="245" t="s">
        <v>156</v>
      </c>
      <c r="B68" s="272">
        <v>1.1633906633906632</v>
      </c>
      <c r="C68" s="245">
        <v>0.80609958443503871</v>
      </c>
      <c r="D68" s="245">
        <v>1.4432344165095121</v>
      </c>
      <c r="E68" s="272">
        <v>0.15810540670338499</v>
      </c>
      <c r="F68" s="245">
        <v>-0.47480079104073925</v>
      </c>
      <c r="G68" s="245">
        <v>2.8015821178220657</v>
      </c>
      <c r="H68" s="245">
        <v>-0.47480079104073925</v>
      </c>
      <c r="I68" s="245">
        <v>2.8015821178220657</v>
      </c>
      <c r="J68" s="216"/>
    </row>
  </sheetData>
  <mergeCells count="6">
    <mergeCell ref="C2:K2"/>
    <mergeCell ref="M2:R2"/>
    <mergeCell ref="T2:Y2"/>
    <mergeCell ref="T3:Y11"/>
    <mergeCell ref="M3:R11"/>
    <mergeCell ref="C3:K1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AB46-E67D-4C08-92CE-7CCDCE7CDF10}">
  <dimension ref="A2:Y53"/>
  <sheetViews>
    <sheetView workbookViewId="0">
      <selection activeCell="T3" sqref="T3:Y11"/>
    </sheetView>
  </sheetViews>
  <sheetFormatPr defaultRowHeight="15" x14ac:dyDescent="0.25"/>
  <sheetData>
    <row r="2" spans="1:25" ht="15.75" x14ac:dyDescent="0.25">
      <c r="C2" s="389" t="s">
        <v>354</v>
      </c>
      <c r="D2" s="389"/>
      <c r="E2" s="389"/>
      <c r="F2" s="389"/>
      <c r="G2" s="389"/>
      <c r="H2" s="389"/>
      <c r="I2" s="389"/>
      <c r="J2" s="389"/>
      <c r="K2" s="389"/>
      <c r="M2" s="410" t="s">
        <v>380</v>
      </c>
      <c r="N2" s="410"/>
      <c r="O2" s="410"/>
      <c r="P2" s="410"/>
      <c r="Q2" s="410"/>
      <c r="R2" s="410"/>
      <c r="T2" s="411" t="s">
        <v>389</v>
      </c>
      <c r="U2" s="411"/>
      <c r="V2" s="411"/>
      <c r="W2" s="411"/>
      <c r="X2" s="411"/>
      <c r="Y2" s="411"/>
    </row>
    <row r="3" spans="1:25" ht="15" customHeight="1" x14ac:dyDescent="0.25">
      <c r="C3" s="437" t="s">
        <v>500</v>
      </c>
      <c r="D3" s="437"/>
      <c r="E3" s="437"/>
      <c r="F3" s="437"/>
      <c r="G3" s="437"/>
      <c r="H3" s="437"/>
      <c r="I3" s="437"/>
      <c r="J3" s="437"/>
      <c r="K3" s="437"/>
      <c r="M3" s="424" t="s">
        <v>443</v>
      </c>
      <c r="N3" s="425"/>
      <c r="O3" s="425"/>
      <c r="P3" s="425"/>
      <c r="Q3" s="425"/>
      <c r="R3" s="426"/>
      <c r="T3" s="424" t="s">
        <v>501</v>
      </c>
      <c r="U3" s="425"/>
      <c r="V3" s="425"/>
      <c r="W3" s="425"/>
      <c r="X3" s="425"/>
      <c r="Y3" s="426"/>
    </row>
    <row r="4" spans="1:25" x14ac:dyDescent="0.25">
      <c r="C4" s="437"/>
      <c r="D4" s="437"/>
      <c r="E4" s="437"/>
      <c r="F4" s="437"/>
      <c r="G4" s="437"/>
      <c r="H4" s="437"/>
      <c r="I4" s="437"/>
      <c r="J4" s="437"/>
      <c r="K4" s="437"/>
      <c r="M4" s="427"/>
      <c r="N4" s="394"/>
      <c r="O4" s="394"/>
      <c r="P4" s="394"/>
      <c r="Q4" s="394"/>
      <c r="R4" s="428"/>
      <c r="T4" s="427"/>
      <c r="U4" s="394"/>
      <c r="V4" s="394"/>
      <c r="W4" s="394"/>
      <c r="X4" s="394"/>
      <c r="Y4" s="428"/>
    </row>
    <row r="5" spans="1:25" x14ac:dyDescent="0.25">
      <c r="C5" s="437"/>
      <c r="D5" s="437"/>
      <c r="E5" s="437"/>
      <c r="F5" s="437"/>
      <c r="G5" s="437"/>
      <c r="H5" s="437"/>
      <c r="I5" s="437"/>
      <c r="J5" s="437"/>
      <c r="K5" s="437"/>
      <c r="M5" s="427"/>
      <c r="N5" s="394"/>
      <c r="O5" s="394"/>
      <c r="P5" s="394"/>
      <c r="Q5" s="394"/>
      <c r="R5" s="428"/>
      <c r="T5" s="427"/>
      <c r="U5" s="394"/>
      <c r="V5" s="394"/>
      <c r="W5" s="394"/>
      <c r="X5" s="394"/>
      <c r="Y5" s="428"/>
    </row>
    <row r="6" spans="1:25" x14ac:dyDescent="0.25">
      <c r="C6" s="437"/>
      <c r="D6" s="437"/>
      <c r="E6" s="437"/>
      <c r="F6" s="437"/>
      <c r="G6" s="437"/>
      <c r="H6" s="437"/>
      <c r="I6" s="437"/>
      <c r="J6" s="437"/>
      <c r="K6" s="437"/>
      <c r="M6" s="427"/>
      <c r="N6" s="394"/>
      <c r="O6" s="394"/>
      <c r="P6" s="394"/>
      <c r="Q6" s="394"/>
      <c r="R6" s="428"/>
      <c r="T6" s="427"/>
      <c r="U6" s="394"/>
      <c r="V6" s="394"/>
      <c r="W6" s="394"/>
      <c r="X6" s="394"/>
      <c r="Y6" s="428"/>
    </row>
    <row r="7" spans="1:25" x14ac:dyDescent="0.25">
      <c r="C7" s="437"/>
      <c r="D7" s="437"/>
      <c r="E7" s="437"/>
      <c r="F7" s="437"/>
      <c r="G7" s="437"/>
      <c r="H7" s="437"/>
      <c r="I7" s="437"/>
      <c r="J7" s="437"/>
      <c r="K7" s="437"/>
      <c r="M7" s="427"/>
      <c r="N7" s="394"/>
      <c r="O7" s="394"/>
      <c r="P7" s="394"/>
      <c r="Q7" s="394"/>
      <c r="R7" s="428"/>
      <c r="T7" s="427"/>
      <c r="U7" s="394"/>
      <c r="V7" s="394"/>
      <c r="W7" s="394"/>
      <c r="X7" s="394"/>
      <c r="Y7" s="428"/>
    </row>
    <row r="8" spans="1:25" x14ac:dyDescent="0.25">
      <c r="C8" s="437"/>
      <c r="D8" s="437"/>
      <c r="E8" s="437"/>
      <c r="F8" s="437"/>
      <c r="G8" s="437"/>
      <c r="H8" s="437"/>
      <c r="I8" s="437"/>
      <c r="J8" s="437"/>
      <c r="K8" s="437"/>
      <c r="M8" s="427"/>
      <c r="N8" s="394"/>
      <c r="O8" s="394"/>
      <c r="P8" s="394"/>
      <c r="Q8" s="394"/>
      <c r="R8" s="428"/>
      <c r="T8" s="427"/>
      <c r="U8" s="394"/>
      <c r="V8" s="394"/>
      <c r="W8" s="394"/>
      <c r="X8" s="394"/>
      <c r="Y8" s="428"/>
    </row>
    <row r="9" spans="1:25" x14ac:dyDescent="0.25">
      <c r="C9" s="437"/>
      <c r="D9" s="437"/>
      <c r="E9" s="437"/>
      <c r="F9" s="437"/>
      <c r="G9" s="437"/>
      <c r="H9" s="437"/>
      <c r="I9" s="437"/>
      <c r="J9" s="437"/>
      <c r="K9" s="437"/>
      <c r="M9" s="427"/>
      <c r="N9" s="394"/>
      <c r="O9" s="394"/>
      <c r="P9" s="394"/>
      <c r="Q9" s="394"/>
      <c r="R9" s="428"/>
      <c r="T9" s="427"/>
      <c r="U9" s="394"/>
      <c r="V9" s="394"/>
      <c r="W9" s="394"/>
      <c r="X9" s="394"/>
      <c r="Y9" s="428"/>
    </row>
    <row r="10" spans="1:25" x14ac:dyDescent="0.25">
      <c r="C10" s="437"/>
      <c r="D10" s="437"/>
      <c r="E10" s="437"/>
      <c r="F10" s="437"/>
      <c r="G10" s="437"/>
      <c r="H10" s="437"/>
      <c r="I10" s="437"/>
      <c r="J10" s="437"/>
      <c r="K10" s="437"/>
      <c r="M10" s="427"/>
      <c r="N10" s="394"/>
      <c r="O10" s="394"/>
      <c r="P10" s="394"/>
      <c r="Q10" s="394"/>
      <c r="R10" s="428"/>
      <c r="T10" s="427"/>
      <c r="U10" s="394"/>
      <c r="V10" s="394"/>
      <c r="W10" s="394"/>
      <c r="X10" s="394"/>
      <c r="Y10" s="428"/>
    </row>
    <row r="11" spans="1:25" x14ac:dyDescent="0.25">
      <c r="C11" s="437"/>
      <c r="D11" s="437"/>
      <c r="E11" s="437"/>
      <c r="F11" s="437"/>
      <c r="G11" s="437"/>
      <c r="H11" s="437"/>
      <c r="I11" s="437"/>
      <c r="J11" s="437"/>
      <c r="K11" s="437"/>
      <c r="M11" s="429"/>
      <c r="N11" s="430"/>
      <c r="O11" s="430"/>
      <c r="P11" s="430"/>
      <c r="Q11" s="430"/>
      <c r="R11" s="431"/>
      <c r="T11" s="429"/>
      <c r="U11" s="430"/>
      <c r="V11" s="430"/>
      <c r="W11" s="430"/>
      <c r="X11" s="430"/>
      <c r="Y11" s="431"/>
    </row>
    <row r="12" spans="1:25" s="120" customFormat="1" x14ac:dyDescent="0.25">
      <c r="C12" s="437"/>
      <c r="D12" s="437"/>
      <c r="E12" s="437"/>
      <c r="F12" s="437"/>
      <c r="G12" s="437"/>
      <c r="H12" s="437"/>
      <c r="I12" s="437"/>
      <c r="J12" s="437"/>
      <c r="K12" s="437"/>
      <c r="M12" s="220"/>
      <c r="N12" s="220"/>
      <c r="O12" s="220"/>
      <c r="P12" s="220"/>
      <c r="Q12" s="220"/>
      <c r="R12" s="220"/>
      <c r="T12" s="220"/>
      <c r="U12" s="220"/>
      <c r="V12" s="220"/>
      <c r="W12" s="220"/>
      <c r="X12" s="220"/>
      <c r="Y12" s="220"/>
    </row>
    <row r="13" spans="1:25" s="120" customFormat="1" x14ac:dyDescent="0.25">
      <c r="C13" s="437"/>
      <c r="D13" s="437"/>
      <c r="E13" s="437"/>
      <c r="F13" s="437"/>
      <c r="G13" s="437"/>
      <c r="H13" s="437"/>
      <c r="I13" s="437"/>
      <c r="J13" s="437"/>
      <c r="K13" s="437"/>
      <c r="M13" s="220"/>
      <c r="N13" s="220"/>
      <c r="O13" s="220"/>
      <c r="P13" s="220"/>
      <c r="Q13" s="220"/>
      <c r="R13" s="220"/>
      <c r="T13" s="220"/>
      <c r="U13" s="220"/>
      <c r="V13" s="220"/>
      <c r="W13" s="220"/>
      <c r="X13" s="220"/>
      <c r="Y13" s="220"/>
    </row>
    <row r="14" spans="1:25" s="120" customFormat="1" x14ac:dyDescent="0.25">
      <c r="C14" s="437"/>
      <c r="D14" s="437"/>
      <c r="E14" s="437"/>
      <c r="F14" s="437"/>
      <c r="G14" s="437"/>
      <c r="H14" s="437"/>
      <c r="I14" s="437"/>
      <c r="J14" s="437"/>
      <c r="K14" s="437"/>
      <c r="M14" s="220"/>
      <c r="N14" s="220"/>
      <c r="O14" s="220"/>
      <c r="P14" s="220"/>
      <c r="Q14" s="220"/>
      <c r="R14" s="220"/>
      <c r="T14" s="220"/>
      <c r="U14" s="220"/>
      <c r="V14" s="220"/>
      <c r="W14" s="220"/>
      <c r="X14" s="220"/>
      <c r="Y14" s="220"/>
    </row>
    <row r="15" spans="1:25" x14ac:dyDescent="0.25">
      <c r="I15" s="440" t="s">
        <v>420</v>
      </c>
      <c r="J15" s="440"/>
      <c r="K15" s="440"/>
      <c r="L15" s="440"/>
      <c r="M15" s="440"/>
      <c r="N15" s="120"/>
      <c r="O15" s="440" t="s">
        <v>421</v>
      </c>
      <c r="P15" s="440"/>
      <c r="Q15" s="440"/>
      <c r="R15" s="440"/>
      <c r="S15" s="440"/>
    </row>
    <row r="16" spans="1:25" ht="36.75" thickBot="1" x14ac:dyDescent="0.3">
      <c r="A16" s="225" t="s">
        <v>256</v>
      </c>
      <c r="B16" s="231" t="s">
        <v>156</v>
      </c>
      <c r="C16" s="231" t="s">
        <v>138</v>
      </c>
      <c r="D16" s="275" t="s">
        <v>439</v>
      </c>
      <c r="E16" s="276" t="s">
        <v>440</v>
      </c>
      <c r="F16" s="276" t="s">
        <v>441</v>
      </c>
      <c r="I16" s="439" t="s">
        <v>442</v>
      </c>
      <c r="J16" s="439"/>
      <c r="K16" s="439"/>
      <c r="L16" s="439"/>
      <c r="M16" s="439"/>
      <c r="N16" s="120"/>
      <c r="O16" s="439" t="s">
        <v>442</v>
      </c>
      <c r="P16" s="439"/>
      <c r="Q16" s="439"/>
      <c r="R16" s="439"/>
      <c r="S16" s="439"/>
    </row>
    <row r="17" spans="1:19" ht="37.5" thickTop="1" thickBot="1" x14ac:dyDescent="0.3">
      <c r="A17" s="198" t="s">
        <v>257</v>
      </c>
      <c r="B17" s="53">
        <v>2</v>
      </c>
      <c r="C17" s="58" t="s">
        <v>159</v>
      </c>
      <c r="D17" s="120">
        <f>IF(B17 &lt;= 2, 1,0)</f>
        <v>1</v>
      </c>
      <c r="E17" s="120">
        <f>IF(AND(B17&gt;2,B17&lt;5), 1,0)</f>
        <v>0</v>
      </c>
      <c r="F17" s="120">
        <f>IF(AND(B17&gt;4,B17&lt;7), 1,0)</f>
        <v>0</v>
      </c>
      <c r="I17" s="231" t="s">
        <v>138</v>
      </c>
      <c r="J17" s="275" t="s">
        <v>439</v>
      </c>
      <c r="K17" s="276" t="s">
        <v>440</v>
      </c>
      <c r="L17" s="276" t="s">
        <v>441</v>
      </c>
      <c r="M17" s="273" t="s">
        <v>30</v>
      </c>
      <c r="N17" s="120"/>
      <c r="O17" s="231" t="s">
        <v>138</v>
      </c>
      <c r="P17" s="275" t="s">
        <v>439</v>
      </c>
      <c r="Q17" s="276" t="s">
        <v>440</v>
      </c>
      <c r="R17" s="276" t="s">
        <v>441</v>
      </c>
      <c r="S17" s="273" t="s">
        <v>30</v>
      </c>
    </row>
    <row r="18" spans="1:19" ht="16.5" thickTop="1" thickBot="1" x14ac:dyDescent="0.3">
      <c r="A18" s="198" t="s">
        <v>258</v>
      </c>
      <c r="B18" s="53">
        <v>2</v>
      </c>
      <c r="C18" s="58" t="s">
        <v>159</v>
      </c>
      <c r="D18" s="120">
        <f t="shared" ref="D18:D52" si="0">IF(B18 &lt;= 2, 1,0)</f>
        <v>1</v>
      </c>
      <c r="E18" s="120">
        <f t="shared" ref="E18:E52" si="1">IF(AND(B18&gt;2,B18&lt;5), 1,0)</f>
        <v>0</v>
      </c>
      <c r="F18" s="120">
        <f t="shared" ref="F18:F52" si="2">IF(AND(B18&gt;4,B18&lt;7), 1,0)</f>
        <v>0</v>
      </c>
      <c r="I18" s="120" t="s">
        <v>327</v>
      </c>
      <c r="J18" s="291">
        <v>11</v>
      </c>
      <c r="K18" s="291">
        <v>0</v>
      </c>
      <c r="L18" s="291">
        <v>0</v>
      </c>
      <c r="M18" s="279">
        <f>SUM(J18:L18)</f>
        <v>11</v>
      </c>
      <c r="N18" s="120"/>
      <c r="O18" s="120" t="s">
        <v>327</v>
      </c>
      <c r="P18" s="293">
        <f>M18*J20/M20</f>
        <v>7.333333333333333</v>
      </c>
      <c r="Q18" s="293">
        <f>M18*K20/M20</f>
        <v>3.3611111111111112</v>
      </c>
      <c r="R18" s="293">
        <f>M18*L20/M20</f>
        <v>0.30555555555555558</v>
      </c>
      <c r="S18" s="280">
        <f>SUM(P18:R18)</f>
        <v>11</v>
      </c>
    </row>
    <row r="19" spans="1:19" ht="15.75" thickBot="1" x14ac:dyDescent="0.3">
      <c r="A19" s="71" t="s">
        <v>259</v>
      </c>
      <c r="B19" s="75">
        <v>2</v>
      </c>
      <c r="C19" s="77" t="s">
        <v>159</v>
      </c>
      <c r="D19" s="120">
        <f t="shared" si="0"/>
        <v>1</v>
      </c>
      <c r="E19" s="120">
        <f t="shared" si="1"/>
        <v>0</v>
      </c>
      <c r="F19" s="120">
        <f t="shared" si="2"/>
        <v>0</v>
      </c>
      <c r="I19" s="120" t="s">
        <v>326</v>
      </c>
      <c r="J19" s="292">
        <v>13</v>
      </c>
      <c r="K19" s="292">
        <v>11</v>
      </c>
      <c r="L19" s="292">
        <v>1</v>
      </c>
      <c r="M19" s="279">
        <f>SUM(J19:L19)</f>
        <v>25</v>
      </c>
      <c r="N19" s="120"/>
      <c r="O19" s="120" t="s">
        <v>326</v>
      </c>
      <c r="P19" s="294">
        <f>M19*J20/M20</f>
        <v>16.666666666666668</v>
      </c>
      <c r="Q19" s="294">
        <f>M19*K20/M20</f>
        <v>7.6388888888888893</v>
      </c>
      <c r="R19" s="294">
        <f>M19*L20/M20</f>
        <v>0.69444444444444442</v>
      </c>
      <c r="S19" s="280">
        <f>SUM(P19:R19)</f>
        <v>25</v>
      </c>
    </row>
    <row r="20" spans="1:19" ht="15.75" thickBot="1" x14ac:dyDescent="0.3">
      <c r="A20" s="198" t="s">
        <v>260</v>
      </c>
      <c r="B20" s="53">
        <v>3</v>
      </c>
      <c r="C20" s="58" t="s">
        <v>159</v>
      </c>
      <c r="D20" s="120">
        <f t="shared" si="0"/>
        <v>0</v>
      </c>
      <c r="E20" s="120">
        <f t="shared" si="1"/>
        <v>1</v>
      </c>
      <c r="F20" s="120">
        <f t="shared" si="2"/>
        <v>0</v>
      </c>
      <c r="I20" s="274" t="s">
        <v>30</v>
      </c>
      <c r="J20" s="277">
        <f>SUM(J18:J19)</f>
        <v>24</v>
      </c>
      <c r="K20" s="277">
        <f>SUM(K18:K19)</f>
        <v>11</v>
      </c>
      <c r="L20" s="277">
        <f>SUM(L18:L19)</f>
        <v>1</v>
      </c>
      <c r="M20" s="278">
        <f>SUM(J20:L20)</f>
        <v>36</v>
      </c>
      <c r="N20" s="120"/>
      <c r="O20" s="274" t="s">
        <v>30</v>
      </c>
      <c r="P20" s="281">
        <f>SUM(P18:P19)</f>
        <v>24</v>
      </c>
      <c r="Q20" s="281">
        <f>SUM(Q18:Q19)</f>
        <v>11</v>
      </c>
      <c r="R20" s="281">
        <f>SUM(R18:R19)</f>
        <v>1</v>
      </c>
      <c r="S20" s="282">
        <f>SUM(P20:R20)</f>
        <v>36</v>
      </c>
    </row>
    <row r="21" spans="1:19" x14ac:dyDescent="0.25">
      <c r="A21" s="198" t="s">
        <v>261</v>
      </c>
      <c r="B21" s="53">
        <v>2</v>
      </c>
      <c r="C21" s="58" t="s">
        <v>159</v>
      </c>
      <c r="D21" s="120">
        <f t="shared" si="0"/>
        <v>1</v>
      </c>
      <c r="E21" s="120">
        <f t="shared" si="1"/>
        <v>0</v>
      </c>
      <c r="F21" s="120">
        <f t="shared" si="2"/>
        <v>0</v>
      </c>
    </row>
    <row r="22" spans="1:19" ht="15.75" thickBot="1" x14ac:dyDescent="0.3">
      <c r="A22" s="71" t="s">
        <v>262</v>
      </c>
      <c r="B22" s="75">
        <v>4</v>
      </c>
      <c r="C22" s="77" t="s">
        <v>159</v>
      </c>
      <c r="D22" s="120">
        <f t="shared" si="0"/>
        <v>0</v>
      </c>
      <c r="E22" s="120">
        <f t="shared" si="1"/>
        <v>1</v>
      </c>
      <c r="F22" s="120">
        <f t="shared" si="2"/>
        <v>0</v>
      </c>
      <c r="M22" s="290" t="s">
        <v>422</v>
      </c>
      <c r="N22" s="290">
        <f>_xlfn.CHISQ.TEST(J18:L19,P18:R19)</f>
        <v>1.9063114291611637E-2</v>
      </c>
    </row>
    <row r="23" spans="1:19" x14ac:dyDescent="0.25">
      <c r="A23" s="198" t="s">
        <v>263</v>
      </c>
      <c r="B23" s="53">
        <v>3</v>
      </c>
      <c r="C23" s="58" t="s">
        <v>159</v>
      </c>
      <c r="D23" s="120">
        <f t="shared" si="0"/>
        <v>0</v>
      </c>
      <c r="E23" s="120">
        <f t="shared" si="1"/>
        <v>1</v>
      </c>
      <c r="F23" s="120">
        <f t="shared" si="2"/>
        <v>0</v>
      </c>
    </row>
    <row r="24" spans="1:19" x14ac:dyDescent="0.25">
      <c r="A24" s="198" t="s">
        <v>264</v>
      </c>
      <c r="B24" s="53">
        <v>2</v>
      </c>
      <c r="C24" s="58" t="s">
        <v>158</v>
      </c>
      <c r="D24" s="120">
        <f t="shared" si="0"/>
        <v>1</v>
      </c>
      <c r="E24" s="120">
        <f t="shared" si="1"/>
        <v>0</v>
      </c>
      <c r="F24" s="120">
        <f t="shared" si="2"/>
        <v>0</v>
      </c>
    </row>
    <row r="25" spans="1:19" ht="15.75" thickBot="1" x14ac:dyDescent="0.3">
      <c r="A25" s="153" t="s">
        <v>265</v>
      </c>
      <c r="B25" s="158">
        <v>4</v>
      </c>
      <c r="C25" s="160" t="s">
        <v>159</v>
      </c>
      <c r="D25" s="120">
        <f t="shared" si="0"/>
        <v>0</v>
      </c>
      <c r="E25" s="120">
        <f t="shared" si="1"/>
        <v>1</v>
      </c>
      <c r="F25" s="120">
        <f t="shared" si="2"/>
        <v>0</v>
      </c>
    </row>
    <row r="26" spans="1:19" x14ac:dyDescent="0.25">
      <c r="A26" s="198" t="s">
        <v>266</v>
      </c>
      <c r="B26" s="53">
        <v>3</v>
      </c>
      <c r="C26" s="58" t="s">
        <v>159</v>
      </c>
      <c r="D26" s="120">
        <f t="shared" si="0"/>
        <v>0</v>
      </c>
      <c r="E26" s="120">
        <f t="shared" si="1"/>
        <v>1</v>
      </c>
      <c r="F26" s="120">
        <f t="shared" si="2"/>
        <v>0</v>
      </c>
    </row>
    <row r="27" spans="1:19" x14ac:dyDescent="0.25">
      <c r="A27" s="198" t="s">
        <v>267</v>
      </c>
      <c r="B27" s="53">
        <v>2</v>
      </c>
      <c r="C27" s="58" t="s">
        <v>159</v>
      </c>
      <c r="D27" s="120">
        <f t="shared" si="0"/>
        <v>1</v>
      </c>
      <c r="E27" s="120">
        <f t="shared" si="1"/>
        <v>0</v>
      </c>
      <c r="F27" s="120">
        <f t="shared" si="2"/>
        <v>0</v>
      </c>
    </row>
    <row r="28" spans="1:19" ht="15.75" thickBot="1" x14ac:dyDescent="0.3">
      <c r="A28" s="71" t="s">
        <v>268</v>
      </c>
      <c r="B28" s="75">
        <v>1</v>
      </c>
      <c r="C28" s="77" t="s">
        <v>158</v>
      </c>
      <c r="D28" s="120">
        <f t="shared" si="0"/>
        <v>1</v>
      </c>
      <c r="E28" s="120">
        <f t="shared" si="1"/>
        <v>0</v>
      </c>
      <c r="F28" s="120">
        <f t="shared" si="2"/>
        <v>0</v>
      </c>
    </row>
    <row r="29" spans="1:19" x14ac:dyDescent="0.25">
      <c r="A29" s="198" t="s">
        <v>269</v>
      </c>
      <c r="B29" s="53">
        <v>2</v>
      </c>
      <c r="C29" s="58" t="s">
        <v>159</v>
      </c>
      <c r="D29" s="120">
        <f t="shared" si="0"/>
        <v>1</v>
      </c>
      <c r="E29" s="120">
        <f t="shared" si="1"/>
        <v>0</v>
      </c>
      <c r="F29" s="120">
        <f t="shared" si="2"/>
        <v>0</v>
      </c>
    </row>
    <row r="30" spans="1:19" x14ac:dyDescent="0.25">
      <c r="A30" s="198" t="s">
        <v>270</v>
      </c>
      <c r="B30" s="53">
        <v>2</v>
      </c>
      <c r="C30" s="58" t="s">
        <v>159</v>
      </c>
      <c r="D30" s="120">
        <f t="shared" si="0"/>
        <v>1</v>
      </c>
      <c r="E30" s="120">
        <f t="shared" si="1"/>
        <v>0</v>
      </c>
      <c r="F30" s="120">
        <f t="shared" si="2"/>
        <v>0</v>
      </c>
    </row>
    <row r="31" spans="1:19" ht="15.75" thickBot="1" x14ac:dyDescent="0.3">
      <c r="A31" s="71" t="s">
        <v>271</v>
      </c>
      <c r="B31" s="75">
        <v>1</v>
      </c>
      <c r="C31" s="77" t="s">
        <v>159</v>
      </c>
      <c r="D31" s="120">
        <f t="shared" si="0"/>
        <v>1</v>
      </c>
      <c r="E31" s="120">
        <f t="shared" si="1"/>
        <v>0</v>
      </c>
      <c r="F31" s="120">
        <f t="shared" si="2"/>
        <v>0</v>
      </c>
    </row>
    <row r="32" spans="1:19" x14ac:dyDescent="0.25">
      <c r="A32" s="198" t="s">
        <v>272</v>
      </c>
      <c r="B32" s="53">
        <v>4</v>
      </c>
      <c r="C32" s="58" t="s">
        <v>159</v>
      </c>
      <c r="D32" s="120">
        <f t="shared" si="0"/>
        <v>0</v>
      </c>
      <c r="E32" s="120">
        <f t="shared" si="1"/>
        <v>1</v>
      </c>
      <c r="F32" s="120">
        <f t="shared" si="2"/>
        <v>0</v>
      </c>
    </row>
    <row r="33" spans="1:6" x14ac:dyDescent="0.25">
      <c r="A33" s="198" t="s">
        <v>273</v>
      </c>
      <c r="B33" s="53">
        <v>2</v>
      </c>
      <c r="C33" s="58" t="s">
        <v>159</v>
      </c>
      <c r="D33" s="120">
        <f t="shared" si="0"/>
        <v>1</v>
      </c>
      <c r="E33" s="120">
        <f t="shared" si="1"/>
        <v>0</v>
      </c>
      <c r="F33" s="120">
        <f t="shared" si="2"/>
        <v>0</v>
      </c>
    </row>
    <row r="34" spans="1:6" ht="15.75" thickBot="1" x14ac:dyDescent="0.3">
      <c r="A34" s="128" t="s">
        <v>274</v>
      </c>
      <c r="B34" s="133">
        <v>1</v>
      </c>
      <c r="C34" s="135" t="s">
        <v>158</v>
      </c>
      <c r="D34" s="120">
        <f t="shared" si="0"/>
        <v>1</v>
      </c>
      <c r="E34" s="120">
        <f t="shared" si="1"/>
        <v>0</v>
      </c>
      <c r="F34" s="120">
        <f t="shared" si="2"/>
        <v>0</v>
      </c>
    </row>
    <row r="35" spans="1:6" ht="15.75" thickTop="1" x14ac:dyDescent="0.25">
      <c r="A35" s="198" t="s">
        <v>275</v>
      </c>
      <c r="B35" s="53">
        <v>5</v>
      </c>
      <c r="C35" s="58" t="s">
        <v>159</v>
      </c>
      <c r="D35" s="120">
        <f t="shared" si="0"/>
        <v>0</v>
      </c>
      <c r="E35" s="120">
        <f t="shared" si="1"/>
        <v>0</v>
      </c>
      <c r="F35" s="120">
        <f t="shared" si="2"/>
        <v>1</v>
      </c>
    </row>
    <row r="36" spans="1:6" x14ac:dyDescent="0.25">
      <c r="A36" s="198" t="s">
        <v>276</v>
      </c>
      <c r="B36" s="53">
        <v>2</v>
      </c>
      <c r="C36" s="58" t="s">
        <v>159</v>
      </c>
      <c r="D36" s="120">
        <f t="shared" si="0"/>
        <v>1</v>
      </c>
      <c r="E36" s="120">
        <f t="shared" si="1"/>
        <v>0</v>
      </c>
      <c r="F36" s="120">
        <f t="shared" si="2"/>
        <v>0</v>
      </c>
    </row>
    <row r="37" spans="1:6" ht="15.75" thickBot="1" x14ac:dyDescent="0.3">
      <c r="A37" s="71" t="s">
        <v>277</v>
      </c>
      <c r="B37" s="75">
        <v>1</v>
      </c>
      <c r="C37" s="77" t="s">
        <v>158</v>
      </c>
      <c r="D37" s="120">
        <f t="shared" si="0"/>
        <v>1</v>
      </c>
      <c r="E37" s="120">
        <f t="shared" si="1"/>
        <v>0</v>
      </c>
      <c r="F37" s="120">
        <f t="shared" si="2"/>
        <v>0</v>
      </c>
    </row>
    <row r="38" spans="1:6" x14ac:dyDescent="0.25">
      <c r="A38" s="198" t="s">
        <v>278</v>
      </c>
      <c r="B38" s="53">
        <v>3</v>
      </c>
      <c r="C38" s="58" t="s">
        <v>159</v>
      </c>
      <c r="D38" s="120">
        <f t="shared" si="0"/>
        <v>0</v>
      </c>
      <c r="E38" s="120">
        <f t="shared" si="1"/>
        <v>1</v>
      </c>
      <c r="F38" s="120">
        <f t="shared" si="2"/>
        <v>0</v>
      </c>
    </row>
    <row r="39" spans="1:6" x14ac:dyDescent="0.25">
      <c r="A39" s="198" t="s">
        <v>279</v>
      </c>
      <c r="B39" s="53">
        <v>1</v>
      </c>
      <c r="C39" s="58" t="s">
        <v>158</v>
      </c>
      <c r="D39" s="120">
        <f t="shared" si="0"/>
        <v>1</v>
      </c>
      <c r="E39" s="120">
        <f t="shared" si="1"/>
        <v>0</v>
      </c>
      <c r="F39" s="120">
        <f t="shared" si="2"/>
        <v>0</v>
      </c>
    </row>
    <row r="40" spans="1:6" ht="15.75" thickBot="1" x14ac:dyDescent="0.3">
      <c r="A40" s="71" t="s">
        <v>280</v>
      </c>
      <c r="B40" s="75">
        <v>2</v>
      </c>
      <c r="C40" s="77" t="s">
        <v>159</v>
      </c>
      <c r="D40" s="120">
        <f t="shared" si="0"/>
        <v>1</v>
      </c>
      <c r="E40" s="120">
        <f t="shared" si="1"/>
        <v>0</v>
      </c>
      <c r="F40" s="120">
        <f t="shared" si="2"/>
        <v>0</v>
      </c>
    </row>
    <row r="41" spans="1:6" x14ac:dyDescent="0.25">
      <c r="A41" s="198" t="s">
        <v>281</v>
      </c>
      <c r="B41" s="53">
        <v>4</v>
      </c>
      <c r="C41" s="58" t="s">
        <v>159</v>
      </c>
      <c r="D41" s="120">
        <f t="shared" si="0"/>
        <v>0</v>
      </c>
      <c r="E41" s="120">
        <f t="shared" si="1"/>
        <v>1</v>
      </c>
      <c r="F41" s="120">
        <f t="shared" si="2"/>
        <v>0</v>
      </c>
    </row>
    <row r="42" spans="1:6" x14ac:dyDescent="0.25">
      <c r="A42" s="198" t="s">
        <v>282</v>
      </c>
      <c r="B42" s="53">
        <v>1</v>
      </c>
      <c r="C42" s="58" t="s">
        <v>158</v>
      </c>
      <c r="D42" s="120">
        <f t="shared" si="0"/>
        <v>1</v>
      </c>
      <c r="E42" s="120">
        <f t="shared" si="1"/>
        <v>0</v>
      </c>
      <c r="F42" s="120">
        <f t="shared" si="2"/>
        <v>0</v>
      </c>
    </row>
    <row r="43" spans="1:6" ht="15.75" thickBot="1" x14ac:dyDescent="0.3">
      <c r="A43" s="153" t="s">
        <v>283</v>
      </c>
      <c r="B43" s="158">
        <v>2</v>
      </c>
      <c r="C43" s="160" t="s">
        <v>158</v>
      </c>
      <c r="D43" s="120">
        <f t="shared" si="0"/>
        <v>1</v>
      </c>
      <c r="E43" s="120">
        <f t="shared" si="1"/>
        <v>0</v>
      </c>
      <c r="F43" s="120">
        <f t="shared" si="2"/>
        <v>0</v>
      </c>
    </row>
    <row r="44" spans="1:6" x14ac:dyDescent="0.25">
      <c r="A44" s="198" t="s">
        <v>284</v>
      </c>
      <c r="B44" s="53">
        <v>4</v>
      </c>
      <c r="C44" s="58" t="s">
        <v>159</v>
      </c>
      <c r="D44" s="120">
        <f t="shared" si="0"/>
        <v>0</v>
      </c>
      <c r="E44" s="120">
        <f t="shared" si="1"/>
        <v>1</v>
      </c>
      <c r="F44" s="120">
        <f t="shared" si="2"/>
        <v>0</v>
      </c>
    </row>
    <row r="45" spans="1:6" x14ac:dyDescent="0.25">
      <c r="A45" s="198" t="s">
        <v>285</v>
      </c>
      <c r="B45" s="53">
        <v>1</v>
      </c>
      <c r="C45" s="58" t="s">
        <v>158</v>
      </c>
      <c r="D45" s="120">
        <f t="shared" si="0"/>
        <v>1</v>
      </c>
      <c r="E45" s="120">
        <f t="shared" si="1"/>
        <v>0</v>
      </c>
      <c r="F45" s="120">
        <f t="shared" si="2"/>
        <v>0</v>
      </c>
    </row>
    <row r="46" spans="1:6" ht="15.75" thickBot="1" x14ac:dyDescent="0.3">
      <c r="A46" s="71" t="s">
        <v>286</v>
      </c>
      <c r="B46" s="75">
        <v>2</v>
      </c>
      <c r="C46" s="77" t="s">
        <v>158</v>
      </c>
      <c r="D46" s="120">
        <f t="shared" si="0"/>
        <v>1</v>
      </c>
      <c r="E46" s="120">
        <f t="shared" si="1"/>
        <v>0</v>
      </c>
      <c r="F46" s="120">
        <f t="shared" si="2"/>
        <v>0</v>
      </c>
    </row>
    <row r="47" spans="1:6" x14ac:dyDescent="0.25">
      <c r="A47" s="198" t="s">
        <v>287</v>
      </c>
      <c r="B47" s="53">
        <v>4</v>
      </c>
      <c r="C47" s="58" t="s">
        <v>159</v>
      </c>
      <c r="D47" s="120">
        <f t="shared" si="0"/>
        <v>0</v>
      </c>
      <c r="E47" s="120">
        <f t="shared" si="1"/>
        <v>1</v>
      </c>
      <c r="F47" s="120">
        <f t="shared" si="2"/>
        <v>0</v>
      </c>
    </row>
    <row r="48" spans="1:6" x14ac:dyDescent="0.25">
      <c r="A48" s="198" t="s">
        <v>288</v>
      </c>
      <c r="B48" s="53">
        <v>1</v>
      </c>
      <c r="C48" s="58" t="s">
        <v>158</v>
      </c>
      <c r="D48" s="120">
        <f t="shared" si="0"/>
        <v>1</v>
      </c>
      <c r="E48" s="120">
        <f t="shared" si="1"/>
        <v>0</v>
      </c>
      <c r="F48" s="120">
        <f t="shared" si="2"/>
        <v>0</v>
      </c>
    </row>
    <row r="49" spans="1:6" ht="15.75" thickBot="1" x14ac:dyDescent="0.3">
      <c r="A49" s="71" t="s">
        <v>289</v>
      </c>
      <c r="B49" s="75">
        <v>2</v>
      </c>
      <c r="C49" s="77" t="s">
        <v>159</v>
      </c>
      <c r="D49" s="120">
        <f t="shared" si="0"/>
        <v>1</v>
      </c>
      <c r="E49" s="120">
        <f t="shared" si="1"/>
        <v>0</v>
      </c>
      <c r="F49" s="120">
        <f t="shared" si="2"/>
        <v>0</v>
      </c>
    </row>
    <row r="50" spans="1:6" x14ac:dyDescent="0.25">
      <c r="A50" s="198" t="s">
        <v>290</v>
      </c>
      <c r="B50" s="53">
        <v>3</v>
      </c>
      <c r="C50" s="58" t="s">
        <v>159</v>
      </c>
      <c r="D50" s="120">
        <f t="shared" si="0"/>
        <v>0</v>
      </c>
      <c r="E50" s="120">
        <f t="shared" si="1"/>
        <v>1</v>
      </c>
      <c r="F50" s="120">
        <f t="shared" si="2"/>
        <v>0</v>
      </c>
    </row>
    <row r="51" spans="1:6" x14ac:dyDescent="0.25">
      <c r="A51" s="198" t="s">
        <v>291</v>
      </c>
      <c r="B51" s="53">
        <v>1</v>
      </c>
      <c r="C51" s="58" t="s">
        <v>159</v>
      </c>
      <c r="D51" s="120">
        <f t="shared" si="0"/>
        <v>1</v>
      </c>
      <c r="E51" s="120">
        <f t="shared" si="1"/>
        <v>0</v>
      </c>
      <c r="F51" s="120">
        <f t="shared" si="2"/>
        <v>0</v>
      </c>
    </row>
    <row r="52" spans="1:6" ht="15.75" thickBot="1" x14ac:dyDescent="0.3">
      <c r="A52" s="128" t="s">
        <v>292</v>
      </c>
      <c r="B52" s="133">
        <v>1</v>
      </c>
      <c r="C52" s="135" t="s">
        <v>158</v>
      </c>
      <c r="D52" s="222">
        <f t="shared" si="0"/>
        <v>1</v>
      </c>
      <c r="E52" s="222">
        <f t="shared" si="1"/>
        <v>0</v>
      </c>
      <c r="F52" s="222">
        <f t="shared" si="2"/>
        <v>0</v>
      </c>
    </row>
    <row r="53" spans="1:6" ht="15.75" thickTop="1" x14ac:dyDescent="0.25"/>
  </sheetData>
  <mergeCells count="10">
    <mergeCell ref="T2:Y2"/>
    <mergeCell ref="T3:Y11"/>
    <mergeCell ref="M3:R11"/>
    <mergeCell ref="C3:K14"/>
    <mergeCell ref="I15:M15"/>
    <mergeCell ref="O15:S15"/>
    <mergeCell ref="I16:M16"/>
    <mergeCell ref="O16:S16"/>
    <mergeCell ref="C2:K2"/>
    <mergeCell ref="M2:R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28D54-8D04-4F44-BA9B-1D1F5302D473}">
  <dimension ref="A1:R22"/>
  <sheetViews>
    <sheetView zoomScale="80" zoomScaleNormal="80" workbookViewId="0">
      <selection activeCell="M27" sqref="M27"/>
    </sheetView>
  </sheetViews>
  <sheetFormatPr defaultRowHeight="15" x14ac:dyDescent="0.25"/>
  <sheetData>
    <row r="1" spans="1:18" x14ac:dyDescent="0.25">
      <c r="B1" s="299" t="s">
        <v>216</v>
      </c>
      <c r="C1" s="300"/>
      <c r="D1" s="300"/>
      <c r="E1" s="300"/>
      <c r="F1" s="300"/>
      <c r="G1" s="300"/>
      <c r="H1" s="300"/>
    </row>
    <row r="2" spans="1:18" x14ac:dyDescent="0.25">
      <c r="B2" s="300"/>
      <c r="C2" s="300"/>
      <c r="D2" s="300"/>
      <c r="E2" s="300"/>
      <c r="F2" s="300"/>
      <c r="G2" s="300"/>
      <c r="H2" s="300"/>
    </row>
    <row r="8" spans="1:18" ht="19.5" thickBot="1" x14ac:dyDescent="0.35">
      <c r="K8" s="298" t="s">
        <v>92</v>
      </c>
      <c r="L8" s="298"/>
      <c r="M8" s="298"/>
      <c r="N8" s="298"/>
      <c r="O8" s="298"/>
      <c r="P8" s="298"/>
      <c r="Q8" s="298"/>
      <c r="R8" s="298"/>
    </row>
    <row r="9" spans="1:18" ht="15.75" thickTop="1" x14ac:dyDescent="0.25">
      <c r="K9" s="301" t="s">
        <v>212</v>
      </c>
      <c r="L9" s="302"/>
      <c r="M9" s="302"/>
      <c r="N9" s="302"/>
      <c r="O9" s="302"/>
      <c r="P9" s="302"/>
      <c r="Q9" s="302"/>
      <c r="R9" s="303"/>
    </row>
    <row r="10" spans="1:18" x14ac:dyDescent="0.25">
      <c r="K10" s="304" t="s">
        <v>213</v>
      </c>
      <c r="L10" s="305"/>
      <c r="M10" s="305"/>
      <c r="N10" s="305"/>
      <c r="O10" s="305"/>
      <c r="P10" s="305"/>
      <c r="Q10" s="305"/>
      <c r="R10" s="306"/>
    </row>
    <row r="11" spans="1:18" x14ac:dyDescent="0.25">
      <c r="K11" s="304" t="s">
        <v>214</v>
      </c>
      <c r="L11" s="305"/>
      <c r="M11" s="305"/>
      <c r="N11" s="305"/>
      <c r="O11" s="305"/>
      <c r="P11" s="305"/>
      <c r="Q11" s="305"/>
      <c r="R11" s="306"/>
    </row>
    <row r="12" spans="1:18" x14ac:dyDescent="0.25">
      <c r="A12" s="123" t="s">
        <v>211</v>
      </c>
      <c r="K12" s="304" t="s">
        <v>215</v>
      </c>
      <c r="L12" s="305"/>
      <c r="M12" s="305"/>
      <c r="N12" s="305"/>
      <c r="O12" s="305"/>
      <c r="P12" s="305"/>
      <c r="Q12" s="305"/>
      <c r="R12" s="306"/>
    </row>
    <row r="13" spans="1:18" ht="15.75" thickBot="1" x14ac:dyDescent="0.3">
      <c r="A13" s="5" t="s">
        <v>207</v>
      </c>
      <c r="K13" s="295"/>
      <c r="L13" s="296"/>
      <c r="M13" s="296"/>
      <c r="N13" s="296"/>
      <c r="O13" s="296"/>
      <c r="P13" s="296"/>
      <c r="Q13" s="296"/>
      <c r="R13" s="297"/>
    </row>
    <row r="14" spans="1:18" s="120" customFormat="1" ht="15.75" thickTop="1" x14ac:dyDescent="0.25"/>
    <row r="15" spans="1:18" s="120" customFormat="1" x14ac:dyDescent="0.25"/>
    <row r="16" spans="1:18" x14ac:dyDescent="0.25">
      <c r="A16" s="5" t="s">
        <v>208</v>
      </c>
    </row>
    <row r="17" spans="1:1" s="120" customFormat="1" x14ac:dyDescent="0.25">
      <c r="A17" s="5"/>
    </row>
    <row r="18" spans="1:1" s="120" customFormat="1" x14ac:dyDescent="0.25">
      <c r="A18" s="5"/>
    </row>
    <row r="19" spans="1:1" x14ac:dyDescent="0.25">
      <c r="A19" s="5" t="s">
        <v>209</v>
      </c>
    </row>
    <row r="20" spans="1:1" s="120" customFormat="1" x14ac:dyDescent="0.25">
      <c r="A20" s="5"/>
    </row>
    <row r="21" spans="1:1" s="120" customFormat="1" x14ac:dyDescent="0.25">
      <c r="A21" s="5"/>
    </row>
    <row r="22" spans="1:1" x14ac:dyDescent="0.25">
      <c r="A22" s="5" t="s">
        <v>210</v>
      </c>
    </row>
  </sheetData>
  <mergeCells count="7">
    <mergeCell ref="K13:R13"/>
    <mergeCell ref="K8:R8"/>
    <mergeCell ref="B1:H2"/>
    <mergeCell ref="K9:R9"/>
    <mergeCell ref="K10:R10"/>
    <mergeCell ref="K11:R11"/>
    <mergeCell ref="K12:R1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88CA-4473-411D-A63C-BEB8DD8ED684}">
  <dimension ref="B1:T7"/>
  <sheetViews>
    <sheetView workbookViewId="0">
      <selection activeCell="E10" sqref="E10"/>
    </sheetView>
  </sheetViews>
  <sheetFormatPr defaultRowHeight="15" x14ac:dyDescent="0.25"/>
  <sheetData>
    <row r="1" spans="2:20" ht="19.5" thickBot="1" x14ac:dyDescent="0.35">
      <c r="L1" s="298" t="s">
        <v>92</v>
      </c>
      <c r="M1" s="298"/>
      <c r="N1" s="298"/>
      <c r="O1" s="298"/>
      <c r="P1" s="298"/>
      <c r="Q1" s="298"/>
      <c r="R1" s="298"/>
      <c r="S1" s="298"/>
      <c r="T1" s="120"/>
    </row>
    <row r="2" spans="2:20" ht="15.75" thickTop="1" x14ac:dyDescent="0.25">
      <c r="B2" s="441" t="s">
        <v>332</v>
      </c>
      <c r="C2" s="365"/>
      <c r="D2" s="365"/>
      <c r="E2" s="365"/>
      <c r="F2" s="365"/>
      <c r="G2" s="365"/>
      <c r="H2" s="365"/>
      <c r="I2" s="365"/>
      <c r="L2" s="301" t="s">
        <v>212</v>
      </c>
      <c r="M2" s="302"/>
      <c r="N2" s="302"/>
      <c r="O2" s="302"/>
      <c r="P2" s="302"/>
      <c r="Q2" s="302"/>
      <c r="R2" s="302"/>
      <c r="S2" s="303"/>
      <c r="T2" s="120"/>
    </row>
    <row r="3" spans="2:20" x14ac:dyDescent="0.25">
      <c r="B3" s="365"/>
      <c r="C3" s="365"/>
      <c r="D3" s="365"/>
      <c r="E3" s="365"/>
      <c r="F3" s="365"/>
      <c r="G3" s="365"/>
      <c r="H3" s="365"/>
      <c r="I3" s="365"/>
      <c r="L3" s="304" t="s">
        <v>213</v>
      </c>
      <c r="M3" s="305"/>
      <c r="N3" s="305"/>
      <c r="O3" s="305"/>
      <c r="P3" s="305"/>
      <c r="Q3" s="305"/>
      <c r="R3" s="305"/>
      <c r="S3" s="306"/>
      <c r="T3" s="120"/>
    </row>
    <row r="4" spans="2:20" x14ac:dyDescent="0.25">
      <c r="B4" s="365"/>
      <c r="C4" s="365"/>
      <c r="D4" s="365"/>
      <c r="E4" s="365"/>
      <c r="F4" s="365"/>
      <c r="G4" s="365"/>
      <c r="H4" s="365"/>
      <c r="I4" s="365"/>
      <c r="L4" s="195" t="s">
        <v>214</v>
      </c>
      <c r="M4" s="196"/>
      <c r="N4" s="196"/>
      <c r="O4" s="196"/>
      <c r="P4" s="196"/>
      <c r="Q4" s="196"/>
      <c r="R4" s="196"/>
      <c r="S4" s="197"/>
      <c r="T4" s="120"/>
    </row>
    <row r="5" spans="2:20" x14ac:dyDescent="0.25">
      <c r="L5" s="195" t="s">
        <v>215</v>
      </c>
      <c r="M5" s="196"/>
      <c r="N5" s="196"/>
      <c r="O5" s="196"/>
      <c r="P5" s="196"/>
      <c r="Q5" s="196"/>
      <c r="R5" s="196"/>
      <c r="S5" s="197"/>
      <c r="T5" s="120"/>
    </row>
    <row r="6" spans="2:20" ht="15.75" thickBot="1" x14ac:dyDescent="0.3">
      <c r="L6" s="192"/>
      <c r="M6" s="193"/>
      <c r="N6" s="193"/>
      <c r="O6" s="193"/>
      <c r="P6" s="193"/>
      <c r="Q6" s="193"/>
      <c r="R6" s="193"/>
      <c r="S6" s="194"/>
      <c r="T6" s="120"/>
    </row>
    <row r="7" spans="2:20" ht="15.75" thickTop="1" x14ac:dyDescent="0.25"/>
  </sheetData>
  <mergeCells count="4">
    <mergeCell ref="B2:I4"/>
    <mergeCell ref="L1:S1"/>
    <mergeCell ref="L2:S2"/>
    <mergeCell ref="L3:S3"/>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443C-295A-4975-9D00-90021A132582}">
  <dimension ref="A1"/>
  <sheetViews>
    <sheetView topLeftCell="A4" workbookViewId="0">
      <selection activeCell="R28" sqref="R28"/>
    </sheetView>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6F442-0F26-4C1D-9CED-9E1141192B8E}">
  <dimension ref="A1"/>
  <sheetViews>
    <sheetView topLeftCell="A22" workbookViewId="0">
      <selection activeCell="U28" sqref="U28"/>
    </sheetView>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6453-171A-4FC6-B0FE-FB11E187B46C}">
  <dimension ref="A1"/>
  <sheetViews>
    <sheetView workbookViewId="0">
      <selection activeCell="S28" sqref="S28"/>
    </sheetView>
  </sheetViews>
  <sheetFormatPr defaultRowHeight="15"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93A8-9880-49FB-BD38-B5659C0CE323}">
  <dimension ref="A1"/>
  <sheetViews>
    <sheetView workbookViewId="0"/>
  </sheetViews>
  <sheetFormatPr defaultRowHeight="15" x14ac:dyDescent="0.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9B7C-1017-403D-B609-CCABAE196302}">
  <dimension ref="A1"/>
  <sheetViews>
    <sheetView workbookViewId="0">
      <selection activeCell="T28" sqref="T28"/>
    </sheetView>
  </sheetViews>
  <sheetFormatPr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6B0C2-CE34-4151-8701-2ACE64C33B3C}">
  <dimension ref="A1"/>
  <sheetViews>
    <sheetView workbookViewId="0">
      <selection activeCell="U28" sqref="U28"/>
    </sheetView>
  </sheetViews>
  <sheetFormatPr defaultRowHeight="15" x14ac:dyDescent="0.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3C531-1E1F-41BA-9FEE-F2FB04C88781}">
  <dimension ref="A1"/>
  <sheetViews>
    <sheetView workbookViewId="0">
      <selection activeCell="U28" sqref="U28"/>
    </sheetView>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0114E-89DC-4395-95C4-6E39B4288257}">
  <dimension ref="A1:U66"/>
  <sheetViews>
    <sheetView topLeftCell="A25" zoomScale="66" zoomScaleNormal="66" workbookViewId="0">
      <selection activeCell="AM71" sqref="AM71"/>
    </sheetView>
  </sheetViews>
  <sheetFormatPr defaultRowHeight="15" x14ac:dyDescent="0.25"/>
  <sheetData>
    <row r="1" spans="1:20" x14ac:dyDescent="0.25">
      <c r="B1" s="520" t="s">
        <v>163</v>
      </c>
      <c r="D1" s="521"/>
      <c r="E1" s="521"/>
      <c r="F1" s="522" t="s">
        <v>510</v>
      </c>
      <c r="G1" s="521"/>
      <c r="H1" s="521"/>
      <c r="I1" s="521"/>
      <c r="J1" s="523"/>
      <c r="K1" s="524"/>
      <c r="L1" s="522" t="s">
        <v>511</v>
      </c>
      <c r="M1" s="521"/>
      <c r="N1" s="521"/>
    </row>
    <row r="2" spans="1:20" s="120" customFormat="1" x14ac:dyDescent="0.25">
      <c r="B2" s="520"/>
      <c r="D2" s="212" t="s">
        <v>512</v>
      </c>
      <c r="E2" s="212"/>
      <c r="G2" s="525" t="s">
        <v>513</v>
      </c>
      <c r="J2" s="526"/>
      <c r="K2" s="527"/>
    </row>
    <row r="3" spans="1:20" ht="33.75" customHeight="1" thickBot="1" x14ac:dyDescent="0.3">
      <c r="A3" s="211" t="s">
        <v>256</v>
      </c>
      <c r="B3" s="520"/>
      <c r="C3" s="206" t="s">
        <v>522</v>
      </c>
      <c r="D3" s="120"/>
      <c r="E3" s="120"/>
      <c r="F3" s="528" t="s">
        <v>522</v>
      </c>
      <c r="G3" s="529" t="s">
        <v>514</v>
      </c>
      <c r="H3" s="528" t="s">
        <v>515</v>
      </c>
      <c r="I3" s="528" t="s">
        <v>516</v>
      </c>
      <c r="J3" s="530"/>
      <c r="K3" s="536" t="s">
        <v>521</v>
      </c>
      <c r="L3" s="458" t="s">
        <v>517</v>
      </c>
      <c r="M3" s="528" t="s">
        <v>515</v>
      </c>
      <c r="N3" s="528" t="s">
        <v>516</v>
      </c>
      <c r="Q3" s="537" t="s">
        <v>523</v>
      </c>
      <c r="R3" s="537"/>
      <c r="S3" s="448"/>
      <c r="T3" s="120"/>
    </row>
    <row r="4" spans="1:20" ht="15.75" thickTop="1" x14ac:dyDescent="0.25">
      <c r="A4" s="206" t="s">
        <v>257</v>
      </c>
      <c r="B4">
        <v>29</v>
      </c>
      <c r="G4">
        <v>4.8</v>
      </c>
      <c r="H4" s="535">
        <f>$R$14</f>
        <v>15.696</v>
      </c>
      <c r="I4">
        <v>0</v>
      </c>
      <c r="K4" s="120">
        <v>29</v>
      </c>
      <c r="L4" s="535">
        <f>$B$40</f>
        <v>21.138888888888889</v>
      </c>
      <c r="M4" s="535">
        <f>$R$10</f>
        <v>33.906888888888886</v>
      </c>
      <c r="N4" s="542">
        <f>$R$11</f>
        <v>8.3708888888888886</v>
      </c>
      <c r="Q4" s="538">
        <f>B40</f>
        <v>21.138888888888889</v>
      </c>
      <c r="R4" s="120"/>
      <c r="S4" s="120"/>
      <c r="T4" s="120"/>
    </row>
    <row r="5" spans="1:20" x14ac:dyDescent="0.25">
      <c r="A5" s="206" t="s">
        <v>258</v>
      </c>
      <c r="B5">
        <v>30</v>
      </c>
      <c r="C5">
        <f>ABS(B4-B5)</f>
        <v>1</v>
      </c>
      <c r="F5">
        <v>1</v>
      </c>
      <c r="G5" s="120">
        <v>4.8</v>
      </c>
      <c r="H5" s="535">
        <f t="shared" ref="H5:H39" si="0">$R$14</f>
        <v>15.696</v>
      </c>
      <c r="I5" s="120">
        <v>0</v>
      </c>
      <c r="K5" s="120">
        <v>30</v>
      </c>
      <c r="L5" s="535">
        <f t="shared" ref="L5:L39" si="1">$B$40</f>
        <v>21.138888888888889</v>
      </c>
      <c r="M5" s="535">
        <f t="shared" ref="M5:M39" si="2">$R$10</f>
        <v>33.906888888888886</v>
      </c>
      <c r="N5" s="542">
        <f t="shared" ref="N5:N39" si="3">$R$11</f>
        <v>8.3708888888888886</v>
      </c>
      <c r="Q5" s="539"/>
      <c r="R5" s="539"/>
      <c r="S5" s="539"/>
      <c r="T5" s="539"/>
    </row>
    <row r="6" spans="1:20" ht="15.75" thickBot="1" x14ac:dyDescent="0.3">
      <c r="A6" s="71" t="s">
        <v>259</v>
      </c>
      <c r="B6">
        <v>30</v>
      </c>
      <c r="C6" s="120">
        <f t="shared" ref="C6:C39" si="4">ABS(B5-B6)</f>
        <v>0</v>
      </c>
      <c r="F6">
        <v>0</v>
      </c>
      <c r="G6">
        <v>4.8</v>
      </c>
      <c r="H6" s="535">
        <f t="shared" si="0"/>
        <v>15.696</v>
      </c>
      <c r="I6" s="120">
        <v>0</v>
      </c>
      <c r="K6" s="120">
        <v>30</v>
      </c>
      <c r="L6" s="535">
        <f t="shared" si="1"/>
        <v>21.138888888888889</v>
      </c>
      <c r="M6" s="535">
        <f t="shared" si="2"/>
        <v>33.906888888888886</v>
      </c>
      <c r="N6" s="542">
        <f t="shared" si="3"/>
        <v>8.3708888888888886</v>
      </c>
      <c r="Q6" s="537" t="s">
        <v>524</v>
      </c>
      <c r="R6" s="537"/>
      <c r="S6" s="537"/>
      <c r="T6" s="120"/>
    </row>
    <row r="7" spans="1:20" x14ac:dyDescent="0.25">
      <c r="A7" s="206" t="s">
        <v>260</v>
      </c>
      <c r="B7">
        <v>24</v>
      </c>
      <c r="C7" s="120">
        <f t="shared" si="4"/>
        <v>6</v>
      </c>
      <c r="F7">
        <v>6</v>
      </c>
      <c r="G7">
        <v>4.8</v>
      </c>
      <c r="H7" s="535">
        <f t="shared" si="0"/>
        <v>15.696</v>
      </c>
      <c r="I7" s="120">
        <v>0</v>
      </c>
      <c r="K7" s="120">
        <v>24</v>
      </c>
      <c r="L7" s="535">
        <f t="shared" si="1"/>
        <v>21.138888888888889</v>
      </c>
      <c r="M7" s="535">
        <f t="shared" si="2"/>
        <v>33.906888888888886</v>
      </c>
      <c r="N7" s="542">
        <f t="shared" si="3"/>
        <v>8.3708888888888886</v>
      </c>
      <c r="Q7" s="540">
        <f>C40</f>
        <v>4.8</v>
      </c>
      <c r="R7" s="120"/>
      <c r="S7" s="120"/>
      <c r="T7" s="120"/>
    </row>
    <row r="8" spans="1:20" x14ac:dyDescent="0.25">
      <c r="A8" s="206" t="s">
        <v>261</v>
      </c>
      <c r="B8">
        <v>23</v>
      </c>
      <c r="C8" s="120">
        <f t="shared" si="4"/>
        <v>1</v>
      </c>
      <c r="F8">
        <v>1</v>
      </c>
      <c r="G8">
        <v>4.8</v>
      </c>
      <c r="H8" s="535">
        <f t="shared" si="0"/>
        <v>15.696</v>
      </c>
      <c r="I8" s="120">
        <v>0</v>
      </c>
      <c r="K8" s="120">
        <v>23</v>
      </c>
      <c r="L8" s="535">
        <f t="shared" si="1"/>
        <v>21.138888888888889</v>
      </c>
      <c r="M8" s="535">
        <f t="shared" si="2"/>
        <v>33.906888888888886</v>
      </c>
      <c r="N8" s="542">
        <f t="shared" si="3"/>
        <v>8.3708888888888886</v>
      </c>
      <c r="Q8" s="539"/>
      <c r="R8" s="539"/>
      <c r="S8" s="539"/>
      <c r="T8" s="539"/>
    </row>
    <row r="9" spans="1:20" ht="15.75" thickBot="1" x14ac:dyDescent="0.3">
      <c r="A9" s="71" t="s">
        <v>262</v>
      </c>
      <c r="B9">
        <v>24</v>
      </c>
      <c r="C9" s="120">
        <f t="shared" si="4"/>
        <v>1</v>
      </c>
      <c r="F9">
        <v>1</v>
      </c>
      <c r="G9">
        <v>4.8</v>
      </c>
      <c r="H9" s="535">
        <f t="shared" si="0"/>
        <v>15.696</v>
      </c>
      <c r="I9" s="120">
        <v>0</v>
      </c>
      <c r="K9" s="120">
        <v>24</v>
      </c>
      <c r="L9" s="535">
        <f t="shared" si="1"/>
        <v>21.138888888888889</v>
      </c>
      <c r="M9" s="535">
        <f t="shared" si="2"/>
        <v>33.906888888888886</v>
      </c>
      <c r="N9" s="542">
        <f t="shared" si="3"/>
        <v>8.3708888888888886</v>
      </c>
      <c r="Q9" s="537" t="s">
        <v>525</v>
      </c>
      <c r="R9" s="537"/>
      <c r="S9" s="537"/>
      <c r="T9" s="120"/>
    </row>
    <row r="10" spans="1:20" x14ac:dyDescent="0.25">
      <c r="A10" s="206" t="s">
        <v>263</v>
      </c>
      <c r="B10">
        <v>23</v>
      </c>
      <c r="C10" s="120">
        <f t="shared" si="4"/>
        <v>1</v>
      </c>
      <c r="F10">
        <v>1</v>
      </c>
      <c r="G10">
        <v>4.8</v>
      </c>
      <c r="H10" s="535">
        <f t="shared" si="0"/>
        <v>15.696</v>
      </c>
      <c r="I10" s="120">
        <v>0</v>
      </c>
      <c r="K10" s="120">
        <v>23</v>
      </c>
      <c r="L10" s="535">
        <f t="shared" si="1"/>
        <v>21.138888888888889</v>
      </c>
      <c r="M10" s="535">
        <f t="shared" si="2"/>
        <v>33.906888888888886</v>
      </c>
      <c r="N10" s="542">
        <f t="shared" si="3"/>
        <v>8.3708888888888886</v>
      </c>
      <c r="Q10" s="521" t="s">
        <v>526</v>
      </c>
      <c r="R10" s="538">
        <f>Q4+(2.66*Q7)</f>
        <v>33.906888888888886</v>
      </c>
      <c r="S10" s="120"/>
      <c r="T10" s="120"/>
    </row>
    <row r="11" spans="1:20" x14ac:dyDescent="0.25">
      <c r="A11" s="206" t="s">
        <v>264</v>
      </c>
      <c r="B11">
        <v>23</v>
      </c>
      <c r="C11" s="120">
        <f t="shared" si="4"/>
        <v>0</v>
      </c>
      <c r="F11">
        <v>0</v>
      </c>
      <c r="G11">
        <v>4.8</v>
      </c>
      <c r="H11" s="535">
        <f t="shared" si="0"/>
        <v>15.696</v>
      </c>
      <c r="I11" s="120">
        <v>0</v>
      </c>
      <c r="K11" s="120">
        <v>23</v>
      </c>
      <c r="L11" s="535">
        <f t="shared" si="1"/>
        <v>21.138888888888889</v>
      </c>
      <c r="M11" s="535">
        <f t="shared" si="2"/>
        <v>33.906888888888886</v>
      </c>
      <c r="N11" s="542">
        <f t="shared" si="3"/>
        <v>8.3708888888888886</v>
      </c>
      <c r="Q11" s="521" t="s">
        <v>527</v>
      </c>
      <c r="R11" s="541">
        <f>Q4-(2.66*Q7)</f>
        <v>8.3708888888888886</v>
      </c>
      <c r="S11" s="120"/>
      <c r="T11" s="120"/>
    </row>
    <row r="12" spans="1:20" ht="15.75" thickBot="1" x14ac:dyDescent="0.3">
      <c r="A12" s="153" t="s">
        <v>265</v>
      </c>
      <c r="B12">
        <v>20</v>
      </c>
      <c r="C12" s="120">
        <f t="shared" si="4"/>
        <v>3</v>
      </c>
      <c r="F12">
        <v>3</v>
      </c>
      <c r="G12">
        <v>4.8</v>
      </c>
      <c r="H12" s="535">
        <f t="shared" si="0"/>
        <v>15.696</v>
      </c>
      <c r="I12" s="120">
        <v>0</v>
      </c>
      <c r="K12" s="120">
        <v>20</v>
      </c>
      <c r="L12" s="535">
        <f t="shared" si="1"/>
        <v>21.138888888888889</v>
      </c>
      <c r="M12" s="535">
        <f t="shared" si="2"/>
        <v>33.906888888888886</v>
      </c>
      <c r="N12" s="542">
        <f t="shared" si="3"/>
        <v>8.3708888888888886</v>
      </c>
      <c r="Q12" s="539"/>
      <c r="R12" s="539"/>
      <c r="S12" s="539"/>
      <c r="T12" s="539"/>
    </row>
    <row r="13" spans="1:20" x14ac:dyDescent="0.25">
      <c r="A13" s="206" t="s">
        <v>266</v>
      </c>
      <c r="B13">
        <v>20</v>
      </c>
      <c r="C13" s="120">
        <f t="shared" si="4"/>
        <v>0</v>
      </c>
      <c r="F13">
        <v>0</v>
      </c>
      <c r="G13">
        <v>4.8</v>
      </c>
      <c r="H13" s="535">
        <f t="shared" si="0"/>
        <v>15.696</v>
      </c>
      <c r="I13" s="120">
        <v>0</v>
      </c>
      <c r="K13" s="120">
        <v>20</v>
      </c>
      <c r="L13" s="535">
        <f t="shared" si="1"/>
        <v>21.138888888888889</v>
      </c>
      <c r="M13" s="535">
        <f t="shared" si="2"/>
        <v>33.906888888888886</v>
      </c>
      <c r="N13" s="542">
        <f t="shared" si="3"/>
        <v>8.3708888888888886</v>
      </c>
      <c r="Q13" s="537" t="s">
        <v>528</v>
      </c>
      <c r="R13" s="448"/>
      <c r="S13" s="448"/>
      <c r="T13" s="448"/>
    </row>
    <row r="14" spans="1:20" x14ac:dyDescent="0.25">
      <c r="A14" s="206" t="s">
        <v>267</v>
      </c>
      <c r="B14">
        <v>20</v>
      </c>
      <c r="C14" s="120">
        <f t="shared" si="4"/>
        <v>0</v>
      </c>
      <c r="F14">
        <v>0</v>
      </c>
      <c r="G14">
        <v>4.8</v>
      </c>
      <c r="H14" s="535">
        <f t="shared" si="0"/>
        <v>15.696</v>
      </c>
      <c r="I14" s="120">
        <v>0</v>
      </c>
      <c r="K14" s="120">
        <v>20</v>
      </c>
      <c r="L14" s="535">
        <f t="shared" si="1"/>
        <v>21.138888888888889</v>
      </c>
      <c r="M14" s="535">
        <f t="shared" si="2"/>
        <v>33.906888888888886</v>
      </c>
      <c r="N14" s="542">
        <f t="shared" si="3"/>
        <v>8.3708888888888886</v>
      </c>
      <c r="Q14" s="521" t="s">
        <v>529</v>
      </c>
      <c r="R14" s="538">
        <f>3.27*Q7</f>
        <v>15.696</v>
      </c>
      <c r="S14" s="120"/>
      <c r="T14" s="120"/>
    </row>
    <row r="15" spans="1:20" ht="15.75" thickBot="1" x14ac:dyDescent="0.3">
      <c r="A15" s="71" t="s">
        <v>268</v>
      </c>
      <c r="B15">
        <v>20</v>
      </c>
      <c r="C15" s="120">
        <f t="shared" si="4"/>
        <v>0</v>
      </c>
      <c r="F15">
        <v>0</v>
      </c>
      <c r="G15">
        <v>4.8</v>
      </c>
      <c r="H15" s="535">
        <f t="shared" si="0"/>
        <v>15.696</v>
      </c>
      <c r="I15" s="120">
        <v>0</v>
      </c>
      <c r="K15" s="120">
        <v>20</v>
      </c>
      <c r="L15" s="535">
        <f t="shared" si="1"/>
        <v>21.138888888888889</v>
      </c>
      <c r="M15" s="535">
        <f t="shared" si="2"/>
        <v>33.906888888888886</v>
      </c>
      <c r="N15" s="542">
        <f t="shared" si="3"/>
        <v>8.3708888888888886</v>
      </c>
    </row>
    <row r="16" spans="1:20" x14ac:dyDescent="0.25">
      <c r="A16" s="206" t="s">
        <v>269</v>
      </c>
      <c r="B16">
        <v>24</v>
      </c>
      <c r="C16" s="120">
        <f t="shared" si="4"/>
        <v>4</v>
      </c>
      <c r="F16">
        <v>4</v>
      </c>
      <c r="G16">
        <v>4.8</v>
      </c>
      <c r="H16" s="535">
        <f t="shared" si="0"/>
        <v>15.696</v>
      </c>
      <c r="I16" s="120">
        <v>0</v>
      </c>
      <c r="K16" s="120">
        <v>24</v>
      </c>
      <c r="L16" s="535">
        <f t="shared" si="1"/>
        <v>21.138888888888889</v>
      </c>
      <c r="M16" s="535">
        <f t="shared" si="2"/>
        <v>33.906888888888886</v>
      </c>
      <c r="N16" s="542">
        <f t="shared" si="3"/>
        <v>8.3708888888888886</v>
      </c>
    </row>
    <row r="17" spans="1:14" x14ac:dyDescent="0.25">
      <c r="A17" s="206" t="s">
        <v>270</v>
      </c>
      <c r="B17">
        <v>20</v>
      </c>
      <c r="C17" s="120">
        <f t="shared" si="4"/>
        <v>4</v>
      </c>
      <c r="F17">
        <v>4</v>
      </c>
      <c r="G17">
        <v>4.8</v>
      </c>
      <c r="H17" s="535">
        <f t="shared" si="0"/>
        <v>15.696</v>
      </c>
      <c r="I17" s="120">
        <v>0</v>
      </c>
      <c r="K17" s="120">
        <v>20</v>
      </c>
      <c r="L17" s="535">
        <f t="shared" si="1"/>
        <v>21.138888888888889</v>
      </c>
      <c r="M17" s="535">
        <f t="shared" si="2"/>
        <v>33.906888888888886</v>
      </c>
      <c r="N17" s="542">
        <f t="shared" si="3"/>
        <v>8.3708888888888886</v>
      </c>
    </row>
    <row r="18" spans="1:14" ht="15.75" thickBot="1" x14ac:dyDescent="0.3">
      <c r="A18" s="71" t="s">
        <v>271</v>
      </c>
      <c r="B18">
        <v>24</v>
      </c>
      <c r="C18" s="120">
        <f t="shared" si="4"/>
        <v>4</v>
      </c>
      <c r="F18">
        <v>4</v>
      </c>
      <c r="G18">
        <v>4.8</v>
      </c>
      <c r="H18" s="535">
        <f t="shared" si="0"/>
        <v>15.696</v>
      </c>
      <c r="I18" s="120">
        <v>0</v>
      </c>
      <c r="K18" s="120">
        <v>24</v>
      </c>
      <c r="L18" s="535">
        <f t="shared" si="1"/>
        <v>21.138888888888889</v>
      </c>
      <c r="M18" s="535">
        <f t="shared" si="2"/>
        <v>33.906888888888886</v>
      </c>
      <c r="N18" s="542">
        <f t="shared" si="3"/>
        <v>8.3708888888888886</v>
      </c>
    </row>
    <row r="19" spans="1:14" x14ac:dyDescent="0.25">
      <c r="A19" s="206" t="s">
        <v>272</v>
      </c>
      <c r="B19">
        <v>20</v>
      </c>
      <c r="C19" s="120">
        <f t="shared" si="4"/>
        <v>4</v>
      </c>
      <c r="F19">
        <v>4</v>
      </c>
      <c r="G19">
        <v>4.8</v>
      </c>
      <c r="H19" s="535">
        <f t="shared" si="0"/>
        <v>15.696</v>
      </c>
      <c r="I19" s="120">
        <v>0</v>
      </c>
      <c r="K19" s="120">
        <v>20</v>
      </c>
      <c r="L19" s="535">
        <f t="shared" si="1"/>
        <v>21.138888888888889</v>
      </c>
      <c r="M19" s="535">
        <f t="shared" si="2"/>
        <v>33.906888888888886</v>
      </c>
      <c r="N19" s="542">
        <f t="shared" si="3"/>
        <v>8.3708888888888886</v>
      </c>
    </row>
    <row r="20" spans="1:14" x14ac:dyDescent="0.25">
      <c r="A20" s="206" t="s">
        <v>273</v>
      </c>
      <c r="B20">
        <v>24</v>
      </c>
      <c r="C20" s="120">
        <f t="shared" si="4"/>
        <v>4</v>
      </c>
      <c r="F20">
        <v>4</v>
      </c>
      <c r="G20">
        <v>4.8</v>
      </c>
      <c r="H20" s="535">
        <f t="shared" si="0"/>
        <v>15.696</v>
      </c>
      <c r="I20" s="120">
        <v>0</v>
      </c>
      <c r="K20" s="120">
        <v>24</v>
      </c>
      <c r="L20" s="535">
        <f t="shared" si="1"/>
        <v>21.138888888888889</v>
      </c>
      <c r="M20" s="535">
        <f t="shared" si="2"/>
        <v>33.906888888888886</v>
      </c>
      <c r="N20" s="542">
        <f t="shared" si="3"/>
        <v>8.3708888888888886</v>
      </c>
    </row>
    <row r="21" spans="1:14" ht="15.75" thickBot="1" x14ac:dyDescent="0.3">
      <c r="A21" s="128" t="s">
        <v>274</v>
      </c>
      <c r="B21">
        <v>10</v>
      </c>
      <c r="C21" s="120">
        <f t="shared" si="4"/>
        <v>14</v>
      </c>
      <c r="F21">
        <v>14</v>
      </c>
      <c r="G21">
        <v>4.8</v>
      </c>
      <c r="H21" s="535">
        <f t="shared" si="0"/>
        <v>15.696</v>
      </c>
      <c r="I21" s="120">
        <v>0</v>
      </c>
      <c r="K21" s="120">
        <v>10</v>
      </c>
      <c r="L21" s="535">
        <f t="shared" si="1"/>
        <v>21.138888888888889</v>
      </c>
      <c r="M21" s="535">
        <f t="shared" si="2"/>
        <v>33.906888888888886</v>
      </c>
      <c r="N21" s="542">
        <f t="shared" si="3"/>
        <v>8.3708888888888886</v>
      </c>
    </row>
    <row r="22" spans="1:14" ht="15.75" thickTop="1" x14ac:dyDescent="0.25">
      <c r="A22" s="206" t="s">
        <v>275</v>
      </c>
      <c r="B22">
        <v>21</v>
      </c>
      <c r="C22" s="120">
        <f t="shared" si="4"/>
        <v>11</v>
      </c>
      <c r="F22">
        <v>11</v>
      </c>
      <c r="G22">
        <v>4.8</v>
      </c>
      <c r="H22" s="535">
        <f t="shared" si="0"/>
        <v>15.696</v>
      </c>
      <c r="I22" s="120">
        <v>0</v>
      </c>
      <c r="K22" s="120">
        <v>21</v>
      </c>
      <c r="L22" s="535">
        <f t="shared" si="1"/>
        <v>21.138888888888889</v>
      </c>
      <c r="M22" s="535">
        <f t="shared" si="2"/>
        <v>33.906888888888886</v>
      </c>
      <c r="N22" s="542">
        <f t="shared" si="3"/>
        <v>8.3708888888888886</v>
      </c>
    </row>
    <row r="23" spans="1:14" x14ac:dyDescent="0.25">
      <c r="A23" s="206" t="s">
        <v>276</v>
      </c>
      <c r="B23">
        <v>21</v>
      </c>
      <c r="C23" s="120">
        <f t="shared" si="4"/>
        <v>0</v>
      </c>
      <c r="F23">
        <v>0</v>
      </c>
      <c r="G23">
        <v>4.8</v>
      </c>
      <c r="H23" s="535">
        <f t="shared" si="0"/>
        <v>15.696</v>
      </c>
      <c r="I23" s="120">
        <v>0</v>
      </c>
      <c r="K23" s="120">
        <v>21</v>
      </c>
      <c r="L23" s="535">
        <f t="shared" si="1"/>
        <v>21.138888888888889</v>
      </c>
      <c r="M23" s="535">
        <f t="shared" si="2"/>
        <v>33.906888888888886</v>
      </c>
      <c r="N23" s="542">
        <f t="shared" si="3"/>
        <v>8.3708888888888886</v>
      </c>
    </row>
    <row r="24" spans="1:14" ht="15.75" thickBot="1" x14ac:dyDescent="0.3">
      <c r="A24" s="71" t="s">
        <v>277</v>
      </c>
      <c r="B24">
        <v>17</v>
      </c>
      <c r="C24" s="120">
        <f t="shared" si="4"/>
        <v>4</v>
      </c>
      <c r="F24">
        <v>4</v>
      </c>
      <c r="G24">
        <v>4.8</v>
      </c>
      <c r="H24" s="535">
        <f t="shared" si="0"/>
        <v>15.696</v>
      </c>
      <c r="I24" s="120">
        <v>0</v>
      </c>
      <c r="K24" s="120">
        <v>17</v>
      </c>
      <c r="L24" s="535">
        <f t="shared" si="1"/>
        <v>21.138888888888889</v>
      </c>
      <c r="M24" s="535">
        <f t="shared" si="2"/>
        <v>33.906888888888886</v>
      </c>
      <c r="N24" s="542">
        <f t="shared" si="3"/>
        <v>8.3708888888888886</v>
      </c>
    </row>
    <row r="25" spans="1:14" x14ac:dyDescent="0.25">
      <c r="A25" s="206" t="s">
        <v>278</v>
      </c>
      <c r="B25">
        <v>21</v>
      </c>
      <c r="C25" s="120">
        <f t="shared" si="4"/>
        <v>4</v>
      </c>
      <c r="F25">
        <v>4</v>
      </c>
      <c r="G25">
        <v>4.8</v>
      </c>
      <c r="H25" s="535">
        <f t="shared" si="0"/>
        <v>15.696</v>
      </c>
      <c r="I25" s="120">
        <v>0</v>
      </c>
      <c r="K25" s="120">
        <v>21</v>
      </c>
      <c r="L25" s="535">
        <f t="shared" si="1"/>
        <v>21.138888888888889</v>
      </c>
      <c r="M25" s="535">
        <f t="shared" si="2"/>
        <v>33.906888888888886</v>
      </c>
      <c r="N25" s="542">
        <f t="shared" si="3"/>
        <v>8.3708888888888886</v>
      </c>
    </row>
    <row r="26" spans="1:14" x14ac:dyDescent="0.25">
      <c r="A26" s="206" t="s">
        <v>279</v>
      </c>
      <c r="B26">
        <v>21</v>
      </c>
      <c r="C26" s="120">
        <f t="shared" si="4"/>
        <v>0</v>
      </c>
      <c r="F26">
        <v>0</v>
      </c>
      <c r="G26">
        <v>4.8</v>
      </c>
      <c r="H26" s="535">
        <f t="shared" si="0"/>
        <v>15.696</v>
      </c>
      <c r="I26" s="120">
        <v>0</v>
      </c>
      <c r="K26" s="120">
        <v>21</v>
      </c>
      <c r="L26" s="535">
        <f t="shared" si="1"/>
        <v>21.138888888888889</v>
      </c>
      <c r="M26" s="535">
        <f t="shared" si="2"/>
        <v>33.906888888888886</v>
      </c>
      <c r="N26" s="542">
        <f t="shared" si="3"/>
        <v>8.3708888888888886</v>
      </c>
    </row>
    <row r="27" spans="1:14" ht="15.75" thickBot="1" x14ac:dyDescent="0.3">
      <c r="A27" s="71" t="s">
        <v>280</v>
      </c>
      <c r="B27">
        <v>24</v>
      </c>
      <c r="C27" s="120">
        <f t="shared" si="4"/>
        <v>3</v>
      </c>
      <c r="F27">
        <v>3</v>
      </c>
      <c r="G27">
        <v>4.8</v>
      </c>
      <c r="H27" s="535">
        <f t="shared" si="0"/>
        <v>15.696</v>
      </c>
      <c r="I27" s="120">
        <v>0</v>
      </c>
      <c r="K27" s="120">
        <v>24</v>
      </c>
      <c r="L27" s="535">
        <f t="shared" si="1"/>
        <v>21.138888888888889</v>
      </c>
      <c r="M27" s="535">
        <f t="shared" si="2"/>
        <v>33.906888888888886</v>
      </c>
      <c r="N27" s="542">
        <f t="shared" si="3"/>
        <v>8.3708888888888886</v>
      </c>
    </row>
    <row r="28" spans="1:14" x14ac:dyDescent="0.25">
      <c r="A28" s="206" t="s">
        <v>281</v>
      </c>
      <c r="B28">
        <v>21</v>
      </c>
      <c r="C28" s="120">
        <f t="shared" si="4"/>
        <v>3</v>
      </c>
      <c r="F28">
        <v>3</v>
      </c>
      <c r="G28">
        <v>4.8</v>
      </c>
      <c r="H28" s="535">
        <f t="shared" si="0"/>
        <v>15.696</v>
      </c>
      <c r="I28" s="120">
        <v>0</v>
      </c>
      <c r="K28" s="120">
        <v>21</v>
      </c>
      <c r="L28" s="535">
        <f t="shared" si="1"/>
        <v>21.138888888888889</v>
      </c>
      <c r="M28" s="535">
        <f t="shared" si="2"/>
        <v>33.906888888888886</v>
      </c>
      <c r="N28" s="542">
        <f t="shared" si="3"/>
        <v>8.3708888888888886</v>
      </c>
    </row>
    <row r="29" spans="1:14" x14ac:dyDescent="0.25">
      <c r="A29" s="206" t="s">
        <v>282</v>
      </c>
      <c r="B29">
        <v>24</v>
      </c>
      <c r="C29" s="120">
        <f t="shared" si="4"/>
        <v>3</v>
      </c>
      <c r="F29">
        <v>3</v>
      </c>
      <c r="G29">
        <v>4.8</v>
      </c>
      <c r="H29" s="535">
        <f t="shared" si="0"/>
        <v>15.696</v>
      </c>
      <c r="I29" s="120">
        <v>0</v>
      </c>
      <c r="K29" s="120">
        <v>24</v>
      </c>
      <c r="L29" s="535">
        <f t="shared" si="1"/>
        <v>21.138888888888889</v>
      </c>
      <c r="M29" s="535">
        <f t="shared" si="2"/>
        <v>33.906888888888886</v>
      </c>
      <c r="N29" s="542">
        <f t="shared" si="3"/>
        <v>8.3708888888888886</v>
      </c>
    </row>
    <row r="30" spans="1:14" ht="15.75" thickBot="1" x14ac:dyDescent="0.3">
      <c r="A30" s="153" t="s">
        <v>283</v>
      </c>
      <c r="B30">
        <v>13</v>
      </c>
      <c r="C30" s="120">
        <f t="shared" si="4"/>
        <v>11</v>
      </c>
      <c r="F30">
        <v>11</v>
      </c>
      <c r="G30">
        <v>4.8</v>
      </c>
      <c r="H30" s="535">
        <f t="shared" si="0"/>
        <v>15.696</v>
      </c>
      <c r="I30" s="120">
        <v>0</v>
      </c>
      <c r="K30" s="120">
        <v>13</v>
      </c>
      <c r="L30" s="535">
        <f t="shared" si="1"/>
        <v>21.138888888888889</v>
      </c>
      <c r="M30" s="535">
        <f t="shared" si="2"/>
        <v>33.906888888888886</v>
      </c>
      <c r="N30" s="542">
        <f t="shared" si="3"/>
        <v>8.3708888888888886</v>
      </c>
    </row>
    <row r="31" spans="1:14" x14ac:dyDescent="0.25">
      <c r="A31" s="206" t="s">
        <v>284</v>
      </c>
      <c r="B31">
        <v>24</v>
      </c>
      <c r="C31" s="120">
        <f t="shared" si="4"/>
        <v>11</v>
      </c>
      <c r="F31">
        <v>11</v>
      </c>
      <c r="G31">
        <v>4.8</v>
      </c>
      <c r="H31" s="535">
        <f t="shared" si="0"/>
        <v>15.696</v>
      </c>
      <c r="I31" s="120">
        <v>0</v>
      </c>
      <c r="K31" s="120">
        <v>24</v>
      </c>
      <c r="L31" s="535">
        <f t="shared" si="1"/>
        <v>21.138888888888889</v>
      </c>
      <c r="M31" s="535">
        <f t="shared" si="2"/>
        <v>33.906888888888886</v>
      </c>
      <c r="N31" s="542">
        <f t="shared" si="3"/>
        <v>8.3708888888888886</v>
      </c>
    </row>
    <row r="32" spans="1:14" x14ac:dyDescent="0.25">
      <c r="A32" s="206" t="s">
        <v>285</v>
      </c>
      <c r="B32">
        <v>10</v>
      </c>
      <c r="C32" s="120">
        <f t="shared" si="4"/>
        <v>14</v>
      </c>
      <c r="F32">
        <v>14</v>
      </c>
      <c r="G32">
        <v>4.8</v>
      </c>
      <c r="H32" s="535">
        <f t="shared" si="0"/>
        <v>15.696</v>
      </c>
      <c r="I32" s="120">
        <v>0</v>
      </c>
      <c r="K32" s="120">
        <v>10</v>
      </c>
      <c r="L32" s="535">
        <f t="shared" si="1"/>
        <v>21.138888888888889</v>
      </c>
      <c r="M32" s="535">
        <f t="shared" si="2"/>
        <v>33.906888888888886</v>
      </c>
      <c r="N32" s="542">
        <f t="shared" si="3"/>
        <v>8.3708888888888886</v>
      </c>
    </row>
    <row r="33" spans="1:21" ht="15.75" thickBot="1" x14ac:dyDescent="0.3">
      <c r="A33" s="71" t="s">
        <v>286</v>
      </c>
      <c r="B33">
        <v>10</v>
      </c>
      <c r="C33" s="120">
        <f t="shared" si="4"/>
        <v>0</v>
      </c>
      <c r="F33">
        <v>0</v>
      </c>
      <c r="G33">
        <v>4.8</v>
      </c>
      <c r="H33" s="535">
        <f t="shared" si="0"/>
        <v>15.696</v>
      </c>
      <c r="I33" s="120">
        <v>0</v>
      </c>
      <c r="K33" s="120">
        <v>10</v>
      </c>
      <c r="L33" s="535">
        <f t="shared" si="1"/>
        <v>21.138888888888889</v>
      </c>
      <c r="M33" s="535">
        <f t="shared" si="2"/>
        <v>33.906888888888886</v>
      </c>
      <c r="N33" s="542">
        <f t="shared" si="3"/>
        <v>8.3708888888888886</v>
      </c>
    </row>
    <row r="34" spans="1:21" x14ac:dyDescent="0.25">
      <c r="A34" s="206" t="s">
        <v>287</v>
      </c>
      <c r="B34">
        <v>24</v>
      </c>
      <c r="C34" s="120">
        <f t="shared" si="4"/>
        <v>14</v>
      </c>
      <c r="F34">
        <v>14</v>
      </c>
      <c r="G34">
        <v>4.8</v>
      </c>
      <c r="H34" s="535">
        <f t="shared" si="0"/>
        <v>15.696</v>
      </c>
      <c r="I34" s="120">
        <v>0</v>
      </c>
      <c r="K34" s="120">
        <v>24</v>
      </c>
      <c r="L34" s="535">
        <f t="shared" si="1"/>
        <v>21.138888888888889</v>
      </c>
      <c r="M34" s="535">
        <f t="shared" si="2"/>
        <v>33.906888888888886</v>
      </c>
      <c r="N34" s="542">
        <f t="shared" si="3"/>
        <v>8.3708888888888886</v>
      </c>
    </row>
    <row r="35" spans="1:21" x14ac:dyDescent="0.25">
      <c r="A35" s="206" t="s">
        <v>288</v>
      </c>
      <c r="B35">
        <v>17</v>
      </c>
      <c r="C35" s="120">
        <f t="shared" si="4"/>
        <v>7</v>
      </c>
      <c r="F35">
        <v>7</v>
      </c>
      <c r="G35">
        <v>4.8</v>
      </c>
      <c r="H35" s="535">
        <f t="shared" si="0"/>
        <v>15.696</v>
      </c>
      <c r="I35" s="120">
        <v>0</v>
      </c>
      <c r="K35" s="120">
        <v>17</v>
      </c>
      <c r="L35" s="535">
        <f t="shared" si="1"/>
        <v>21.138888888888889</v>
      </c>
      <c r="M35" s="535">
        <f t="shared" si="2"/>
        <v>33.906888888888886</v>
      </c>
      <c r="N35" s="542">
        <f t="shared" si="3"/>
        <v>8.3708888888888886</v>
      </c>
    </row>
    <row r="36" spans="1:21" ht="15.75" thickBot="1" x14ac:dyDescent="0.3">
      <c r="A36" s="71" t="s">
        <v>289</v>
      </c>
      <c r="B36">
        <v>27</v>
      </c>
      <c r="C36" s="120">
        <f t="shared" si="4"/>
        <v>10</v>
      </c>
      <c r="F36">
        <v>10</v>
      </c>
      <c r="G36">
        <v>4.8</v>
      </c>
      <c r="H36" s="535">
        <f t="shared" si="0"/>
        <v>15.696</v>
      </c>
      <c r="I36" s="120">
        <v>0</v>
      </c>
      <c r="K36" s="120">
        <v>27</v>
      </c>
      <c r="L36" s="535">
        <f t="shared" si="1"/>
        <v>21.138888888888889</v>
      </c>
      <c r="M36" s="535">
        <f t="shared" si="2"/>
        <v>33.906888888888886</v>
      </c>
      <c r="N36" s="542">
        <f t="shared" si="3"/>
        <v>8.3708888888888886</v>
      </c>
    </row>
    <row r="37" spans="1:21" x14ac:dyDescent="0.25">
      <c r="A37" s="206" t="s">
        <v>290</v>
      </c>
      <c r="B37">
        <v>24</v>
      </c>
      <c r="C37" s="120">
        <f t="shared" si="4"/>
        <v>3</v>
      </c>
      <c r="F37">
        <v>3</v>
      </c>
      <c r="G37">
        <v>4.8</v>
      </c>
      <c r="H37" s="535">
        <f t="shared" si="0"/>
        <v>15.696</v>
      </c>
      <c r="I37" s="120">
        <v>0</v>
      </c>
      <c r="K37" s="120">
        <v>24</v>
      </c>
      <c r="L37" s="535">
        <f t="shared" si="1"/>
        <v>21.138888888888889</v>
      </c>
      <c r="M37" s="535">
        <f t="shared" si="2"/>
        <v>33.906888888888886</v>
      </c>
      <c r="N37" s="542">
        <f t="shared" si="3"/>
        <v>8.3708888888888886</v>
      </c>
    </row>
    <row r="38" spans="1:21" x14ac:dyDescent="0.25">
      <c r="A38" s="206" t="s">
        <v>291</v>
      </c>
      <c r="B38">
        <v>27</v>
      </c>
      <c r="C38" s="120">
        <f t="shared" si="4"/>
        <v>3</v>
      </c>
      <c r="F38">
        <v>3</v>
      </c>
      <c r="G38">
        <v>4.8</v>
      </c>
      <c r="H38" s="535">
        <f t="shared" si="0"/>
        <v>15.696</v>
      </c>
      <c r="I38" s="120">
        <v>0</v>
      </c>
      <c r="K38" s="120">
        <v>27</v>
      </c>
      <c r="L38" s="535">
        <f t="shared" si="1"/>
        <v>21.138888888888889</v>
      </c>
      <c r="M38" s="535">
        <f t="shared" si="2"/>
        <v>33.906888888888886</v>
      </c>
      <c r="N38" s="542">
        <f t="shared" si="3"/>
        <v>8.3708888888888886</v>
      </c>
    </row>
    <row r="39" spans="1:21" ht="15.75" thickBot="1" x14ac:dyDescent="0.3">
      <c r="A39" s="128" t="s">
        <v>292</v>
      </c>
      <c r="B39">
        <v>7</v>
      </c>
      <c r="C39" s="120">
        <f t="shared" si="4"/>
        <v>20</v>
      </c>
      <c r="F39" s="496">
        <v>20</v>
      </c>
      <c r="G39" s="496">
        <v>4.8</v>
      </c>
      <c r="H39" s="535">
        <f t="shared" si="0"/>
        <v>15.696</v>
      </c>
      <c r="I39" s="120">
        <v>0</v>
      </c>
      <c r="J39" s="496"/>
      <c r="K39" s="496">
        <v>7</v>
      </c>
      <c r="L39" s="533">
        <f t="shared" si="1"/>
        <v>21.138888888888889</v>
      </c>
      <c r="M39" s="535">
        <f t="shared" si="2"/>
        <v>33.906888888888886</v>
      </c>
      <c r="N39" s="542">
        <f t="shared" si="3"/>
        <v>8.3708888888888886</v>
      </c>
    </row>
    <row r="40" spans="1:21" s="120" customFormat="1" ht="16.5" thickTop="1" thickBot="1" x14ac:dyDescent="0.3">
      <c r="A40" s="212" t="s">
        <v>520</v>
      </c>
      <c r="B40" s="535">
        <f>AVERAGE(B4:B39)</f>
        <v>21.138888888888889</v>
      </c>
      <c r="C40" s="120">
        <f>AVERAGE(C5:C39)</f>
        <v>4.8</v>
      </c>
      <c r="E40" s="531" t="s">
        <v>518</v>
      </c>
      <c r="F40" s="120">
        <f>AVERAGE(F5:F39)</f>
        <v>4.8</v>
      </c>
      <c r="J40" s="526"/>
      <c r="K40" s="532" t="s">
        <v>519</v>
      </c>
      <c r="L40" s="533"/>
    </row>
    <row r="41" spans="1:21" s="120" customFormat="1" x14ac:dyDescent="0.25">
      <c r="A41" s="212"/>
      <c r="J41" s="526"/>
      <c r="K41" s="527"/>
    </row>
    <row r="42" spans="1:21" s="120" customFormat="1" x14ac:dyDescent="0.25">
      <c r="A42" s="212"/>
      <c r="E42" s="521"/>
      <c r="G42" s="534"/>
      <c r="J42" s="526"/>
      <c r="K42" s="521"/>
    </row>
    <row r="43" spans="1:21" s="120" customFormat="1" x14ac:dyDescent="0.25">
      <c r="A43" s="212"/>
      <c r="E43" s="521"/>
      <c r="G43" s="534"/>
      <c r="J43" s="526"/>
      <c r="K43" s="521"/>
    </row>
    <row r="44" spans="1:21" x14ac:dyDescent="0.25">
      <c r="D44" s="521"/>
      <c r="E44" s="521"/>
      <c r="F44" s="522" t="s">
        <v>510</v>
      </c>
      <c r="G44" s="521"/>
      <c r="H44" s="521"/>
      <c r="I44" s="521"/>
      <c r="J44" s="523"/>
      <c r="K44" s="524"/>
      <c r="L44" s="522" t="s">
        <v>511</v>
      </c>
      <c r="M44" s="521"/>
      <c r="N44" s="521"/>
    </row>
    <row r="45" spans="1:21" x14ac:dyDescent="0.25">
      <c r="B45" s="520" t="s">
        <v>163</v>
      </c>
      <c r="D45" s="414" t="s">
        <v>512</v>
      </c>
      <c r="E45" s="414"/>
      <c r="F45" s="120"/>
      <c r="G45" s="525" t="s">
        <v>513</v>
      </c>
      <c r="H45" s="120"/>
      <c r="I45" s="120"/>
      <c r="J45" s="526"/>
      <c r="K45" s="527"/>
      <c r="L45" s="120"/>
      <c r="M45" s="120"/>
      <c r="N45" s="120"/>
    </row>
    <row r="46" spans="1:21" ht="32.25" customHeight="1" thickBot="1" x14ac:dyDescent="0.3">
      <c r="A46" s="211" t="s">
        <v>256</v>
      </c>
      <c r="B46" s="520"/>
      <c r="C46" t="s">
        <v>522</v>
      </c>
      <c r="D46" s="120"/>
      <c r="E46" s="120"/>
      <c r="F46" s="528" t="s">
        <v>522</v>
      </c>
      <c r="G46" s="529" t="s">
        <v>514</v>
      </c>
      <c r="H46" s="528" t="s">
        <v>515</v>
      </c>
      <c r="I46" s="528" t="s">
        <v>516</v>
      </c>
      <c r="J46" s="530"/>
      <c r="K46" s="536" t="s">
        <v>521</v>
      </c>
      <c r="L46" s="458" t="s">
        <v>517</v>
      </c>
      <c r="M46" s="528" t="s">
        <v>515</v>
      </c>
      <c r="N46" s="528" t="s">
        <v>516</v>
      </c>
      <c r="R46" s="537" t="s">
        <v>523</v>
      </c>
      <c r="S46" s="537"/>
      <c r="T46" s="448"/>
      <c r="U46" s="120"/>
    </row>
    <row r="47" spans="1:21" ht="15.75" thickTop="1" x14ac:dyDescent="0.25">
      <c r="A47" s="206" t="s">
        <v>296</v>
      </c>
      <c r="B47">
        <v>13</v>
      </c>
      <c r="G47" s="535">
        <f>$F$63</f>
        <v>1.7142857142857142</v>
      </c>
      <c r="H47" s="535">
        <f>$S$57</f>
        <v>5.6057142857142859</v>
      </c>
      <c r="I47">
        <v>0</v>
      </c>
      <c r="K47" s="120">
        <v>13</v>
      </c>
      <c r="L47" s="535">
        <f>$B$62</f>
        <v>8.8666666666666671</v>
      </c>
      <c r="M47" s="535">
        <f>$S$53</f>
        <v>13.426666666666666</v>
      </c>
      <c r="N47" s="542">
        <f>$S$54</f>
        <v>4.3066666666666675</v>
      </c>
      <c r="R47" s="538">
        <f>B62</f>
        <v>8.8666666666666671</v>
      </c>
      <c r="S47" s="120"/>
      <c r="T47" s="120"/>
      <c r="U47" s="120"/>
    </row>
    <row r="48" spans="1:21" x14ac:dyDescent="0.25">
      <c r="A48" s="206" t="s">
        <v>297</v>
      </c>
      <c r="B48">
        <v>13</v>
      </c>
      <c r="C48">
        <f>ABS(B47-B48)</f>
        <v>0</v>
      </c>
      <c r="F48">
        <v>0</v>
      </c>
      <c r="G48" s="535">
        <f t="shared" ref="G48:G61" si="5">$F$63</f>
        <v>1.7142857142857142</v>
      </c>
      <c r="H48" s="535">
        <f t="shared" ref="H48:H61" si="6">$S$57</f>
        <v>5.6057142857142859</v>
      </c>
      <c r="I48" s="120">
        <v>0</v>
      </c>
      <c r="K48" s="120">
        <v>13</v>
      </c>
      <c r="L48" s="535">
        <f t="shared" ref="L48:L61" si="7">$B$62</f>
        <v>8.8666666666666671</v>
      </c>
      <c r="M48" s="535">
        <f t="shared" ref="M48:M61" si="8">$S$53</f>
        <v>13.426666666666666</v>
      </c>
      <c r="N48" s="542">
        <f t="shared" ref="N48:N61" si="9">$S$54</f>
        <v>4.3066666666666675</v>
      </c>
      <c r="R48" s="539"/>
      <c r="S48" s="539"/>
      <c r="T48" s="539"/>
      <c r="U48" s="539"/>
    </row>
    <row r="49" spans="1:21" ht="15.75" thickBot="1" x14ac:dyDescent="0.3">
      <c r="A49" s="71" t="s">
        <v>300</v>
      </c>
      <c r="B49">
        <v>13</v>
      </c>
      <c r="C49" s="120">
        <f t="shared" ref="C49:C61" si="10">ABS(B48-B49)</f>
        <v>0</v>
      </c>
      <c r="F49">
        <v>0</v>
      </c>
      <c r="G49" s="535">
        <f t="shared" si="5"/>
        <v>1.7142857142857142</v>
      </c>
      <c r="H49" s="535">
        <f t="shared" si="6"/>
        <v>5.6057142857142859</v>
      </c>
      <c r="I49" s="120">
        <v>0</v>
      </c>
      <c r="K49" s="120">
        <v>13</v>
      </c>
      <c r="L49" s="535">
        <f t="shared" si="7"/>
        <v>8.8666666666666671</v>
      </c>
      <c r="M49" s="535">
        <f t="shared" si="8"/>
        <v>13.426666666666666</v>
      </c>
      <c r="N49" s="542">
        <f t="shared" si="9"/>
        <v>4.3066666666666675</v>
      </c>
      <c r="R49" s="537" t="s">
        <v>524</v>
      </c>
      <c r="S49" s="537"/>
      <c r="T49" s="537"/>
      <c r="U49" s="120"/>
    </row>
    <row r="50" spans="1:21" x14ac:dyDescent="0.25">
      <c r="A50" s="206" t="s">
        <v>298</v>
      </c>
      <c r="B50">
        <v>10</v>
      </c>
      <c r="C50" s="120">
        <f t="shared" si="10"/>
        <v>3</v>
      </c>
      <c r="F50">
        <v>3</v>
      </c>
      <c r="G50" s="535">
        <f t="shared" si="5"/>
        <v>1.7142857142857142</v>
      </c>
      <c r="H50" s="535">
        <f t="shared" si="6"/>
        <v>5.6057142857142859</v>
      </c>
      <c r="I50" s="120">
        <v>0</v>
      </c>
      <c r="K50" s="120">
        <v>10</v>
      </c>
      <c r="L50" s="535">
        <f t="shared" si="7"/>
        <v>8.8666666666666671</v>
      </c>
      <c r="M50" s="535">
        <f t="shared" si="8"/>
        <v>13.426666666666666</v>
      </c>
      <c r="N50" s="542">
        <f t="shared" si="9"/>
        <v>4.3066666666666675</v>
      </c>
      <c r="R50" s="538">
        <f>C62</f>
        <v>1.7142857142857142</v>
      </c>
      <c r="S50" s="120"/>
      <c r="T50" s="120"/>
      <c r="U50" s="120"/>
    </row>
    <row r="51" spans="1:21" x14ac:dyDescent="0.25">
      <c r="A51" s="206" t="s">
        <v>301</v>
      </c>
      <c r="B51">
        <v>10</v>
      </c>
      <c r="C51" s="120">
        <f t="shared" si="10"/>
        <v>0</v>
      </c>
      <c r="F51">
        <v>0</v>
      </c>
      <c r="G51" s="535">
        <f t="shared" si="5"/>
        <v>1.7142857142857142</v>
      </c>
      <c r="H51" s="535">
        <f t="shared" si="6"/>
        <v>5.6057142857142859</v>
      </c>
      <c r="I51" s="120">
        <v>0</v>
      </c>
      <c r="K51" s="120">
        <v>10</v>
      </c>
      <c r="L51" s="535">
        <f t="shared" si="7"/>
        <v>8.8666666666666671</v>
      </c>
      <c r="M51" s="535">
        <f t="shared" si="8"/>
        <v>13.426666666666666</v>
      </c>
      <c r="N51" s="542">
        <f t="shared" si="9"/>
        <v>4.3066666666666675</v>
      </c>
      <c r="R51" s="539"/>
      <c r="S51" s="539"/>
      <c r="T51" s="539"/>
      <c r="U51" s="539"/>
    </row>
    <row r="52" spans="1:21" ht="15.75" thickBot="1" x14ac:dyDescent="0.3">
      <c r="A52" s="71" t="s">
        <v>302</v>
      </c>
      <c r="B52">
        <v>13</v>
      </c>
      <c r="C52" s="120">
        <f t="shared" si="10"/>
        <v>3</v>
      </c>
      <c r="F52">
        <v>3</v>
      </c>
      <c r="G52" s="535">
        <f t="shared" si="5"/>
        <v>1.7142857142857142</v>
      </c>
      <c r="H52" s="535">
        <f t="shared" si="6"/>
        <v>5.6057142857142859</v>
      </c>
      <c r="I52" s="120">
        <v>0</v>
      </c>
      <c r="K52" s="120">
        <v>13</v>
      </c>
      <c r="L52" s="535">
        <f t="shared" si="7"/>
        <v>8.8666666666666671</v>
      </c>
      <c r="M52" s="535">
        <f t="shared" si="8"/>
        <v>13.426666666666666</v>
      </c>
      <c r="N52" s="542">
        <f t="shared" si="9"/>
        <v>4.3066666666666675</v>
      </c>
      <c r="R52" s="537" t="s">
        <v>525</v>
      </c>
      <c r="S52" s="537"/>
      <c r="T52" s="537"/>
      <c r="U52" s="120"/>
    </row>
    <row r="53" spans="1:21" x14ac:dyDescent="0.25">
      <c r="A53" s="206" t="s">
        <v>303</v>
      </c>
      <c r="B53">
        <v>10</v>
      </c>
      <c r="C53" s="120">
        <f t="shared" si="10"/>
        <v>3</v>
      </c>
      <c r="F53">
        <v>3</v>
      </c>
      <c r="G53" s="535">
        <f t="shared" si="5"/>
        <v>1.7142857142857142</v>
      </c>
      <c r="H53" s="535">
        <f t="shared" si="6"/>
        <v>5.6057142857142859</v>
      </c>
      <c r="I53" s="120">
        <v>0</v>
      </c>
      <c r="K53" s="120">
        <v>10</v>
      </c>
      <c r="L53" s="535">
        <f t="shared" si="7"/>
        <v>8.8666666666666671</v>
      </c>
      <c r="M53" s="535">
        <f t="shared" si="8"/>
        <v>13.426666666666666</v>
      </c>
      <c r="N53" s="542">
        <f t="shared" si="9"/>
        <v>4.3066666666666675</v>
      </c>
      <c r="R53" s="521" t="s">
        <v>526</v>
      </c>
      <c r="S53" s="538">
        <f>R47+(2.66*R50)</f>
        <v>13.426666666666666</v>
      </c>
      <c r="T53" s="120"/>
      <c r="U53" s="120"/>
    </row>
    <row r="54" spans="1:21" x14ac:dyDescent="0.25">
      <c r="A54" s="206" t="s">
        <v>304</v>
      </c>
      <c r="B54">
        <v>10</v>
      </c>
      <c r="C54" s="120">
        <f t="shared" si="10"/>
        <v>0</v>
      </c>
      <c r="F54">
        <v>0</v>
      </c>
      <c r="G54" s="535">
        <f t="shared" si="5"/>
        <v>1.7142857142857142</v>
      </c>
      <c r="H54" s="535">
        <f t="shared" si="6"/>
        <v>5.6057142857142859</v>
      </c>
      <c r="I54" s="120">
        <v>0</v>
      </c>
      <c r="K54" s="120">
        <v>10</v>
      </c>
      <c r="L54" s="535">
        <f t="shared" si="7"/>
        <v>8.8666666666666671</v>
      </c>
      <c r="M54" s="535">
        <f t="shared" si="8"/>
        <v>13.426666666666666</v>
      </c>
      <c r="N54" s="542">
        <f t="shared" si="9"/>
        <v>4.3066666666666675</v>
      </c>
      <c r="R54" s="521" t="s">
        <v>527</v>
      </c>
      <c r="S54" s="541">
        <f>R47-(2.66*R50)</f>
        <v>4.3066666666666675</v>
      </c>
      <c r="T54" s="120"/>
      <c r="U54" s="120"/>
    </row>
    <row r="55" spans="1:21" ht="15.75" thickBot="1" x14ac:dyDescent="0.3">
      <c r="A55" s="144" t="s">
        <v>299</v>
      </c>
      <c r="B55">
        <v>10</v>
      </c>
      <c r="C55" s="120">
        <f t="shared" si="10"/>
        <v>0</v>
      </c>
      <c r="F55">
        <v>0</v>
      </c>
      <c r="G55" s="535">
        <f t="shared" si="5"/>
        <v>1.7142857142857142</v>
      </c>
      <c r="H55" s="535">
        <f t="shared" si="6"/>
        <v>5.6057142857142859</v>
      </c>
      <c r="I55" s="120">
        <v>0</v>
      </c>
      <c r="K55" s="120">
        <v>10</v>
      </c>
      <c r="L55" s="535">
        <f t="shared" si="7"/>
        <v>8.8666666666666671</v>
      </c>
      <c r="M55" s="535">
        <f t="shared" si="8"/>
        <v>13.426666666666666</v>
      </c>
      <c r="N55" s="542">
        <f t="shared" si="9"/>
        <v>4.3066666666666675</v>
      </c>
      <c r="R55" s="539"/>
      <c r="S55" s="539"/>
      <c r="T55" s="539"/>
      <c r="U55" s="539"/>
    </row>
    <row r="56" spans="1:21" ht="15.75" thickTop="1" x14ac:dyDescent="0.25">
      <c r="A56" s="206" t="s">
        <v>305</v>
      </c>
      <c r="B56">
        <v>6</v>
      </c>
      <c r="C56" s="120">
        <f t="shared" si="10"/>
        <v>4</v>
      </c>
      <c r="F56">
        <v>4</v>
      </c>
      <c r="G56" s="535">
        <f t="shared" si="5"/>
        <v>1.7142857142857142</v>
      </c>
      <c r="H56" s="535">
        <f t="shared" si="6"/>
        <v>5.6057142857142859</v>
      </c>
      <c r="I56" s="120">
        <v>0</v>
      </c>
      <c r="K56" s="120">
        <v>6</v>
      </c>
      <c r="L56" s="535">
        <f t="shared" si="7"/>
        <v>8.8666666666666671</v>
      </c>
      <c r="M56" s="535">
        <f t="shared" si="8"/>
        <v>13.426666666666666</v>
      </c>
      <c r="N56" s="542">
        <f t="shared" si="9"/>
        <v>4.3066666666666675</v>
      </c>
      <c r="R56" s="537" t="s">
        <v>528</v>
      </c>
      <c r="S56" s="448"/>
      <c r="T56" s="448"/>
      <c r="U56" s="448"/>
    </row>
    <row r="57" spans="1:21" x14ac:dyDescent="0.25">
      <c r="A57" s="206" t="s">
        <v>306</v>
      </c>
      <c r="B57">
        <v>10</v>
      </c>
      <c r="C57" s="120">
        <f t="shared" si="10"/>
        <v>4</v>
      </c>
      <c r="F57">
        <v>4</v>
      </c>
      <c r="G57" s="535">
        <f t="shared" si="5"/>
        <v>1.7142857142857142</v>
      </c>
      <c r="H57" s="535">
        <f t="shared" si="6"/>
        <v>5.6057142857142859</v>
      </c>
      <c r="I57" s="120">
        <v>0</v>
      </c>
      <c r="K57" s="120">
        <v>10</v>
      </c>
      <c r="L57" s="535">
        <f t="shared" si="7"/>
        <v>8.8666666666666671</v>
      </c>
      <c r="M57" s="535">
        <f t="shared" si="8"/>
        <v>13.426666666666666</v>
      </c>
      <c r="N57" s="542">
        <f t="shared" si="9"/>
        <v>4.3066666666666675</v>
      </c>
      <c r="R57" s="521" t="s">
        <v>529</v>
      </c>
      <c r="S57" s="538">
        <f>3.27*R50</f>
        <v>5.6057142857142859</v>
      </c>
      <c r="T57" s="120"/>
      <c r="U57" s="120"/>
    </row>
    <row r="58" spans="1:21" ht="15.75" thickBot="1" x14ac:dyDescent="0.3">
      <c r="A58" s="71" t="s">
        <v>307</v>
      </c>
      <c r="B58">
        <v>6</v>
      </c>
      <c r="C58" s="120">
        <f t="shared" si="10"/>
        <v>4</v>
      </c>
      <c r="F58">
        <v>4</v>
      </c>
      <c r="G58" s="535">
        <f t="shared" si="5"/>
        <v>1.7142857142857142</v>
      </c>
      <c r="H58" s="535">
        <f t="shared" si="6"/>
        <v>5.6057142857142859</v>
      </c>
      <c r="I58" s="120">
        <v>0</v>
      </c>
      <c r="K58" s="120">
        <v>6</v>
      </c>
      <c r="L58" s="535">
        <f t="shared" si="7"/>
        <v>8.8666666666666671</v>
      </c>
      <c r="M58" s="535">
        <f t="shared" si="8"/>
        <v>13.426666666666666</v>
      </c>
      <c r="N58" s="542">
        <f t="shared" si="9"/>
        <v>4.3066666666666675</v>
      </c>
    </row>
    <row r="59" spans="1:21" x14ac:dyDescent="0.25">
      <c r="A59" s="206" t="s">
        <v>308</v>
      </c>
      <c r="B59">
        <v>3</v>
      </c>
      <c r="C59" s="120">
        <f t="shared" si="10"/>
        <v>3</v>
      </c>
      <c r="F59">
        <v>3</v>
      </c>
      <c r="G59" s="535">
        <f t="shared" si="5"/>
        <v>1.7142857142857142</v>
      </c>
      <c r="H59" s="535">
        <f t="shared" si="6"/>
        <v>5.6057142857142859</v>
      </c>
      <c r="I59" s="120">
        <v>0</v>
      </c>
      <c r="K59" s="120">
        <v>3</v>
      </c>
      <c r="L59" s="535">
        <f t="shared" si="7"/>
        <v>8.8666666666666671</v>
      </c>
      <c r="M59" s="535">
        <f t="shared" si="8"/>
        <v>13.426666666666666</v>
      </c>
      <c r="N59" s="542">
        <f t="shared" si="9"/>
        <v>4.3066666666666675</v>
      </c>
    </row>
    <row r="60" spans="1:21" x14ac:dyDescent="0.25">
      <c r="A60" s="206" t="s">
        <v>309</v>
      </c>
      <c r="B60">
        <v>3</v>
      </c>
      <c r="C60" s="120">
        <f t="shared" si="10"/>
        <v>0</v>
      </c>
      <c r="F60">
        <v>0</v>
      </c>
      <c r="G60" s="535">
        <f t="shared" si="5"/>
        <v>1.7142857142857142</v>
      </c>
      <c r="H60" s="535">
        <f t="shared" si="6"/>
        <v>5.6057142857142859</v>
      </c>
      <c r="I60" s="120">
        <v>0</v>
      </c>
      <c r="K60" s="120">
        <v>3</v>
      </c>
      <c r="L60" s="535">
        <f t="shared" si="7"/>
        <v>8.8666666666666671</v>
      </c>
      <c r="M60" s="535">
        <f t="shared" si="8"/>
        <v>13.426666666666666</v>
      </c>
      <c r="N60" s="542">
        <f t="shared" si="9"/>
        <v>4.3066666666666675</v>
      </c>
    </row>
    <row r="61" spans="1:21" ht="15.75" thickBot="1" x14ac:dyDescent="0.3">
      <c r="A61" s="71" t="s">
        <v>310</v>
      </c>
      <c r="B61">
        <v>3</v>
      </c>
      <c r="C61" s="120">
        <f t="shared" si="10"/>
        <v>0</v>
      </c>
      <c r="F61" s="496">
        <v>0</v>
      </c>
      <c r="G61" s="533">
        <f t="shared" si="5"/>
        <v>1.7142857142857142</v>
      </c>
      <c r="H61" s="535">
        <f t="shared" si="6"/>
        <v>5.6057142857142859</v>
      </c>
      <c r="I61" s="120">
        <v>0</v>
      </c>
      <c r="J61" s="496"/>
      <c r="K61" s="120">
        <v>3</v>
      </c>
      <c r="L61" s="535">
        <f t="shared" si="7"/>
        <v>8.8666666666666671</v>
      </c>
      <c r="M61" s="535">
        <f t="shared" si="8"/>
        <v>13.426666666666666</v>
      </c>
      <c r="N61" s="542">
        <f t="shared" si="9"/>
        <v>4.3066666666666675</v>
      </c>
    </row>
    <row r="62" spans="1:21" x14ac:dyDescent="0.25">
      <c r="A62" s="228" t="s">
        <v>520</v>
      </c>
      <c r="B62" s="535">
        <f>AVERAGE(B47:B61)</f>
        <v>8.8666666666666671</v>
      </c>
      <c r="C62" s="535">
        <f>AVERAGE(C48:C61)</f>
        <v>1.7142857142857142</v>
      </c>
    </row>
    <row r="63" spans="1:21" ht="15.75" thickBot="1" x14ac:dyDescent="0.3">
      <c r="E63" s="531" t="s">
        <v>518</v>
      </c>
      <c r="F63" s="533">
        <v>1.7142857142857142</v>
      </c>
      <c r="G63" s="120"/>
      <c r="H63" s="120"/>
      <c r="I63" s="120"/>
      <c r="J63" s="526"/>
      <c r="K63" s="532" t="s">
        <v>519</v>
      </c>
      <c r="L63" s="533"/>
      <c r="M63" s="120"/>
    </row>
    <row r="64" spans="1:21" x14ac:dyDescent="0.25">
      <c r="E64" s="120"/>
      <c r="F64" s="120"/>
      <c r="G64" s="120"/>
      <c r="H64" s="120"/>
      <c r="I64" s="120"/>
      <c r="J64" s="526"/>
      <c r="K64" s="527"/>
      <c r="L64" s="120"/>
      <c r="M64" s="120"/>
    </row>
    <row r="65" spans="5:13" x14ac:dyDescent="0.25">
      <c r="E65" s="521"/>
      <c r="F65" s="120"/>
      <c r="G65" s="534"/>
      <c r="H65" s="120"/>
      <c r="I65" s="120"/>
      <c r="J65" s="526"/>
      <c r="K65" s="521"/>
      <c r="L65" s="120"/>
      <c r="M65" s="120"/>
    </row>
    <row r="66" spans="5:13" x14ac:dyDescent="0.25">
      <c r="E66" s="521"/>
      <c r="F66" s="120"/>
      <c r="G66" s="534"/>
      <c r="H66" s="120"/>
      <c r="I66" s="120"/>
      <c r="J66" s="526"/>
      <c r="K66" s="521"/>
      <c r="L66" s="120"/>
      <c r="M66" s="120"/>
    </row>
  </sheetData>
  <mergeCells count="11">
    <mergeCell ref="R49:T49"/>
    <mergeCell ref="R52:T52"/>
    <mergeCell ref="R56:U56"/>
    <mergeCell ref="B1:B3"/>
    <mergeCell ref="B45:B46"/>
    <mergeCell ref="D45:E45"/>
    <mergeCell ref="Q3:S3"/>
    <mergeCell ref="Q6:S6"/>
    <mergeCell ref="Q9:S9"/>
    <mergeCell ref="Q13:T13"/>
    <mergeCell ref="R46:T46"/>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33EFD-DD8C-40FF-8F18-C39C65FF10AD}">
  <dimension ref="A1:U66"/>
  <sheetViews>
    <sheetView tabSelected="1" zoomScale="66" zoomScaleNormal="66" workbookViewId="0">
      <selection activeCell="P27" sqref="P27"/>
    </sheetView>
  </sheetViews>
  <sheetFormatPr defaultRowHeight="15" x14ac:dyDescent="0.25"/>
  <cols>
    <col min="1" max="16384" width="9.140625" style="120"/>
  </cols>
  <sheetData>
    <row r="1" spans="1:20" x14ac:dyDescent="0.25">
      <c r="B1" s="520" t="s">
        <v>163</v>
      </c>
      <c r="D1" s="521"/>
      <c r="E1" s="521"/>
      <c r="F1" s="522" t="s">
        <v>510</v>
      </c>
      <c r="G1" s="521"/>
      <c r="H1" s="521"/>
      <c r="I1" s="521"/>
      <c r="J1" s="523"/>
      <c r="K1" s="524"/>
      <c r="L1" s="522" t="s">
        <v>511</v>
      </c>
      <c r="M1" s="521"/>
      <c r="N1" s="521"/>
    </row>
    <row r="2" spans="1:20" x14ac:dyDescent="0.25">
      <c r="B2" s="520"/>
      <c r="D2" s="212" t="s">
        <v>512</v>
      </c>
      <c r="E2" s="212"/>
      <c r="G2" s="525" t="s">
        <v>513</v>
      </c>
      <c r="J2" s="526"/>
      <c r="K2" s="527"/>
    </row>
    <row r="3" spans="1:20" ht="33.75" customHeight="1" thickBot="1" x14ac:dyDescent="0.3">
      <c r="A3" s="211" t="s">
        <v>256</v>
      </c>
      <c r="B3" s="520"/>
      <c r="C3" s="206" t="s">
        <v>522</v>
      </c>
      <c r="F3" s="528" t="s">
        <v>522</v>
      </c>
      <c r="G3" s="529" t="s">
        <v>514</v>
      </c>
      <c r="H3" s="528" t="s">
        <v>515</v>
      </c>
      <c r="I3" s="528" t="s">
        <v>516</v>
      </c>
      <c r="J3" s="530"/>
      <c r="K3" s="536" t="s">
        <v>521</v>
      </c>
      <c r="L3" s="458" t="s">
        <v>517</v>
      </c>
      <c r="M3" s="528" t="s">
        <v>515</v>
      </c>
      <c r="N3" s="528" t="s">
        <v>516</v>
      </c>
      <c r="Q3" s="537" t="s">
        <v>523</v>
      </c>
      <c r="R3" s="537"/>
      <c r="S3" s="448"/>
    </row>
    <row r="4" spans="1:20" ht="15.75" thickTop="1" x14ac:dyDescent="0.25">
      <c r="A4" s="206" t="s">
        <v>257</v>
      </c>
      <c r="B4" s="120">
        <v>29</v>
      </c>
      <c r="G4" s="120">
        <f>$C$55</f>
        <v>3.96</v>
      </c>
      <c r="H4" s="535">
        <f>$R$14</f>
        <v>12.949199999999999</v>
      </c>
      <c r="I4" s="120">
        <v>0</v>
      </c>
      <c r="K4" s="120">
        <v>29</v>
      </c>
      <c r="L4" s="535">
        <f>$B$55</f>
        <v>17.529411764705884</v>
      </c>
      <c r="M4" s="535">
        <f>$R$10</f>
        <v>28.063011764705884</v>
      </c>
      <c r="N4" s="542">
        <f>$R$11</f>
        <v>6.9958117647058842</v>
      </c>
      <c r="Q4" s="538">
        <f>B55</f>
        <v>17.529411764705884</v>
      </c>
    </row>
    <row r="5" spans="1:20" x14ac:dyDescent="0.25">
      <c r="A5" s="206" t="s">
        <v>258</v>
      </c>
      <c r="B5" s="120">
        <v>30</v>
      </c>
      <c r="C5" s="120">
        <f>ABS(B4-B5)</f>
        <v>1</v>
      </c>
      <c r="F5" s="120">
        <v>1</v>
      </c>
      <c r="G5" s="120">
        <f t="shared" ref="G5:G54" si="0">$C$55</f>
        <v>3.96</v>
      </c>
      <c r="H5" s="535">
        <f t="shared" ref="H5:H54" si="1">$R$14</f>
        <v>12.949199999999999</v>
      </c>
      <c r="I5" s="120">
        <v>0</v>
      </c>
      <c r="K5" s="120">
        <v>30</v>
      </c>
      <c r="L5" s="535">
        <f t="shared" ref="L5:L54" si="2">$B$55</f>
        <v>17.529411764705884</v>
      </c>
      <c r="M5" s="535">
        <f t="shared" ref="M5:M54" si="3">$R$10</f>
        <v>28.063011764705884</v>
      </c>
      <c r="N5" s="542">
        <f t="shared" ref="N5:N54" si="4">$R$11</f>
        <v>6.9958117647058842</v>
      </c>
      <c r="Q5" s="539"/>
      <c r="R5" s="539"/>
      <c r="S5" s="539"/>
      <c r="T5" s="539"/>
    </row>
    <row r="6" spans="1:20" ht="15.75" thickBot="1" x14ac:dyDescent="0.3">
      <c r="A6" s="71" t="s">
        <v>259</v>
      </c>
      <c r="B6" s="120">
        <v>30</v>
      </c>
      <c r="C6" s="120">
        <f t="shared" ref="C6:C54" si="5">ABS(B5-B6)</f>
        <v>0</v>
      </c>
      <c r="F6" s="120">
        <v>0</v>
      </c>
      <c r="G6" s="120">
        <f t="shared" si="0"/>
        <v>3.96</v>
      </c>
      <c r="H6" s="535">
        <f t="shared" si="1"/>
        <v>12.949199999999999</v>
      </c>
      <c r="I6" s="120">
        <v>0</v>
      </c>
      <c r="K6" s="120">
        <v>30</v>
      </c>
      <c r="L6" s="535">
        <f t="shared" si="2"/>
        <v>17.529411764705884</v>
      </c>
      <c r="M6" s="535">
        <f t="shared" si="3"/>
        <v>28.063011764705884</v>
      </c>
      <c r="N6" s="542">
        <f t="shared" si="4"/>
        <v>6.9958117647058842</v>
      </c>
      <c r="Q6" s="537" t="s">
        <v>524</v>
      </c>
      <c r="R6" s="537"/>
      <c r="S6" s="537"/>
    </row>
    <row r="7" spans="1:20" x14ac:dyDescent="0.25">
      <c r="A7" s="206" t="s">
        <v>260</v>
      </c>
      <c r="B7" s="120">
        <v>24</v>
      </c>
      <c r="C7" s="120">
        <f t="shared" si="5"/>
        <v>6</v>
      </c>
      <c r="F7" s="120">
        <v>6</v>
      </c>
      <c r="G7" s="120">
        <f t="shared" si="0"/>
        <v>3.96</v>
      </c>
      <c r="H7" s="535">
        <f t="shared" si="1"/>
        <v>12.949199999999999</v>
      </c>
      <c r="I7" s="120">
        <v>0</v>
      </c>
      <c r="K7" s="120">
        <v>24</v>
      </c>
      <c r="L7" s="535">
        <f t="shared" si="2"/>
        <v>17.529411764705884</v>
      </c>
      <c r="M7" s="535">
        <f t="shared" si="3"/>
        <v>28.063011764705884</v>
      </c>
      <c r="N7" s="542">
        <f t="shared" si="4"/>
        <v>6.9958117647058842</v>
      </c>
      <c r="Q7" s="540">
        <f>C55</f>
        <v>3.96</v>
      </c>
    </row>
    <row r="8" spans="1:20" x14ac:dyDescent="0.25">
      <c r="A8" s="206" t="s">
        <v>261</v>
      </c>
      <c r="B8" s="120">
        <v>23</v>
      </c>
      <c r="C8" s="120">
        <f t="shared" si="5"/>
        <v>1</v>
      </c>
      <c r="F8" s="120">
        <v>1</v>
      </c>
      <c r="G8" s="120">
        <f t="shared" si="0"/>
        <v>3.96</v>
      </c>
      <c r="H8" s="535">
        <f t="shared" si="1"/>
        <v>12.949199999999999</v>
      </c>
      <c r="I8" s="120">
        <v>0</v>
      </c>
      <c r="K8" s="120">
        <v>23</v>
      </c>
      <c r="L8" s="535">
        <f t="shared" si="2"/>
        <v>17.529411764705884</v>
      </c>
      <c r="M8" s="535">
        <f t="shared" si="3"/>
        <v>28.063011764705884</v>
      </c>
      <c r="N8" s="542">
        <f t="shared" si="4"/>
        <v>6.9958117647058842</v>
      </c>
      <c r="Q8" s="539"/>
      <c r="R8" s="539"/>
      <c r="S8" s="539"/>
      <c r="T8" s="539"/>
    </row>
    <row r="9" spans="1:20" ht="15.75" thickBot="1" x14ac:dyDescent="0.3">
      <c r="A9" s="71" t="s">
        <v>262</v>
      </c>
      <c r="B9" s="120">
        <v>24</v>
      </c>
      <c r="C9" s="120">
        <f t="shared" si="5"/>
        <v>1</v>
      </c>
      <c r="F9" s="120">
        <v>1</v>
      </c>
      <c r="G9" s="120">
        <f t="shared" si="0"/>
        <v>3.96</v>
      </c>
      <c r="H9" s="535">
        <f t="shared" si="1"/>
        <v>12.949199999999999</v>
      </c>
      <c r="I9" s="120">
        <v>0</v>
      </c>
      <c r="K9" s="120">
        <v>24</v>
      </c>
      <c r="L9" s="535">
        <f t="shared" si="2"/>
        <v>17.529411764705884</v>
      </c>
      <c r="M9" s="535">
        <f t="shared" si="3"/>
        <v>28.063011764705884</v>
      </c>
      <c r="N9" s="542">
        <f t="shared" si="4"/>
        <v>6.9958117647058842</v>
      </c>
      <c r="Q9" s="537" t="s">
        <v>525</v>
      </c>
      <c r="R9" s="537"/>
      <c r="S9" s="537"/>
    </row>
    <row r="10" spans="1:20" x14ac:dyDescent="0.25">
      <c r="A10" s="206" t="s">
        <v>263</v>
      </c>
      <c r="B10" s="120">
        <v>23</v>
      </c>
      <c r="C10" s="120">
        <f t="shared" si="5"/>
        <v>1</v>
      </c>
      <c r="F10" s="120">
        <v>1</v>
      </c>
      <c r="G10" s="120">
        <f t="shared" si="0"/>
        <v>3.96</v>
      </c>
      <c r="H10" s="535">
        <f t="shared" si="1"/>
        <v>12.949199999999999</v>
      </c>
      <c r="I10" s="120">
        <v>0</v>
      </c>
      <c r="K10" s="120">
        <v>23</v>
      </c>
      <c r="L10" s="535">
        <f t="shared" si="2"/>
        <v>17.529411764705884</v>
      </c>
      <c r="M10" s="535">
        <f t="shared" si="3"/>
        <v>28.063011764705884</v>
      </c>
      <c r="N10" s="542">
        <f t="shared" si="4"/>
        <v>6.9958117647058842</v>
      </c>
      <c r="Q10" s="521" t="s">
        <v>526</v>
      </c>
      <c r="R10" s="538">
        <f>Q4+(2.66*Q7)</f>
        <v>28.063011764705884</v>
      </c>
    </row>
    <row r="11" spans="1:20" x14ac:dyDescent="0.25">
      <c r="A11" s="206" t="s">
        <v>264</v>
      </c>
      <c r="B11" s="120">
        <v>23</v>
      </c>
      <c r="C11" s="120">
        <f t="shared" si="5"/>
        <v>0</v>
      </c>
      <c r="F11" s="120">
        <v>0</v>
      </c>
      <c r="G11" s="120">
        <f t="shared" si="0"/>
        <v>3.96</v>
      </c>
      <c r="H11" s="535">
        <f t="shared" si="1"/>
        <v>12.949199999999999</v>
      </c>
      <c r="I11" s="120">
        <v>0</v>
      </c>
      <c r="K11" s="120">
        <v>23</v>
      </c>
      <c r="L11" s="535">
        <f t="shared" si="2"/>
        <v>17.529411764705884</v>
      </c>
      <c r="M11" s="535">
        <f t="shared" si="3"/>
        <v>28.063011764705884</v>
      </c>
      <c r="N11" s="542">
        <f t="shared" si="4"/>
        <v>6.9958117647058842</v>
      </c>
      <c r="Q11" s="521" t="s">
        <v>527</v>
      </c>
      <c r="R11" s="541">
        <f>Q4-(2.66*Q7)</f>
        <v>6.9958117647058842</v>
      </c>
    </row>
    <row r="12" spans="1:20" ht="15.75" thickBot="1" x14ac:dyDescent="0.3">
      <c r="A12" s="153" t="s">
        <v>265</v>
      </c>
      <c r="B12" s="120">
        <v>20</v>
      </c>
      <c r="C12" s="120">
        <f t="shared" si="5"/>
        <v>3</v>
      </c>
      <c r="F12" s="120">
        <v>3</v>
      </c>
      <c r="G12" s="120">
        <f t="shared" si="0"/>
        <v>3.96</v>
      </c>
      <c r="H12" s="535">
        <f t="shared" si="1"/>
        <v>12.949199999999999</v>
      </c>
      <c r="I12" s="120">
        <v>0</v>
      </c>
      <c r="K12" s="120">
        <v>20</v>
      </c>
      <c r="L12" s="535">
        <f t="shared" si="2"/>
        <v>17.529411764705884</v>
      </c>
      <c r="M12" s="535">
        <f t="shared" si="3"/>
        <v>28.063011764705884</v>
      </c>
      <c r="N12" s="542">
        <f t="shared" si="4"/>
        <v>6.9958117647058842</v>
      </c>
      <c r="Q12" s="539"/>
      <c r="R12" s="539"/>
      <c r="S12" s="539"/>
      <c r="T12" s="539"/>
    </row>
    <row r="13" spans="1:20" x14ac:dyDescent="0.25">
      <c r="A13" s="206" t="s">
        <v>266</v>
      </c>
      <c r="B13" s="120">
        <v>20</v>
      </c>
      <c r="C13" s="120">
        <f t="shared" si="5"/>
        <v>0</v>
      </c>
      <c r="F13" s="120">
        <v>0</v>
      </c>
      <c r="G13" s="120">
        <f t="shared" si="0"/>
        <v>3.96</v>
      </c>
      <c r="H13" s="535">
        <f t="shared" si="1"/>
        <v>12.949199999999999</v>
      </c>
      <c r="I13" s="120">
        <v>0</v>
      </c>
      <c r="K13" s="120">
        <v>20</v>
      </c>
      <c r="L13" s="535">
        <f t="shared" si="2"/>
        <v>17.529411764705884</v>
      </c>
      <c r="M13" s="535">
        <f t="shared" si="3"/>
        <v>28.063011764705884</v>
      </c>
      <c r="N13" s="542">
        <f t="shared" si="4"/>
        <v>6.9958117647058842</v>
      </c>
      <c r="Q13" s="537" t="s">
        <v>528</v>
      </c>
      <c r="R13" s="448"/>
      <c r="S13" s="448"/>
      <c r="T13" s="448"/>
    </row>
    <row r="14" spans="1:20" x14ac:dyDescent="0.25">
      <c r="A14" s="206" t="s">
        <v>267</v>
      </c>
      <c r="B14" s="120">
        <v>20</v>
      </c>
      <c r="C14" s="120">
        <f t="shared" si="5"/>
        <v>0</v>
      </c>
      <c r="F14" s="120">
        <v>0</v>
      </c>
      <c r="G14" s="120">
        <f t="shared" si="0"/>
        <v>3.96</v>
      </c>
      <c r="H14" s="535">
        <f t="shared" si="1"/>
        <v>12.949199999999999</v>
      </c>
      <c r="I14" s="120">
        <v>0</v>
      </c>
      <c r="K14" s="120">
        <v>20</v>
      </c>
      <c r="L14" s="535">
        <f t="shared" si="2"/>
        <v>17.529411764705884</v>
      </c>
      <c r="M14" s="535">
        <f t="shared" si="3"/>
        <v>28.063011764705884</v>
      </c>
      <c r="N14" s="542">
        <f t="shared" si="4"/>
        <v>6.9958117647058842</v>
      </c>
      <c r="Q14" s="521" t="s">
        <v>529</v>
      </c>
      <c r="R14" s="538">
        <f>3.27*Q7</f>
        <v>12.949199999999999</v>
      </c>
    </row>
    <row r="15" spans="1:20" ht="15.75" thickBot="1" x14ac:dyDescent="0.3">
      <c r="A15" s="71" t="s">
        <v>268</v>
      </c>
      <c r="B15" s="120">
        <v>20</v>
      </c>
      <c r="C15" s="120">
        <f t="shared" si="5"/>
        <v>0</v>
      </c>
      <c r="F15" s="120">
        <v>0</v>
      </c>
      <c r="G15" s="120">
        <f t="shared" si="0"/>
        <v>3.96</v>
      </c>
      <c r="H15" s="535">
        <f t="shared" si="1"/>
        <v>12.949199999999999</v>
      </c>
      <c r="I15" s="120">
        <v>0</v>
      </c>
      <c r="K15" s="120">
        <v>20</v>
      </c>
      <c r="L15" s="535">
        <f t="shared" si="2"/>
        <v>17.529411764705884</v>
      </c>
      <c r="M15" s="535">
        <f t="shared" si="3"/>
        <v>28.063011764705884</v>
      </c>
      <c r="N15" s="542">
        <f t="shared" si="4"/>
        <v>6.9958117647058842</v>
      </c>
    </row>
    <row r="16" spans="1:20" x14ac:dyDescent="0.25">
      <c r="A16" s="206" t="s">
        <v>269</v>
      </c>
      <c r="B16" s="120">
        <v>24</v>
      </c>
      <c r="C16" s="120">
        <f t="shared" si="5"/>
        <v>4</v>
      </c>
      <c r="F16" s="120">
        <v>4</v>
      </c>
      <c r="G16" s="120">
        <f t="shared" si="0"/>
        <v>3.96</v>
      </c>
      <c r="H16" s="535">
        <f t="shared" si="1"/>
        <v>12.949199999999999</v>
      </c>
      <c r="I16" s="120">
        <v>0</v>
      </c>
      <c r="K16" s="120">
        <v>24</v>
      </c>
      <c r="L16" s="535">
        <f t="shared" si="2"/>
        <v>17.529411764705884</v>
      </c>
      <c r="M16" s="535">
        <f t="shared" si="3"/>
        <v>28.063011764705884</v>
      </c>
      <c r="N16" s="542">
        <f t="shared" si="4"/>
        <v>6.9958117647058842</v>
      </c>
    </row>
    <row r="17" spans="1:14" x14ac:dyDescent="0.25">
      <c r="A17" s="206" t="s">
        <v>270</v>
      </c>
      <c r="B17" s="120">
        <v>20</v>
      </c>
      <c r="C17" s="120">
        <f t="shared" si="5"/>
        <v>4</v>
      </c>
      <c r="F17" s="120">
        <v>4</v>
      </c>
      <c r="G17" s="120">
        <f t="shared" si="0"/>
        <v>3.96</v>
      </c>
      <c r="H17" s="535">
        <f t="shared" si="1"/>
        <v>12.949199999999999</v>
      </c>
      <c r="I17" s="120">
        <v>0</v>
      </c>
      <c r="K17" s="120">
        <v>20</v>
      </c>
      <c r="L17" s="535">
        <f t="shared" si="2"/>
        <v>17.529411764705884</v>
      </c>
      <c r="M17" s="535">
        <f t="shared" si="3"/>
        <v>28.063011764705884</v>
      </c>
      <c r="N17" s="542">
        <f t="shared" si="4"/>
        <v>6.9958117647058842</v>
      </c>
    </row>
    <row r="18" spans="1:14" ht="15.75" thickBot="1" x14ac:dyDescent="0.3">
      <c r="A18" s="71" t="s">
        <v>271</v>
      </c>
      <c r="B18" s="120">
        <v>24</v>
      </c>
      <c r="C18" s="120">
        <f t="shared" si="5"/>
        <v>4</v>
      </c>
      <c r="F18" s="120">
        <v>4</v>
      </c>
      <c r="G18" s="120">
        <f t="shared" si="0"/>
        <v>3.96</v>
      </c>
      <c r="H18" s="535">
        <f t="shared" si="1"/>
        <v>12.949199999999999</v>
      </c>
      <c r="I18" s="120">
        <v>0</v>
      </c>
      <c r="K18" s="120">
        <v>24</v>
      </c>
      <c r="L18" s="535">
        <f t="shared" si="2"/>
        <v>17.529411764705884</v>
      </c>
      <c r="M18" s="535">
        <f t="shared" si="3"/>
        <v>28.063011764705884</v>
      </c>
      <c r="N18" s="542">
        <f t="shared" si="4"/>
        <v>6.9958117647058842</v>
      </c>
    </row>
    <row r="19" spans="1:14" x14ac:dyDescent="0.25">
      <c r="A19" s="206" t="s">
        <v>272</v>
      </c>
      <c r="B19" s="120">
        <v>20</v>
      </c>
      <c r="C19" s="120">
        <f t="shared" si="5"/>
        <v>4</v>
      </c>
      <c r="F19" s="120">
        <v>4</v>
      </c>
      <c r="G19" s="120">
        <f t="shared" si="0"/>
        <v>3.96</v>
      </c>
      <c r="H19" s="535">
        <f t="shared" si="1"/>
        <v>12.949199999999999</v>
      </c>
      <c r="I19" s="120">
        <v>0</v>
      </c>
      <c r="K19" s="120">
        <v>20</v>
      </c>
      <c r="L19" s="535">
        <f t="shared" si="2"/>
        <v>17.529411764705884</v>
      </c>
      <c r="M19" s="535">
        <f t="shared" si="3"/>
        <v>28.063011764705884</v>
      </c>
      <c r="N19" s="542">
        <f t="shared" si="4"/>
        <v>6.9958117647058842</v>
      </c>
    </row>
    <row r="20" spans="1:14" x14ac:dyDescent="0.25">
      <c r="A20" s="206" t="s">
        <v>273</v>
      </c>
      <c r="B20" s="120">
        <v>24</v>
      </c>
      <c r="C20" s="120">
        <f t="shared" si="5"/>
        <v>4</v>
      </c>
      <c r="F20" s="120">
        <v>4</v>
      </c>
      <c r="G20" s="120">
        <f t="shared" si="0"/>
        <v>3.96</v>
      </c>
      <c r="H20" s="535">
        <f t="shared" si="1"/>
        <v>12.949199999999999</v>
      </c>
      <c r="I20" s="120">
        <v>0</v>
      </c>
      <c r="K20" s="120">
        <v>24</v>
      </c>
      <c r="L20" s="535">
        <f t="shared" si="2"/>
        <v>17.529411764705884</v>
      </c>
      <c r="M20" s="535">
        <f t="shared" si="3"/>
        <v>28.063011764705884</v>
      </c>
      <c r="N20" s="542">
        <f t="shared" si="4"/>
        <v>6.9958117647058842</v>
      </c>
    </row>
    <row r="21" spans="1:14" ht="15.75" thickBot="1" x14ac:dyDescent="0.3">
      <c r="A21" s="128" t="s">
        <v>274</v>
      </c>
      <c r="B21" s="120">
        <v>10</v>
      </c>
      <c r="C21" s="120">
        <f t="shared" si="5"/>
        <v>14</v>
      </c>
      <c r="F21" s="120">
        <v>14</v>
      </c>
      <c r="G21" s="120">
        <f t="shared" si="0"/>
        <v>3.96</v>
      </c>
      <c r="H21" s="535">
        <f t="shared" si="1"/>
        <v>12.949199999999999</v>
      </c>
      <c r="I21" s="120">
        <v>0</v>
      </c>
      <c r="K21" s="120">
        <v>10</v>
      </c>
      <c r="L21" s="535">
        <f t="shared" si="2"/>
        <v>17.529411764705884</v>
      </c>
      <c r="M21" s="535">
        <f t="shared" si="3"/>
        <v>28.063011764705884</v>
      </c>
      <c r="N21" s="542">
        <f t="shared" si="4"/>
        <v>6.9958117647058842</v>
      </c>
    </row>
    <row r="22" spans="1:14" ht="15.75" thickTop="1" x14ac:dyDescent="0.25">
      <c r="A22" s="206" t="s">
        <v>275</v>
      </c>
      <c r="B22" s="120">
        <v>21</v>
      </c>
      <c r="C22" s="120">
        <f t="shared" si="5"/>
        <v>11</v>
      </c>
      <c r="F22" s="120">
        <v>11</v>
      </c>
      <c r="G22" s="120">
        <f t="shared" si="0"/>
        <v>3.96</v>
      </c>
      <c r="H22" s="535">
        <f t="shared" si="1"/>
        <v>12.949199999999999</v>
      </c>
      <c r="I22" s="120">
        <v>0</v>
      </c>
      <c r="K22" s="120">
        <v>21</v>
      </c>
      <c r="L22" s="535">
        <f t="shared" si="2"/>
        <v>17.529411764705884</v>
      </c>
      <c r="M22" s="535">
        <f t="shared" si="3"/>
        <v>28.063011764705884</v>
      </c>
      <c r="N22" s="542">
        <f t="shared" si="4"/>
        <v>6.9958117647058842</v>
      </c>
    </row>
    <row r="23" spans="1:14" x14ac:dyDescent="0.25">
      <c r="A23" s="206" t="s">
        <v>276</v>
      </c>
      <c r="B23" s="120">
        <v>21</v>
      </c>
      <c r="C23" s="120">
        <f t="shared" si="5"/>
        <v>0</v>
      </c>
      <c r="F23" s="120">
        <v>0</v>
      </c>
      <c r="G23" s="120">
        <f t="shared" si="0"/>
        <v>3.96</v>
      </c>
      <c r="H23" s="535">
        <f t="shared" si="1"/>
        <v>12.949199999999999</v>
      </c>
      <c r="I23" s="120">
        <v>0</v>
      </c>
      <c r="K23" s="120">
        <v>21</v>
      </c>
      <c r="L23" s="535">
        <f t="shared" si="2"/>
        <v>17.529411764705884</v>
      </c>
      <c r="M23" s="535">
        <f t="shared" si="3"/>
        <v>28.063011764705884</v>
      </c>
      <c r="N23" s="542">
        <f t="shared" si="4"/>
        <v>6.9958117647058842</v>
      </c>
    </row>
    <row r="24" spans="1:14" ht="15.75" thickBot="1" x14ac:dyDescent="0.3">
      <c r="A24" s="71" t="s">
        <v>277</v>
      </c>
      <c r="B24" s="120">
        <v>17</v>
      </c>
      <c r="C24" s="120">
        <f t="shared" si="5"/>
        <v>4</v>
      </c>
      <c r="F24" s="120">
        <v>4</v>
      </c>
      <c r="G24" s="120">
        <f t="shared" si="0"/>
        <v>3.96</v>
      </c>
      <c r="H24" s="535">
        <f t="shared" si="1"/>
        <v>12.949199999999999</v>
      </c>
      <c r="I24" s="120">
        <v>0</v>
      </c>
      <c r="K24" s="120">
        <v>17</v>
      </c>
      <c r="L24" s="535">
        <f t="shared" si="2"/>
        <v>17.529411764705884</v>
      </c>
      <c r="M24" s="535">
        <f t="shared" si="3"/>
        <v>28.063011764705884</v>
      </c>
      <c r="N24" s="542">
        <f t="shared" si="4"/>
        <v>6.9958117647058842</v>
      </c>
    </row>
    <row r="25" spans="1:14" x14ac:dyDescent="0.25">
      <c r="A25" s="206" t="s">
        <v>278</v>
      </c>
      <c r="B25" s="120">
        <v>21</v>
      </c>
      <c r="C25" s="120">
        <f t="shared" si="5"/>
        <v>4</v>
      </c>
      <c r="F25" s="120">
        <v>4</v>
      </c>
      <c r="G25" s="120">
        <f t="shared" si="0"/>
        <v>3.96</v>
      </c>
      <c r="H25" s="535">
        <f t="shared" si="1"/>
        <v>12.949199999999999</v>
      </c>
      <c r="I25" s="120">
        <v>0</v>
      </c>
      <c r="K25" s="120">
        <v>21</v>
      </c>
      <c r="L25" s="535">
        <f t="shared" si="2"/>
        <v>17.529411764705884</v>
      </c>
      <c r="M25" s="535">
        <f t="shared" si="3"/>
        <v>28.063011764705884</v>
      </c>
      <c r="N25" s="542">
        <f t="shared" si="4"/>
        <v>6.9958117647058842</v>
      </c>
    </row>
    <row r="26" spans="1:14" x14ac:dyDescent="0.25">
      <c r="A26" s="206" t="s">
        <v>279</v>
      </c>
      <c r="B26" s="120">
        <v>21</v>
      </c>
      <c r="C26" s="120">
        <f t="shared" si="5"/>
        <v>0</v>
      </c>
      <c r="F26" s="120">
        <v>0</v>
      </c>
      <c r="G26" s="120">
        <f t="shared" si="0"/>
        <v>3.96</v>
      </c>
      <c r="H26" s="535">
        <f t="shared" si="1"/>
        <v>12.949199999999999</v>
      </c>
      <c r="I26" s="120">
        <v>0</v>
      </c>
      <c r="K26" s="120">
        <v>21</v>
      </c>
      <c r="L26" s="535">
        <f t="shared" si="2"/>
        <v>17.529411764705884</v>
      </c>
      <c r="M26" s="535">
        <f t="shared" si="3"/>
        <v>28.063011764705884</v>
      </c>
      <c r="N26" s="542">
        <f t="shared" si="4"/>
        <v>6.9958117647058842</v>
      </c>
    </row>
    <row r="27" spans="1:14" ht="15.75" thickBot="1" x14ac:dyDescent="0.3">
      <c r="A27" s="71" t="s">
        <v>280</v>
      </c>
      <c r="B27" s="120">
        <v>24</v>
      </c>
      <c r="C27" s="120">
        <f t="shared" si="5"/>
        <v>3</v>
      </c>
      <c r="F27" s="120">
        <v>3</v>
      </c>
      <c r="G27" s="120">
        <f t="shared" si="0"/>
        <v>3.96</v>
      </c>
      <c r="H27" s="535">
        <f t="shared" si="1"/>
        <v>12.949199999999999</v>
      </c>
      <c r="I27" s="120">
        <v>0</v>
      </c>
      <c r="K27" s="120">
        <v>24</v>
      </c>
      <c r="L27" s="535">
        <f t="shared" si="2"/>
        <v>17.529411764705884</v>
      </c>
      <c r="M27" s="535">
        <f t="shared" si="3"/>
        <v>28.063011764705884</v>
      </c>
      <c r="N27" s="542">
        <f t="shared" si="4"/>
        <v>6.9958117647058842</v>
      </c>
    </row>
    <row r="28" spans="1:14" x14ac:dyDescent="0.25">
      <c r="A28" s="206" t="s">
        <v>281</v>
      </c>
      <c r="B28" s="120">
        <v>21</v>
      </c>
      <c r="C28" s="120">
        <f t="shared" si="5"/>
        <v>3</v>
      </c>
      <c r="F28" s="120">
        <v>3</v>
      </c>
      <c r="G28" s="120">
        <f t="shared" si="0"/>
        <v>3.96</v>
      </c>
      <c r="H28" s="535">
        <f t="shared" si="1"/>
        <v>12.949199999999999</v>
      </c>
      <c r="I28" s="120">
        <v>0</v>
      </c>
      <c r="K28" s="120">
        <v>21</v>
      </c>
      <c r="L28" s="535">
        <f t="shared" si="2"/>
        <v>17.529411764705884</v>
      </c>
      <c r="M28" s="535">
        <f t="shared" si="3"/>
        <v>28.063011764705884</v>
      </c>
      <c r="N28" s="542">
        <f t="shared" si="4"/>
        <v>6.9958117647058842</v>
      </c>
    </row>
    <row r="29" spans="1:14" x14ac:dyDescent="0.25">
      <c r="A29" s="206" t="s">
        <v>282</v>
      </c>
      <c r="B29" s="120">
        <v>24</v>
      </c>
      <c r="C29" s="120">
        <f t="shared" si="5"/>
        <v>3</v>
      </c>
      <c r="F29" s="120">
        <v>3</v>
      </c>
      <c r="G29" s="120">
        <f t="shared" si="0"/>
        <v>3.96</v>
      </c>
      <c r="H29" s="535">
        <f t="shared" si="1"/>
        <v>12.949199999999999</v>
      </c>
      <c r="I29" s="120">
        <v>0</v>
      </c>
      <c r="K29" s="120">
        <v>24</v>
      </c>
      <c r="L29" s="535">
        <f t="shared" si="2"/>
        <v>17.529411764705884</v>
      </c>
      <c r="M29" s="535">
        <f t="shared" si="3"/>
        <v>28.063011764705884</v>
      </c>
      <c r="N29" s="542">
        <f t="shared" si="4"/>
        <v>6.9958117647058842</v>
      </c>
    </row>
    <row r="30" spans="1:14" ht="15.75" thickBot="1" x14ac:dyDescent="0.3">
      <c r="A30" s="153" t="s">
        <v>283</v>
      </c>
      <c r="B30" s="120">
        <v>13</v>
      </c>
      <c r="C30" s="120">
        <f t="shared" si="5"/>
        <v>11</v>
      </c>
      <c r="F30" s="120">
        <v>11</v>
      </c>
      <c r="G30" s="120">
        <f t="shared" si="0"/>
        <v>3.96</v>
      </c>
      <c r="H30" s="535">
        <f t="shared" si="1"/>
        <v>12.949199999999999</v>
      </c>
      <c r="I30" s="120">
        <v>0</v>
      </c>
      <c r="K30" s="120">
        <v>13</v>
      </c>
      <c r="L30" s="535">
        <f t="shared" si="2"/>
        <v>17.529411764705884</v>
      </c>
      <c r="M30" s="535">
        <f t="shared" si="3"/>
        <v>28.063011764705884</v>
      </c>
      <c r="N30" s="542">
        <f t="shared" si="4"/>
        <v>6.9958117647058842</v>
      </c>
    </row>
    <row r="31" spans="1:14" x14ac:dyDescent="0.25">
      <c r="A31" s="206" t="s">
        <v>284</v>
      </c>
      <c r="B31" s="120">
        <v>24</v>
      </c>
      <c r="C31" s="120">
        <f t="shared" si="5"/>
        <v>11</v>
      </c>
      <c r="F31" s="120">
        <v>11</v>
      </c>
      <c r="G31" s="120">
        <f t="shared" si="0"/>
        <v>3.96</v>
      </c>
      <c r="H31" s="535">
        <f t="shared" si="1"/>
        <v>12.949199999999999</v>
      </c>
      <c r="I31" s="120">
        <v>0</v>
      </c>
      <c r="K31" s="120">
        <v>24</v>
      </c>
      <c r="L31" s="535">
        <f t="shared" si="2"/>
        <v>17.529411764705884</v>
      </c>
      <c r="M31" s="535">
        <f t="shared" si="3"/>
        <v>28.063011764705884</v>
      </c>
      <c r="N31" s="542">
        <f t="shared" si="4"/>
        <v>6.9958117647058842</v>
      </c>
    </row>
    <row r="32" spans="1:14" x14ac:dyDescent="0.25">
      <c r="A32" s="206" t="s">
        <v>285</v>
      </c>
      <c r="B32" s="120">
        <v>10</v>
      </c>
      <c r="C32" s="120">
        <f t="shared" si="5"/>
        <v>14</v>
      </c>
      <c r="F32" s="120">
        <v>14</v>
      </c>
      <c r="G32" s="120">
        <f t="shared" si="0"/>
        <v>3.96</v>
      </c>
      <c r="H32" s="535">
        <f t="shared" si="1"/>
        <v>12.949199999999999</v>
      </c>
      <c r="I32" s="120">
        <v>0</v>
      </c>
      <c r="K32" s="120">
        <v>10</v>
      </c>
      <c r="L32" s="535">
        <f t="shared" si="2"/>
        <v>17.529411764705884</v>
      </c>
      <c r="M32" s="535">
        <f t="shared" si="3"/>
        <v>28.063011764705884</v>
      </c>
      <c r="N32" s="542">
        <f t="shared" si="4"/>
        <v>6.9958117647058842</v>
      </c>
    </row>
    <row r="33" spans="1:21" ht="15.75" thickBot="1" x14ac:dyDescent="0.3">
      <c r="A33" s="71" t="s">
        <v>286</v>
      </c>
      <c r="B33" s="120">
        <v>10</v>
      </c>
      <c r="C33" s="120">
        <f t="shared" si="5"/>
        <v>0</v>
      </c>
      <c r="F33" s="120">
        <v>0</v>
      </c>
      <c r="G33" s="120">
        <f t="shared" si="0"/>
        <v>3.96</v>
      </c>
      <c r="H33" s="535">
        <f t="shared" si="1"/>
        <v>12.949199999999999</v>
      </c>
      <c r="I33" s="120">
        <v>0</v>
      </c>
      <c r="K33" s="120">
        <v>10</v>
      </c>
      <c r="L33" s="535">
        <f t="shared" si="2"/>
        <v>17.529411764705884</v>
      </c>
      <c r="M33" s="535">
        <f t="shared" si="3"/>
        <v>28.063011764705884</v>
      </c>
      <c r="N33" s="542">
        <f t="shared" si="4"/>
        <v>6.9958117647058842</v>
      </c>
    </row>
    <row r="34" spans="1:21" x14ac:dyDescent="0.25">
      <c r="A34" s="206" t="s">
        <v>287</v>
      </c>
      <c r="B34" s="120">
        <v>24</v>
      </c>
      <c r="C34" s="120">
        <f t="shared" si="5"/>
        <v>14</v>
      </c>
      <c r="F34" s="120">
        <v>14</v>
      </c>
      <c r="G34" s="120">
        <f t="shared" si="0"/>
        <v>3.96</v>
      </c>
      <c r="H34" s="535">
        <f t="shared" si="1"/>
        <v>12.949199999999999</v>
      </c>
      <c r="I34" s="120">
        <v>0</v>
      </c>
      <c r="K34" s="120">
        <v>24</v>
      </c>
      <c r="L34" s="535">
        <f t="shared" si="2"/>
        <v>17.529411764705884</v>
      </c>
      <c r="M34" s="535">
        <f t="shared" si="3"/>
        <v>28.063011764705884</v>
      </c>
      <c r="N34" s="542">
        <f t="shared" si="4"/>
        <v>6.9958117647058842</v>
      </c>
    </row>
    <row r="35" spans="1:21" x14ac:dyDescent="0.25">
      <c r="A35" s="206" t="s">
        <v>288</v>
      </c>
      <c r="B35" s="120">
        <v>17</v>
      </c>
      <c r="C35" s="120">
        <f t="shared" si="5"/>
        <v>7</v>
      </c>
      <c r="F35" s="120">
        <v>7</v>
      </c>
      <c r="G35" s="120">
        <f t="shared" si="0"/>
        <v>3.96</v>
      </c>
      <c r="H35" s="535">
        <f t="shared" si="1"/>
        <v>12.949199999999999</v>
      </c>
      <c r="I35" s="120">
        <v>0</v>
      </c>
      <c r="K35" s="120">
        <v>17</v>
      </c>
      <c r="L35" s="535">
        <f t="shared" si="2"/>
        <v>17.529411764705884</v>
      </c>
      <c r="M35" s="535">
        <f t="shared" si="3"/>
        <v>28.063011764705884</v>
      </c>
      <c r="N35" s="542">
        <f t="shared" si="4"/>
        <v>6.9958117647058842</v>
      </c>
    </row>
    <row r="36" spans="1:21" ht="15.75" thickBot="1" x14ac:dyDescent="0.3">
      <c r="A36" s="71" t="s">
        <v>289</v>
      </c>
      <c r="B36" s="120">
        <v>27</v>
      </c>
      <c r="C36" s="120">
        <f t="shared" si="5"/>
        <v>10</v>
      </c>
      <c r="F36" s="120">
        <v>10</v>
      </c>
      <c r="G36" s="120">
        <f t="shared" si="0"/>
        <v>3.96</v>
      </c>
      <c r="H36" s="535">
        <f t="shared" si="1"/>
        <v>12.949199999999999</v>
      </c>
      <c r="I36" s="120">
        <v>0</v>
      </c>
      <c r="K36" s="120">
        <v>27</v>
      </c>
      <c r="L36" s="535">
        <f t="shared" si="2"/>
        <v>17.529411764705884</v>
      </c>
      <c r="M36" s="535">
        <f t="shared" si="3"/>
        <v>28.063011764705884</v>
      </c>
      <c r="N36" s="542">
        <f t="shared" si="4"/>
        <v>6.9958117647058842</v>
      </c>
    </row>
    <row r="37" spans="1:21" x14ac:dyDescent="0.25">
      <c r="A37" s="206" t="s">
        <v>290</v>
      </c>
      <c r="B37" s="120">
        <v>24</v>
      </c>
      <c r="C37" s="120">
        <f t="shared" si="5"/>
        <v>3</v>
      </c>
      <c r="F37" s="120">
        <v>3</v>
      </c>
      <c r="G37" s="120">
        <f t="shared" si="0"/>
        <v>3.96</v>
      </c>
      <c r="H37" s="535">
        <f t="shared" si="1"/>
        <v>12.949199999999999</v>
      </c>
      <c r="I37" s="120">
        <v>0</v>
      </c>
      <c r="K37" s="120">
        <v>24</v>
      </c>
      <c r="L37" s="535">
        <f t="shared" si="2"/>
        <v>17.529411764705884</v>
      </c>
      <c r="M37" s="535">
        <f t="shared" si="3"/>
        <v>28.063011764705884</v>
      </c>
      <c r="N37" s="542">
        <f t="shared" si="4"/>
        <v>6.9958117647058842</v>
      </c>
    </row>
    <row r="38" spans="1:21" x14ac:dyDescent="0.25">
      <c r="A38" s="206" t="s">
        <v>291</v>
      </c>
      <c r="B38" s="120">
        <v>27</v>
      </c>
      <c r="C38" s="120">
        <f t="shared" si="5"/>
        <v>3</v>
      </c>
      <c r="F38" s="120">
        <v>3</v>
      </c>
      <c r="G38" s="120">
        <f t="shared" si="0"/>
        <v>3.96</v>
      </c>
      <c r="H38" s="535">
        <f t="shared" si="1"/>
        <v>12.949199999999999</v>
      </c>
      <c r="I38" s="120">
        <v>0</v>
      </c>
      <c r="K38" s="120">
        <v>27</v>
      </c>
      <c r="L38" s="535">
        <f t="shared" si="2"/>
        <v>17.529411764705884</v>
      </c>
      <c r="M38" s="535">
        <f t="shared" si="3"/>
        <v>28.063011764705884</v>
      </c>
      <c r="N38" s="542">
        <f t="shared" si="4"/>
        <v>6.9958117647058842</v>
      </c>
    </row>
    <row r="39" spans="1:21" ht="15.75" thickBot="1" x14ac:dyDescent="0.3">
      <c r="A39" s="128" t="s">
        <v>292</v>
      </c>
      <c r="B39" s="120">
        <v>7</v>
      </c>
      <c r="C39" s="120">
        <f t="shared" si="5"/>
        <v>20</v>
      </c>
      <c r="F39" s="120">
        <v>20</v>
      </c>
      <c r="G39" s="120">
        <f t="shared" si="0"/>
        <v>3.96</v>
      </c>
      <c r="H39" s="535">
        <f t="shared" si="1"/>
        <v>12.949199999999999</v>
      </c>
      <c r="I39" s="120">
        <v>0</v>
      </c>
      <c r="J39" s="496"/>
      <c r="K39" s="120">
        <v>7</v>
      </c>
      <c r="L39" s="535">
        <f t="shared" si="2"/>
        <v>17.529411764705884</v>
      </c>
      <c r="M39" s="535">
        <f t="shared" si="3"/>
        <v>28.063011764705884</v>
      </c>
      <c r="N39" s="542">
        <f>$R$11</f>
        <v>6.9958117647058842</v>
      </c>
    </row>
    <row r="40" spans="1:21" ht="15.75" thickTop="1" x14ac:dyDescent="0.25">
      <c r="A40" s="206" t="s">
        <v>296</v>
      </c>
      <c r="B40" s="120">
        <v>13</v>
      </c>
      <c r="C40" s="120">
        <f t="shared" si="5"/>
        <v>6</v>
      </c>
      <c r="E40" s="531"/>
      <c r="F40" s="120">
        <v>6</v>
      </c>
      <c r="G40" s="120">
        <f t="shared" si="0"/>
        <v>3.96</v>
      </c>
      <c r="H40" s="535">
        <f>$R$14</f>
        <v>12.949199999999999</v>
      </c>
      <c r="I40" s="120">
        <v>0</v>
      </c>
      <c r="J40" s="526"/>
      <c r="K40" s="120">
        <v>13</v>
      </c>
      <c r="L40" s="535">
        <f t="shared" si="2"/>
        <v>17.529411764705884</v>
      </c>
      <c r="M40" s="535">
        <f t="shared" si="3"/>
        <v>28.063011764705884</v>
      </c>
      <c r="N40" s="542">
        <f t="shared" si="4"/>
        <v>6.9958117647058842</v>
      </c>
    </row>
    <row r="41" spans="1:21" x14ac:dyDescent="0.25">
      <c r="A41" s="206" t="s">
        <v>297</v>
      </c>
      <c r="B41" s="120">
        <v>13</v>
      </c>
      <c r="C41" s="120">
        <f t="shared" si="5"/>
        <v>0</v>
      </c>
      <c r="F41" s="120">
        <v>0</v>
      </c>
      <c r="G41" s="120">
        <f t="shared" si="0"/>
        <v>3.96</v>
      </c>
      <c r="H41" s="535">
        <f>$R$14</f>
        <v>12.949199999999999</v>
      </c>
      <c r="I41" s="120">
        <v>0</v>
      </c>
      <c r="J41" s="526"/>
      <c r="K41" s="120">
        <v>13</v>
      </c>
      <c r="L41" s="535">
        <f t="shared" si="2"/>
        <v>17.529411764705884</v>
      </c>
      <c r="M41" s="535">
        <f t="shared" si="3"/>
        <v>28.063011764705884</v>
      </c>
      <c r="N41" s="542">
        <f t="shared" si="4"/>
        <v>6.9958117647058842</v>
      </c>
    </row>
    <row r="42" spans="1:21" ht="15.75" thickBot="1" x14ac:dyDescent="0.3">
      <c r="A42" s="71" t="s">
        <v>300</v>
      </c>
      <c r="B42" s="120">
        <v>13</v>
      </c>
      <c r="C42" s="120">
        <f t="shared" si="5"/>
        <v>0</v>
      </c>
      <c r="E42" s="521"/>
      <c r="F42" s="120">
        <v>0</v>
      </c>
      <c r="G42" s="120">
        <f t="shared" si="0"/>
        <v>3.96</v>
      </c>
      <c r="H42" s="535">
        <f>$R$14</f>
        <v>12.949199999999999</v>
      </c>
      <c r="I42" s="120">
        <v>0</v>
      </c>
      <c r="J42" s="526"/>
      <c r="K42" s="120">
        <v>13</v>
      </c>
      <c r="L42" s="535">
        <f t="shared" si="2"/>
        <v>17.529411764705884</v>
      </c>
      <c r="M42" s="535">
        <f t="shared" si="3"/>
        <v>28.063011764705884</v>
      </c>
      <c r="N42" s="542">
        <f t="shared" si="4"/>
        <v>6.9958117647058842</v>
      </c>
    </row>
    <row r="43" spans="1:21" x14ac:dyDescent="0.25">
      <c r="A43" s="206" t="s">
        <v>298</v>
      </c>
      <c r="B43" s="120">
        <v>10</v>
      </c>
      <c r="C43" s="120">
        <f t="shared" si="5"/>
        <v>3</v>
      </c>
      <c r="E43" s="521"/>
      <c r="F43" s="120">
        <v>3</v>
      </c>
      <c r="G43" s="120">
        <f t="shared" si="0"/>
        <v>3.96</v>
      </c>
      <c r="H43" s="535">
        <f t="shared" si="1"/>
        <v>12.949199999999999</v>
      </c>
      <c r="I43" s="120">
        <v>0</v>
      </c>
      <c r="J43" s="526"/>
      <c r="K43" s="120">
        <v>10</v>
      </c>
      <c r="L43" s="535">
        <f t="shared" si="2"/>
        <v>17.529411764705884</v>
      </c>
      <c r="M43" s="535">
        <f t="shared" si="3"/>
        <v>28.063011764705884</v>
      </c>
      <c r="N43" s="542">
        <f t="shared" si="4"/>
        <v>6.9958117647058842</v>
      </c>
    </row>
    <row r="44" spans="1:21" x14ac:dyDescent="0.25">
      <c r="A44" s="206" t="s">
        <v>301</v>
      </c>
      <c r="B44" s="120">
        <v>10</v>
      </c>
      <c r="C44" s="120">
        <f t="shared" si="5"/>
        <v>0</v>
      </c>
      <c r="D44" s="521"/>
      <c r="E44" s="521"/>
      <c r="F44" s="120">
        <v>0</v>
      </c>
      <c r="G44" s="120">
        <f t="shared" si="0"/>
        <v>3.96</v>
      </c>
      <c r="H44" s="535">
        <f t="shared" si="1"/>
        <v>12.949199999999999</v>
      </c>
      <c r="I44" s="120">
        <v>0</v>
      </c>
      <c r="J44" s="523"/>
      <c r="K44" s="120">
        <v>10</v>
      </c>
      <c r="L44" s="535">
        <f t="shared" si="2"/>
        <v>17.529411764705884</v>
      </c>
      <c r="M44" s="535">
        <f t="shared" si="3"/>
        <v>28.063011764705884</v>
      </c>
      <c r="N44" s="542">
        <f t="shared" si="4"/>
        <v>6.9958117647058842</v>
      </c>
    </row>
    <row r="45" spans="1:21" ht="15.75" customHeight="1" thickBot="1" x14ac:dyDescent="0.3">
      <c r="A45" s="71" t="s">
        <v>302</v>
      </c>
      <c r="B45" s="120">
        <v>13</v>
      </c>
      <c r="C45" s="120">
        <f t="shared" si="5"/>
        <v>3</v>
      </c>
      <c r="D45" s="414"/>
      <c r="E45" s="414"/>
      <c r="F45" s="120">
        <v>3</v>
      </c>
      <c r="G45" s="120">
        <f t="shared" si="0"/>
        <v>3.96</v>
      </c>
      <c r="H45" s="535">
        <f t="shared" si="1"/>
        <v>12.949199999999999</v>
      </c>
      <c r="I45" s="120">
        <v>0</v>
      </c>
      <c r="J45" s="526"/>
      <c r="K45" s="120">
        <v>13</v>
      </c>
      <c r="L45" s="535">
        <f t="shared" si="2"/>
        <v>17.529411764705884</v>
      </c>
      <c r="M45" s="535">
        <f t="shared" si="3"/>
        <v>28.063011764705884</v>
      </c>
      <c r="N45" s="542">
        <f t="shared" si="4"/>
        <v>6.9958117647058842</v>
      </c>
    </row>
    <row r="46" spans="1:21" ht="21.75" customHeight="1" x14ac:dyDescent="0.25">
      <c r="A46" s="206" t="s">
        <v>303</v>
      </c>
      <c r="B46" s="120">
        <v>10</v>
      </c>
      <c r="C46" s="120">
        <f t="shared" si="5"/>
        <v>3</v>
      </c>
      <c r="F46" s="120">
        <v>3</v>
      </c>
      <c r="G46" s="120">
        <f t="shared" si="0"/>
        <v>3.96</v>
      </c>
      <c r="H46" s="535">
        <f t="shared" si="1"/>
        <v>12.949199999999999</v>
      </c>
      <c r="I46" s="120">
        <v>0</v>
      </c>
      <c r="J46" s="530"/>
      <c r="K46" s="120">
        <v>10</v>
      </c>
      <c r="L46" s="535">
        <f t="shared" si="2"/>
        <v>17.529411764705884</v>
      </c>
      <c r="M46" s="535">
        <f t="shared" si="3"/>
        <v>28.063011764705884</v>
      </c>
      <c r="N46" s="542">
        <f t="shared" si="4"/>
        <v>6.9958117647058842</v>
      </c>
      <c r="R46" s="537"/>
      <c r="S46" s="537"/>
      <c r="T46" s="448"/>
    </row>
    <row r="47" spans="1:21" x14ac:dyDescent="0.25">
      <c r="A47" s="206" t="s">
        <v>304</v>
      </c>
      <c r="B47" s="120">
        <v>10</v>
      </c>
      <c r="C47" s="120">
        <f t="shared" si="5"/>
        <v>0</v>
      </c>
      <c r="F47" s="120">
        <v>0</v>
      </c>
      <c r="G47" s="120">
        <f t="shared" si="0"/>
        <v>3.96</v>
      </c>
      <c r="H47" s="535">
        <f t="shared" si="1"/>
        <v>12.949199999999999</v>
      </c>
      <c r="I47" s="120">
        <v>0</v>
      </c>
      <c r="K47" s="120">
        <v>10</v>
      </c>
      <c r="L47" s="535">
        <f t="shared" si="2"/>
        <v>17.529411764705884</v>
      </c>
      <c r="M47" s="535">
        <f t="shared" si="3"/>
        <v>28.063011764705884</v>
      </c>
      <c r="N47" s="542">
        <f t="shared" si="4"/>
        <v>6.9958117647058842</v>
      </c>
      <c r="R47" s="538"/>
    </row>
    <row r="48" spans="1:21" ht="15.75" thickBot="1" x14ac:dyDescent="0.3">
      <c r="A48" s="144" t="s">
        <v>299</v>
      </c>
      <c r="B48" s="120">
        <v>10</v>
      </c>
      <c r="C48" s="120">
        <f t="shared" si="5"/>
        <v>0</v>
      </c>
      <c r="F48" s="120">
        <v>0</v>
      </c>
      <c r="G48" s="120">
        <f t="shared" si="0"/>
        <v>3.96</v>
      </c>
      <c r="H48" s="535">
        <f t="shared" si="1"/>
        <v>12.949199999999999</v>
      </c>
      <c r="I48" s="120">
        <v>0</v>
      </c>
      <c r="K48" s="120">
        <v>10</v>
      </c>
      <c r="L48" s="535">
        <f t="shared" si="2"/>
        <v>17.529411764705884</v>
      </c>
      <c r="M48" s="535">
        <f t="shared" si="3"/>
        <v>28.063011764705884</v>
      </c>
      <c r="N48" s="542">
        <f t="shared" si="4"/>
        <v>6.9958117647058842</v>
      </c>
      <c r="R48" s="539"/>
      <c r="S48" s="539"/>
      <c r="T48" s="539"/>
      <c r="U48" s="539"/>
    </row>
    <row r="49" spans="1:21" ht="15.75" thickTop="1" x14ac:dyDescent="0.25">
      <c r="A49" s="206" t="s">
        <v>305</v>
      </c>
      <c r="B49" s="120">
        <v>6</v>
      </c>
      <c r="C49" s="120">
        <f t="shared" si="5"/>
        <v>4</v>
      </c>
      <c r="F49" s="120">
        <v>4</v>
      </c>
      <c r="G49" s="120">
        <f t="shared" si="0"/>
        <v>3.96</v>
      </c>
      <c r="H49" s="535">
        <f t="shared" si="1"/>
        <v>12.949199999999999</v>
      </c>
      <c r="I49" s="120">
        <v>0</v>
      </c>
      <c r="K49" s="120">
        <v>6</v>
      </c>
      <c r="L49" s="535">
        <f t="shared" si="2"/>
        <v>17.529411764705884</v>
      </c>
      <c r="M49" s="535">
        <f t="shared" si="3"/>
        <v>28.063011764705884</v>
      </c>
      <c r="N49" s="542">
        <f t="shared" si="4"/>
        <v>6.9958117647058842</v>
      </c>
      <c r="R49" s="537"/>
      <c r="S49" s="537"/>
      <c r="T49" s="537"/>
    </row>
    <row r="50" spans="1:21" x14ac:dyDescent="0.25">
      <c r="A50" s="206" t="s">
        <v>306</v>
      </c>
      <c r="B50" s="120">
        <v>10</v>
      </c>
      <c r="C50" s="120">
        <f t="shared" si="5"/>
        <v>4</v>
      </c>
      <c r="F50" s="120">
        <v>4</v>
      </c>
      <c r="G50" s="120">
        <f t="shared" si="0"/>
        <v>3.96</v>
      </c>
      <c r="H50" s="535">
        <f t="shared" si="1"/>
        <v>12.949199999999999</v>
      </c>
      <c r="I50" s="120">
        <v>0</v>
      </c>
      <c r="K50" s="120">
        <v>10</v>
      </c>
      <c r="L50" s="535">
        <f t="shared" si="2"/>
        <v>17.529411764705884</v>
      </c>
      <c r="M50" s="535">
        <f t="shared" si="3"/>
        <v>28.063011764705884</v>
      </c>
      <c r="N50" s="542">
        <f t="shared" si="4"/>
        <v>6.9958117647058842</v>
      </c>
      <c r="R50" s="538"/>
    </row>
    <row r="51" spans="1:21" ht="15.75" thickBot="1" x14ac:dyDescent="0.3">
      <c r="A51" s="71" t="s">
        <v>307</v>
      </c>
      <c r="B51" s="120">
        <v>6</v>
      </c>
      <c r="C51" s="120">
        <f t="shared" si="5"/>
        <v>4</v>
      </c>
      <c r="F51" s="120">
        <v>4</v>
      </c>
      <c r="G51" s="120">
        <f t="shared" si="0"/>
        <v>3.96</v>
      </c>
      <c r="H51" s="535">
        <f t="shared" si="1"/>
        <v>12.949199999999999</v>
      </c>
      <c r="I51" s="120">
        <v>0</v>
      </c>
      <c r="K51" s="120">
        <v>6</v>
      </c>
      <c r="L51" s="535">
        <f t="shared" si="2"/>
        <v>17.529411764705884</v>
      </c>
      <c r="M51" s="535">
        <f t="shared" si="3"/>
        <v>28.063011764705884</v>
      </c>
      <c r="N51" s="542">
        <f t="shared" si="4"/>
        <v>6.9958117647058842</v>
      </c>
      <c r="R51" s="539"/>
      <c r="S51" s="539"/>
      <c r="T51" s="539"/>
      <c r="U51" s="539"/>
    </row>
    <row r="52" spans="1:21" x14ac:dyDescent="0.25">
      <c r="A52" s="206" t="s">
        <v>308</v>
      </c>
      <c r="B52" s="120">
        <v>3</v>
      </c>
      <c r="C52" s="120">
        <f t="shared" si="5"/>
        <v>3</v>
      </c>
      <c r="F52" s="120">
        <v>3</v>
      </c>
      <c r="G52" s="120">
        <f t="shared" si="0"/>
        <v>3.96</v>
      </c>
      <c r="H52" s="535">
        <f t="shared" si="1"/>
        <v>12.949199999999999</v>
      </c>
      <c r="I52" s="120">
        <v>0</v>
      </c>
      <c r="K52" s="120">
        <v>3</v>
      </c>
      <c r="L52" s="535">
        <f t="shared" si="2"/>
        <v>17.529411764705884</v>
      </c>
      <c r="M52" s="535">
        <f t="shared" si="3"/>
        <v>28.063011764705884</v>
      </c>
      <c r="N52" s="542">
        <f t="shared" si="4"/>
        <v>6.9958117647058842</v>
      </c>
      <c r="R52" s="537"/>
      <c r="S52" s="537"/>
      <c r="T52" s="537"/>
    </row>
    <row r="53" spans="1:21" x14ac:dyDescent="0.25">
      <c r="A53" s="206" t="s">
        <v>309</v>
      </c>
      <c r="B53" s="120">
        <v>3</v>
      </c>
      <c r="C53" s="120">
        <f t="shared" si="5"/>
        <v>0</v>
      </c>
      <c r="F53" s="120">
        <v>0</v>
      </c>
      <c r="G53" s="120">
        <f t="shared" si="0"/>
        <v>3.96</v>
      </c>
      <c r="H53" s="535">
        <f t="shared" si="1"/>
        <v>12.949199999999999</v>
      </c>
      <c r="I53" s="120">
        <v>0</v>
      </c>
      <c r="K53" s="120">
        <v>3</v>
      </c>
      <c r="L53" s="535">
        <f t="shared" si="2"/>
        <v>17.529411764705884</v>
      </c>
      <c r="M53" s="535">
        <f t="shared" si="3"/>
        <v>28.063011764705884</v>
      </c>
      <c r="N53" s="542">
        <f t="shared" si="4"/>
        <v>6.9958117647058842</v>
      </c>
      <c r="R53" s="521"/>
      <c r="S53" s="538"/>
    </row>
    <row r="54" spans="1:21" ht="15.75" thickBot="1" x14ac:dyDescent="0.3">
      <c r="A54" s="71" t="s">
        <v>310</v>
      </c>
      <c r="B54" s="120">
        <v>3</v>
      </c>
      <c r="C54" s="120">
        <f t="shared" si="5"/>
        <v>0</v>
      </c>
      <c r="F54" s="120">
        <v>0</v>
      </c>
      <c r="G54" s="120">
        <f t="shared" si="0"/>
        <v>3.96</v>
      </c>
      <c r="H54" s="535">
        <f t="shared" si="1"/>
        <v>12.949199999999999</v>
      </c>
      <c r="I54" s="120">
        <v>0</v>
      </c>
      <c r="K54" s="120">
        <v>3</v>
      </c>
      <c r="L54" s="535">
        <f t="shared" si="2"/>
        <v>17.529411764705884</v>
      </c>
      <c r="M54" s="535">
        <f t="shared" si="3"/>
        <v>28.063011764705884</v>
      </c>
      <c r="N54" s="542">
        <f t="shared" si="4"/>
        <v>6.9958117647058842</v>
      </c>
      <c r="R54" s="521"/>
      <c r="S54" s="541"/>
    </row>
    <row r="55" spans="1:21" ht="15.75" thickBot="1" x14ac:dyDescent="0.3">
      <c r="A55" s="144" t="s">
        <v>192</v>
      </c>
      <c r="B55" s="120">
        <f>AVERAGE(B4:B54)</f>
        <v>17.529411764705884</v>
      </c>
      <c r="C55" s="120">
        <f>AVERAGE(C5:C54)</f>
        <v>3.96</v>
      </c>
      <c r="G55" s="535"/>
      <c r="H55" s="535"/>
      <c r="L55" s="535"/>
      <c r="M55" s="535"/>
      <c r="N55" s="542"/>
      <c r="R55" s="539"/>
      <c r="S55" s="539"/>
      <c r="T55" s="539"/>
      <c r="U55" s="539"/>
    </row>
    <row r="56" spans="1:21" ht="15.75" thickTop="1" x14ac:dyDescent="0.25">
      <c r="A56" s="206"/>
      <c r="G56" s="535"/>
      <c r="H56" s="535"/>
      <c r="L56" s="535"/>
      <c r="M56" s="535"/>
      <c r="N56" s="542"/>
      <c r="R56" s="537"/>
      <c r="S56" s="448"/>
      <c r="T56" s="448"/>
      <c r="U56" s="448"/>
    </row>
    <row r="57" spans="1:21" x14ac:dyDescent="0.25">
      <c r="A57" s="206"/>
      <c r="G57" s="535"/>
      <c r="H57" s="535"/>
      <c r="L57" s="535"/>
      <c r="M57" s="535"/>
      <c r="N57" s="542"/>
      <c r="R57" s="521"/>
      <c r="S57" s="538"/>
    </row>
    <row r="58" spans="1:21" ht="15.75" thickBot="1" x14ac:dyDescent="0.3">
      <c r="A58" s="71"/>
      <c r="G58" s="535"/>
      <c r="H58" s="535"/>
      <c r="L58" s="535"/>
      <c r="M58" s="535"/>
      <c r="N58" s="542"/>
    </row>
    <row r="59" spans="1:21" x14ac:dyDescent="0.25">
      <c r="A59" s="206"/>
      <c r="G59" s="535"/>
      <c r="H59" s="535"/>
      <c r="L59" s="535"/>
      <c r="M59" s="535"/>
      <c r="N59" s="542"/>
    </row>
    <row r="60" spans="1:21" x14ac:dyDescent="0.25">
      <c r="A60" s="206"/>
      <c r="G60" s="535"/>
      <c r="H60" s="535"/>
      <c r="L60" s="535"/>
      <c r="M60" s="535"/>
      <c r="N60" s="542"/>
    </row>
    <row r="61" spans="1:21" ht="15.75" thickBot="1" x14ac:dyDescent="0.3">
      <c r="A61" s="71"/>
      <c r="F61" s="496"/>
      <c r="G61" s="533"/>
      <c r="H61" s="535"/>
      <c r="J61" s="496"/>
      <c r="L61" s="535"/>
      <c r="M61" s="535"/>
      <c r="N61" s="542"/>
    </row>
    <row r="62" spans="1:21" x14ac:dyDescent="0.25">
      <c r="A62" s="228"/>
      <c r="B62" s="535"/>
      <c r="C62" s="535"/>
    </row>
    <row r="63" spans="1:21" ht="15.75" thickBot="1" x14ac:dyDescent="0.3">
      <c r="E63" s="531"/>
      <c r="F63" s="533"/>
      <c r="J63" s="526"/>
      <c r="K63" s="532"/>
      <c r="L63" s="533"/>
    </row>
    <row r="64" spans="1:21" x14ac:dyDescent="0.25">
      <c r="J64" s="526"/>
      <c r="K64" s="527"/>
    </row>
    <row r="65" spans="5:11" x14ac:dyDescent="0.25">
      <c r="E65" s="521"/>
      <c r="G65" s="534"/>
      <c r="J65" s="526"/>
      <c r="K65" s="521"/>
    </row>
    <row r="66" spans="5:11" x14ac:dyDescent="0.25">
      <c r="E66" s="521"/>
      <c r="G66" s="534"/>
      <c r="J66" s="526"/>
      <c r="K66" s="521"/>
    </row>
  </sheetData>
  <mergeCells count="10">
    <mergeCell ref="R49:T49"/>
    <mergeCell ref="R52:T52"/>
    <mergeCell ref="R56:U56"/>
    <mergeCell ref="B1:B3"/>
    <mergeCell ref="Q3:S3"/>
    <mergeCell ref="Q6:S6"/>
    <mergeCell ref="Q9:S9"/>
    <mergeCell ref="Q13:T13"/>
    <mergeCell ref="D45:E45"/>
    <mergeCell ref="R46:T4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02892-DB53-4778-9977-B27B465E46AE}">
  <dimension ref="A1:N32"/>
  <sheetViews>
    <sheetView workbookViewId="0">
      <selection activeCell="A16" sqref="A16:N16"/>
    </sheetView>
  </sheetViews>
  <sheetFormatPr defaultRowHeight="15" x14ac:dyDescent="0.25"/>
  <sheetData>
    <row r="1" spans="1:14" ht="14.65" customHeight="1" x14ac:dyDescent="0.25">
      <c r="B1" s="307" t="s">
        <v>217</v>
      </c>
      <c r="C1" s="307"/>
      <c r="D1" s="307"/>
      <c r="E1" s="307"/>
      <c r="F1" s="307"/>
      <c r="G1" s="307"/>
      <c r="H1" s="307"/>
      <c r="I1" s="307"/>
    </row>
    <row r="2" spans="1:14" ht="14.65" customHeight="1" x14ac:dyDescent="0.25">
      <c r="B2" s="307"/>
      <c r="C2" s="307"/>
      <c r="D2" s="307"/>
      <c r="E2" s="307"/>
      <c r="F2" s="307"/>
      <c r="G2" s="307"/>
      <c r="H2" s="307"/>
      <c r="I2" s="307"/>
    </row>
    <row r="5" spans="1:14" ht="15.75" x14ac:dyDescent="0.25">
      <c r="A5" s="184" t="s">
        <v>333</v>
      </c>
    </row>
    <row r="6" spans="1:14" ht="15.75" x14ac:dyDescent="0.25">
      <c r="A6" s="214" t="s">
        <v>334</v>
      </c>
    </row>
    <row r="7" spans="1:14" ht="15.75" x14ac:dyDescent="0.25">
      <c r="A7" s="185" t="s">
        <v>335</v>
      </c>
    </row>
    <row r="8" spans="1:14" s="120" customFormat="1" ht="15.75" x14ac:dyDescent="0.25">
      <c r="A8" s="185"/>
    </row>
    <row r="9" spans="1:14" ht="15.75" x14ac:dyDescent="0.25">
      <c r="A9" s="184" t="s">
        <v>245</v>
      </c>
    </row>
    <row r="10" spans="1:14" ht="15.75" x14ac:dyDescent="0.25">
      <c r="A10" s="185" t="s">
        <v>336</v>
      </c>
    </row>
    <row r="11" spans="1:14" ht="15.75" x14ac:dyDescent="0.25">
      <c r="A11" s="185" t="s">
        <v>337</v>
      </c>
    </row>
    <row r="12" spans="1:14" ht="15.75" x14ac:dyDescent="0.25">
      <c r="A12" s="185" t="s">
        <v>338</v>
      </c>
    </row>
    <row r="13" spans="1:14" ht="15.75" x14ac:dyDescent="0.25">
      <c r="A13" s="185" t="s">
        <v>339</v>
      </c>
    </row>
    <row r="14" spans="1:14" ht="15.75" x14ac:dyDescent="0.25">
      <c r="A14" s="185" t="s">
        <v>340</v>
      </c>
    </row>
    <row r="15" spans="1:14" ht="15.75" x14ac:dyDescent="0.25">
      <c r="A15" s="185" t="s">
        <v>341</v>
      </c>
    </row>
    <row r="16" spans="1:14" ht="15.75" x14ac:dyDescent="0.25">
      <c r="A16" s="215" t="s">
        <v>342</v>
      </c>
      <c r="B16" s="137"/>
      <c r="C16" s="137"/>
      <c r="D16" s="137"/>
      <c r="E16" s="137"/>
      <c r="F16" s="137"/>
      <c r="G16" s="137"/>
      <c r="H16" s="137"/>
      <c r="I16" s="137"/>
      <c r="J16" s="137"/>
      <c r="K16" s="137"/>
      <c r="L16" s="137"/>
      <c r="M16" s="137"/>
      <c r="N16" s="137"/>
    </row>
    <row r="17" spans="1:1" s="120" customFormat="1" ht="15.75" x14ac:dyDescent="0.25">
      <c r="A17" s="185"/>
    </row>
    <row r="18" spans="1:1" ht="15.75" x14ac:dyDescent="0.25">
      <c r="A18" s="184" t="s">
        <v>343</v>
      </c>
    </row>
    <row r="19" spans="1:1" ht="15.75" x14ac:dyDescent="0.25">
      <c r="A19" s="184" t="s">
        <v>249</v>
      </c>
    </row>
    <row r="20" spans="1:1" s="120" customFormat="1" ht="15.75" x14ac:dyDescent="0.25">
      <c r="A20" s="184"/>
    </row>
    <row r="21" spans="1:1" ht="15.75" x14ac:dyDescent="0.25">
      <c r="A21" s="185" t="s">
        <v>344</v>
      </c>
    </row>
    <row r="22" spans="1:1" s="120" customFormat="1" ht="15.75" x14ac:dyDescent="0.25">
      <c r="A22" s="185"/>
    </row>
    <row r="23" spans="1:1" ht="15.75" x14ac:dyDescent="0.25">
      <c r="A23" s="184" t="s">
        <v>345</v>
      </c>
    </row>
    <row r="24" spans="1:1" ht="15.75" x14ac:dyDescent="0.25">
      <c r="A24" s="185" t="s">
        <v>346</v>
      </c>
    </row>
    <row r="25" spans="1:1" ht="15.75" x14ac:dyDescent="0.25">
      <c r="A25" s="185" t="s">
        <v>347</v>
      </c>
    </row>
    <row r="26" spans="1:1" ht="15.75" x14ac:dyDescent="0.25">
      <c r="A26" s="185" t="s">
        <v>348</v>
      </c>
    </row>
    <row r="27" spans="1:1" ht="15.75" x14ac:dyDescent="0.25">
      <c r="A27" s="185" t="s">
        <v>349</v>
      </c>
    </row>
    <row r="28" spans="1:1" ht="15.75" x14ac:dyDescent="0.25">
      <c r="A28" s="185" t="s">
        <v>350</v>
      </c>
    </row>
    <row r="29" spans="1:1" ht="15.75" x14ac:dyDescent="0.25">
      <c r="A29" s="185">
        <f>-_xll.HISTOGRAM</f>
        <v>-1923547144</v>
      </c>
    </row>
    <row r="30" spans="1:1" ht="15.75" x14ac:dyDescent="0.25">
      <c r="A30" s="185" t="s">
        <v>351</v>
      </c>
    </row>
    <row r="31" spans="1:1" ht="15.75" x14ac:dyDescent="0.25">
      <c r="A31" s="185" t="s">
        <v>352</v>
      </c>
    </row>
    <row r="32" spans="1:1" ht="15.75" x14ac:dyDescent="0.25">
      <c r="A32" s="185" t="s">
        <v>353</v>
      </c>
    </row>
  </sheetData>
  <mergeCells count="1">
    <mergeCell ref="B1:I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0878-EB2D-41B9-8017-7621A7289548}">
  <dimension ref="A1"/>
  <sheetViews>
    <sheetView workbookViewId="0">
      <selection activeCell="S28" sqref="S28"/>
    </sheetView>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4"/>
  <sheetViews>
    <sheetView workbookViewId="0">
      <selection activeCell="A3" sqref="A3"/>
    </sheetView>
  </sheetViews>
  <sheetFormatPr defaultColWidth="9.140625" defaultRowHeight="15" x14ac:dyDescent="0.2"/>
  <cols>
    <col min="1" max="1" width="85.5703125" style="8" customWidth="1"/>
    <col min="2" max="8" width="9.140625" style="8"/>
    <col min="9" max="9" width="5.42578125" style="8" customWidth="1"/>
    <col min="10" max="13" width="9.140625" style="8" hidden="1" customWidth="1"/>
    <col min="14" max="14" width="73.5703125" style="8" customWidth="1"/>
    <col min="15" max="16384" width="9.140625" style="8"/>
  </cols>
  <sheetData>
    <row r="1" spans="1:9" ht="15.75" x14ac:dyDescent="0.25">
      <c r="A1" s="6" t="s">
        <v>2</v>
      </c>
      <c r="B1" s="7"/>
      <c r="C1" s="7"/>
      <c r="D1"/>
      <c r="E1"/>
      <c r="F1"/>
      <c r="G1"/>
      <c r="H1"/>
      <c r="I1"/>
    </row>
    <row r="3" spans="1:9" ht="63" x14ac:dyDescent="0.25">
      <c r="A3" s="9" t="s">
        <v>3</v>
      </c>
    </row>
    <row r="4" spans="1:9" ht="15.75" thickBot="1" x14ac:dyDescent="0.25"/>
    <row r="5" spans="1:9" ht="30" x14ac:dyDescent="0.2">
      <c r="A5" s="10" t="s">
        <v>4</v>
      </c>
    </row>
    <row r="6" spans="1:9" x14ac:dyDescent="0.2">
      <c r="A6" s="11"/>
    </row>
    <row r="7" spans="1:9" ht="30" x14ac:dyDescent="0.2">
      <c r="A7" s="12" t="s">
        <v>5</v>
      </c>
    </row>
    <row r="8" spans="1:9" x14ac:dyDescent="0.2">
      <c r="A8" s="11"/>
    </row>
    <row r="9" spans="1:9" ht="30" x14ac:dyDescent="0.2">
      <c r="A9" s="12" t="s">
        <v>6</v>
      </c>
    </row>
    <row r="10" spans="1:9" x14ac:dyDescent="0.2">
      <c r="A10" s="11"/>
    </row>
    <row r="11" spans="1:9" ht="45" x14ac:dyDescent="0.2">
      <c r="A11" s="12" t="s">
        <v>9</v>
      </c>
    </row>
    <row r="12" spans="1:9" x14ac:dyDescent="0.2">
      <c r="A12" s="11"/>
    </row>
    <row r="13" spans="1:9" ht="30.75" thickBot="1" x14ac:dyDescent="0.25">
      <c r="A13" s="13" t="s">
        <v>10</v>
      </c>
    </row>
    <row r="24" spans="1:1" x14ac:dyDescent="0.2">
      <c r="A24" s="8" t="s">
        <v>7</v>
      </c>
    </row>
  </sheetData>
  <pageMargins left="0.7" right="0.7" top="0.75" bottom="0.75" header="0.3" footer="0.3"/>
  <pageSetup orientation="portrait" horizontalDpi="0" verticalDpi="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33"/>
  <sheetViews>
    <sheetView workbookViewId="0">
      <selection activeCell="G33" sqref="G33"/>
    </sheetView>
  </sheetViews>
  <sheetFormatPr defaultRowHeight="15" x14ac:dyDescent="0.25"/>
  <cols>
    <col min="1" max="1" width="3.7109375" customWidth="1"/>
    <col min="2" max="2" width="12" customWidth="1"/>
    <col min="3" max="3" width="21.42578125" customWidth="1"/>
    <col min="5" max="5" width="17" customWidth="1"/>
    <col min="6" max="6" width="14.28515625" customWidth="1"/>
    <col min="8" max="8" width="12.28515625" customWidth="1"/>
    <col min="17" max="18" width="6" customWidth="1"/>
  </cols>
  <sheetData>
    <row r="1" spans="1:3" x14ac:dyDescent="0.25">
      <c r="A1" s="5" t="s">
        <v>8</v>
      </c>
    </row>
    <row r="2" spans="1:3" x14ac:dyDescent="0.25">
      <c r="C2" s="4"/>
    </row>
    <row r="3" spans="1:3" x14ac:dyDescent="0.25">
      <c r="A3" s="1"/>
      <c r="B3" s="3" t="s">
        <v>0</v>
      </c>
      <c r="C3" s="3" t="s">
        <v>1</v>
      </c>
    </row>
    <row r="4" spans="1:3" x14ac:dyDescent="0.25">
      <c r="A4">
        <v>1</v>
      </c>
      <c r="B4" s="2">
        <v>1980</v>
      </c>
      <c r="C4" s="2">
        <v>127.5</v>
      </c>
    </row>
    <row r="5" spans="1:3" x14ac:dyDescent="0.25">
      <c r="A5">
        <v>2</v>
      </c>
      <c r="B5" s="2">
        <v>1981</v>
      </c>
      <c r="C5" s="2">
        <v>130.1</v>
      </c>
    </row>
    <row r="6" spans="1:3" x14ac:dyDescent="0.25">
      <c r="A6">
        <v>3</v>
      </c>
      <c r="B6" s="2">
        <v>1982</v>
      </c>
      <c r="C6" s="2">
        <v>117.8</v>
      </c>
    </row>
    <row r="7" spans="1:3" x14ac:dyDescent="0.25">
      <c r="A7">
        <v>4</v>
      </c>
      <c r="B7" s="2">
        <v>1983</v>
      </c>
      <c r="C7" s="2">
        <v>129.69999999999999</v>
      </c>
    </row>
    <row r="8" spans="1:3" x14ac:dyDescent="0.25">
      <c r="A8">
        <v>5</v>
      </c>
      <c r="B8" s="2">
        <v>1984</v>
      </c>
      <c r="C8" s="2">
        <v>123.9</v>
      </c>
    </row>
    <row r="9" spans="1:3" x14ac:dyDescent="0.25">
      <c r="A9">
        <v>6</v>
      </c>
      <c r="B9" s="2">
        <v>1985</v>
      </c>
      <c r="C9" s="2">
        <v>124.9</v>
      </c>
    </row>
    <row r="10" spans="1:3" x14ac:dyDescent="0.25">
      <c r="A10">
        <v>7</v>
      </c>
      <c r="B10" s="2">
        <v>1986</v>
      </c>
      <c r="C10" s="2">
        <v>118.7</v>
      </c>
    </row>
    <row r="11" spans="1:3" x14ac:dyDescent="0.25">
      <c r="A11">
        <v>8</v>
      </c>
      <c r="B11" s="2">
        <v>1987</v>
      </c>
      <c r="C11" s="2">
        <v>123.9</v>
      </c>
    </row>
    <row r="12" spans="1:3" x14ac:dyDescent="0.25">
      <c r="A12">
        <v>9</v>
      </c>
      <c r="B12" s="2">
        <v>1988</v>
      </c>
      <c r="C12" s="2">
        <v>121.4</v>
      </c>
    </row>
    <row r="13" spans="1:3" x14ac:dyDescent="0.25">
      <c r="A13">
        <v>10</v>
      </c>
      <c r="B13" s="2">
        <v>1989</v>
      </c>
      <c r="C13" s="2">
        <v>115.3</v>
      </c>
    </row>
    <row r="14" spans="1:3" x14ac:dyDescent="0.25">
      <c r="A14">
        <v>11</v>
      </c>
      <c r="B14" s="2">
        <v>1990</v>
      </c>
      <c r="C14" s="2">
        <v>113.9</v>
      </c>
    </row>
    <row r="15" spans="1:3" x14ac:dyDescent="0.25">
      <c r="A15">
        <v>12</v>
      </c>
      <c r="B15" s="2">
        <v>1991</v>
      </c>
      <c r="C15" s="2">
        <v>107.7</v>
      </c>
    </row>
    <row r="16" spans="1:3" x14ac:dyDescent="0.25">
      <c r="A16">
        <v>13</v>
      </c>
      <c r="B16" s="2">
        <v>1992</v>
      </c>
      <c r="C16" s="2">
        <v>110.5</v>
      </c>
    </row>
    <row r="17" spans="1:3" x14ac:dyDescent="0.25">
      <c r="A17">
        <v>14</v>
      </c>
      <c r="B17" s="2">
        <v>1993</v>
      </c>
      <c r="C17" s="2">
        <v>110</v>
      </c>
    </row>
    <row r="18" spans="1:3" x14ac:dyDescent="0.25">
      <c r="A18">
        <v>15</v>
      </c>
      <c r="B18" s="2">
        <v>1994</v>
      </c>
      <c r="C18" s="2">
        <v>104.3</v>
      </c>
    </row>
    <row r="19" spans="1:3" x14ac:dyDescent="0.25">
      <c r="A19">
        <v>16</v>
      </c>
      <c r="B19" s="2">
        <v>1995</v>
      </c>
      <c r="C19" s="2">
        <v>108.10000000000001</v>
      </c>
    </row>
    <row r="20" spans="1:3" x14ac:dyDescent="0.25">
      <c r="A20">
        <v>17</v>
      </c>
      <c r="B20" s="2">
        <v>1996</v>
      </c>
      <c r="C20" s="2">
        <v>109</v>
      </c>
    </row>
    <row r="21" spans="1:3" x14ac:dyDescent="0.25">
      <c r="A21">
        <v>18</v>
      </c>
      <c r="B21" s="2">
        <v>1997</v>
      </c>
      <c r="C21" s="2">
        <v>113</v>
      </c>
    </row>
    <row r="22" spans="1:3" x14ac:dyDescent="0.25">
      <c r="A22">
        <v>19</v>
      </c>
      <c r="B22" s="2">
        <v>1998</v>
      </c>
      <c r="C22" s="2">
        <v>112.7</v>
      </c>
    </row>
    <row r="23" spans="1:3" x14ac:dyDescent="0.25">
      <c r="A23">
        <v>20</v>
      </c>
      <c r="B23" s="2">
        <v>1999</v>
      </c>
      <c r="C23" s="2">
        <v>106.5</v>
      </c>
    </row>
    <row r="24" spans="1:3" x14ac:dyDescent="0.25">
      <c r="A24">
        <v>21</v>
      </c>
      <c r="B24" s="2">
        <v>2000</v>
      </c>
      <c r="C24" s="2">
        <v>112.60000000000001</v>
      </c>
    </row>
    <row r="25" spans="1:3" x14ac:dyDescent="0.25">
      <c r="A25">
        <v>22</v>
      </c>
      <c r="B25" s="2">
        <v>2001</v>
      </c>
      <c r="C25" s="2">
        <v>111.8</v>
      </c>
    </row>
    <row r="26" spans="1:3" x14ac:dyDescent="0.25">
      <c r="A26">
        <v>23</v>
      </c>
      <c r="B26" s="2">
        <v>2002</v>
      </c>
      <c r="C26" s="2">
        <v>116.10000000000001</v>
      </c>
    </row>
    <row r="27" spans="1:3" x14ac:dyDescent="0.25">
      <c r="A27">
        <v>24</v>
      </c>
      <c r="B27" s="2">
        <v>2003</v>
      </c>
      <c r="C27" s="2">
        <v>117.9</v>
      </c>
    </row>
    <row r="28" spans="1:3" x14ac:dyDescent="0.25">
      <c r="A28">
        <v>25</v>
      </c>
      <c r="B28" s="2">
        <v>2004</v>
      </c>
      <c r="C28" s="2">
        <v>116.60000000000001</v>
      </c>
    </row>
    <row r="29" spans="1:3" x14ac:dyDescent="0.25">
      <c r="A29">
        <v>26</v>
      </c>
      <c r="B29" s="2">
        <v>2005</v>
      </c>
      <c r="C29" s="2">
        <v>112.5</v>
      </c>
    </row>
    <row r="30" spans="1:3" x14ac:dyDescent="0.25">
      <c r="A30">
        <v>27</v>
      </c>
      <c r="B30" s="2">
        <v>2006</v>
      </c>
      <c r="C30" s="2">
        <v>117.3</v>
      </c>
    </row>
    <row r="31" spans="1:3" x14ac:dyDescent="0.25">
      <c r="A31">
        <v>28</v>
      </c>
      <c r="B31" s="2">
        <v>2007</v>
      </c>
      <c r="C31" s="2">
        <v>110.9</v>
      </c>
    </row>
    <row r="32" spans="1:3" x14ac:dyDescent="0.25">
      <c r="A32">
        <v>29</v>
      </c>
      <c r="B32" s="2">
        <v>2008</v>
      </c>
      <c r="C32" s="2">
        <v>114.60000000000001</v>
      </c>
    </row>
    <row r="33" spans="1:3" x14ac:dyDescent="0.25">
      <c r="A33">
        <v>30</v>
      </c>
      <c r="B33" s="1"/>
      <c r="C33" s="1"/>
    </row>
  </sheetData>
  <pageMargins left="0.7" right="0.7" top="0.75" bottom="0.75" header="0.3" footer="0.3"/>
  <pageSetup scale="51" orientation="landscape" horizontalDpi="4294967293"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79DBE-0A6B-442E-B0C6-F2C597242235}">
  <dimension ref="A2:N35"/>
  <sheetViews>
    <sheetView workbookViewId="0">
      <selection activeCell="N35" sqref="N35"/>
    </sheetView>
  </sheetViews>
  <sheetFormatPr defaultRowHeight="15" x14ac:dyDescent="0.25"/>
  <cols>
    <col min="2" max="2" width="13.42578125" customWidth="1"/>
    <col min="3" max="3" width="23.42578125" customWidth="1"/>
  </cols>
  <sheetData>
    <row r="2" spans="1:14" x14ac:dyDescent="0.25">
      <c r="A2" s="300" t="s">
        <v>4</v>
      </c>
      <c r="B2" s="300"/>
      <c r="C2" s="300"/>
      <c r="D2" s="300"/>
      <c r="E2" s="300"/>
      <c r="F2" s="300"/>
      <c r="G2" s="300"/>
      <c r="H2" s="300"/>
      <c r="I2" s="300"/>
      <c r="J2" s="300"/>
      <c r="K2" s="300"/>
      <c r="L2" s="300"/>
      <c r="M2" s="300"/>
      <c r="N2" s="300"/>
    </row>
    <row r="3" spans="1:14" x14ac:dyDescent="0.25">
      <c r="A3" s="300"/>
      <c r="B3" s="300"/>
      <c r="C3" s="300"/>
      <c r="D3" s="300"/>
      <c r="E3" s="300"/>
      <c r="F3" s="300"/>
      <c r="G3" s="300"/>
      <c r="H3" s="300"/>
      <c r="I3" s="300"/>
      <c r="J3" s="300"/>
      <c r="K3" s="300"/>
      <c r="L3" s="300"/>
      <c r="M3" s="300"/>
      <c r="N3" s="300"/>
    </row>
    <row r="5" spans="1:14" x14ac:dyDescent="0.25">
      <c r="A5" s="1"/>
      <c r="B5" s="3" t="s">
        <v>0</v>
      </c>
      <c r="C5" s="3" t="s">
        <v>1</v>
      </c>
    </row>
    <row r="6" spans="1:14" x14ac:dyDescent="0.25">
      <c r="A6">
        <v>1</v>
      </c>
      <c r="B6" s="2">
        <v>1980</v>
      </c>
      <c r="C6" s="2">
        <v>127.5</v>
      </c>
    </row>
    <row r="7" spans="1:14" x14ac:dyDescent="0.25">
      <c r="A7">
        <v>2</v>
      </c>
      <c r="B7" s="2">
        <v>1981</v>
      </c>
      <c r="C7" s="2">
        <v>130.1</v>
      </c>
    </row>
    <row r="8" spans="1:14" x14ac:dyDescent="0.25">
      <c r="A8">
        <v>3</v>
      </c>
      <c r="B8" s="2">
        <v>1982</v>
      </c>
      <c r="C8" s="2">
        <v>117.8</v>
      </c>
    </row>
    <row r="9" spans="1:14" x14ac:dyDescent="0.25">
      <c r="A9">
        <v>4</v>
      </c>
      <c r="B9" s="2">
        <v>1983</v>
      </c>
      <c r="C9" s="2">
        <v>129.69999999999999</v>
      </c>
    </row>
    <row r="10" spans="1:14" x14ac:dyDescent="0.25">
      <c r="A10">
        <v>5</v>
      </c>
      <c r="B10" s="2">
        <v>1984</v>
      </c>
      <c r="C10" s="2">
        <v>123.9</v>
      </c>
    </row>
    <row r="11" spans="1:14" x14ac:dyDescent="0.25">
      <c r="A11">
        <v>6</v>
      </c>
      <c r="B11" s="2">
        <v>1985</v>
      </c>
      <c r="C11" s="2">
        <v>124.9</v>
      </c>
    </row>
    <row r="12" spans="1:14" x14ac:dyDescent="0.25">
      <c r="A12">
        <v>7</v>
      </c>
      <c r="B12" s="2">
        <v>1986</v>
      </c>
      <c r="C12" s="2">
        <v>118.7</v>
      </c>
    </row>
    <row r="13" spans="1:14" x14ac:dyDescent="0.25">
      <c r="A13">
        <v>8</v>
      </c>
      <c r="B13" s="2">
        <v>1987</v>
      </c>
      <c r="C13" s="2">
        <v>123.9</v>
      </c>
    </row>
    <row r="14" spans="1:14" x14ac:dyDescent="0.25">
      <c r="A14">
        <v>9</v>
      </c>
      <c r="B14" s="2">
        <v>1988</v>
      </c>
      <c r="C14" s="2">
        <v>121.4</v>
      </c>
    </row>
    <row r="15" spans="1:14" x14ac:dyDescent="0.25">
      <c r="A15">
        <v>10</v>
      </c>
      <c r="B15" s="2">
        <v>1989</v>
      </c>
      <c r="C15" s="2">
        <v>115.3</v>
      </c>
    </row>
    <row r="16" spans="1:14" x14ac:dyDescent="0.25">
      <c r="A16">
        <v>11</v>
      </c>
      <c r="B16" s="2">
        <v>1990</v>
      </c>
      <c r="C16" s="2">
        <v>113.9</v>
      </c>
    </row>
    <row r="17" spans="1:13" x14ac:dyDescent="0.25">
      <c r="A17">
        <v>12</v>
      </c>
      <c r="B17" s="2">
        <v>1991</v>
      </c>
      <c r="C17" s="2">
        <v>107.7</v>
      </c>
    </row>
    <row r="18" spans="1:13" x14ac:dyDescent="0.25">
      <c r="A18">
        <v>13</v>
      </c>
      <c r="B18" s="2">
        <v>1992</v>
      </c>
      <c r="C18" s="2">
        <v>110.5</v>
      </c>
    </row>
    <row r="19" spans="1:13" x14ac:dyDescent="0.25">
      <c r="A19">
        <v>14</v>
      </c>
      <c r="B19" s="2">
        <v>1993</v>
      </c>
      <c r="C19" s="2">
        <v>110</v>
      </c>
    </row>
    <row r="20" spans="1:13" x14ac:dyDescent="0.25">
      <c r="A20">
        <v>15</v>
      </c>
      <c r="B20" s="2">
        <v>1994</v>
      </c>
      <c r="C20" s="2">
        <v>104.3</v>
      </c>
    </row>
    <row r="21" spans="1:13" x14ac:dyDescent="0.25">
      <c r="A21">
        <v>16</v>
      </c>
      <c r="B21" s="2">
        <v>1995</v>
      </c>
      <c r="C21" s="2">
        <v>108.10000000000001</v>
      </c>
    </row>
    <row r="22" spans="1:13" x14ac:dyDescent="0.25">
      <c r="A22">
        <v>17</v>
      </c>
      <c r="B22" s="2">
        <v>1996</v>
      </c>
      <c r="C22" s="2">
        <v>109</v>
      </c>
      <c r="E22" s="442" t="s">
        <v>15</v>
      </c>
      <c r="F22" s="443"/>
      <c r="G22" s="443"/>
      <c r="H22" s="443"/>
      <c r="I22" s="443"/>
      <c r="J22" s="443"/>
      <c r="K22" s="443"/>
      <c r="L22" s="444"/>
      <c r="M22" s="444"/>
    </row>
    <row r="23" spans="1:13" x14ac:dyDescent="0.25">
      <c r="A23">
        <v>18</v>
      </c>
      <c r="B23" s="2">
        <v>1997</v>
      </c>
      <c r="C23" s="2">
        <v>113</v>
      </c>
      <c r="E23" s="443"/>
      <c r="F23" s="443"/>
      <c r="G23" s="443"/>
      <c r="H23" s="443"/>
      <c r="I23" s="443"/>
      <c r="J23" s="443"/>
      <c r="K23" s="443"/>
      <c r="L23" s="444"/>
      <c r="M23" s="444"/>
    </row>
    <row r="24" spans="1:13" x14ac:dyDescent="0.25">
      <c r="A24">
        <v>19</v>
      </c>
      <c r="B24" s="2">
        <v>1998</v>
      </c>
      <c r="C24" s="2">
        <v>112.7</v>
      </c>
      <c r="E24" s="443"/>
      <c r="F24" s="443"/>
      <c r="G24" s="443"/>
      <c r="H24" s="443"/>
      <c r="I24" s="443"/>
      <c r="J24" s="443"/>
      <c r="K24" s="443"/>
      <c r="L24" s="444"/>
      <c r="M24" s="444"/>
    </row>
    <row r="25" spans="1:13" x14ac:dyDescent="0.25">
      <c r="A25">
        <v>20</v>
      </c>
      <c r="B25" s="2">
        <v>1999</v>
      </c>
      <c r="C25" s="2">
        <v>106.5</v>
      </c>
    </row>
    <row r="26" spans="1:13" x14ac:dyDescent="0.25">
      <c r="A26">
        <v>21</v>
      </c>
      <c r="B26" s="2">
        <v>2000</v>
      </c>
      <c r="C26" s="2">
        <v>112.60000000000001</v>
      </c>
    </row>
    <row r="27" spans="1:13" x14ac:dyDescent="0.25">
      <c r="A27">
        <v>22</v>
      </c>
      <c r="B27" s="2">
        <v>2001</v>
      </c>
      <c r="C27" s="2">
        <v>111.8</v>
      </c>
    </row>
    <row r="28" spans="1:13" x14ac:dyDescent="0.25">
      <c r="A28">
        <v>23</v>
      </c>
      <c r="B28" s="2">
        <v>2002</v>
      </c>
      <c r="C28" s="2">
        <v>116.10000000000001</v>
      </c>
    </row>
    <row r="29" spans="1:13" x14ac:dyDescent="0.25">
      <c r="A29">
        <v>24</v>
      </c>
      <c r="B29" s="2">
        <v>2003</v>
      </c>
      <c r="C29" s="2">
        <v>117.9</v>
      </c>
    </row>
    <row r="30" spans="1:13" x14ac:dyDescent="0.25">
      <c r="A30">
        <v>25</v>
      </c>
      <c r="B30" s="2">
        <v>2004</v>
      </c>
      <c r="C30" s="2">
        <v>116.60000000000001</v>
      </c>
    </row>
    <row r="31" spans="1:13" x14ac:dyDescent="0.25">
      <c r="A31">
        <v>26</v>
      </c>
      <c r="B31" s="2">
        <v>2005</v>
      </c>
      <c r="C31" s="2">
        <v>112.5</v>
      </c>
    </row>
    <row r="32" spans="1:13" x14ac:dyDescent="0.25">
      <c r="A32">
        <v>27</v>
      </c>
      <c r="B32" s="2">
        <v>2006</v>
      </c>
      <c r="C32" s="2">
        <v>117.3</v>
      </c>
    </row>
    <row r="33" spans="1:3" x14ac:dyDescent="0.25">
      <c r="A33">
        <v>28</v>
      </c>
      <c r="B33" s="2">
        <v>2007</v>
      </c>
      <c r="C33" s="2">
        <v>110.9</v>
      </c>
    </row>
    <row r="34" spans="1:3" x14ac:dyDescent="0.25">
      <c r="A34">
        <v>29</v>
      </c>
      <c r="B34" s="2">
        <v>2008</v>
      </c>
      <c r="C34" s="2">
        <v>114.60000000000001</v>
      </c>
    </row>
    <row r="35" spans="1:3" x14ac:dyDescent="0.25">
      <c r="A35">
        <v>30</v>
      </c>
      <c r="B35" s="1"/>
      <c r="C35" s="1"/>
    </row>
  </sheetData>
  <mergeCells count="2">
    <mergeCell ref="A2:N3"/>
    <mergeCell ref="E22:M24"/>
  </mergeCell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C191A-6B45-4A95-80F3-CE2AE48A708E}">
  <dimension ref="A2:Q50"/>
  <sheetViews>
    <sheetView zoomScale="80" zoomScaleNormal="80" workbookViewId="0">
      <selection activeCell="G25" sqref="G25:I29"/>
    </sheetView>
  </sheetViews>
  <sheetFormatPr defaultRowHeight="15" x14ac:dyDescent="0.25"/>
  <cols>
    <col min="2" max="2" width="11" customWidth="1"/>
    <col min="3" max="3" width="20.28515625" customWidth="1"/>
    <col min="4" max="4" width="14.7109375" customWidth="1"/>
    <col min="7" max="7" width="17.140625" customWidth="1"/>
    <col min="8" max="8" width="15.28515625" customWidth="1"/>
    <col min="9" max="9" width="14.28515625" customWidth="1"/>
    <col min="11" max="11" width="11.140625" customWidth="1"/>
  </cols>
  <sheetData>
    <row r="2" spans="1:17" x14ac:dyDescent="0.25">
      <c r="A2" s="300" t="s">
        <v>11</v>
      </c>
      <c r="B2" s="300"/>
      <c r="C2" s="300"/>
      <c r="D2" s="300"/>
      <c r="E2" s="300"/>
      <c r="F2" s="300"/>
      <c r="G2" s="300"/>
      <c r="H2" s="300"/>
      <c r="I2" s="300"/>
      <c r="J2" s="300"/>
      <c r="K2" s="300"/>
      <c r="L2" s="300"/>
      <c r="M2" s="300"/>
      <c r="N2" s="300"/>
    </row>
    <row r="3" spans="1:17" x14ac:dyDescent="0.25">
      <c r="A3" s="300"/>
      <c r="B3" s="300"/>
      <c r="C3" s="300"/>
      <c r="D3" s="300"/>
      <c r="E3" s="300"/>
      <c r="F3" s="300"/>
      <c r="G3" s="300"/>
      <c r="H3" s="300"/>
      <c r="I3" s="300"/>
      <c r="J3" s="300"/>
      <c r="K3" s="300"/>
      <c r="L3" s="300"/>
      <c r="M3" s="300"/>
      <c r="N3" s="300"/>
    </row>
    <row r="4" spans="1:17" x14ac:dyDescent="0.25">
      <c r="D4" t="s">
        <v>19</v>
      </c>
    </row>
    <row r="5" spans="1:17" x14ac:dyDescent="0.25">
      <c r="C5" s="4" t="s">
        <v>18</v>
      </c>
      <c r="D5" s="4" t="s">
        <v>17</v>
      </c>
    </row>
    <row r="6" spans="1:17" x14ac:dyDescent="0.25">
      <c r="A6" s="1"/>
      <c r="B6" s="3" t="s">
        <v>0</v>
      </c>
      <c r="C6" s="3" t="s">
        <v>1</v>
      </c>
      <c r="D6" s="14" t="s">
        <v>16</v>
      </c>
      <c r="G6" t="s">
        <v>20</v>
      </c>
      <c r="P6" s="21"/>
      <c r="Q6" s="21"/>
    </row>
    <row r="7" spans="1:17" ht="15.75" thickBot="1" x14ac:dyDescent="0.3">
      <c r="A7">
        <v>1</v>
      </c>
      <c r="B7" s="2">
        <v>1980</v>
      </c>
      <c r="C7" s="2">
        <v>127.5</v>
      </c>
      <c r="P7" s="21"/>
      <c r="Q7" s="21"/>
    </row>
    <row r="8" spans="1:17" x14ac:dyDescent="0.25">
      <c r="A8">
        <v>2</v>
      </c>
      <c r="B8" s="2">
        <v>1981</v>
      </c>
      <c r="C8" s="2">
        <v>130.1</v>
      </c>
      <c r="D8" s="2">
        <v>127.5</v>
      </c>
      <c r="G8" s="18" t="s">
        <v>21</v>
      </c>
      <c r="H8" s="18"/>
      <c r="P8" s="21"/>
      <c r="Q8" s="21"/>
    </row>
    <row r="9" spans="1:17" x14ac:dyDescent="0.25">
      <c r="A9">
        <v>3</v>
      </c>
      <c r="B9" s="2">
        <v>1982</v>
      </c>
      <c r="C9" s="2">
        <v>117.8</v>
      </c>
      <c r="D9" s="2">
        <v>130.1</v>
      </c>
      <c r="G9" s="15" t="s">
        <v>22</v>
      </c>
      <c r="H9" s="15">
        <v>0.70683597531229692</v>
      </c>
      <c r="P9" s="21"/>
      <c r="Q9" s="21"/>
    </row>
    <row r="10" spans="1:17" x14ac:dyDescent="0.25">
      <c r="A10">
        <v>4</v>
      </c>
      <c r="B10" s="2">
        <v>1983</v>
      </c>
      <c r="C10" s="2">
        <v>129.69999999999999</v>
      </c>
      <c r="D10" s="2">
        <v>117.8</v>
      </c>
      <c r="G10" s="15" t="s">
        <v>23</v>
      </c>
      <c r="H10" s="15">
        <v>0.49961709599568599</v>
      </c>
      <c r="P10" s="21"/>
      <c r="Q10" s="21"/>
    </row>
    <row r="11" spans="1:17" x14ac:dyDescent="0.25">
      <c r="A11">
        <v>5</v>
      </c>
      <c r="B11" s="2">
        <v>1984</v>
      </c>
      <c r="C11" s="2">
        <v>123.9</v>
      </c>
      <c r="D11" s="2">
        <v>129.69999999999999</v>
      </c>
      <c r="G11" s="15" t="s">
        <v>24</v>
      </c>
      <c r="H11" s="15">
        <v>0.48037159968782778</v>
      </c>
      <c r="P11" s="21"/>
      <c r="Q11" s="21"/>
    </row>
    <row r="12" spans="1:17" x14ac:dyDescent="0.25">
      <c r="A12">
        <v>6</v>
      </c>
      <c r="B12" s="2">
        <v>1985</v>
      </c>
      <c r="C12" s="2">
        <v>124.9</v>
      </c>
      <c r="D12" s="2">
        <v>123.9</v>
      </c>
      <c r="G12" s="15" t="s">
        <v>25</v>
      </c>
      <c r="H12" s="15">
        <v>4.7942587394350857</v>
      </c>
      <c r="P12" s="21"/>
      <c r="Q12" s="21"/>
    </row>
    <row r="13" spans="1:17" ht="15.75" thickBot="1" x14ac:dyDescent="0.3">
      <c r="A13">
        <v>7</v>
      </c>
      <c r="B13" s="2">
        <v>1986</v>
      </c>
      <c r="C13" s="2">
        <v>118.7</v>
      </c>
      <c r="D13" s="2">
        <v>124.9</v>
      </c>
      <c r="G13" s="16" t="s">
        <v>26</v>
      </c>
      <c r="H13" s="16">
        <v>28</v>
      </c>
      <c r="P13" s="21"/>
      <c r="Q13" s="21"/>
    </row>
    <row r="14" spans="1:17" x14ac:dyDescent="0.25">
      <c r="A14">
        <v>8</v>
      </c>
      <c r="B14" s="2">
        <v>1987</v>
      </c>
      <c r="C14" s="2">
        <v>123.9</v>
      </c>
      <c r="D14" s="2">
        <v>118.7</v>
      </c>
      <c r="P14" s="21"/>
      <c r="Q14" s="21"/>
    </row>
    <row r="15" spans="1:17" ht="15.75" thickBot="1" x14ac:dyDescent="0.3">
      <c r="A15">
        <v>9</v>
      </c>
      <c r="B15" s="2">
        <v>1988</v>
      </c>
      <c r="C15" s="2">
        <v>121.4</v>
      </c>
      <c r="D15" s="2">
        <v>123.9</v>
      </c>
      <c r="G15" t="s">
        <v>27</v>
      </c>
      <c r="P15" s="21"/>
      <c r="Q15" s="21"/>
    </row>
    <row r="16" spans="1:17" x14ac:dyDescent="0.25">
      <c r="A16">
        <v>10</v>
      </c>
      <c r="B16" s="2">
        <v>1989</v>
      </c>
      <c r="C16" s="2">
        <v>115.3</v>
      </c>
      <c r="D16" s="2">
        <v>121.4</v>
      </c>
      <c r="G16" s="17"/>
      <c r="H16" s="17" t="s">
        <v>32</v>
      </c>
      <c r="I16" s="17" t="s">
        <v>33</v>
      </c>
      <c r="J16" s="17" t="s">
        <v>34</v>
      </c>
      <c r="K16" s="17" t="s">
        <v>35</v>
      </c>
      <c r="L16" s="17" t="s">
        <v>36</v>
      </c>
      <c r="P16" s="21"/>
      <c r="Q16" s="21"/>
    </row>
    <row r="17" spans="1:17" x14ac:dyDescent="0.25">
      <c r="A17">
        <v>11</v>
      </c>
      <c r="B17" s="2">
        <v>1990</v>
      </c>
      <c r="C17" s="2">
        <v>113.9</v>
      </c>
      <c r="D17" s="2">
        <v>115.3</v>
      </c>
      <c r="G17" s="15" t="s">
        <v>28</v>
      </c>
      <c r="H17" s="15">
        <v>1</v>
      </c>
      <c r="I17" s="15">
        <v>596.69323305167904</v>
      </c>
      <c r="J17" s="15">
        <v>596.69323305167904</v>
      </c>
      <c r="K17" s="15">
        <v>25.960208456234234</v>
      </c>
      <c r="L17" s="15">
        <v>2.6150116103923949E-5</v>
      </c>
      <c r="P17" s="21"/>
      <c r="Q17" s="21"/>
    </row>
    <row r="18" spans="1:17" x14ac:dyDescent="0.25">
      <c r="A18">
        <v>12</v>
      </c>
      <c r="B18" s="2">
        <v>1991</v>
      </c>
      <c r="C18" s="2">
        <v>107.7</v>
      </c>
      <c r="D18" s="2">
        <v>113.9</v>
      </c>
      <c r="G18" s="15" t="s">
        <v>29</v>
      </c>
      <c r="H18" s="15">
        <v>26</v>
      </c>
      <c r="I18" s="15">
        <v>597.607838376892</v>
      </c>
      <c r="J18" s="15">
        <v>22.984916860649694</v>
      </c>
      <c r="K18" s="15"/>
      <c r="L18" s="15"/>
      <c r="P18" s="21"/>
      <c r="Q18" s="21"/>
    </row>
    <row r="19" spans="1:17" ht="15.75" thickBot="1" x14ac:dyDescent="0.3">
      <c r="A19">
        <v>13</v>
      </c>
      <c r="B19" s="2">
        <v>1992</v>
      </c>
      <c r="C19" s="2">
        <v>110.5</v>
      </c>
      <c r="D19" s="2">
        <v>107.7</v>
      </c>
      <c r="G19" s="16" t="s">
        <v>30</v>
      </c>
      <c r="H19" s="16">
        <v>27</v>
      </c>
      <c r="I19" s="16">
        <v>1194.301071428571</v>
      </c>
      <c r="J19" s="16"/>
      <c r="K19" s="16"/>
      <c r="L19" s="16"/>
      <c r="P19" s="21"/>
      <c r="Q19" s="21"/>
    </row>
    <row r="20" spans="1:17" ht="15.75" thickBot="1" x14ac:dyDescent="0.3">
      <c r="A20">
        <v>14</v>
      </c>
      <c r="B20" s="2">
        <v>1993</v>
      </c>
      <c r="C20" s="2">
        <v>110</v>
      </c>
      <c r="D20" s="2">
        <v>110.5</v>
      </c>
      <c r="P20" s="21"/>
      <c r="Q20" s="21"/>
    </row>
    <row r="21" spans="1:17" x14ac:dyDescent="0.25">
      <c r="A21">
        <v>15</v>
      </c>
      <c r="B21" s="2">
        <v>1994</v>
      </c>
      <c r="C21" s="2">
        <v>104.3</v>
      </c>
      <c r="D21" s="2">
        <v>110</v>
      </c>
      <c r="G21" s="24"/>
      <c r="H21" s="24" t="s">
        <v>37</v>
      </c>
      <c r="I21" s="17" t="s">
        <v>25</v>
      </c>
      <c r="J21" s="17" t="s">
        <v>38</v>
      </c>
      <c r="K21" s="17" t="s">
        <v>39</v>
      </c>
      <c r="L21" s="17" t="s">
        <v>40</v>
      </c>
      <c r="M21" s="17" t="s">
        <v>41</v>
      </c>
      <c r="N21" s="17" t="s">
        <v>42</v>
      </c>
      <c r="O21" s="17" t="s">
        <v>43</v>
      </c>
      <c r="P21" s="21"/>
      <c r="Q21" s="21"/>
    </row>
    <row r="22" spans="1:17" x14ac:dyDescent="0.25">
      <c r="A22">
        <v>16</v>
      </c>
      <c r="B22" s="2">
        <v>1995</v>
      </c>
      <c r="C22" s="2">
        <v>108.10000000000001</v>
      </c>
      <c r="D22" s="2">
        <v>104.3</v>
      </c>
      <c r="G22" s="19" t="s">
        <v>31</v>
      </c>
      <c r="H22" s="19">
        <v>37.908352212535362</v>
      </c>
      <c r="I22" s="15">
        <v>15.239466815006491</v>
      </c>
      <c r="J22" s="15">
        <v>2.4875117136779705</v>
      </c>
      <c r="K22" s="15">
        <v>1.9603154467406497E-2</v>
      </c>
      <c r="L22" s="15">
        <v>6.5831795450683757</v>
      </c>
      <c r="M22" s="15">
        <v>69.233524880002349</v>
      </c>
      <c r="N22" s="15">
        <v>6.5831795450683757</v>
      </c>
      <c r="O22" s="15">
        <v>69.233524880002349</v>
      </c>
      <c r="P22" s="21"/>
      <c r="Q22" s="21"/>
    </row>
    <row r="23" spans="1:17" ht="15.75" thickBot="1" x14ac:dyDescent="0.3">
      <c r="A23">
        <v>17</v>
      </c>
      <c r="B23" s="2">
        <v>1996</v>
      </c>
      <c r="C23" s="2">
        <v>109</v>
      </c>
      <c r="D23" s="2">
        <v>108.10000000000001</v>
      </c>
      <c r="G23" s="20" t="s">
        <v>44</v>
      </c>
      <c r="H23" s="20">
        <v>0.6688855754327222</v>
      </c>
      <c r="I23" s="16">
        <v>0.13127975052204288</v>
      </c>
      <c r="J23" s="16">
        <v>5.0951161376591063</v>
      </c>
      <c r="K23" s="16">
        <v>2.61501161039238E-5</v>
      </c>
      <c r="L23" s="16">
        <v>0.39903618353697096</v>
      </c>
      <c r="M23" s="16">
        <v>0.9387349673284735</v>
      </c>
      <c r="N23" s="16">
        <v>0.39903618353697096</v>
      </c>
      <c r="O23" s="16">
        <v>0.9387349673284735</v>
      </c>
      <c r="P23" s="21"/>
      <c r="Q23" s="21"/>
    </row>
    <row r="24" spans="1:17" x14ac:dyDescent="0.25">
      <c r="A24">
        <v>18</v>
      </c>
      <c r="B24" s="2">
        <v>1997</v>
      </c>
      <c r="C24" s="2">
        <v>113</v>
      </c>
      <c r="D24" s="2">
        <v>109</v>
      </c>
      <c r="P24" s="21"/>
      <c r="Q24" s="21"/>
    </row>
    <row r="25" spans="1:17" x14ac:dyDescent="0.25">
      <c r="A25">
        <v>19</v>
      </c>
      <c r="B25" s="2">
        <v>1998</v>
      </c>
      <c r="C25" s="2">
        <v>112.7</v>
      </c>
      <c r="D25" s="2">
        <v>113</v>
      </c>
      <c r="G25" s="446" t="s">
        <v>46</v>
      </c>
      <c r="H25" s="446"/>
      <c r="P25" s="21"/>
      <c r="Q25" s="21"/>
    </row>
    <row r="26" spans="1:17" x14ac:dyDescent="0.25">
      <c r="A26">
        <v>20</v>
      </c>
      <c r="B26" s="2">
        <v>1999</v>
      </c>
      <c r="C26" s="2">
        <v>106.5</v>
      </c>
      <c r="D26" s="2">
        <v>112.7</v>
      </c>
      <c r="G26" s="445" t="s">
        <v>45</v>
      </c>
      <c r="H26" s="445"/>
      <c r="I26" s="445"/>
      <c r="P26" s="21"/>
      <c r="Q26" s="21"/>
    </row>
    <row r="27" spans="1:17" x14ac:dyDescent="0.25">
      <c r="A27">
        <v>21</v>
      </c>
      <c r="B27" s="2">
        <v>2000</v>
      </c>
      <c r="C27" s="2">
        <v>112.60000000000001</v>
      </c>
      <c r="D27" s="2">
        <v>106.5</v>
      </c>
      <c r="G27" s="21"/>
      <c r="H27" s="21"/>
      <c r="I27" s="21"/>
      <c r="J27" s="21"/>
      <c r="K27" s="21"/>
      <c r="L27" s="21"/>
      <c r="M27" s="21"/>
      <c r="N27" s="21"/>
      <c r="O27" s="21"/>
      <c r="P27" s="21"/>
      <c r="Q27" s="21"/>
    </row>
    <row r="28" spans="1:17" x14ac:dyDescent="0.25">
      <c r="A28">
        <v>22</v>
      </c>
      <c r="B28" s="2">
        <v>2001</v>
      </c>
      <c r="C28" s="2">
        <v>111.8</v>
      </c>
      <c r="D28" s="2">
        <v>112.60000000000001</v>
      </c>
      <c r="G28" s="447" t="s">
        <v>47</v>
      </c>
      <c r="H28" s="446"/>
      <c r="I28" s="446"/>
      <c r="J28" s="21"/>
      <c r="K28" s="21"/>
      <c r="L28" s="21"/>
      <c r="M28" s="21"/>
      <c r="N28" s="21"/>
      <c r="O28" s="21"/>
      <c r="P28" s="21"/>
      <c r="Q28" s="21"/>
    </row>
    <row r="29" spans="1:17" x14ac:dyDescent="0.25">
      <c r="A29">
        <v>23</v>
      </c>
      <c r="B29" s="2">
        <v>2002</v>
      </c>
      <c r="C29" s="2">
        <v>116.10000000000001</v>
      </c>
      <c r="D29" s="2">
        <v>111.8</v>
      </c>
      <c r="G29" s="25">
        <f>(H23*C35)+H22</f>
        <v>114.56263915712533</v>
      </c>
      <c r="H29" s="21"/>
      <c r="I29" s="21"/>
      <c r="J29" s="21"/>
      <c r="K29" s="21"/>
      <c r="L29" s="21"/>
      <c r="M29" s="21"/>
      <c r="N29" s="21"/>
      <c r="O29" s="21"/>
      <c r="P29" s="21"/>
      <c r="Q29" s="21"/>
    </row>
    <row r="30" spans="1:17" x14ac:dyDescent="0.25">
      <c r="A30">
        <v>24</v>
      </c>
      <c r="B30" s="2">
        <v>2003</v>
      </c>
      <c r="C30" s="2">
        <v>117.9</v>
      </c>
      <c r="D30" s="2">
        <v>116.10000000000001</v>
      </c>
      <c r="G30" s="21"/>
      <c r="H30" s="21"/>
      <c r="I30" s="21"/>
      <c r="J30" s="21"/>
      <c r="K30" s="21"/>
      <c r="L30" s="21"/>
      <c r="M30" s="21"/>
      <c r="N30" s="21"/>
      <c r="O30" s="21"/>
      <c r="P30" s="21"/>
      <c r="Q30" s="21"/>
    </row>
    <row r="31" spans="1:17" x14ac:dyDescent="0.25">
      <c r="A31">
        <v>25</v>
      </c>
      <c r="B31" s="2">
        <v>2004</v>
      </c>
      <c r="C31" s="2">
        <v>116.60000000000001</v>
      </c>
      <c r="D31" s="2">
        <v>117.9</v>
      </c>
      <c r="G31" s="21"/>
      <c r="H31" s="21"/>
      <c r="I31" s="21"/>
      <c r="J31" s="21"/>
      <c r="K31" s="21"/>
      <c r="L31" s="21"/>
      <c r="M31" s="21"/>
      <c r="N31" s="21"/>
      <c r="O31" s="21"/>
      <c r="P31" s="21"/>
      <c r="Q31" s="21"/>
    </row>
    <row r="32" spans="1:17" x14ac:dyDescent="0.25">
      <c r="A32">
        <v>26</v>
      </c>
      <c r="B32" s="2">
        <v>2005</v>
      </c>
      <c r="C32" s="2">
        <v>112.5</v>
      </c>
      <c r="D32" s="2">
        <v>116.60000000000001</v>
      </c>
      <c r="G32" s="22"/>
      <c r="H32" s="22"/>
      <c r="I32" s="21"/>
      <c r="J32" s="21"/>
      <c r="K32" s="21"/>
      <c r="L32" s="21"/>
      <c r="M32" s="21"/>
      <c r="N32" s="21"/>
      <c r="O32" s="21"/>
      <c r="P32" s="21"/>
      <c r="Q32" s="21"/>
    </row>
    <row r="33" spans="1:17" x14ac:dyDescent="0.25">
      <c r="A33">
        <v>27</v>
      </c>
      <c r="B33" s="2">
        <v>2006</v>
      </c>
      <c r="C33" s="2">
        <v>117.3</v>
      </c>
      <c r="D33" s="2">
        <v>112.5</v>
      </c>
      <c r="G33" s="15"/>
      <c r="H33" s="15"/>
      <c r="I33" s="21"/>
      <c r="J33" s="21"/>
      <c r="K33" s="21"/>
      <c r="L33" s="21"/>
      <c r="M33" s="21"/>
      <c r="N33" s="21"/>
      <c r="O33" s="21"/>
      <c r="P33" s="21"/>
      <c r="Q33" s="21"/>
    </row>
    <row r="34" spans="1:17" x14ac:dyDescent="0.25">
      <c r="A34">
        <v>28</v>
      </c>
      <c r="B34" s="2">
        <v>2007</v>
      </c>
      <c r="C34" s="2">
        <v>110.9</v>
      </c>
      <c r="D34" s="2">
        <v>117.3</v>
      </c>
      <c r="G34" s="15"/>
      <c r="H34" s="15"/>
      <c r="I34" s="21"/>
      <c r="J34" s="21"/>
      <c r="K34" s="21"/>
      <c r="L34" s="21"/>
      <c r="M34" s="21"/>
      <c r="N34" s="21"/>
      <c r="O34" s="21"/>
      <c r="P34" s="21"/>
      <c r="Q34" s="21"/>
    </row>
    <row r="35" spans="1:17" x14ac:dyDescent="0.25">
      <c r="A35">
        <v>29</v>
      </c>
      <c r="B35" s="2">
        <v>2008</v>
      </c>
      <c r="C35" s="2">
        <v>114.60000000000001</v>
      </c>
      <c r="D35" s="2">
        <v>110.9</v>
      </c>
      <c r="G35" s="15"/>
      <c r="H35" s="15"/>
      <c r="I35" s="21"/>
      <c r="J35" s="21"/>
      <c r="K35" s="21"/>
      <c r="L35" s="21"/>
      <c r="M35" s="21"/>
      <c r="N35" s="21"/>
      <c r="O35" s="21"/>
      <c r="P35" s="21"/>
      <c r="Q35" s="21"/>
    </row>
    <row r="36" spans="1:17" x14ac:dyDescent="0.25">
      <c r="A36">
        <v>30</v>
      </c>
      <c r="B36" s="1"/>
      <c r="C36" s="1"/>
      <c r="D36" s="2">
        <v>114.60000000000001</v>
      </c>
      <c r="G36" s="15"/>
      <c r="H36" s="15"/>
      <c r="I36" s="21"/>
      <c r="J36" s="21"/>
      <c r="K36" s="21"/>
      <c r="L36" s="21"/>
      <c r="M36" s="21"/>
      <c r="N36" s="21"/>
      <c r="O36" s="21"/>
      <c r="P36" s="21"/>
      <c r="Q36" s="21"/>
    </row>
    <row r="37" spans="1:17" x14ac:dyDescent="0.25">
      <c r="G37" s="15"/>
      <c r="H37" s="15"/>
      <c r="I37" s="21"/>
      <c r="J37" s="21"/>
      <c r="K37" s="21"/>
      <c r="L37" s="21"/>
      <c r="M37" s="21"/>
      <c r="N37" s="21"/>
      <c r="O37" s="21"/>
      <c r="P37" s="21"/>
      <c r="Q37" s="21"/>
    </row>
    <row r="38" spans="1:17" x14ac:dyDescent="0.25">
      <c r="G38" s="21"/>
      <c r="H38" s="21"/>
      <c r="I38" s="21"/>
      <c r="J38" s="21"/>
      <c r="K38" s="21"/>
      <c r="L38" s="21"/>
      <c r="M38" s="21"/>
      <c r="N38" s="21"/>
      <c r="O38" s="21"/>
      <c r="P38" s="21"/>
      <c r="Q38" s="21"/>
    </row>
    <row r="39" spans="1:17" x14ac:dyDescent="0.25">
      <c r="G39" s="21"/>
      <c r="H39" s="21"/>
      <c r="I39" s="21"/>
      <c r="J39" s="21"/>
      <c r="K39" s="21"/>
      <c r="L39" s="21"/>
      <c r="M39" s="21"/>
      <c r="N39" s="21"/>
      <c r="O39" s="21"/>
      <c r="P39" s="21"/>
      <c r="Q39" s="21"/>
    </row>
    <row r="40" spans="1:17" x14ac:dyDescent="0.25">
      <c r="G40" s="23"/>
      <c r="H40" s="23"/>
      <c r="I40" s="23"/>
      <c r="J40" s="23"/>
      <c r="K40" s="23"/>
      <c r="L40" s="23"/>
      <c r="M40" s="21"/>
      <c r="N40" s="21"/>
      <c r="O40" s="21"/>
      <c r="P40" s="21"/>
      <c r="Q40" s="21"/>
    </row>
    <row r="41" spans="1:17" x14ac:dyDescent="0.25">
      <c r="G41" s="15"/>
      <c r="H41" s="15"/>
      <c r="I41" s="15"/>
      <c r="J41" s="15"/>
      <c r="K41" s="15"/>
      <c r="L41" s="15"/>
      <c r="M41" s="21"/>
      <c r="N41" s="21"/>
      <c r="O41" s="21"/>
      <c r="P41" s="21"/>
      <c r="Q41" s="21"/>
    </row>
    <row r="42" spans="1:17" x14ac:dyDescent="0.25">
      <c r="G42" s="15"/>
      <c r="H42" s="15"/>
      <c r="I42" s="15"/>
      <c r="J42" s="15"/>
      <c r="K42" s="15"/>
      <c r="L42" s="15"/>
      <c r="M42" s="21"/>
      <c r="N42" s="21"/>
      <c r="O42" s="21"/>
      <c r="P42" s="21"/>
      <c r="Q42" s="21"/>
    </row>
    <row r="43" spans="1:17" x14ac:dyDescent="0.25">
      <c r="G43" s="15"/>
      <c r="H43" s="15"/>
      <c r="I43" s="15"/>
      <c r="J43" s="15"/>
      <c r="K43" s="15"/>
      <c r="L43" s="15"/>
      <c r="M43" s="21"/>
      <c r="N43" s="21"/>
      <c r="O43" s="21"/>
      <c r="P43" s="21"/>
      <c r="Q43" s="21"/>
    </row>
    <row r="44" spans="1:17" x14ac:dyDescent="0.25">
      <c r="G44" s="21"/>
      <c r="H44" s="21"/>
      <c r="I44" s="21"/>
      <c r="J44" s="21"/>
      <c r="K44" s="21"/>
      <c r="L44" s="21"/>
      <c r="M44" s="21"/>
      <c r="N44" s="21"/>
      <c r="O44" s="21"/>
      <c r="P44" s="21"/>
      <c r="Q44" s="21"/>
    </row>
    <row r="45" spans="1:17" x14ac:dyDescent="0.25">
      <c r="G45" s="21"/>
      <c r="H45" s="21"/>
      <c r="I45" s="21"/>
      <c r="J45" s="21"/>
      <c r="K45" s="21"/>
      <c r="L45" s="21"/>
      <c r="M45" s="21"/>
      <c r="N45" s="21"/>
      <c r="O45" s="21"/>
      <c r="P45" s="21"/>
      <c r="Q45" s="21"/>
    </row>
    <row r="46" spans="1:17" x14ac:dyDescent="0.25">
      <c r="G46" s="21"/>
      <c r="H46" s="21"/>
      <c r="I46" s="21"/>
      <c r="J46" s="21"/>
      <c r="K46" s="21"/>
      <c r="L46" s="21"/>
      <c r="M46" s="21"/>
      <c r="N46" s="21"/>
      <c r="O46" s="21"/>
      <c r="P46" s="21"/>
      <c r="Q46" s="21"/>
    </row>
    <row r="47" spans="1:17" x14ac:dyDescent="0.25">
      <c r="G47" s="21"/>
      <c r="H47" s="21"/>
      <c r="I47" s="21"/>
      <c r="J47" s="21"/>
      <c r="K47" s="21"/>
      <c r="L47" s="21"/>
      <c r="M47" s="21"/>
      <c r="N47" s="21"/>
      <c r="O47" s="21"/>
      <c r="P47" s="21"/>
      <c r="Q47" s="21"/>
    </row>
    <row r="48" spans="1:17" x14ac:dyDescent="0.25">
      <c r="G48" s="21"/>
      <c r="H48" s="21"/>
      <c r="I48" s="21"/>
      <c r="J48" s="21"/>
      <c r="K48" s="21"/>
      <c r="L48" s="21"/>
      <c r="M48" s="21"/>
      <c r="N48" s="21"/>
      <c r="O48" s="21"/>
      <c r="P48" s="21"/>
      <c r="Q48" s="21"/>
    </row>
    <row r="49" spans="7:17" x14ac:dyDescent="0.25">
      <c r="G49" s="21"/>
      <c r="H49" s="21"/>
      <c r="I49" s="21"/>
      <c r="J49" s="21"/>
      <c r="K49" s="21"/>
      <c r="L49" s="21"/>
      <c r="M49" s="21"/>
      <c r="N49" s="21"/>
      <c r="O49" s="21"/>
      <c r="P49" s="21"/>
      <c r="Q49" s="21"/>
    </row>
    <row r="50" spans="7:17" x14ac:dyDescent="0.25">
      <c r="G50" s="21"/>
      <c r="H50" s="21"/>
      <c r="I50" s="21"/>
      <c r="J50" s="21"/>
      <c r="K50" s="21"/>
      <c r="L50" s="21"/>
      <c r="M50" s="21"/>
      <c r="N50" s="21"/>
      <c r="O50" s="21"/>
      <c r="P50" s="21"/>
      <c r="Q50" s="21"/>
    </row>
  </sheetData>
  <mergeCells count="4">
    <mergeCell ref="A2:N3"/>
    <mergeCell ref="G26:I26"/>
    <mergeCell ref="G25:H25"/>
    <mergeCell ref="G28:I28"/>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3D70D-7E51-403C-806A-E04029B09164}">
  <dimension ref="A2:K36"/>
  <sheetViews>
    <sheetView workbookViewId="0">
      <selection activeCell="H13" sqref="H13"/>
    </sheetView>
  </sheetViews>
  <sheetFormatPr defaultRowHeight="15" x14ac:dyDescent="0.25"/>
  <cols>
    <col min="3" max="3" width="20.85546875" bestFit="1" customWidth="1"/>
    <col min="8" max="8" width="14.42578125" customWidth="1"/>
  </cols>
  <sheetData>
    <row r="2" spans="1:11" x14ac:dyDescent="0.25">
      <c r="A2" s="300" t="s">
        <v>12</v>
      </c>
      <c r="B2" s="300"/>
      <c r="C2" s="300"/>
      <c r="D2" s="300"/>
      <c r="E2" s="300"/>
      <c r="F2" s="300"/>
      <c r="G2" s="300"/>
      <c r="H2" s="300"/>
      <c r="I2" s="300"/>
      <c r="J2" s="300"/>
      <c r="K2" s="300"/>
    </row>
    <row r="3" spans="1:11" x14ac:dyDescent="0.25">
      <c r="A3" s="300"/>
      <c r="B3" s="300"/>
      <c r="C3" s="300"/>
      <c r="D3" s="300"/>
      <c r="E3" s="300"/>
      <c r="F3" s="300"/>
      <c r="G3" s="300"/>
      <c r="H3" s="300"/>
      <c r="I3" s="300"/>
      <c r="J3" s="300"/>
      <c r="K3" s="300"/>
    </row>
    <row r="5" spans="1:11" x14ac:dyDescent="0.25">
      <c r="C5" s="4" t="s">
        <v>18</v>
      </c>
    </row>
    <row r="6" spans="1:11" x14ac:dyDescent="0.25">
      <c r="A6" s="1"/>
      <c r="B6" s="3" t="s">
        <v>0</v>
      </c>
      <c r="C6" s="3" t="s">
        <v>1</v>
      </c>
      <c r="F6" s="446" t="s">
        <v>46</v>
      </c>
      <c r="G6" s="446"/>
    </row>
    <row r="7" spans="1:11" x14ac:dyDescent="0.25">
      <c r="A7">
        <v>1</v>
      </c>
      <c r="B7" s="2">
        <v>1980</v>
      </c>
      <c r="C7" s="2">
        <v>127.5</v>
      </c>
      <c r="F7" s="445" t="s">
        <v>45</v>
      </c>
      <c r="G7" s="445"/>
      <c r="H7" s="445"/>
      <c r="I7" s="448"/>
    </row>
    <row r="8" spans="1:11" x14ac:dyDescent="0.25">
      <c r="A8">
        <v>2</v>
      </c>
      <c r="B8" s="2">
        <v>1981</v>
      </c>
      <c r="C8" s="2">
        <v>130.1</v>
      </c>
      <c r="F8" s="21"/>
      <c r="G8" s="21"/>
      <c r="H8" s="21"/>
    </row>
    <row r="9" spans="1:11" x14ac:dyDescent="0.25">
      <c r="A9">
        <v>3</v>
      </c>
      <c r="B9" s="2">
        <v>1982</v>
      </c>
      <c r="C9" s="2">
        <v>117.8</v>
      </c>
      <c r="F9" s="447" t="s">
        <v>47</v>
      </c>
      <c r="G9" s="446"/>
      <c r="H9" s="446"/>
      <c r="I9" s="448"/>
    </row>
    <row r="10" spans="1:11" x14ac:dyDescent="0.25">
      <c r="A10">
        <v>4</v>
      </c>
      <c r="B10" s="2">
        <v>1983</v>
      </c>
      <c r="C10" s="2">
        <v>129.69999999999999</v>
      </c>
      <c r="F10" s="25">
        <f>0.66888*(114.6)+37.908</f>
        <v>114.56164800000001</v>
      </c>
      <c r="G10" s="21"/>
      <c r="H10" s="21"/>
    </row>
    <row r="11" spans="1:11" x14ac:dyDescent="0.25">
      <c r="A11">
        <v>5</v>
      </c>
      <c r="B11" s="2">
        <v>1984</v>
      </c>
      <c r="C11" s="2">
        <v>123.9</v>
      </c>
    </row>
    <row r="12" spans="1:11" x14ac:dyDescent="0.25">
      <c r="A12">
        <v>6</v>
      </c>
      <c r="B12" s="2">
        <v>1985</v>
      </c>
      <c r="C12" s="2">
        <v>124.9</v>
      </c>
    </row>
    <row r="13" spans="1:11" x14ac:dyDescent="0.25">
      <c r="A13">
        <v>7</v>
      </c>
      <c r="B13" s="2">
        <v>1986</v>
      </c>
      <c r="C13" s="2">
        <v>118.7</v>
      </c>
    </row>
    <row r="14" spans="1:11" x14ac:dyDescent="0.25">
      <c r="A14">
        <v>8</v>
      </c>
      <c r="B14" s="2">
        <v>1987</v>
      </c>
      <c r="C14" s="2">
        <v>123.9</v>
      </c>
    </row>
    <row r="15" spans="1:11" x14ac:dyDescent="0.25">
      <c r="A15">
        <v>9</v>
      </c>
      <c r="B15" s="2">
        <v>1988</v>
      </c>
      <c r="C15" s="2">
        <v>121.4</v>
      </c>
    </row>
    <row r="16" spans="1:11" x14ac:dyDescent="0.25">
      <c r="A16">
        <v>10</v>
      </c>
      <c r="B16" s="2">
        <v>1989</v>
      </c>
      <c r="C16" s="2">
        <v>115.3</v>
      </c>
    </row>
    <row r="17" spans="1:3" x14ac:dyDescent="0.25">
      <c r="A17">
        <v>11</v>
      </c>
      <c r="B17" s="2">
        <v>1990</v>
      </c>
      <c r="C17" s="2">
        <v>113.9</v>
      </c>
    </row>
    <row r="18" spans="1:3" x14ac:dyDescent="0.25">
      <c r="A18">
        <v>12</v>
      </c>
      <c r="B18" s="2">
        <v>1991</v>
      </c>
      <c r="C18" s="2">
        <v>107.7</v>
      </c>
    </row>
    <row r="19" spans="1:3" x14ac:dyDescent="0.25">
      <c r="A19">
        <v>13</v>
      </c>
      <c r="B19" s="2">
        <v>1992</v>
      </c>
      <c r="C19" s="2">
        <v>110.5</v>
      </c>
    </row>
    <row r="20" spans="1:3" x14ac:dyDescent="0.25">
      <c r="A20">
        <v>14</v>
      </c>
      <c r="B20" s="2">
        <v>1993</v>
      </c>
      <c r="C20" s="2">
        <v>110</v>
      </c>
    </row>
    <row r="21" spans="1:3" x14ac:dyDescent="0.25">
      <c r="A21">
        <v>15</v>
      </c>
      <c r="B21" s="2">
        <v>1994</v>
      </c>
      <c r="C21" s="2">
        <v>104.3</v>
      </c>
    </row>
    <row r="22" spans="1:3" x14ac:dyDescent="0.25">
      <c r="A22">
        <v>16</v>
      </c>
      <c r="B22" s="2">
        <v>1995</v>
      </c>
      <c r="C22" s="2">
        <v>108.10000000000001</v>
      </c>
    </row>
    <row r="23" spans="1:3" x14ac:dyDescent="0.25">
      <c r="A23">
        <v>17</v>
      </c>
      <c r="B23" s="2">
        <v>1996</v>
      </c>
      <c r="C23" s="2">
        <v>109</v>
      </c>
    </row>
    <row r="24" spans="1:3" x14ac:dyDescent="0.25">
      <c r="A24">
        <v>18</v>
      </c>
      <c r="B24" s="2">
        <v>1997</v>
      </c>
      <c r="C24" s="2">
        <v>113</v>
      </c>
    </row>
    <row r="25" spans="1:3" x14ac:dyDescent="0.25">
      <c r="A25">
        <v>19</v>
      </c>
      <c r="B25" s="2">
        <v>1998</v>
      </c>
      <c r="C25" s="2">
        <v>112.7</v>
      </c>
    </row>
    <row r="26" spans="1:3" x14ac:dyDescent="0.25">
      <c r="A26">
        <v>20</v>
      </c>
      <c r="B26" s="2">
        <v>1999</v>
      </c>
      <c r="C26" s="2">
        <v>106.5</v>
      </c>
    </row>
    <row r="27" spans="1:3" x14ac:dyDescent="0.25">
      <c r="A27">
        <v>21</v>
      </c>
      <c r="B27" s="2">
        <v>2000</v>
      </c>
      <c r="C27" s="2">
        <v>112.60000000000001</v>
      </c>
    </row>
    <row r="28" spans="1:3" x14ac:dyDescent="0.25">
      <c r="A28">
        <v>22</v>
      </c>
      <c r="B28" s="2">
        <v>2001</v>
      </c>
      <c r="C28" s="2">
        <v>111.8</v>
      </c>
    </row>
    <row r="29" spans="1:3" x14ac:dyDescent="0.25">
      <c r="A29">
        <v>23</v>
      </c>
      <c r="B29" s="2">
        <v>2002</v>
      </c>
      <c r="C29" s="2">
        <v>116.10000000000001</v>
      </c>
    </row>
    <row r="30" spans="1:3" x14ac:dyDescent="0.25">
      <c r="A30">
        <v>24</v>
      </c>
      <c r="B30" s="2">
        <v>2003</v>
      </c>
      <c r="C30" s="2">
        <v>117.9</v>
      </c>
    </row>
    <row r="31" spans="1:3" x14ac:dyDescent="0.25">
      <c r="A31">
        <v>25</v>
      </c>
      <c r="B31" s="2">
        <v>2004</v>
      </c>
      <c r="C31" s="2">
        <v>116.60000000000001</v>
      </c>
    </row>
    <row r="32" spans="1:3" x14ac:dyDescent="0.25">
      <c r="A32">
        <v>26</v>
      </c>
      <c r="B32" s="2">
        <v>2005</v>
      </c>
      <c r="C32" s="2">
        <v>112.5</v>
      </c>
    </row>
    <row r="33" spans="1:3" x14ac:dyDescent="0.25">
      <c r="A33">
        <v>27</v>
      </c>
      <c r="B33" s="2">
        <v>2006</v>
      </c>
      <c r="C33" s="2">
        <v>117.3</v>
      </c>
    </row>
    <row r="34" spans="1:3" x14ac:dyDescent="0.25">
      <c r="A34">
        <v>28</v>
      </c>
      <c r="B34" s="2">
        <v>2007</v>
      </c>
      <c r="C34" s="2">
        <v>110.9</v>
      </c>
    </row>
    <row r="35" spans="1:3" x14ac:dyDescent="0.25">
      <c r="A35">
        <v>29</v>
      </c>
      <c r="B35" s="2">
        <v>2008</v>
      </c>
      <c r="C35" s="2">
        <v>114.60000000000001</v>
      </c>
    </row>
    <row r="36" spans="1:3" x14ac:dyDescent="0.25">
      <c r="A36">
        <v>30</v>
      </c>
      <c r="B36" s="1"/>
      <c r="C36" s="1"/>
    </row>
  </sheetData>
  <mergeCells count="4">
    <mergeCell ref="A2:K3"/>
    <mergeCell ref="F6:G6"/>
    <mergeCell ref="F7:I7"/>
    <mergeCell ref="F9:I9"/>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637B7-F311-42C7-9D76-27E74D4FAD32}">
  <dimension ref="A2:U35"/>
  <sheetViews>
    <sheetView workbookViewId="0">
      <selection activeCell="S34" sqref="S34"/>
    </sheetView>
  </sheetViews>
  <sheetFormatPr defaultRowHeight="15" x14ac:dyDescent="0.25"/>
  <cols>
    <col min="2" max="2" width="7.28515625" bestFit="1" customWidth="1"/>
    <col min="3" max="3" width="20.85546875" bestFit="1" customWidth="1"/>
    <col min="4" max="5" width="12.140625" bestFit="1" customWidth="1"/>
  </cols>
  <sheetData>
    <row r="2" spans="1:21" x14ac:dyDescent="0.25">
      <c r="A2" s="300" t="s">
        <v>13</v>
      </c>
      <c r="B2" s="300"/>
      <c r="C2" s="300"/>
      <c r="D2" s="300"/>
      <c r="E2" s="300"/>
      <c r="F2" s="300"/>
      <c r="G2" s="300"/>
      <c r="H2" s="300"/>
      <c r="I2" s="300"/>
      <c r="J2" s="300"/>
      <c r="K2" s="300"/>
      <c r="L2" s="300"/>
      <c r="M2" s="300"/>
      <c r="N2" s="300"/>
      <c r="O2" s="300"/>
      <c r="P2" s="300"/>
      <c r="Q2" s="300"/>
      <c r="R2" s="300"/>
      <c r="S2" s="300"/>
    </row>
    <row r="3" spans="1:21" x14ac:dyDescent="0.25">
      <c r="A3" s="300"/>
      <c r="B3" s="300"/>
      <c r="C3" s="300"/>
      <c r="D3" s="300"/>
      <c r="E3" s="300"/>
      <c r="F3" s="300"/>
      <c r="G3" s="300"/>
      <c r="H3" s="300"/>
      <c r="I3" s="300"/>
      <c r="J3" s="300"/>
      <c r="K3" s="300"/>
      <c r="L3" s="300"/>
      <c r="M3" s="300"/>
      <c r="N3" s="300"/>
      <c r="O3" s="300"/>
      <c r="P3" s="300"/>
      <c r="Q3" s="300"/>
      <c r="R3" s="300"/>
      <c r="S3" s="300"/>
    </row>
    <row r="4" spans="1:21" x14ac:dyDescent="0.25">
      <c r="D4" s="29" t="s">
        <v>53</v>
      </c>
      <c r="E4" s="449" t="s">
        <v>54</v>
      </c>
      <c r="F4" s="450"/>
      <c r="G4" s="450"/>
    </row>
    <row r="5" spans="1:21" x14ac:dyDescent="0.25">
      <c r="A5" s="1"/>
      <c r="B5" s="3" t="s">
        <v>0</v>
      </c>
      <c r="C5" s="3" t="s">
        <v>1</v>
      </c>
      <c r="D5" s="30" t="s">
        <v>51</v>
      </c>
      <c r="E5" s="30" t="s">
        <v>52</v>
      </c>
      <c r="F5" s="31"/>
      <c r="G5" s="31"/>
    </row>
    <row r="6" spans="1:21" ht="18.75" x14ac:dyDescent="0.3">
      <c r="A6">
        <v>1</v>
      </c>
      <c r="B6" s="2">
        <v>1980</v>
      </c>
      <c r="C6" s="2">
        <v>127.5</v>
      </c>
      <c r="D6" t="e">
        <v>#N/A</v>
      </c>
      <c r="E6" t="e">
        <v>#N/A</v>
      </c>
      <c r="P6" s="451" t="s">
        <v>55</v>
      </c>
      <c r="Q6" s="451"/>
      <c r="R6" s="451"/>
      <c r="S6" s="451"/>
      <c r="T6" s="448"/>
      <c r="U6" s="448"/>
    </row>
    <row r="7" spans="1:21" ht="18.75" x14ac:dyDescent="0.3">
      <c r="A7">
        <v>2</v>
      </c>
      <c r="B7" s="2">
        <v>1981</v>
      </c>
      <c r="C7" s="2">
        <v>130.1</v>
      </c>
      <c r="D7">
        <f>C6</f>
        <v>127.5</v>
      </c>
      <c r="E7">
        <f>C6</f>
        <v>127.5</v>
      </c>
      <c r="P7" s="32">
        <f>D35</f>
        <v>113.90659680534736</v>
      </c>
    </row>
    <row r="8" spans="1:21" x14ac:dyDescent="0.25">
      <c r="A8">
        <v>3</v>
      </c>
      <c r="B8" s="2">
        <v>1982</v>
      </c>
      <c r="C8" s="2">
        <v>117.8</v>
      </c>
      <c r="D8">
        <f t="shared" ref="D8:D35" si="0">0.2*C7+0.8*D7</f>
        <v>128.02000000000001</v>
      </c>
      <c r="E8">
        <f t="shared" ref="E8:E35" si="1">0.8*C7+0.2*E7</f>
        <v>129.57999999999998</v>
      </c>
    </row>
    <row r="9" spans="1:21" x14ac:dyDescent="0.25">
      <c r="A9">
        <v>4</v>
      </c>
      <c r="B9" s="2">
        <v>1983</v>
      </c>
      <c r="C9" s="2">
        <v>129.69999999999999</v>
      </c>
      <c r="D9">
        <f t="shared" si="0"/>
        <v>125.97600000000001</v>
      </c>
      <c r="E9">
        <f t="shared" si="1"/>
        <v>120.15600000000001</v>
      </c>
    </row>
    <row r="10" spans="1:21" x14ac:dyDescent="0.25">
      <c r="A10">
        <v>5</v>
      </c>
      <c r="B10" s="2">
        <v>1984</v>
      </c>
      <c r="C10" s="2">
        <v>123.9</v>
      </c>
      <c r="D10">
        <f t="shared" si="0"/>
        <v>126.72080000000001</v>
      </c>
      <c r="E10">
        <f t="shared" si="1"/>
        <v>127.79119999999999</v>
      </c>
    </row>
    <row r="11" spans="1:21" x14ac:dyDescent="0.25">
      <c r="A11">
        <v>6</v>
      </c>
      <c r="B11" s="2">
        <v>1985</v>
      </c>
      <c r="C11" s="2">
        <v>124.9</v>
      </c>
      <c r="D11">
        <f t="shared" si="0"/>
        <v>126.15664000000001</v>
      </c>
      <c r="E11">
        <f t="shared" si="1"/>
        <v>124.67824</v>
      </c>
    </row>
    <row r="12" spans="1:21" x14ac:dyDescent="0.25">
      <c r="A12">
        <v>7</v>
      </c>
      <c r="B12" s="2">
        <v>1986</v>
      </c>
      <c r="C12" s="2">
        <v>118.7</v>
      </c>
      <c r="D12">
        <f t="shared" si="0"/>
        <v>125.90531200000002</v>
      </c>
      <c r="E12">
        <f t="shared" si="1"/>
        <v>124.85564800000002</v>
      </c>
    </row>
    <row r="13" spans="1:21" x14ac:dyDescent="0.25">
      <c r="A13">
        <v>8</v>
      </c>
      <c r="B13" s="2">
        <v>1987</v>
      </c>
      <c r="C13" s="2">
        <v>123.9</v>
      </c>
      <c r="D13">
        <f t="shared" si="0"/>
        <v>124.46424960000002</v>
      </c>
      <c r="E13">
        <f t="shared" si="1"/>
        <v>119.93112960000002</v>
      </c>
    </row>
    <row r="14" spans="1:21" x14ac:dyDescent="0.25">
      <c r="A14">
        <v>9</v>
      </c>
      <c r="B14" s="2">
        <v>1988</v>
      </c>
      <c r="C14" s="2">
        <v>121.4</v>
      </c>
      <c r="D14">
        <f t="shared" si="0"/>
        <v>124.35139968000001</v>
      </c>
      <c r="E14">
        <f t="shared" si="1"/>
        <v>123.10622592000001</v>
      </c>
    </row>
    <row r="15" spans="1:21" x14ac:dyDescent="0.25">
      <c r="A15">
        <v>10</v>
      </c>
      <c r="B15" s="2">
        <v>1989</v>
      </c>
      <c r="C15" s="2">
        <v>115.3</v>
      </c>
      <c r="D15">
        <f t="shared" si="0"/>
        <v>123.76111974400001</v>
      </c>
      <c r="E15">
        <f t="shared" si="1"/>
        <v>121.74124518400001</v>
      </c>
    </row>
    <row r="16" spans="1:21" x14ac:dyDescent="0.25">
      <c r="A16">
        <v>11</v>
      </c>
      <c r="B16" s="2">
        <v>1990</v>
      </c>
      <c r="C16" s="2">
        <v>113.9</v>
      </c>
      <c r="D16">
        <f t="shared" si="0"/>
        <v>122.06889579520002</v>
      </c>
      <c r="E16">
        <f t="shared" si="1"/>
        <v>116.58824903680001</v>
      </c>
    </row>
    <row r="17" spans="1:21" x14ac:dyDescent="0.25">
      <c r="A17">
        <v>12</v>
      </c>
      <c r="B17" s="2">
        <v>1991</v>
      </c>
      <c r="C17" s="2">
        <v>107.7</v>
      </c>
      <c r="D17">
        <f t="shared" si="0"/>
        <v>120.43511663616002</v>
      </c>
      <c r="E17">
        <f t="shared" si="1"/>
        <v>114.43764980736</v>
      </c>
    </row>
    <row r="18" spans="1:21" x14ac:dyDescent="0.25">
      <c r="A18">
        <v>13</v>
      </c>
      <c r="B18" s="2">
        <v>1992</v>
      </c>
      <c r="C18" s="2">
        <v>110.5</v>
      </c>
      <c r="D18">
        <f t="shared" si="0"/>
        <v>117.88809330892802</v>
      </c>
      <c r="E18">
        <f t="shared" si="1"/>
        <v>109.04752996147201</v>
      </c>
    </row>
    <row r="19" spans="1:21" x14ac:dyDescent="0.25">
      <c r="A19">
        <v>14</v>
      </c>
      <c r="B19" s="2">
        <v>1993</v>
      </c>
      <c r="C19" s="2">
        <v>110</v>
      </c>
      <c r="D19">
        <f t="shared" si="0"/>
        <v>116.41047464714242</v>
      </c>
      <c r="E19">
        <f t="shared" si="1"/>
        <v>110.20950599229441</v>
      </c>
    </row>
    <row r="20" spans="1:21" x14ac:dyDescent="0.25">
      <c r="A20">
        <v>15</v>
      </c>
      <c r="B20" s="2">
        <v>1994</v>
      </c>
      <c r="C20" s="2">
        <v>104.3</v>
      </c>
      <c r="D20">
        <f t="shared" si="0"/>
        <v>115.12837971771394</v>
      </c>
      <c r="E20">
        <f t="shared" si="1"/>
        <v>110.04190119845889</v>
      </c>
    </row>
    <row r="21" spans="1:21" x14ac:dyDescent="0.25">
      <c r="A21">
        <v>16</v>
      </c>
      <c r="B21" s="2">
        <v>1995</v>
      </c>
      <c r="C21" s="2">
        <v>108.10000000000001</v>
      </c>
      <c r="D21">
        <f t="shared" si="0"/>
        <v>112.96270377417116</v>
      </c>
      <c r="E21">
        <f t="shared" si="1"/>
        <v>105.44838023969177</v>
      </c>
    </row>
    <row r="22" spans="1:21" x14ac:dyDescent="0.25">
      <c r="A22">
        <v>17</v>
      </c>
      <c r="B22" s="2">
        <v>1996</v>
      </c>
      <c r="C22" s="2">
        <v>109</v>
      </c>
      <c r="D22">
        <f t="shared" si="0"/>
        <v>111.99016301933693</v>
      </c>
      <c r="E22">
        <f t="shared" si="1"/>
        <v>107.56967604793837</v>
      </c>
    </row>
    <row r="23" spans="1:21" x14ac:dyDescent="0.25">
      <c r="A23">
        <v>18</v>
      </c>
      <c r="B23" s="2">
        <v>1997</v>
      </c>
      <c r="C23" s="2">
        <v>113</v>
      </c>
      <c r="D23">
        <f t="shared" si="0"/>
        <v>111.39213041546955</v>
      </c>
      <c r="E23">
        <f t="shared" si="1"/>
        <v>108.71393520958767</v>
      </c>
    </row>
    <row r="24" spans="1:21" x14ac:dyDescent="0.25">
      <c r="A24">
        <v>19</v>
      </c>
      <c r="B24" s="2">
        <v>1998</v>
      </c>
      <c r="C24" s="2">
        <v>112.7</v>
      </c>
      <c r="D24">
        <f t="shared" si="0"/>
        <v>111.71370433237564</v>
      </c>
      <c r="E24">
        <f t="shared" si="1"/>
        <v>112.14278704191754</v>
      </c>
    </row>
    <row r="25" spans="1:21" ht="18.75" x14ac:dyDescent="0.3">
      <c r="A25">
        <v>20</v>
      </c>
      <c r="B25" s="2">
        <v>1999</v>
      </c>
      <c r="C25" s="2">
        <v>106.5</v>
      </c>
      <c r="D25">
        <f t="shared" si="0"/>
        <v>111.91096346590052</v>
      </c>
      <c r="E25">
        <f t="shared" si="1"/>
        <v>112.58855740838352</v>
      </c>
      <c r="P25" s="451" t="s">
        <v>56</v>
      </c>
      <c r="Q25" s="451"/>
      <c r="R25" s="451"/>
      <c r="S25" s="451"/>
      <c r="T25" s="448"/>
      <c r="U25" s="448"/>
    </row>
    <row r="26" spans="1:21" ht="18.75" x14ac:dyDescent="0.3">
      <c r="A26">
        <v>21</v>
      </c>
      <c r="B26" s="2">
        <v>2000</v>
      </c>
      <c r="C26" s="2">
        <v>112.60000000000001</v>
      </c>
      <c r="D26">
        <f t="shared" si="0"/>
        <v>110.82877077272042</v>
      </c>
      <c r="E26">
        <f t="shared" si="1"/>
        <v>107.7177114816767</v>
      </c>
      <c r="P26" s="32">
        <f>E35</f>
        <v>114.08440530826829</v>
      </c>
    </row>
    <row r="27" spans="1:21" x14ac:dyDescent="0.25">
      <c r="A27">
        <v>22</v>
      </c>
      <c r="B27" s="2">
        <v>2001</v>
      </c>
      <c r="C27" s="2">
        <v>111.8</v>
      </c>
      <c r="D27">
        <f t="shared" si="0"/>
        <v>111.18301661817634</v>
      </c>
      <c r="E27">
        <f t="shared" si="1"/>
        <v>111.62354229633536</v>
      </c>
    </row>
    <row r="28" spans="1:21" x14ac:dyDescent="0.25">
      <c r="A28">
        <v>23</v>
      </c>
      <c r="B28" s="2">
        <v>2002</v>
      </c>
      <c r="C28" s="2">
        <v>116.10000000000001</v>
      </c>
      <c r="D28">
        <f t="shared" si="0"/>
        <v>111.30641329454107</v>
      </c>
      <c r="E28">
        <f t="shared" si="1"/>
        <v>111.76470845926707</v>
      </c>
    </row>
    <row r="29" spans="1:21" x14ac:dyDescent="0.25">
      <c r="A29">
        <v>24</v>
      </c>
      <c r="B29" s="2">
        <v>2003</v>
      </c>
      <c r="C29" s="2">
        <v>117.9</v>
      </c>
      <c r="D29">
        <f t="shared" si="0"/>
        <v>112.26513063563286</v>
      </c>
      <c r="E29">
        <f t="shared" si="1"/>
        <v>115.23294169185343</v>
      </c>
    </row>
    <row r="30" spans="1:21" x14ac:dyDescent="0.25">
      <c r="A30">
        <v>25</v>
      </c>
      <c r="B30" s="2">
        <v>2004</v>
      </c>
      <c r="C30" s="2">
        <v>116.60000000000001</v>
      </c>
      <c r="D30">
        <f t="shared" si="0"/>
        <v>113.39210450850629</v>
      </c>
      <c r="E30">
        <f t="shared" si="1"/>
        <v>117.36658833837069</v>
      </c>
    </row>
    <row r="31" spans="1:21" x14ac:dyDescent="0.25">
      <c r="A31">
        <v>26</v>
      </c>
      <c r="B31" s="2">
        <v>2005</v>
      </c>
      <c r="C31" s="2">
        <v>112.5</v>
      </c>
      <c r="D31">
        <f t="shared" si="0"/>
        <v>114.03368360680504</v>
      </c>
      <c r="E31">
        <f t="shared" si="1"/>
        <v>116.75331766767415</v>
      </c>
    </row>
    <row r="32" spans="1:21" x14ac:dyDescent="0.25">
      <c r="A32">
        <v>27</v>
      </c>
      <c r="B32" s="2">
        <v>2006</v>
      </c>
      <c r="C32" s="2">
        <v>117.3</v>
      </c>
      <c r="D32">
        <f t="shared" si="0"/>
        <v>113.72694688544404</v>
      </c>
      <c r="E32">
        <f t="shared" si="1"/>
        <v>113.35066353353483</v>
      </c>
    </row>
    <row r="33" spans="1:5" x14ac:dyDescent="0.25">
      <c r="A33">
        <v>28</v>
      </c>
      <c r="B33" s="2">
        <v>2007</v>
      </c>
      <c r="C33" s="2">
        <v>110.9</v>
      </c>
      <c r="D33">
        <f t="shared" si="0"/>
        <v>114.44155750835523</v>
      </c>
      <c r="E33">
        <f t="shared" si="1"/>
        <v>116.51013270670697</v>
      </c>
    </row>
    <row r="34" spans="1:5" x14ac:dyDescent="0.25">
      <c r="A34">
        <v>29</v>
      </c>
      <c r="B34" s="2">
        <v>2008</v>
      </c>
      <c r="C34" s="2">
        <v>114.60000000000001</v>
      </c>
      <c r="D34">
        <f t="shared" si="0"/>
        <v>113.7332460066842</v>
      </c>
      <c r="E34">
        <f t="shared" si="1"/>
        <v>112.0220265413414</v>
      </c>
    </row>
    <row r="35" spans="1:5" x14ac:dyDescent="0.25">
      <c r="A35">
        <v>30</v>
      </c>
      <c r="B35" s="1">
        <v>2009</v>
      </c>
      <c r="C35" s="1"/>
      <c r="D35" s="28">
        <f t="shared" si="0"/>
        <v>113.90659680534736</v>
      </c>
      <c r="E35" s="28">
        <f t="shared" si="1"/>
        <v>114.08440530826829</v>
      </c>
    </row>
  </sheetData>
  <mergeCells count="4">
    <mergeCell ref="A2:S3"/>
    <mergeCell ref="E4:G4"/>
    <mergeCell ref="P6:U6"/>
    <mergeCell ref="P25:U25"/>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CB6DB-70F1-4686-9C15-B9BAEADB8E7D}">
  <dimension ref="A2:M35"/>
  <sheetViews>
    <sheetView workbookViewId="0">
      <selection activeCell="H33" sqref="H33"/>
    </sheetView>
  </sheetViews>
  <sheetFormatPr defaultRowHeight="15" x14ac:dyDescent="0.25"/>
  <cols>
    <col min="2" max="2" width="7.28515625" bestFit="1" customWidth="1"/>
    <col min="3" max="3" width="20.85546875" bestFit="1" customWidth="1"/>
    <col min="4" max="4" width="10.140625" bestFit="1" customWidth="1"/>
  </cols>
  <sheetData>
    <row r="2" spans="1:13" x14ac:dyDescent="0.25">
      <c r="A2" s="300" t="s">
        <v>14</v>
      </c>
      <c r="B2" s="300"/>
      <c r="C2" s="300"/>
      <c r="D2" s="300"/>
      <c r="E2" s="300"/>
      <c r="F2" s="300"/>
      <c r="G2" s="300"/>
      <c r="H2" s="300"/>
      <c r="I2" s="300"/>
      <c r="J2" s="300"/>
      <c r="K2" s="300"/>
      <c r="L2" s="300"/>
      <c r="M2" s="300"/>
    </row>
    <row r="3" spans="1:13" x14ac:dyDescent="0.25">
      <c r="A3" s="300"/>
      <c r="B3" s="300"/>
      <c r="C3" s="300"/>
      <c r="D3" s="300"/>
      <c r="E3" s="300"/>
      <c r="F3" s="300"/>
      <c r="G3" s="300"/>
      <c r="H3" s="300"/>
      <c r="I3" s="300"/>
      <c r="J3" s="300"/>
      <c r="K3" s="300"/>
      <c r="L3" s="300"/>
      <c r="M3" s="300"/>
    </row>
    <row r="4" spans="1:13" x14ac:dyDescent="0.25">
      <c r="C4" s="4" t="s">
        <v>18</v>
      </c>
      <c r="D4" s="4" t="s">
        <v>48</v>
      </c>
    </row>
    <row r="5" spans="1:13" x14ac:dyDescent="0.25">
      <c r="A5" s="1"/>
      <c r="B5" s="3" t="s">
        <v>0</v>
      </c>
      <c r="C5" s="3" t="s">
        <v>1</v>
      </c>
      <c r="D5" s="26" t="s">
        <v>49</v>
      </c>
    </row>
    <row r="6" spans="1:13" x14ac:dyDescent="0.25">
      <c r="A6">
        <v>1</v>
      </c>
      <c r="B6" s="2">
        <v>1980</v>
      </c>
      <c r="C6" s="2">
        <v>127.5</v>
      </c>
    </row>
    <row r="7" spans="1:13" x14ac:dyDescent="0.25">
      <c r="A7">
        <v>2</v>
      </c>
      <c r="B7" s="2">
        <v>1981</v>
      </c>
      <c r="C7" s="2">
        <v>130.1</v>
      </c>
      <c r="D7" t="e">
        <v>#N/A</v>
      </c>
    </row>
    <row r="8" spans="1:13" x14ac:dyDescent="0.25">
      <c r="A8">
        <v>3</v>
      </c>
      <c r="B8" s="2">
        <v>1982</v>
      </c>
      <c r="C8" s="2">
        <v>117.8</v>
      </c>
      <c r="D8" t="e">
        <v>#N/A</v>
      </c>
    </row>
    <row r="9" spans="1:13" x14ac:dyDescent="0.25">
      <c r="A9">
        <v>4</v>
      </c>
      <c r="B9" s="2">
        <v>1983</v>
      </c>
      <c r="C9" s="2">
        <v>129.69999999999999</v>
      </c>
      <c r="D9" t="e">
        <v>#N/A</v>
      </c>
    </row>
    <row r="10" spans="1:13" x14ac:dyDescent="0.25">
      <c r="A10">
        <v>5</v>
      </c>
      <c r="B10" s="2">
        <v>1984</v>
      </c>
      <c r="C10" s="2">
        <v>123.9</v>
      </c>
      <c r="D10" t="e">
        <v>#N/A</v>
      </c>
    </row>
    <row r="11" spans="1:13" x14ac:dyDescent="0.25">
      <c r="A11">
        <v>6</v>
      </c>
      <c r="B11" s="2">
        <v>1985</v>
      </c>
      <c r="C11" s="2">
        <v>124.9</v>
      </c>
      <c r="D11">
        <f t="shared" ref="D11:D35" si="0">AVERAGE(C6:C10)</f>
        <v>125.8</v>
      </c>
    </row>
    <row r="12" spans="1:13" x14ac:dyDescent="0.25">
      <c r="A12">
        <v>7</v>
      </c>
      <c r="B12" s="2">
        <v>1986</v>
      </c>
      <c r="C12" s="2">
        <v>118.7</v>
      </c>
      <c r="D12">
        <f t="shared" si="0"/>
        <v>125.28</v>
      </c>
    </row>
    <row r="13" spans="1:13" x14ac:dyDescent="0.25">
      <c r="A13">
        <v>8</v>
      </c>
      <c r="B13" s="2">
        <v>1987</v>
      </c>
      <c r="C13" s="2">
        <v>123.9</v>
      </c>
      <c r="D13">
        <f t="shared" si="0"/>
        <v>123</v>
      </c>
    </row>
    <row r="14" spans="1:13" x14ac:dyDescent="0.25">
      <c r="A14">
        <v>9</v>
      </c>
      <c r="B14" s="2">
        <v>1988</v>
      </c>
      <c r="C14" s="2">
        <v>121.4</v>
      </c>
      <c r="D14">
        <f t="shared" si="0"/>
        <v>124.22</v>
      </c>
    </row>
    <row r="15" spans="1:13" x14ac:dyDescent="0.25">
      <c r="A15">
        <v>10</v>
      </c>
      <c r="B15" s="2">
        <v>1989</v>
      </c>
      <c r="C15" s="2">
        <v>115.3</v>
      </c>
      <c r="D15">
        <f t="shared" si="0"/>
        <v>122.55999999999999</v>
      </c>
    </row>
    <row r="16" spans="1:13" x14ac:dyDescent="0.25">
      <c r="A16">
        <v>11</v>
      </c>
      <c r="B16" s="2">
        <v>1990</v>
      </c>
      <c r="C16" s="2">
        <v>113.9</v>
      </c>
      <c r="D16">
        <f t="shared" si="0"/>
        <v>120.83999999999999</v>
      </c>
    </row>
    <row r="17" spans="1:12" x14ac:dyDescent="0.25">
      <c r="A17">
        <v>12</v>
      </c>
      <c r="B17" s="2">
        <v>1991</v>
      </c>
      <c r="C17" s="2">
        <v>107.7</v>
      </c>
      <c r="D17">
        <f t="shared" si="0"/>
        <v>118.64000000000001</v>
      </c>
    </row>
    <row r="18" spans="1:12" x14ac:dyDescent="0.25">
      <c r="A18">
        <v>13</v>
      </c>
      <c r="B18" s="2">
        <v>1992</v>
      </c>
      <c r="C18" s="2">
        <v>110.5</v>
      </c>
      <c r="D18">
        <f t="shared" si="0"/>
        <v>116.44000000000001</v>
      </c>
    </row>
    <row r="19" spans="1:12" x14ac:dyDescent="0.25">
      <c r="A19">
        <v>14</v>
      </c>
      <c r="B19" s="2">
        <v>1993</v>
      </c>
      <c r="C19" s="2">
        <v>110</v>
      </c>
      <c r="D19">
        <f t="shared" si="0"/>
        <v>113.75999999999999</v>
      </c>
    </row>
    <row r="20" spans="1:12" x14ac:dyDescent="0.25">
      <c r="A20">
        <v>15</v>
      </c>
      <c r="B20" s="2">
        <v>1994</v>
      </c>
      <c r="C20" s="2">
        <v>104.3</v>
      </c>
      <c r="D20">
        <f t="shared" si="0"/>
        <v>111.47999999999999</v>
      </c>
    </row>
    <row r="21" spans="1:12" x14ac:dyDescent="0.25">
      <c r="A21">
        <v>16</v>
      </c>
      <c r="B21" s="2">
        <v>1995</v>
      </c>
      <c r="C21" s="2">
        <v>108.10000000000001</v>
      </c>
      <c r="D21">
        <f t="shared" si="0"/>
        <v>109.28</v>
      </c>
    </row>
    <row r="22" spans="1:12" x14ac:dyDescent="0.25">
      <c r="A22">
        <v>17</v>
      </c>
      <c r="B22" s="2">
        <v>1996</v>
      </c>
      <c r="C22" s="2">
        <v>109</v>
      </c>
      <c r="D22">
        <f t="shared" si="0"/>
        <v>108.12</v>
      </c>
    </row>
    <row r="23" spans="1:12" x14ac:dyDescent="0.25">
      <c r="A23">
        <v>18</v>
      </c>
      <c r="B23" s="2">
        <v>1997</v>
      </c>
      <c r="C23" s="2">
        <v>113</v>
      </c>
      <c r="D23">
        <f t="shared" si="0"/>
        <v>108.38000000000002</v>
      </c>
    </row>
    <row r="24" spans="1:12" x14ac:dyDescent="0.25">
      <c r="A24">
        <v>19</v>
      </c>
      <c r="B24" s="2">
        <v>1998</v>
      </c>
      <c r="C24" s="2">
        <v>112.7</v>
      </c>
      <c r="D24">
        <f t="shared" si="0"/>
        <v>108.88000000000002</v>
      </c>
    </row>
    <row r="25" spans="1:12" x14ac:dyDescent="0.25">
      <c r="A25">
        <v>20</v>
      </c>
      <c r="B25" s="2">
        <v>1999</v>
      </c>
      <c r="C25" s="2">
        <v>106.5</v>
      </c>
      <c r="D25">
        <f t="shared" si="0"/>
        <v>109.42</v>
      </c>
    </row>
    <row r="26" spans="1:12" x14ac:dyDescent="0.25">
      <c r="A26">
        <v>21</v>
      </c>
      <c r="B26" s="2">
        <v>2000</v>
      </c>
      <c r="C26" s="2">
        <v>112.60000000000001</v>
      </c>
      <c r="D26">
        <f t="shared" si="0"/>
        <v>109.85999999999999</v>
      </c>
    </row>
    <row r="27" spans="1:12" x14ac:dyDescent="0.25">
      <c r="A27">
        <v>22</v>
      </c>
      <c r="B27" s="2">
        <v>2001</v>
      </c>
      <c r="C27" s="2">
        <v>111.8</v>
      </c>
      <c r="D27">
        <f t="shared" si="0"/>
        <v>110.75999999999999</v>
      </c>
    </row>
    <row r="28" spans="1:12" ht="18.75" x14ac:dyDescent="0.3">
      <c r="A28">
        <v>23</v>
      </c>
      <c r="B28" s="2">
        <v>2002</v>
      </c>
      <c r="C28" s="2">
        <v>116.10000000000001</v>
      </c>
      <c r="D28">
        <f t="shared" si="0"/>
        <v>111.32000000000001</v>
      </c>
      <c r="F28" s="451" t="s">
        <v>50</v>
      </c>
      <c r="G28" s="451"/>
      <c r="H28" s="451"/>
      <c r="I28" s="451"/>
      <c r="J28" s="451"/>
      <c r="K28" s="448"/>
      <c r="L28" s="448"/>
    </row>
    <row r="29" spans="1:12" ht="18.75" x14ac:dyDescent="0.3">
      <c r="A29">
        <v>24</v>
      </c>
      <c r="B29" s="2">
        <v>2003</v>
      </c>
      <c r="C29" s="2">
        <v>117.9</v>
      </c>
      <c r="D29">
        <f t="shared" si="0"/>
        <v>111.94000000000001</v>
      </c>
      <c r="F29" s="32">
        <f>D35</f>
        <v>114.38000000000002</v>
      </c>
    </row>
    <row r="30" spans="1:12" x14ac:dyDescent="0.25">
      <c r="A30">
        <v>25</v>
      </c>
      <c r="B30" s="2">
        <v>2004</v>
      </c>
      <c r="C30" s="2">
        <v>116.60000000000001</v>
      </c>
      <c r="D30">
        <f t="shared" si="0"/>
        <v>112.98000000000002</v>
      </c>
    </row>
    <row r="31" spans="1:12" x14ac:dyDescent="0.25">
      <c r="A31">
        <v>26</v>
      </c>
      <c r="B31" s="2">
        <v>2005</v>
      </c>
      <c r="C31" s="2">
        <v>112.5</v>
      </c>
      <c r="D31">
        <f t="shared" si="0"/>
        <v>115</v>
      </c>
    </row>
    <row r="32" spans="1:12" x14ac:dyDescent="0.25">
      <c r="A32">
        <v>27</v>
      </c>
      <c r="B32" s="2">
        <v>2006</v>
      </c>
      <c r="C32" s="2">
        <v>117.3</v>
      </c>
      <c r="D32">
        <f t="shared" si="0"/>
        <v>114.98000000000002</v>
      </c>
    </row>
    <row r="33" spans="1:4" x14ac:dyDescent="0.25">
      <c r="A33">
        <v>28</v>
      </c>
      <c r="B33" s="2">
        <v>2007</v>
      </c>
      <c r="C33" s="2">
        <v>110.9</v>
      </c>
      <c r="D33">
        <f t="shared" si="0"/>
        <v>116.08</v>
      </c>
    </row>
    <row r="34" spans="1:4" x14ac:dyDescent="0.25">
      <c r="A34">
        <v>29</v>
      </c>
      <c r="B34" s="2">
        <v>2008</v>
      </c>
      <c r="C34" s="2">
        <v>114.60000000000001</v>
      </c>
      <c r="D34">
        <f t="shared" si="0"/>
        <v>115.04</v>
      </c>
    </row>
    <row r="35" spans="1:4" x14ac:dyDescent="0.25">
      <c r="A35">
        <v>30</v>
      </c>
      <c r="B35" s="1"/>
      <c r="C35" s="1"/>
      <c r="D35" s="27">
        <f t="shared" si="0"/>
        <v>114.38000000000002</v>
      </c>
    </row>
  </sheetData>
  <mergeCells count="2">
    <mergeCell ref="A2:M3"/>
    <mergeCell ref="F28:L2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9A919-86C7-4DE0-B3B6-A1D227F129A2}">
  <dimension ref="A2:Y27"/>
  <sheetViews>
    <sheetView workbookViewId="0">
      <selection activeCell="I16" sqref="I16"/>
    </sheetView>
  </sheetViews>
  <sheetFormatPr defaultRowHeight="15" x14ac:dyDescent="0.25"/>
  <cols>
    <col min="1" max="1" width="11.7109375" customWidth="1"/>
    <col min="2" max="2" width="1.28515625" customWidth="1"/>
    <col min="10" max="10" width="9.140625" style="120"/>
    <col min="14" max="14" width="11" customWidth="1"/>
  </cols>
  <sheetData>
    <row r="2" spans="1:25" x14ac:dyDescent="0.25">
      <c r="C2" s="309" t="s">
        <v>222</v>
      </c>
      <c r="D2" s="309"/>
      <c r="E2" s="309"/>
      <c r="F2" s="309"/>
      <c r="G2" s="309"/>
      <c r="H2" s="309"/>
    </row>
    <row r="3" spans="1:25" ht="19.5" thickBot="1" x14ac:dyDescent="0.35">
      <c r="L3" s="298" t="s">
        <v>92</v>
      </c>
      <c r="M3" s="298"/>
      <c r="N3" s="298"/>
      <c r="O3" s="298"/>
      <c r="P3" s="298"/>
      <c r="Q3" s="298"/>
      <c r="R3" s="298"/>
      <c r="S3" s="298"/>
    </row>
    <row r="4" spans="1:25" ht="16.5" thickTop="1" thickBot="1" x14ac:dyDescent="0.3">
      <c r="C4" s="120"/>
      <c r="D4" s="315" t="s">
        <v>72</v>
      </c>
      <c r="E4" s="315"/>
      <c r="F4" s="315"/>
      <c r="G4" s="315"/>
      <c r="H4" s="315"/>
      <c r="I4" s="315"/>
      <c r="J4" s="117"/>
      <c r="K4" s="120"/>
      <c r="L4" s="301" t="s">
        <v>212</v>
      </c>
      <c r="M4" s="302"/>
      <c r="N4" s="302"/>
      <c r="O4" s="302"/>
      <c r="P4" s="302"/>
      <c r="Q4" s="302"/>
      <c r="R4" s="302"/>
      <c r="S4" s="303"/>
    </row>
    <row r="5" spans="1:25" ht="15" customHeight="1" thickTop="1" x14ac:dyDescent="0.25">
      <c r="C5" s="120"/>
      <c r="D5" s="114" t="s">
        <v>74</v>
      </c>
      <c r="E5" s="319"/>
      <c r="F5" s="320"/>
      <c r="G5" s="321"/>
      <c r="H5" s="321"/>
      <c r="I5" s="322"/>
      <c r="J5" s="116"/>
      <c r="K5" s="120"/>
      <c r="L5" s="304" t="s">
        <v>213</v>
      </c>
      <c r="M5" s="305"/>
      <c r="N5" s="305"/>
      <c r="O5" s="305"/>
      <c r="P5" s="305"/>
      <c r="Q5" s="305"/>
      <c r="R5" s="305"/>
      <c r="S5" s="306"/>
    </row>
    <row r="6" spans="1:25" ht="15.75" thickBot="1" x14ac:dyDescent="0.3">
      <c r="C6" s="120"/>
      <c r="D6" s="115" t="s">
        <v>73</v>
      </c>
      <c r="E6" s="325"/>
      <c r="F6" s="326"/>
      <c r="G6" s="323"/>
      <c r="H6" s="323"/>
      <c r="I6" s="324"/>
      <c r="J6" s="116"/>
      <c r="K6" s="120"/>
      <c r="L6" s="125" t="s">
        <v>491</v>
      </c>
      <c r="M6" s="92"/>
      <c r="N6" s="92"/>
      <c r="O6" s="92"/>
      <c r="P6" s="92"/>
      <c r="Q6" s="92"/>
      <c r="R6" s="92"/>
      <c r="S6" s="126"/>
    </row>
    <row r="7" spans="1:25" ht="15.75" thickTop="1" x14ac:dyDescent="0.25">
      <c r="C7" s="120"/>
      <c r="D7" s="120"/>
      <c r="E7" s="120"/>
      <c r="F7" s="120"/>
      <c r="G7" s="323"/>
      <c r="H7" s="323"/>
      <c r="I7" s="324"/>
      <c r="J7" s="116"/>
      <c r="K7" s="120"/>
      <c r="L7" s="304" t="s">
        <v>492</v>
      </c>
      <c r="M7" s="305"/>
      <c r="N7" s="305"/>
      <c r="O7" s="305"/>
      <c r="P7" s="305"/>
      <c r="Q7" s="305"/>
      <c r="R7" s="305"/>
      <c r="S7" s="306"/>
    </row>
    <row r="8" spans="1:25" ht="15.75" thickBot="1" x14ac:dyDescent="0.3">
      <c r="C8" s="120"/>
      <c r="D8" s="120"/>
      <c r="E8" s="120"/>
      <c r="F8" s="120"/>
      <c r="G8" s="323"/>
      <c r="H8" s="323"/>
      <c r="I8" s="324"/>
      <c r="J8" s="116"/>
      <c r="K8" s="120"/>
      <c r="L8" s="499"/>
      <c r="M8" s="500"/>
      <c r="N8" s="500"/>
      <c r="O8" s="500"/>
      <c r="P8" s="500"/>
      <c r="Q8" s="500"/>
      <c r="R8" s="500"/>
      <c r="S8" s="501"/>
    </row>
    <row r="9" spans="1:25" ht="15.75" thickTop="1" x14ac:dyDescent="0.25">
      <c r="A9" s="35"/>
      <c r="B9" s="35"/>
      <c r="C9" s="35"/>
      <c r="D9" s="35"/>
      <c r="E9" s="35"/>
      <c r="F9" s="35"/>
      <c r="G9" s="35"/>
      <c r="H9" s="35"/>
      <c r="I9" s="35"/>
      <c r="J9" s="183" t="s">
        <v>237</v>
      </c>
      <c r="K9" s="183" t="s">
        <v>238</v>
      </c>
      <c r="L9" s="183" t="s">
        <v>239</v>
      </c>
    </row>
    <row r="10" spans="1:25" ht="19.5" thickBot="1" x14ac:dyDescent="0.35">
      <c r="B10" s="318" t="s">
        <v>76</v>
      </c>
      <c r="C10" s="318"/>
      <c r="D10" s="318"/>
      <c r="E10" s="318"/>
      <c r="F10" s="318"/>
      <c r="G10" s="318"/>
      <c r="H10" s="318"/>
      <c r="I10" s="318"/>
      <c r="J10" s="182" t="s">
        <v>235</v>
      </c>
      <c r="K10" s="123" t="s">
        <v>234</v>
      </c>
      <c r="L10" s="123" t="s">
        <v>236</v>
      </c>
    </row>
    <row r="11" spans="1:25" ht="18.75" x14ac:dyDescent="0.3">
      <c r="B11" s="311" t="s">
        <v>77</v>
      </c>
      <c r="C11" s="312"/>
      <c r="D11" s="312"/>
      <c r="E11" s="312"/>
      <c r="F11" s="312"/>
      <c r="G11" s="312"/>
      <c r="H11" s="312"/>
      <c r="I11" s="42">
        <f>J11</f>
        <v>4</v>
      </c>
      <c r="J11" s="63">
        <v>4</v>
      </c>
      <c r="K11" s="121">
        <v>4</v>
      </c>
      <c r="L11" s="121">
        <v>4</v>
      </c>
      <c r="M11" s="310"/>
      <c r="N11" s="310"/>
      <c r="O11" s="502" t="s">
        <v>218</v>
      </c>
      <c r="P11" s="502"/>
      <c r="Q11" s="502"/>
      <c r="R11" s="502"/>
      <c r="S11" s="502"/>
      <c r="T11" s="502"/>
      <c r="U11" s="502"/>
      <c r="V11" s="502"/>
      <c r="W11" s="502"/>
      <c r="X11" s="502"/>
      <c r="Y11" s="502"/>
    </row>
    <row r="12" spans="1:25" x14ac:dyDescent="0.25">
      <c r="B12" s="313" t="s">
        <v>80</v>
      </c>
      <c r="C12" s="314"/>
      <c r="D12" s="314"/>
      <c r="E12" s="314"/>
      <c r="F12" s="314"/>
      <c r="G12" s="314"/>
      <c r="H12" s="314"/>
      <c r="I12" s="127">
        <f>L12</f>
        <v>36</v>
      </c>
      <c r="J12" s="63">
        <v>9</v>
      </c>
      <c r="K12" s="121">
        <v>18</v>
      </c>
      <c r="L12" s="121">
        <v>36</v>
      </c>
      <c r="M12" s="308" t="s">
        <v>219</v>
      </c>
      <c r="N12" s="308"/>
      <c r="O12" s="309" t="s">
        <v>240</v>
      </c>
      <c r="P12" s="309"/>
      <c r="Q12" s="309"/>
      <c r="R12" s="309"/>
      <c r="S12" s="309"/>
      <c r="T12" s="309"/>
      <c r="U12" s="309"/>
      <c r="V12" s="309"/>
      <c r="W12" s="309"/>
      <c r="X12" s="309"/>
      <c r="Y12" s="309"/>
    </row>
    <row r="13" spans="1:25" x14ac:dyDescent="0.25">
      <c r="B13" s="313" t="s">
        <v>78</v>
      </c>
      <c r="C13" s="314"/>
      <c r="D13" s="314"/>
      <c r="E13" s="314"/>
      <c r="F13" s="314"/>
      <c r="G13" s="314"/>
      <c r="H13" s="314"/>
      <c r="I13" s="127">
        <f>I11*I12</f>
        <v>144</v>
      </c>
      <c r="J13" s="63"/>
      <c r="K13" s="121"/>
      <c r="L13" s="121"/>
      <c r="M13" s="308" t="s">
        <v>220</v>
      </c>
      <c r="N13" s="308"/>
      <c r="O13" s="309" t="s">
        <v>221</v>
      </c>
      <c r="P13" s="309"/>
      <c r="Q13" s="309"/>
      <c r="R13" s="309"/>
      <c r="S13" s="309"/>
      <c r="T13" s="309"/>
      <c r="U13" s="309"/>
      <c r="V13" s="309"/>
      <c r="W13" s="309"/>
      <c r="X13" s="309"/>
      <c r="Y13" s="309"/>
    </row>
    <row r="14" spans="1:25" x14ac:dyDescent="0.25">
      <c r="B14" s="313" t="s">
        <v>79</v>
      </c>
      <c r="C14" s="314"/>
      <c r="D14" s="314"/>
      <c r="E14" s="314"/>
      <c r="F14" s="314"/>
      <c r="G14" s="314"/>
      <c r="H14" s="314"/>
      <c r="I14" s="127">
        <f>'Measure-Data Collection'!AH51</f>
        <v>91</v>
      </c>
      <c r="J14" s="63">
        <f>'Measure-Data Collection'!AR58</f>
        <v>28</v>
      </c>
      <c r="K14" s="121">
        <f>'Measure-Data Collection'!AR51</f>
        <v>52</v>
      </c>
      <c r="L14" s="121">
        <f>'Measure-Data Collection'!AH51</f>
        <v>91</v>
      </c>
      <c r="M14" s="308" t="s">
        <v>229</v>
      </c>
      <c r="N14" s="308"/>
      <c r="O14" s="122" t="s">
        <v>230</v>
      </c>
      <c r="P14" s="122"/>
      <c r="Q14" s="122"/>
      <c r="R14" s="122"/>
      <c r="S14" s="122"/>
      <c r="T14" s="122"/>
      <c r="U14" s="122"/>
      <c r="V14" s="122"/>
      <c r="W14" s="120"/>
      <c r="X14" s="120"/>
    </row>
    <row r="15" spans="1:25" x14ac:dyDescent="0.25">
      <c r="B15" s="313" t="s">
        <v>81</v>
      </c>
      <c r="C15" s="314"/>
      <c r="D15" s="314"/>
      <c r="E15" s="314"/>
      <c r="F15" s="314"/>
      <c r="G15" s="314"/>
      <c r="H15" s="314"/>
      <c r="I15" s="163">
        <f>I14/I13</f>
        <v>0.63194444444444442</v>
      </c>
      <c r="J15" s="180"/>
      <c r="K15" s="120"/>
    </row>
    <row r="16" spans="1:25" x14ac:dyDescent="0.25">
      <c r="B16" s="313" t="s">
        <v>82</v>
      </c>
      <c r="C16" s="314"/>
      <c r="D16" s="314"/>
      <c r="E16" s="314"/>
      <c r="F16" s="314"/>
      <c r="G16" s="314"/>
      <c r="H16" s="314"/>
      <c r="I16" s="170">
        <f>I15*1000000</f>
        <v>631944.44444444438</v>
      </c>
      <c r="J16" s="181"/>
      <c r="K16" s="120"/>
    </row>
    <row r="17" spans="2:11" ht="15.75" thickBot="1" x14ac:dyDescent="0.3">
      <c r="B17" s="316" t="s">
        <v>83</v>
      </c>
      <c r="C17" s="317"/>
      <c r="D17" s="317"/>
      <c r="E17" s="317"/>
      <c r="F17" s="317"/>
      <c r="G17" s="317"/>
      <c r="H17" s="317"/>
      <c r="I17" s="171">
        <v>1.1000000000000001</v>
      </c>
      <c r="J17" s="162"/>
      <c r="K17" s="120"/>
    </row>
    <row r="18" spans="2:11" x14ac:dyDescent="0.25">
      <c r="C18" s="120"/>
      <c r="D18" s="327"/>
      <c r="E18" s="327"/>
      <c r="F18" s="327"/>
      <c r="G18" s="327"/>
      <c r="H18" s="327"/>
      <c r="I18" s="327"/>
      <c r="J18" s="118"/>
      <c r="K18" s="120"/>
    </row>
    <row r="19" spans="2:11" x14ac:dyDescent="0.25">
      <c r="C19" s="120"/>
      <c r="D19" s="60"/>
      <c r="E19" s="60"/>
      <c r="F19" s="60"/>
      <c r="G19" s="60"/>
      <c r="H19" s="60"/>
      <c r="I19" s="60"/>
      <c r="J19" s="118"/>
      <c r="K19" s="120"/>
    </row>
    <row r="20" spans="2:11" ht="19.5" thickBot="1" x14ac:dyDescent="0.35">
      <c r="B20" s="318" t="s">
        <v>84</v>
      </c>
      <c r="C20" s="318"/>
      <c r="D20" s="318"/>
      <c r="E20" s="318"/>
      <c r="F20" s="318"/>
      <c r="G20" s="318"/>
      <c r="H20" s="318"/>
      <c r="I20" s="318"/>
      <c r="J20" s="119" t="s">
        <v>241</v>
      </c>
      <c r="K20" s="120"/>
    </row>
    <row r="21" spans="2:11" x14ac:dyDescent="0.25">
      <c r="B21" s="311" t="s">
        <v>77</v>
      </c>
      <c r="C21" s="312"/>
      <c r="D21" s="312"/>
      <c r="E21" s="312"/>
      <c r="F21" s="312"/>
      <c r="G21" s="312"/>
      <c r="H21" s="312"/>
      <c r="I21" s="42"/>
      <c r="J21" s="21"/>
      <c r="K21" s="120"/>
    </row>
    <row r="22" spans="2:11" x14ac:dyDescent="0.25">
      <c r="B22" s="313" t="s">
        <v>80</v>
      </c>
      <c r="C22" s="314"/>
      <c r="D22" s="314"/>
      <c r="E22" s="314"/>
      <c r="F22" s="314"/>
      <c r="G22" s="314"/>
      <c r="H22" s="314"/>
      <c r="I22" s="127"/>
      <c r="J22" s="138"/>
      <c r="K22" s="120"/>
    </row>
    <row r="23" spans="2:11" x14ac:dyDescent="0.25">
      <c r="B23" s="313" t="s">
        <v>78</v>
      </c>
      <c r="C23" s="314"/>
      <c r="D23" s="314"/>
      <c r="E23" s="314"/>
      <c r="F23" s="314"/>
      <c r="G23" s="314"/>
      <c r="H23" s="314"/>
      <c r="I23" s="127"/>
      <c r="J23" s="138"/>
      <c r="K23" s="120"/>
    </row>
    <row r="24" spans="2:11" x14ac:dyDescent="0.25">
      <c r="B24" s="313" t="s">
        <v>79</v>
      </c>
      <c r="C24" s="314"/>
      <c r="D24" s="314"/>
      <c r="E24" s="314"/>
      <c r="F24" s="314"/>
      <c r="G24" s="314"/>
      <c r="H24" s="314"/>
      <c r="I24" s="127"/>
      <c r="J24" s="138"/>
      <c r="K24" s="120"/>
    </row>
    <row r="25" spans="2:11" x14ac:dyDescent="0.25">
      <c r="B25" s="313" t="s">
        <v>81</v>
      </c>
      <c r="C25" s="314"/>
      <c r="D25" s="314"/>
      <c r="E25" s="314"/>
      <c r="F25" s="314"/>
      <c r="G25" s="314"/>
      <c r="H25" s="314"/>
      <c r="I25" s="43"/>
      <c r="J25" s="21"/>
      <c r="K25" s="120"/>
    </row>
    <row r="26" spans="2:11" x14ac:dyDescent="0.25">
      <c r="B26" s="313" t="s">
        <v>82</v>
      </c>
      <c r="C26" s="314"/>
      <c r="D26" s="314"/>
      <c r="E26" s="314"/>
      <c r="F26" s="314"/>
      <c r="G26" s="314"/>
      <c r="H26" s="314"/>
      <c r="I26" s="43"/>
      <c r="J26" s="21"/>
      <c r="K26" s="120"/>
    </row>
    <row r="27" spans="2:11" ht="15.75" thickBot="1" x14ac:dyDescent="0.3">
      <c r="B27" s="316" t="s">
        <v>83</v>
      </c>
      <c r="C27" s="317"/>
      <c r="D27" s="317"/>
      <c r="E27" s="317"/>
      <c r="F27" s="317"/>
      <c r="G27" s="317"/>
      <c r="H27" s="317"/>
      <c r="I27" s="44"/>
      <c r="J27" s="21"/>
      <c r="K27" s="120"/>
    </row>
  </sheetData>
  <mergeCells count="35">
    <mergeCell ref="L7:S7"/>
    <mergeCell ref="L8:S8"/>
    <mergeCell ref="O12:Y12"/>
    <mergeCell ref="O13:Y13"/>
    <mergeCell ref="O11:Y11"/>
    <mergeCell ref="M11:N11"/>
    <mergeCell ref="E5:F5"/>
    <mergeCell ref="G5:I8"/>
    <mergeCell ref="E6:F6"/>
    <mergeCell ref="B10:I10"/>
    <mergeCell ref="B25:H25"/>
    <mergeCell ref="B15:H15"/>
    <mergeCell ref="B16:H16"/>
    <mergeCell ref="B17:H17"/>
    <mergeCell ref="D18:I18"/>
    <mergeCell ref="B26:H26"/>
    <mergeCell ref="B27:H27"/>
    <mergeCell ref="B20:I20"/>
    <mergeCell ref="B21:H21"/>
    <mergeCell ref="B22:H22"/>
    <mergeCell ref="B23:H23"/>
    <mergeCell ref="B24:H24"/>
    <mergeCell ref="M13:N13"/>
    <mergeCell ref="M14:N14"/>
    <mergeCell ref="C2:H2"/>
    <mergeCell ref="L3:S3"/>
    <mergeCell ref="L4:S4"/>
    <mergeCell ref="L5:S5"/>
    <mergeCell ref="M12:N12"/>
    <mergeCell ref="B11:H11"/>
    <mergeCell ref="B12:H12"/>
    <mergeCell ref="B13:H13"/>
    <mergeCell ref="B14:H14"/>
    <mergeCell ref="D4:F4"/>
    <mergeCell ref="G4:I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14609-0014-458B-B684-28DCF9A992BD}">
  <dimension ref="A1:AB64"/>
  <sheetViews>
    <sheetView workbookViewId="0">
      <selection activeCell="R19" sqref="R19"/>
    </sheetView>
  </sheetViews>
  <sheetFormatPr defaultRowHeight="15" x14ac:dyDescent="0.25"/>
  <cols>
    <col min="6" max="6" width="14.7109375" bestFit="1" customWidth="1"/>
    <col min="8" max="8" width="27.140625" customWidth="1"/>
    <col min="9" max="9" width="3.28515625" customWidth="1"/>
    <col min="13" max="16" width="9.140625" style="120"/>
    <col min="17" max="17" width="8.7109375" customWidth="1"/>
  </cols>
  <sheetData>
    <row r="1" spans="1:28" s="120" customFormat="1" ht="15.75" thickBot="1" x14ac:dyDescent="0.3"/>
    <row r="2" spans="1:28" ht="15.75" thickTop="1" x14ac:dyDescent="0.25">
      <c r="A2" s="36"/>
      <c r="B2" s="37"/>
      <c r="C2" s="37"/>
      <c r="D2" s="37"/>
      <c r="E2" s="37"/>
      <c r="F2" s="37"/>
      <c r="G2" s="37"/>
      <c r="H2" s="37"/>
      <c r="I2" s="37"/>
      <c r="J2" s="37"/>
      <c r="K2" s="37"/>
      <c r="L2" s="37"/>
      <c r="M2" s="37"/>
      <c r="N2" s="37"/>
      <c r="O2" s="37"/>
      <c r="P2" s="37"/>
      <c r="Q2" s="38"/>
      <c r="S2" s="351" t="s">
        <v>88</v>
      </c>
      <c r="T2" s="352"/>
      <c r="U2" s="352"/>
      <c r="V2" s="352"/>
      <c r="W2" s="353"/>
    </row>
    <row r="3" spans="1:28" ht="18.75" x14ac:dyDescent="0.3">
      <c r="A3" s="39"/>
      <c r="B3" s="486" t="s">
        <v>57</v>
      </c>
      <c r="C3" s="486"/>
      <c r="D3" s="486"/>
      <c r="E3" s="486"/>
      <c r="F3" s="468"/>
      <c r="G3" s="488" t="s">
        <v>58</v>
      </c>
      <c r="H3" s="469"/>
      <c r="I3" s="468"/>
      <c r="J3" s="468"/>
      <c r="K3" s="468"/>
      <c r="L3" s="468"/>
      <c r="M3" s="468"/>
      <c r="N3" s="468"/>
      <c r="O3" s="468"/>
      <c r="P3" s="468"/>
      <c r="Q3" s="470"/>
      <c r="S3" s="330" t="s">
        <v>89</v>
      </c>
      <c r="T3" s="331"/>
      <c r="U3" s="331"/>
      <c r="V3" s="331"/>
      <c r="W3" s="332"/>
    </row>
    <row r="4" spans="1:28" ht="19.5" thickBot="1" x14ac:dyDescent="0.35">
      <c r="A4" s="39"/>
      <c r="B4" s="468"/>
      <c r="C4" s="468"/>
      <c r="D4" s="468"/>
      <c r="E4" s="468"/>
      <c r="F4" s="468"/>
      <c r="G4" s="487" t="s">
        <v>59</v>
      </c>
      <c r="H4" s="467"/>
      <c r="I4" s="468"/>
      <c r="J4" s="486" t="s">
        <v>60</v>
      </c>
      <c r="K4" s="467"/>
      <c r="L4" s="467"/>
      <c r="M4" s="467"/>
      <c r="N4" s="467"/>
      <c r="O4" s="467"/>
      <c r="P4" s="467"/>
      <c r="Q4" s="471"/>
      <c r="S4" s="354"/>
      <c r="T4" s="355"/>
      <c r="U4" s="355"/>
      <c r="V4" s="355"/>
      <c r="W4" s="356"/>
    </row>
    <row r="5" spans="1:28" ht="15.75" thickTop="1" x14ac:dyDescent="0.25">
      <c r="A5" s="39"/>
      <c r="B5" s="461" t="s">
        <v>464</v>
      </c>
      <c r="C5" s="461"/>
      <c r="D5" s="461"/>
      <c r="E5" s="462"/>
      <c r="F5" s="468"/>
      <c r="G5" s="468"/>
      <c r="H5" s="468"/>
      <c r="I5" s="468"/>
      <c r="J5" s="468"/>
      <c r="K5" s="468"/>
      <c r="L5" s="468"/>
      <c r="M5" s="468"/>
      <c r="N5" s="468"/>
      <c r="O5" s="468"/>
      <c r="P5" s="468"/>
      <c r="Q5" s="470"/>
    </row>
    <row r="6" spans="1:28" ht="15.75" customHeight="1" thickBot="1" x14ac:dyDescent="0.3">
      <c r="A6" s="39"/>
      <c r="B6" s="463"/>
      <c r="C6" s="463"/>
      <c r="D6" s="463"/>
      <c r="E6" s="464"/>
      <c r="F6" s="468"/>
      <c r="G6" s="468"/>
      <c r="H6" s="468"/>
      <c r="I6" s="468"/>
      <c r="J6" s="468"/>
      <c r="K6" s="468"/>
      <c r="L6" s="468"/>
      <c r="M6" s="468"/>
      <c r="N6" s="468"/>
      <c r="O6" s="468"/>
      <c r="P6" s="468"/>
      <c r="Q6" s="470"/>
    </row>
    <row r="7" spans="1:28" ht="15.75" thickTop="1" x14ac:dyDescent="0.25">
      <c r="A7" s="39"/>
      <c r="B7" s="465"/>
      <c r="C7" s="465"/>
      <c r="D7" s="465"/>
      <c r="E7" s="466"/>
      <c r="F7" s="468"/>
      <c r="G7" s="472" t="s">
        <v>459</v>
      </c>
      <c r="H7" s="473"/>
      <c r="I7" s="468"/>
      <c r="J7" s="474" t="s">
        <v>473</v>
      </c>
      <c r="K7" s="474"/>
      <c r="L7" s="474"/>
      <c r="M7" s="474"/>
      <c r="N7" s="474"/>
      <c r="O7" s="474"/>
      <c r="P7" s="474"/>
      <c r="Q7" s="475"/>
      <c r="S7" s="333" t="s">
        <v>135</v>
      </c>
      <c r="T7" s="334"/>
      <c r="U7" s="334"/>
      <c r="V7" s="334"/>
    </row>
    <row r="8" spans="1:28" ht="15.75" thickBot="1" x14ac:dyDescent="0.3">
      <c r="A8" s="39"/>
      <c r="B8" s="476" t="s">
        <v>465</v>
      </c>
      <c r="C8" s="476"/>
      <c r="D8" s="476"/>
      <c r="E8" s="477"/>
      <c r="F8" s="468"/>
      <c r="G8" s="478" t="s">
        <v>458</v>
      </c>
      <c r="H8" s="474"/>
      <c r="I8" s="468"/>
      <c r="J8" s="474" t="s">
        <v>474</v>
      </c>
      <c r="K8" s="474"/>
      <c r="L8" s="474"/>
      <c r="M8" s="474"/>
      <c r="N8" s="474"/>
      <c r="O8" s="474"/>
      <c r="P8" s="474"/>
      <c r="Q8" s="475"/>
      <c r="S8" s="342"/>
      <c r="T8" s="342"/>
      <c r="U8" s="342"/>
      <c r="V8" s="342"/>
    </row>
    <row r="9" spans="1:28" ht="15.75" thickTop="1" x14ac:dyDescent="0.25">
      <c r="A9" s="39"/>
      <c r="B9" s="463"/>
      <c r="C9" s="463"/>
      <c r="D9" s="463"/>
      <c r="E9" s="464"/>
      <c r="F9" s="468"/>
      <c r="G9" s="478" t="s">
        <v>461</v>
      </c>
      <c r="H9" s="474"/>
      <c r="I9" s="468"/>
      <c r="J9" s="474" t="s">
        <v>475</v>
      </c>
      <c r="K9" s="474"/>
      <c r="L9" s="474"/>
      <c r="M9" s="474"/>
      <c r="N9" s="474"/>
      <c r="O9" s="474"/>
      <c r="P9" s="474"/>
      <c r="Q9" s="475"/>
      <c r="S9" s="335" t="s">
        <v>136</v>
      </c>
      <c r="T9" s="336"/>
      <c r="U9" s="336"/>
      <c r="V9" s="337"/>
      <c r="W9" s="328" t="s">
        <v>206</v>
      </c>
      <c r="X9" s="329"/>
      <c r="Y9" s="329"/>
      <c r="Z9" s="329"/>
      <c r="AA9" s="329"/>
      <c r="AB9" s="329"/>
    </row>
    <row r="10" spans="1:28" x14ac:dyDescent="0.25">
      <c r="A10" s="39"/>
      <c r="B10" s="465"/>
      <c r="C10" s="465"/>
      <c r="D10" s="465"/>
      <c r="E10" s="466"/>
      <c r="F10" s="485" t="s">
        <v>470</v>
      </c>
      <c r="G10" s="478" t="s">
        <v>460</v>
      </c>
      <c r="H10" s="474"/>
      <c r="I10" s="468"/>
      <c r="J10" s="474" t="s">
        <v>476</v>
      </c>
      <c r="K10" s="474"/>
      <c r="L10" s="474"/>
      <c r="M10" s="474"/>
      <c r="N10" s="474"/>
      <c r="O10" s="474"/>
      <c r="P10" s="474"/>
      <c r="Q10" s="475"/>
      <c r="S10" s="328"/>
      <c r="T10" s="323"/>
      <c r="U10" s="323"/>
      <c r="V10" s="338"/>
      <c r="W10" s="328"/>
      <c r="X10" s="329"/>
      <c r="Y10" s="329"/>
      <c r="Z10" s="329"/>
      <c r="AA10" s="329"/>
      <c r="AB10" s="329"/>
    </row>
    <row r="11" spans="1:28" x14ac:dyDescent="0.25">
      <c r="A11" s="39"/>
      <c r="B11" s="476" t="s">
        <v>466</v>
      </c>
      <c r="C11" s="476"/>
      <c r="D11" s="476"/>
      <c r="E11" s="477"/>
      <c r="F11" s="468"/>
      <c r="G11" s="478" t="s">
        <v>462</v>
      </c>
      <c r="H11" s="474"/>
      <c r="I11" s="468"/>
      <c r="J11" s="474" t="s">
        <v>477</v>
      </c>
      <c r="K11" s="474"/>
      <c r="L11" s="474"/>
      <c r="M11" s="474"/>
      <c r="N11" s="474"/>
      <c r="O11" s="474"/>
      <c r="P11" s="474"/>
      <c r="Q11" s="475"/>
      <c r="S11" s="328"/>
      <c r="T11" s="323"/>
      <c r="U11" s="323"/>
      <c r="V11" s="338"/>
      <c r="W11" s="328"/>
      <c r="X11" s="329"/>
      <c r="Y11" s="329"/>
      <c r="Z11" s="329"/>
      <c r="AA11" s="329"/>
      <c r="AB11" s="329"/>
    </row>
    <row r="12" spans="1:28" x14ac:dyDescent="0.25">
      <c r="A12" s="39"/>
      <c r="B12" s="463"/>
      <c r="C12" s="463"/>
      <c r="D12" s="463"/>
      <c r="E12" s="464"/>
      <c r="F12" s="479" t="s">
        <v>161</v>
      </c>
      <c r="G12" s="478" t="s">
        <v>463</v>
      </c>
      <c r="H12" s="474"/>
      <c r="I12" s="468"/>
      <c r="J12" s="474" t="s">
        <v>478</v>
      </c>
      <c r="K12" s="474"/>
      <c r="L12" s="474"/>
      <c r="M12" s="474"/>
      <c r="N12" s="474"/>
      <c r="O12" s="474"/>
      <c r="P12" s="474"/>
      <c r="Q12" s="475"/>
      <c r="S12" s="328"/>
      <c r="T12" s="323"/>
      <c r="U12" s="323"/>
      <c r="V12" s="338"/>
      <c r="W12" s="328"/>
      <c r="X12" s="329"/>
      <c r="Y12" s="329"/>
      <c r="Z12" s="329"/>
      <c r="AA12" s="329"/>
      <c r="AB12" s="329"/>
    </row>
    <row r="13" spans="1:28" x14ac:dyDescent="0.25">
      <c r="A13" s="39"/>
      <c r="B13" s="465"/>
      <c r="C13" s="465"/>
      <c r="D13" s="465"/>
      <c r="E13" s="466"/>
      <c r="F13" s="468"/>
      <c r="G13" s="478"/>
      <c r="H13" s="474"/>
      <c r="I13" s="468"/>
      <c r="J13" s="474"/>
      <c r="K13" s="474"/>
      <c r="L13" s="474"/>
      <c r="M13" s="474"/>
      <c r="N13" s="474"/>
      <c r="O13" s="474"/>
      <c r="P13" s="474"/>
      <c r="Q13" s="475"/>
      <c r="S13" s="328"/>
      <c r="T13" s="323"/>
      <c r="U13" s="323"/>
      <c r="V13" s="338"/>
      <c r="W13" s="328"/>
      <c r="X13" s="329"/>
      <c r="Y13" s="329"/>
      <c r="Z13" s="329"/>
      <c r="AA13" s="329"/>
      <c r="AB13" s="329"/>
    </row>
    <row r="14" spans="1:28" ht="15.75" thickBot="1" x14ac:dyDescent="0.3">
      <c r="A14" s="39"/>
      <c r="B14" s="476" t="s">
        <v>467</v>
      </c>
      <c r="C14" s="476"/>
      <c r="D14" s="476"/>
      <c r="E14" s="477"/>
      <c r="F14" s="468"/>
      <c r="G14" s="480"/>
      <c r="H14" s="481"/>
      <c r="I14" s="468"/>
      <c r="J14" s="474"/>
      <c r="K14" s="474"/>
      <c r="L14" s="474"/>
      <c r="M14" s="474"/>
      <c r="N14" s="474"/>
      <c r="O14" s="474"/>
      <c r="P14" s="474"/>
      <c r="Q14" s="475"/>
      <c r="S14" s="328"/>
      <c r="T14" s="323"/>
      <c r="U14" s="323"/>
      <c r="V14" s="338"/>
    </row>
    <row r="15" spans="1:28" ht="16.5" thickTop="1" thickBot="1" x14ac:dyDescent="0.3">
      <c r="A15" s="39"/>
      <c r="B15" s="463"/>
      <c r="C15" s="463"/>
      <c r="D15" s="463"/>
      <c r="E15" s="464"/>
      <c r="F15" s="468"/>
      <c r="G15" s="473"/>
      <c r="H15" s="473"/>
      <c r="I15" s="468"/>
      <c r="J15" s="474"/>
      <c r="K15" s="474"/>
      <c r="L15" s="474"/>
      <c r="M15" s="474"/>
      <c r="N15" s="474"/>
      <c r="O15" s="474"/>
      <c r="P15" s="474"/>
      <c r="Q15" s="475"/>
      <c r="S15" s="339"/>
      <c r="T15" s="340"/>
      <c r="U15" s="340"/>
      <c r="V15" s="341"/>
    </row>
    <row r="16" spans="1:28" ht="15.75" thickTop="1" x14ac:dyDescent="0.25">
      <c r="A16" s="39"/>
      <c r="B16" s="465"/>
      <c r="C16" s="465"/>
      <c r="D16" s="465"/>
      <c r="E16" s="466"/>
      <c r="F16" s="468"/>
      <c r="G16" s="474"/>
      <c r="H16" s="474"/>
      <c r="I16" s="468"/>
      <c r="J16" s="489" t="s">
        <v>479</v>
      </c>
      <c r="K16" s="474"/>
      <c r="L16" s="474"/>
      <c r="M16" s="474"/>
      <c r="N16" s="474"/>
      <c r="O16" s="474"/>
      <c r="P16" s="474"/>
      <c r="Q16" s="475"/>
    </row>
    <row r="17" spans="1:26" ht="15.75" customHeight="1" x14ac:dyDescent="0.25">
      <c r="A17" s="39"/>
      <c r="B17" s="476" t="s">
        <v>468</v>
      </c>
      <c r="C17" s="476"/>
      <c r="D17" s="476"/>
      <c r="E17" s="477"/>
      <c r="F17" s="468"/>
      <c r="G17" s="474"/>
      <c r="H17" s="474"/>
      <c r="I17" s="468"/>
      <c r="J17" s="463" t="s">
        <v>480</v>
      </c>
      <c r="K17" s="463"/>
      <c r="L17" s="463"/>
      <c r="M17" s="463"/>
      <c r="N17" s="463"/>
      <c r="O17" s="463"/>
      <c r="P17" s="463"/>
      <c r="Q17" s="490"/>
    </row>
    <row r="18" spans="1:26" x14ac:dyDescent="0.25">
      <c r="A18" s="39"/>
      <c r="B18" s="463"/>
      <c r="C18" s="463"/>
      <c r="D18" s="463"/>
      <c r="E18" s="464"/>
      <c r="F18" s="468"/>
      <c r="G18" s="468"/>
      <c r="H18" s="468"/>
      <c r="I18" s="468"/>
      <c r="J18" s="463" t="s">
        <v>481</v>
      </c>
      <c r="K18" s="463"/>
      <c r="L18" s="463"/>
      <c r="M18" s="463"/>
      <c r="N18" s="463"/>
      <c r="O18" s="463"/>
      <c r="P18" s="463"/>
      <c r="Q18" s="490"/>
      <c r="S18" s="120" t="s">
        <v>203</v>
      </c>
    </row>
    <row r="19" spans="1:26" s="120" customFormat="1" ht="15" customHeight="1" x14ac:dyDescent="0.25">
      <c r="A19" s="39"/>
      <c r="B19" s="465"/>
      <c r="C19" s="465"/>
      <c r="D19" s="465"/>
      <c r="E19" s="466"/>
      <c r="F19" s="468"/>
      <c r="G19" s="468"/>
      <c r="H19" s="468"/>
      <c r="I19" s="468"/>
      <c r="J19" s="463" t="s">
        <v>484</v>
      </c>
      <c r="K19" s="463"/>
      <c r="L19" s="463"/>
      <c r="M19" s="463"/>
      <c r="N19" s="463"/>
      <c r="O19" s="463"/>
      <c r="P19" s="463"/>
      <c r="Q19" s="490"/>
    </row>
    <row r="20" spans="1:26" s="120" customFormat="1" x14ac:dyDescent="0.25">
      <c r="A20" s="39"/>
      <c r="B20" s="463" t="s">
        <v>469</v>
      </c>
      <c r="C20" s="463"/>
      <c r="D20" s="463"/>
      <c r="E20" s="464"/>
      <c r="F20" s="468"/>
      <c r="G20" s="468"/>
      <c r="H20" s="468"/>
      <c r="I20" s="468"/>
      <c r="J20" s="463"/>
      <c r="K20" s="463"/>
      <c r="L20" s="463"/>
      <c r="M20" s="463"/>
      <c r="N20" s="463"/>
      <c r="O20" s="463"/>
      <c r="P20" s="463"/>
      <c r="Q20" s="490"/>
    </row>
    <row r="21" spans="1:26" s="120" customFormat="1" ht="15" customHeight="1" x14ac:dyDescent="0.25">
      <c r="A21" s="39"/>
      <c r="B21" s="463"/>
      <c r="C21" s="463"/>
      <c r="D21" s="463"/>
      <c r="E21" s="464"/>
      <c r="F21" s="468"/>
      <c r="G21" s="468"/>
      <c r="H21" s="468"/>
      <c r="I21" s="468"/>
      <c r="J21" s="463" t="s">
        <v>483</v>
      </c>
      <c r="K21" s="463"/>
      <c r="L21" s="463"/>
      <c r="M21" s="463"/>
      <c r="N21" s="463"/>
      <c r="O21" s="463"/>
      <c r="P21" s="463"/>
      <c r="Q21" s="490"/>
    </row>
    <row r="22" spans="1:26" ht="15.75" thickBot="1" x14ac:dyDescent="0.3">
      <c r="A22" s="39"/>
      <c r="B22" s="482"/>
      <c r="C22" s="482"/>
      <c r="D22" s="482"/>
      <c r="E22" s="483"/>
      <c r="F22" s="468"/>
      <c r="G22" s="468"/>
      <c r="H22" s="468"/>
      <c r="I22" s="468"/>
      <c r="J22" s="463"/>
      <c r="K22" s="463"/>
      <c r="L22" s="463"/>
      <c r="M22" s="463"/>
      <c r="N22" s="463"/>
      <c r="O22" s="463"/>
      <c r="P22" s="463"/>
      <c r="Q22" s="490"/>
      <c r="S22" s="120" t="s">
        <v>204</v>
      </c>
    </row>
    <row r="23" spans="1:26" s="120" customFormat="1" ht="15.75" customHeight="1" thickTop="1" x14ac:dyDescent="0.25">
      <c r="A23" s="39"/>
      <c r="B23" s="484"/>
      <c r="C23" s="484"/>
      <c r="D23" s="484"/>
      <c r="E23" s="484"/>
      <c r="F23" s="468"/>
      <c r="G23" s="468"/>
      <c r="H23" s="468"/>
      <c r="I23" s="468"/>
      <c r="J23" s="463" t="s">
        <v>482</v>
      </c>
      <c r="K23" s="463"/>
      <c r="L23" s="463"/>
      <c r="M23" s="463"/>
      <c r="N23" s="463"/>
      <c r="O23" s="463"/>
      <c r="P23" s="463"/>
      <c r="Q23" s="490"/>
    </row>
    <row r="24" spans="1:26" s="120" customFormat="1" ht="15.75" customHeight="1" x14ac:dyDescent="0.25">
      <c r="A24" s="39"/>
      <c r="B24" s="484"/>
      <c r="C24" s="484"/>
      <c r="D24" s="484"/>
      <c r="E24" s="484"/>
      <c r="F24" s="468"/>
      <c r="G24" s="468"/>
      <c r="H24" s="468"/>
      <c r="I24" s="468"/>
      <c r="J24" s="463"/>
      <c r="K24" s="463"/>
      <c r="L24" s="463"/>
      <c r="M24" s="463"/>
      <c r="N24" s="463"/>
      <c r="O24" s="463"/>
      <c r="P24" s="463"/>
      <c r="Q24" s="490"/>
    </row>
    <row r="25" spans="1:26" s="120" customFormat="1" ht="15.75" customHeight="1" x14ac:dyDescent="0.25">
      <c r="A25" s="39"/>
      <c r="B25" s="484"/>
      <c r="C25" s="484"/>
      <c r="D25" s="484"/>
      <c r="E25" s="484"/>
      <c r="F25" s="468"/>
      <c r="G25" s="468"/>
      <c r="H25" s="468"/>
      <c r="I25" s="468"/>
      <c r="J25" s="463" t="s">
        <v>485</v>
      </c>
      <c r="K25" s="463"/>
      <c r="L25" s="463"/>
      <c r="M25" s="463"/>
      <c r="N25" s="463"/>
      <c r="O25" s="463"/>
      <c r="P25" s="463"/>
      <c r="Q25" s="490"/>
    </row>
    <row r="26" spans="1:26" x14ac:dyDescent="0.25">
      <c r="A26" s="39"/>
      <c r="B26" s="35"/>
      <c r="C26" s="35"/>
      <c r="D26" s="35"/>
      <c r="E26" s="35"/>
      <c r="F26" s="35"/>
      <c r="G26" s="35"/>
      <c r="H26" s="35"/>
      <c r="I26" s="35"/>
      <c r="J26" s="463"/>
      <c r="K26" s="463"/>
      <c r="L26" s="463"/>
      <c r="M26" s="463"/>
      <c r="N26" s="463"/>
      <c r="O26" s="463"/>
      <c r="P26" s="463"/>
      <c r="Q26" s="490"/>
      <c r="S26" s="120" t="s">
        <v>205</v>
      </c>
    </row>
    <row r="27" spans="1:26" ht="15.75" thickBot="1" x14ac:dyDescent="0.3">
      <c r="A27" s="40"/>
      <c r="B27" s="41"/>
      <c r="C27" s="41"/>
      <c r="D27" s="41"/>
      <c r="E27" s="41"/>
      <c r="F27" s="41"/>
      <c r="G27" s="41"/>
      <c r="H27" s="41"/>
      <c r="I27" s="41"/>
      <c r="J27" s="491"/>
      <c r="K27" s="491"/>
      <c r="L27" s="491"/>
      <c r="M27" s="491"/>
      <c r="N27" s="491"/>
      <c r="O27" s="491"/>
      <c r="P27" s="491"/>
      <c r="Q27" s="492"/>
    </row>
    <row r="28" spans="1:26" ht="15.75" thickTop="1" x14ac:dyDescent="0.25"/>
    <row r="29" spans="1:26" ht="15.75" thickBot="1" x14ac:dyDescent="0.3">
      <c r="B29" s="358" t="s">
        <v>61</v>
      </c>
      <c r="C29" s="359"/>
      <c r="D29" s="359"/>
      <c r="E29" s="359"/>
      <c r="J29" s="315" t="s">
        <v>72</v>
      </c>
      <c r="K29" s="315"/>
      <c r="L29" s="315"/>
      <c r="M29" s="205"/>
      <c r="N29" s="205"/>
      <c r="O29" s="205"/>
      <c r="P29" s="205"/>
      <c r="Q29" s="315" t="s">
        <v>75</v>
      </c>
      <c r="R29" s="315"/>
      <c r="S29" s="315"/>
    </row>
    <row r="30" spans="1:26" ht="15" customHeight="1" thickTop="1" x14ac:dyDescent="0.25">
      <c r="B30" s="309" t="s">
        <v>62</v>
      </c>
      <c r="C30" s="309"/>
      <c r="D30" s="309"/>
      <c r="E30" s="309"/>
      <c r="F30" s="309"/>
      <c r="G30" s="309"/>
      <c r="J30" s="114" t="s">
        <v>74</v>
      </c>
      <c r="K30" s="319"/>
      <c r="L30" s="320"/>
      <c r="M30" s="212"/>
      <c r="N30" s="212"/>
      <c r="O30" s="212"/>
      <c r="P30" s="212"/>
      <c r="Q30" s="321" t="s">
        <v>112</v>
      </c>
      <c r="R30" s="343"/>
      <c r="S30" s="344"/>
      <c r="U30" s="329" t="s">
        <v>113</v>
      </c>
      <c r="V30" s="329"/>
      <c r="W30" s="329"/>
      <c r="X30" s="329"/>
      <c r="Y30" s="329"/>
      <c r="Z30" s="329"/>
    </row>
    <row r="31" spans="1:26" ht="15.75" thickBot="1" x14ac:dyDescent="0.3">
      <c r="B31" s="309" t="s">
        <v>63</v>
      </c>
      <c r="C31" s="309"/>
      <c r="D31" s="309"/>
      <c r="E31" s="309"/>
      <c r="F31" s="309"/>
      <c r="G31" s="309"/>
      <c r="J31" s="115" t="s">
        <v>73</v>
      </c>
      <c r="K31" s="325"/>
      <c r="L31" s="326"/>
      <c r="M31" s="212"/>
      <c r="N31" s="212"/>
      <c r="O31" s="212"/>
      <c r="P31" s="212"/>
      <c r="Q31" s="345"/>
      <c r="R31" s="345"/>
      <c r="S31" s="346"/>
      <c r="U31" s="329"/>
      <c r="V31" s="329"/>
      <c r="W31" s="329"/>
      <c r="X31" s="329"/>
      <c r="Y31" s="329"/>
      <c r="Z31" s="329"/>
    </row>
    <row r="32" spans="1:26" ht="15.75" thickTop="1" x14ac:dyDescent="0.25">
      <c r="B32" s="309" t="s">
        <v>64</v>
      </c>
      <c r="C32" s="309"/>
      <c r="D32" s="309"/>
      <c r="E32" s="309"/>
      <c r="F32" s="309"/>
      <c r="G32" s="309"/>
      <c r="Q32" s="347"/>
      <c r="R32" s="345"/>
      <c r="S32" s="346"/>
      <c r="U32" s="329"/>
      <c r="V32" s="329"/>
      <c r="W32" s="329"/>
      <c r="X32" s="329"/>
      <c r="Y32" s="329"/>
      <c r="Z32" s="329"/>
    </row>
    <row r="33" spans="2:26" ht="15.75" thickBot="1" x14ac:dyDescent="0.3">
      <c r="B33" s="309" t="s">
        <v>65</v>
      </c>
      <c r="C33" s="309"/>
      <c r="D33" s="309"/>
      <c r="E33" s="309"/>
      <c r="F33" s="309"/>
      <c r="G33" s="309"/>
      <c r="Q33" s="348"/>
      <c r="R33" s="349"/>
      <c r="S33" s="350"/>
      <c r="U33" s="329"/>
      <c r="V33" s="329"/>
      <c r="W33" s="329"/>
      <c r="X33" s="329"/>
      <c r="Y33" s="329"/>
      <c r="Z33" s="329"/>
    </row>
    <row r="34" spans="2:26" ht="15.75" thickTop="1" x14ac:dyDescent="0.25">
      <c r="B34" s="309" t="s">
        <v>66</v>
      </c>
      <c r="C34" s="309"/>
      <c r="D34" s="309"/>
      <c r="E34" s="309"/>
      <c r="F34" s="309"/>
      <c r="G34" s="309"/>
      <c r="U34" s="329" t="s">
        <v>114</v>
      </c>
      <c r="V34" s="365"/>
      <c r="W34" s="365"/>
      <c r="X34" s="365"/>
      <c r="Y34" s="365"/>
      <c r="Z34" s="365"/>
    </row>
    <row r="35" spans="2:26" ht="15.75" thickBot="1" x14ac:dyDescent="0.3">
      <c r="B35" s="309" t="s">
        <v>67</v>
      </c>
      <c r="C35" s="309"/>
      <c r="D35" s="309"/>
      <c r="E35" s="309"/>
      <c r="F35" s="309"/>
      <c r="G35" s="309"/>
      <c r="J35" s="315" t="s">
        <v>76</v>
      </c>
      <c r="K35" s="315"/>
      <c r="L35" s="315"/>
      <c r="M35" s="315"/>
      <c r="N35" s="315"/>
      <c r="O35" s="315"/>
      <c r="P35" s="315"/>
      <c r="Q35" s="315"/>
      <c r="R35" s="315"/>
      <c r="U35" s="365"/>
      <c r="V35" s="365"/>
      <c r="W35" s="365"/>
      <c r="X35" s="365"/>
      <c r="Y35" s="365"/>
      <c r="Z35" s="365"/>
    </row>
    <row r="36" spans="2:26" x14ac:dyDescent="0.25">
      <c r="B36" s="309" t="s">
        <v>68</v>
      </c>
      <c r="C36" s="309"/>
      <c r="D36" s="309"/>
      <c r="E36" s="309"/>
      <c r="F36" s="309"/>
      <c r="G36" s="309"/>
      <c r="J36" s="311" t="s">
        <v>77</v>
      </c>
      <c r="K36" s="312"/>
      <c r="L36" s="312"/>
      <c r="M36" s="312"/>
      <c r="N36" s="312"/>
      <c r="O36" s="312"/>
      <c r="P36" s="312"/>
      <c r="Q36" s="312"/>
      <c r="R36" s="312"/>
      <c r="S36" s="42"/>
      <c r="U36" s="365"/>
      <c r="V36" s="365"/>
      <c r="W36" s="365"/>
      <c r="X36" s="365"/>
      <c r="Y36" s="365"/>
      <c r="Z36" s="365"/>
    </row>
    <row r="37" spans="2:26" x14ac:dyDescent="0.25">
      <c r="B37" s="309" t="s">
        <v>69</v>
      </c>
      <c r="C37" s="309"/>
      <c r="D37" s="309"/>
      <c r="E37" s="309"/>
      <c r="F37" s="309"/>
      <c r="G37" s="309"/>
      <c r="J37" s="313" t="s">
        <v>80</v>
      </c>
      <c r="K37" s="314"/>
      <c r="L37" s="314"/>
      <c r="M37" s="314"/>
      <c r="N37" s="314"/>
      <c r="O37" s="314"/>
      <c r="P37" s="314"/>
      <c r="Q37" s="314"/>
      <c r="R37" s="314"/>
      <c r="S37" s="43"/>
      <c r="U37" s="365"/>
      <c r="V37" s="365"/>
      <c r="W37" s="365"/>
      <c r="X37" s="365"/>
      <c r="Y37" s="365"/>
      <c r="Z37" s="365"/>
    </row>
    <row r="38" spans="2:26" x14ac:dyDescent="0.25">
      <c r="B38" s="309" t="s">
        <v>70</v>
      </c>
      <c r="C38" s="309"/>
      <c r="D38" s="309"/>
      <c r="E38" s="309"/>
      <c r="F38" s="309"/>
      <c r="G38" s="309"/>
      <c r="J38" s="313" t="s">
        <v>78</v>
      </c>
      <c r="K38" s="314"/>
      <c r="L38" s="314"/>
      <c r="M38" s="314"/>
      <c r="N38" s="314"/>
      <c r="O38" s="314"/>
      <c r="P38" s="314"/>
      <c r="Q38" s="314"/>
      <c r="R38" s="314"/>
      <c r="S38" s="43"/>
    </row>
    <row r="39" spans="2:26" x14ac:dyDescent="0.25">
      <c r="B39" s="309" t="s">
        <v>71</v>
      </c>
      <c r="C39" s="309"/>
      <c r="D39" s="309"/>
      <c r="E39" s="309"/>
      <c r="F39" s="309"/>
      <c r="G39" s="309"/>
      <c r="J39" s="313" t="s">
        <v>79</v>
      </c>
      <c r="K39" s="314"/>
      <c r="L39" s="314"/>
      <c r="M39" s="314"/>
      <c r="N39" s="314"/>
      <c r="O39" s="314"/>
      <c r="P39" s="314"/>
      <c r="Q39" s="314"/>
      <c r="R39" s="314"/>
      <c r="S39" s="43"/>
      <c r="U39" s="366" t="s">
        <v>115</v>
      </c>
      <c r="V39" s="366"/>
      <c r="W39" s="366"/>
      <c r="X39" s="366"/>
      <c r="Y39" s="366"/>
      <c r="Z39" s="366"/>
    </row>
    <row r="40" spans="2:26" x14ac:dyDescent="0.25">
      <c r="B40" s="309" t="s">
        <v>160</v>
      </c>
      <c r="C40" s="309"/>
      <c r="D40" s="309"/>
      <c r="E40" s="309"/>
      <c r="F40" s="309"/>
      <c r="G40" s="309"/>
      <c r="J40" s="313" t="s">
        <v>81</v>
      </c>
      <c r="K40" s="314"/>
      <c r="L40" s="314"/>
      <c r="M40" s="314"/>
      <c r="N40" s="314"/>
      <c r="O40" s="314"/>
      <c r="P40" s="314"/>
      <c r="Q40" s="314"/>
      <c r="R40" s="314"/>
      <c r="S40" s="43"/>
    </row>
    <row r="41" spans="2:26" x14ac:dyDescent="0.25">
      <c r="B41" s="309"/>
      <c r="C41" s="309"/>
      <c r="D41" s="309"/>
      <c r="E41" s="309"/>
      <c r="F41" s="309"/>
      <c r="G41" s="309"/>
      <c r="J41" s="313" t="s">
        <v>82</v>
      </c>
      <c r="K41" s="314"/>
      <c r="L41" s="314"/>
      <c r="M41" s="314"/>
      <c r="N41" s="314"/>
      <c r="O41" s="314"/>
      <c r="P41" s="314"/>
      <c r="Q41" s="314"/>
      <c r="R41" s="314"/>
      <c r="S41" s="43"/>
    </row>
    <row r="42" spans="2:26" ht="15.75" thickBot="1" x14ac:dyDescent="0.3">
      <c r="B42" s="359"/>
      <c r="C42" s="359"/>
      <c r="D42" s="359"/>
      <c r="E42" s="359"/>
      <c r="F42" s="359"/>
      <c r="G42" s="359"/>
      <c r="J42" s="316" t="s">
        <v>83</v>
      </c>
      <c r="K42" s="317"/>
      <c r="L42" s="317"/>
      <c r="M42" s="317"/>
      <c r="N42" s="317"/>
      <c r="O42" s="317"/>
      <c r="P42" s="317"/>
      <c r="Q42" s="317"/>
      <c r="R42" s="317"/>
      <c r="S42" s="44"/>
    </row>
    <row r="43" spans="2:26" x14ac:dyDescent="0.25">
      <c r="B43" s="315" t="s">
        <v>85</v>
      </c>
      <c r="C43" s="315"/>
      <c r="D43" s="315"/>
      <c r="E43" s="315"/>
      <c r="F43" s="315"/>
      <c r="G43" s="315"/>
      <c r="J43" s="327"/>
      <c r="K43" s="327"/>
      <c r="L43" s="327"/>
      <c r="M43" s="327"/>
      <c r="N43" s="327"/>
      <c r="O43" s="327"/>
      <c r="P43" s="327"/>
      <c r="Q43" s="327"/>
      <c r="R43" s="327"/>
      <c r="S43" s="327"/>
    </row>
    <row r="44" spans="2:26" x14ac:dyDescent="0.25">
      <c r="B44" s="366" t="s">
        <v>86</v>
      </c>
      <c r="C44" s="367"/>
      <c r="D44" s="367"/>
      <c r="E44" s="367"/>
      <c r="F44" s="367"/>
      <c r="G44" s="367"/>
      <c r="J44" s="45"/>
      <c r="K44" s="45"/>
      <c r="L44" s="45"/>
      <c r="M44" s="208"/>
      <c r="N44" s="208"/>
      <c r="O44" s="208"/>
      <c r="P44" s="208"/>
      <c r="Q44" s="45"/>
      <c r="R44" s="45"/>
      <c r="S44" s="45"/>
    </row>
    <row r="45" spans="2:26" ht="15.75" thickBot="1" x14ac:dyDescent="0.3">
      <c r="B45" s="329" t="s">
        <v>108</v>
      </c>
      <c r="C45" s="365"/>
      <c r="D45" s="365"/>
      <c r="E45" s="365"/>
      <c r="F45" s="365"/>
      <c r="G45" s="365"/>
      <c r="J45" s="357" t="s">
        <v>84</v>
      </c>
      <c r="K45" s="357"/>
      <c r="L45" s="357"/>
      <c r="M45" s="357"/>
      <c r="N45" s="357"/>
      <c r="O45" s="357"/>
      <c r="P45" s="357"/>
      <c r="Q45" s="357"/>
      <c r="R45" s="357"/>
      <c r="S45" s="34"/>
    </row>
    <row r="46" spans="2:26" x14ac:dyDescent="0.25">
      <c r="B46" s="365"/>
      <c r="C46" s="365"/>
      <c r="D46" s="365"/>
      <c r="E46" s="365"/>
      <c r="F46" s="365"/>
      <c r="G46" s="365"/>
      <c r="J46" s="311" t="s">
        <v>77</v>
      </c>
      <c r="K46" s="312"/>
      <c r="L46" s="312"/>
      <c r="M46" s="312"/>
      <c r="N46" s="312"/>
      <c r="O46" s="312"/>
      <c r="P46" s="312"/>
      <c r="Q46" s="312"/>
      <c r="R46" s="312"/>
      <c r="S46" s="42"/>
    </row>
    <row r="47" spans="2:26" x14ac:dyDescent="0.25">
      <c r="B47" s="365"/>
      <c r="C47" s="365"/>
      <c r="D47" s="365"/>
      <c r="E47" s="365"/>
      <c r="F47" s="365"/>
      <c r="G47" s="365"/>
      <c r="J47" s="313" t="s">
        <v>80</v>
      </c>
      <c r="K47" s="314"/>
      <c r="L47" s="314"/>
      <c r="M47" s="314"/>
      <c r="N47" s="314"/>
      <c r="O47" s="314"/>
      <c r="P47" s="314"/>
      <c r="Q47" s="314"/>
      <c r="R47" s="314"/>
      <c r="S47" s="43"/>
    </row>
    <row r="48" spans="2:26" x14ac:dyDescent="0.25">
      <c r="B48" s="365"/>
      <c r="C48" s="365"/>
      <c r="D48" s="365"/>
      <c r="E48" s="365"/>
      <c r="F48" s="365"/>
      <c r="G48" s="365"/>
      <c r="J48" s="313" t="s">
        <v>78</v>
      </c>
      <c r="K48" s="314"/>
      <c r="L48" s="314"/>
      <c r="M48" s="314"/>
      <c r="N48" s="314"/>
      <c r="O48" s="314"/>
      <c r="P48" s="314"/>
      <c r="Q48" s="314"/>
      <c r="R48" s="314"/>
      <c r="S48" s="43"/>
    </row>
    <row r="49" spans="2:19" x14ac:dyDescent="0.25">
      <c r="B49" s="365"/>
      <c r="C49" s="365"/>
      <c r="D49" s="365"/>
      <c r="E49" s="365"/>
      <c r="F49" s="365"/>
      <c r="G49" s="365"/>
      <c r="J49" s="313" t="s">
        <v>79</v>
      </c>
      <c r="K49" s="314"/>
      <c r="L49" s="314"/>
      <c r="M49" s="314"/>
      <c r="N49" s="314"/>
      <c r="O49" s="314"/>
      <c r="P49" s="314"/>
      <c r="Q49" s="314"/>
      <c r="R49" s="314"/>
      <c r="S49" s="43"/>
    </row>
    <row r="50" spans="2:19" x14ac:dyDescent="0.25">
      <c r="B50" s="365"/>
      <c r="C50" s="365"/>
      <c r="D50" s="365"/>
      <c r="E50" s="365"/>
      <c r="F50" s="365"/>
      <c r="G50" s="365"/>
      <c r="J50" s="313" t="s">
        <v>81</v>
      </c>
      <c r="K50" s="314"/>
      <c r="L50" s="314"/>
      <c r="M50" s="314"/>
      <c r="N50" s="314"/>
      <c r="O50" s="314"/>
      <c r="P50" s="314"/>
      <c r="Q50" s="314"/>
      <c r="R50" s="314"/>
      <c r="S50" s="43"/>
    </row>
    <row r="51" spans="2:19" x14ac:dyDescent="0.25">
      <c r="B51" s="365"/>
      <c r="C51" s="365"/>
      <c r="D51" s="365"/>
      <c r="E51" s="365"/>
      <c r="F51" s="365"/>
      <c r="G51" s="365"/>
      <c r="J51" s="313" t="s">
        <v>82</v>
      </c>
      <c r="K51" s="314"/>
      <c r="L51" s="314"/>
      <c r="M51" s="314"/>
      <c r="N51" s="314"/>
      <c r="O51" s="314"/>
      <c r="P51" s="314"/>
      <c r="Q51" s="314"/>
      <c r="R51" s="314"/>
      <c r="S51" s="43"/>
    </row>
    <row r="52" spans="2:19" ht="15.75" thickBot="1" x14ac:dyDescent="0.3">
      <c r="B52" s="365"/>
      <c r="C52" s="365"/>
      <c r="D52" s="365"/>
      <c r="E52" s="365"/>
      <c r="F52" s="365"/>
      <c r="G52" s="365"/>
      <c r="J52" s="316" t="s">
        <v>83</v>
      </c>
      <c r="K52" s="317"/>
      <c r="L52" s="317"/>
      <c r="M52" s="317"/>
      <c r="N52" s="317"/>
      <c r="O52" s="317"/>
      <c r="P52" s="317"/>
      <c r="Q52" s="317"/>
      <c r="R52" s="317"/>
      <c r="S52" s="44"/>
    </row>
    <row r="54" spans="2:19" x14ac:dyDescent="0.25">
      <c r="B54" s="358" t="s">
        <v>87</v>
      </c>
      <c r="C54" s="358"/>
      <c r="D54" s="358"/>
      <c r="E54" s="358"/>
      <c r="F54" s="358"/>
    </row>
    <row r="55" spans="2:19" x14ac:dyDescent="0.25">
      <c r="B55" s="362" t="s">
        <v>90</v>
      </c>
      <c r="C55" s="362"/>
      <c r="D55" s="362" t="s">
        <v>91</v>
      </c>
      <c r="E55" s="362"/>
      <c r="F55" s="362"/>
    </row>
    <row r="56" spans="2:19" ht="8.65" customHeight="1" x14ac:dyDescent="0.25">
      <c r="B56" s="364"/>
      <c r="C56" s="364"/>
      <c r="D56" s="364"/>
      <c r="E56" s="364"/>
      <c r="F56" s="364"/>
    </row>
    <row r="57" spans="2:19" ht="15.75" thickBot="1" x14ac:dyDescent="0.3">
      <c r="B57" s="363" t="s">
        <v>92</v>
      </c>
      <c r="C57" s="363"/>
      <c r="D57" s="363" t="s">
        <v>100</v>
      </c>
      <c r="E57" s="363"/>
      <c r="F57" s="363"/>
    </row>
    <row r="58" spans="2:19" ht="15.75" thickBot="1" x14ac:dyDescent="0.3">
      <c r="B58" s="360" t="s">
        <v>93</v>
      </c>
      <c r="C58" s="360"/>
      <c r="D58" s="360" t="s">
        <v>101</v>
      </c>
      <c r="E58" s="360"/>
      <c r="F58" s="360"/>
    </row>
    <row r="59" spans="2:19" ht="15.75" thickBot="1" x14ac:dyDescent="0.3">
      <c r="B59" s="360" t="s">
        <v>94</v>
      </c>
      <c r="C59" s="360"/>
      <c r="D59" s="360" t="s">
        <v>102</v>
      </c>
      <c r="E59" s="360"/>
      <c r="F59" s="360"/>
    </row>
    <row r="60" spans="2:19" ht="15.75" thickBot="1" x14ac:dyDescent="0.3">
      <c r="B60" s="360" t="s">
        <v>95</v>
      </c>
      <c r="C60" s="360"/>
      <c r="D60" s="360" t="s">
        <v>103</v>
      </c>
      <c r="E60" s="360"/>
      <c r="F60" s="360"/>
    </row>
    <row r="61" spans="2:19" ht="15.75" thickBot="1" x14ac:dyDescent="0.3">
      <c r="B61" s="360" t="s">
        <v>96</v>
      </c>
      <c r="C61" s="360"/>
      <c r="D61" s="360" t="s">
        <v>104</v>
      </c>
      <c r="E61" s="360"/>
      <c r="F61" s="360"/>
    </row>
    <row r="62" spans="2:19" ht="15.75" thickBot="1" x14ac:dyDescent="0.3">
      <c r="B62" s="360" t="s">
        <v>97</v>
      </c>
      <c r="C62" s="360"/>
      <c r="D62" s="360" t="s">
        <v>105</v>
      </c>
      <c r="E62" s="360"/>
      <c r="F62" s="360"/>
    </row>
    <row r="63" spans="2:19" ht="15.75" thickBot="1" x14ac:dyDescent="0.3">
      <c r="B63" s="360" t="s">
        <v>98</v>
      </c>
      <c r="C63" s="360"/>
      <c r="D63" s="360" t="s">
        <v>106</v>
      </c>
      <c r="E63" s="360"/>
      <c r="F63" s="360"/>
    </row>
    <row r="64" spans="2:19" x14ac:dyDescent="0.25">
      <c r="B64" s="361" t="s">
        <v>99</v>
      </c>
      <c r="C64" s="361"/>
      <c r="D64" s="361" t="s">
        <v>107</v>
      </c>
      <c r="E64" s="361"/>
      <c r="F64" s="361"/>
    </row>
  </sheetData>
  <mergeCells count="107">
    <mergeCell ref="J25:Q26"/>
    <mergeCell ref="B42:G42"/>
    <mergeCell ref="G9:H9"/>
    <mergeCell ref="G10:H10"/>
    <mergeCell ref="G11:H11"/>
    <mergeCell ref="J9:Q9"/>
    <mergeCell ref="J10:Q10"/>
    <mergeCell ref="J11:Q11"/>
    <mergeCell ref="B54:F54"/>
    <mergeCell ref="U30:Z33"/>
    <mergeCell ref="U34:Z37"/>
    <mergeCell ref="U39:Z39"/>
    <mergeCell ref="B30:G30"/>
    <mergeCell ref="B35:G35"/>
    <mergeCell ref="B34:G34"/>
    <mergeCell ref="B33:G33"/>
    <mergeCell ref="B31:G31"/>
    <mergeCell ref="B36:G36"/>
    <mergeCell ref="B37:G37"/>
    <mergeCell ref="B32:G32"/>
    <mergeCell ref="B43:G43"/>
    <mergeCell ref="B44:G44"/>
    <mergeCell ref="B45:G52"/>
    <mergeCell ref="B38:G38"/>
    <mergeCell ref="B39:G39"/>
    <mergeCell ref="B40:G40"/>
    <mergeCell ref="B29:E29"/>
    <mergeCell ref="J29:L29"/>
    <mergeCell ref="Q29:S29"/>
    <mergeCell ref="D62:F62"/>
    <mergeCell ref="D63:F63"/>
    <mergeCell ref="D64:F64"/>
    <mergeCell ref="B61:C61"/>
    <mergeCell ref="B62:C62"/>
    <mergeCell ref="B63:C63"/>
    <mergeCell ref="B64:C64"/>
    <mergeCell ref="B55:C55"/>
    <mergeCell ref="B57:C57"/>
    <mergeCell ref="B58:C58"/>
    <mergeCell ref="B59:C59"/>
    <mergeCell ref="B60:C60"/>
    <mergeCell ref="B56:C56"/>
    <mergeCell ref="D56:F56"/>
    <mergeCell ref="D55:F55"/>
    <mergeCell ref="D57:F57"/>
    <mergeCell ref="D58:F58"/>
    <mergeCell ref="D59:F59"/>
    <mergeCell ref="D60:F60"/>
    <mergeCell ref="D61:F61"/>
    <mergeCell ref="B41:G41"/>
    <mergeCell ref="S2:W2"/>
    <mergeCell ref="S4:W4"/>
    <mergeCell ref="J47:R47"/>
    <mergeCell ref="J48:R48"/>
    <mergeCell ref="J49:R49"/>
    <mergeCell ref="J50:R50"/>
    <mergeCell ref="J51:R51"/>
    <mergeCell ref="J52:R52"/>
    <mergeCell ref="J42:R42"/>
    <mergeCell ref="J35:R35"/>
    <mergeCell ref="K30:L30"/>
    <mergeCell ref="K31:L31"/>
    <mergeCell ref="J45:R45"/>
    <mergeCell ref="J46:R46"/>
    <mergeCell ref="J43:S43"/>
    <mergeCell ref="J36:R36"/>
    <mergeCell ref="J37:R37"/>
    <mergeCell ref="J38:R38"/>
    <mergeCell ref="J39:R39"/>
    <mergeCell ref="J40:R40"/>
    <mergeCell ref="J41:R41"/>
    <mergeCell ref="J7:Q7"/>
    <mergeCell ref="J8:Q8"/>
    <mergeCell ref="Q30:S33"/>
    <mergeCell ref="G15:H15"/>
    <mergeCell ref="G16:H16"/>
    <mergeCell ref="G17:H17"/>
    <mergeCell ref="B14:E16"/>
    <mergeCell ref="B17:E19"/>
    <mergeCell ref="B20:E22"/>
    <mergeCell ref="J18:Q18"/>
    <mergeCell ref="J19:Q20"/>
    <mergeCell ref="J21:Q22"/>
    <mergeCell ref="J23:Q24"/>
    <mergeCell ref="J15:Q15"/>
    <mergeCell ref="J16:Q16"/>
    <mergeCell ref="J17:Q17"/>
    <mergeCell ref="W9:AB13"/>
    <mergeCell ref="B3:E3"/>
    <mergeCell ref="G3:H3"/>
    <mergeCell ref="G4:H4"/>
    <mergeCell ref="J4:Q4"/>
    <mergeCell ref="G7:H7"/>
    <mergeCell ref="G8:H8"/>
    <mergeCell ref="J12:Q12"/>
    <mergeCell ref="J13:Q13"/>
    <mergeCell ref="S3:W3"/>
    <mergeCell ref="S7:V7"/>
    <mergeCell ref="S9:V15"/>
    <mergeCell ref="S8:V8"/>
    <mergeCell ref="B5:E7"/>
    <mergeCell ref="B8:E10"/>
    <mergeCell ref="B11:E13"/>
    <mergeCell ref="G12:H12"/>
    <mergeCell ref="G13:H13"/>
    <mergeCell ref="J14:Q14"/>
    <mergeCell ref="G14:H1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8BD20-EF0E-493E-A3EE-149988256F88}">
  <dimension ref="A1:BA85"/>
  <sheetViews>
    <sheetView zoomScale="80" zoomScaleNormal="80" workbookViewId="0">
      <pane ySplit="3" topLeftCell="A11" activePane="bottomLeft" state="frozen"/>
      <selection pane="bottomLeft" activeCell="A44" sqref="A44"/>
    </sheetView>
  </sheetViews>
  <sheetFormatPr defaultRowHeight="15" x14ac:dyDescent="0.25"/>
  <cols>
    <col min="2" max="2" width="9.140625" style="120"/>
    <col min="6" max="12" width="14.85546875" customWidth="1"/>
    <col min="13" max="14" width="11.42578125" customWidth="1"/>
    <col min="15" max="15" width="11.28515625" bestFit="1" customWidth="1"/>
    <col min="16" max="16" width="16.42578125" bestFit="1" customWidth="1"/>
    <col min="17" max="17" width="11.7109375" bestFit="1" customWidth="1"/>
    <col min="18" max="18" width="11.42578125" customWidth="1"/>
    <col min="19" max="19" width="10.140625" customWidth="1"/>
    <col min="20" max="21" width="13" customWidth="1"/>
    <col min="22" max="23" width="12.42578125" customWidth="1"/>
    <col min="24" max="24" width="11.140625" customWidth="1"/>
    <col min="25" max="25" width="16.28515625" customWidth="1"/>
    <col min="26" max="26" width="15.5703125" customWidth="1"/>
    <col min="28" max="28" width="18.7109375" customWidth="1"/>
    <col min="33" max="33" width="10.85546875" bestFit="1" customWidth="1"/>
    <col min="38" max="38" width="28.7109375" customWidth="1"/>
    <col min="39" max="39" width="14.85546875" customWidth="1"/>
  </cols>
  <sheetData>
    <row r="1" spans="1:38" ht="23.25" x14ac:dyDescent="0.35">
      <c r="A1" s="377" t="s">
        <v>109</v>
      </c>
      <c r="B1" s="377"/>
      <c r="C1" s="377"/>
      <c r="D1" s="377"/>
      <c r="E1" s="377"/>
      <c r="F1" s="377"/>
      <c r="G1" s="377"/>
      <c r="H1" s="377"/>
      <c r="I1" s="377"/>
      <c r="J1" s="377"/>
      <c r="K1" s="377"/>
      <c r="L1" s="377"/>
      <c r="M1" s="377"/>
      <c r="N1" s="377"/>
      <c r="O1" s="377"/>
      <c r="P1" s="377"/>
      <c r="Q1" s="377"/>
      <c r="R1" s="377"/>
      <c r="S1" s="377"/>
      <c r="T1" s="377"/>
      <c r="U1" s="378" t="s">
        <v>168</v>
      </c>
      <c r="V1" s="376" t="s">
        <v>165</v>
      </c>
      <c r="W1" s="376" t="s">
        <v>162</v>
      </c>
      <c r="Y1" s="380" t="s">
        <v>169</v>
      </c>
      <c r="Z1" s="380"/>
    </row>
    <row r="2" spans="1:38" ht="18.75" x14ac:dyDescent="0.3">
      <c r="A2" s="375" t="s">
        <v>143</v>
      </c>
      <c r="B2" s="375"/>
      <c r="C2" s="375"/>
      <c r="D2" s="375"/>
      <c r="E2" s="375"/>
      <c r="F2" s="375"/>
      <c r="G2" s="375"/>
      <c r="H2" s="375"/>
      <c r="I2" s="375"/>
      <c r="J2" s="375"/>
      <c r="K2" s="375"/>
      <c r="L2" s="375"/>
      <c r="M2" s="375"/>
      <c r="N2" s="375"/>
      <c r="O2" s="375"/>
      <c r="U2" s="379"/>
      <c r="V2" s="376"/>
      <c r="W2" s="376"/>
      <c r="Y2" s="91">
        <v>19</v>
      </c>
    </row>
    <row r="3" spans="1:38" ht="75.75" thickBot="1" x14ac:dyDescent="0.3">
      <c r="A3" s="46" t="s">
        <v>110</v>
      </c>
      <c r="B3" s="46" t="s">
        <v>256</v>
      </c>
      <c r="C3" s="46" t="s">
        <v>111</v>
      </c>
      <c r="D3" s="46" t="s">
        <v>116</v>
      </c>
      <c r="E3" s="46" t="s">
        <v>117</v>
      </c>
      <c r="F3" s="186" t="s">
        <v>152</v>
      </c>
      <c r="G3" s="46" t="s">
        <v>194</v>
      </c>
      <c r="H3" s="46" t="s">
        <v>197</v>
      </c>
      <c r="I3" s="46" t="s">
        <v>195</v>
      </c>
      <c r="J3" s="46" t="s">
        <v>196</v>
      </c>
      <c r="K3" s="46" t="s">
        <v>198</v>
      </c>
      <c r="L3" s="46" t="s">
        <v>199</v>
      </c>
      <c r="M3" s="186" t="s">
        <v>150</v>
      </c>
      <c r="N3" s="186" t="s">
        <v>156</v>
      </c>
      <c r="O3" s="46" t="s">
        <v>118</v>
      </c>
      <c r="P3" s="46" t="s">
        <v>471</v>
      </c>
      <c r="Q3" s="46" t="s">
        <v>120</v>
      </c>
      <c r="R3" s="186" t="s">
        <v>138</v>
      </c>
      <c r="S3" s="187" t="s">
        <v>163</v>
      </c>
      <c r="T3" s="46" t="s">
        <v>134</v>
      </c>
      <c r="U3" s="186" t="s">
        <v>167</v>
      </c>
      <c r="V3" s="186" t="s">
        <v>164</v>
      </c>
      <c r="W3" s="186" t="s">
        <v>137</v>
      </c>
    </row>
    <row r="4" spans="1:38" ht="17.25" thickTop="1" thickBot="1" x14ac:dyDescent="0.3">
      <c r="A4" s="4">
        <v>1</v>
      </c>
      <c r="B4" s="189" t="s">
        <v>257</v>
      </c>
      <c r="C4" t="s">
        <v>121</v>
      </c>
      <c r="D4" s="47">
        <v>43103</v>
      </c>
      <c r="E4" s="47">
        <v>43123</v>
      </c>
      <c r="F4" s="61" t="s">
        <v>153</v>
      </c>
      <c r="G4" s="100">
        <v>43382.92</v>
      </c>
      <c r="H4" s="53">
        <v>292</v>
      </c>
      <c r="I4" s="100">
        <v>44422</v>
      </c>
      <c r="J4" s="53">
        <v>299</v>
      </c>
      <c r="K4" s="100">
        <f>I4*0.2</f>
        <v>8884.4</v>
      </c>
      <c r="L4" s="100">
        <f>IF(U4 = "Y",K4,0)</f>
        <v>0</v>
      </c>
      <c r="M4" s="53">
        <v>10</v>
      </c>
      <c r="N4" s="53">
        <v>2</v>
      </c>
      <c r="O4" s="53">
        <v>2</v>
      </c>
      <c r="P4" s="56">
        <v>43129</v>
      </c>
      <c r="Q4" s="56">
        <v>43159</v>
      </c>
      <c r="R4" s="58" t="s">
        <v>159</v>
      </c>
      <c r="S4" s="53">
        <f>(DATEDIF(P4,Q4,"d")-1)</f>
        <v>29</v>
      </c>
      <c r="T4" s="53">
        <f>(DATEDIF(E4,Q4,"d")-1)</f>
        <v>35</v>
      </c>
      <c r="U4" s="493" t="str">
        <f t="shared" ref="U4:U6" si="0">IF(S4 &lt;=$Y$2,"Y","N")</f>
        <v>N</v>
      </c>
      <c r="V4" s="78">
        <v>3</v>
      </c>
      <c r="W4" s="78">
        <v>3</v>
      </c>
      <c r="Z4" s="494" t="s">
        <v>487</v>
      </c>
      <c r="AA4" s="495" t="s">
        <v>490</v>
      </c>
      <c r="AB4" s="495"/>
      <c r="AC4" s="495" t="s">
        <v>170</v>
      </c>
      <c r="AD4" s="495"/>
      <c r="AE4" s="495"/>
      <c r="AF4" s="495"/>
      <c r="AG4" s="495"/>
      <c r="AH4" s="495"/>
      <c r="AI4" s="495"/>
      <c r="AJ4" s="495"/>
      <c r="AK4" s="495"/>
      <c r="AL4" s="495"/>
    </row>
    <row r="5" spans="1:38" ht="15.75" thickBot="1" x14ac:dyDescent="0.3">
      <c r="A5" s="33">
        <v>2</v>
      </c>
      <c r="B5" s="189" t="s">
        <v>258</v>
      </c>
      <c r="C5" t="s">
        <v>121</v>
      </c>
      <c r="D5" s="47">
        <v>43103</v>
      </c>
      <c r="E5" s="47">
        <v>43123</v>
      </c>
      <c r="F5" s="61" t="s">
        <v>154</v>
      </c>
      <c r="G5" s="100">
        <v>25619.7</v>
      </c>
      <c r="H5" s="53">
        <v>299</v>
      </c>
      <c r="I5" s="100">
        <v>26280</v>
      </c>
      <c r="J5" s="53">
        <v>299</v>
      </c>
      <c r="K5" s="100">
        <f t="shared" ref="K5:K42" si="1">I5*0.2</f>
        <v>5256</v>
      </c>
      <c r="L5" s="100">
        <f t="shared" ref="L5:L42" si="2">IF(U5 = "Y",K5,0)</f>
        <v>0</v>
      </c>
      <c r="M5" s="53">
        <v>15</v>
      </c>
      <c r="N5" s="53">
        <v>2</v>
      </c>
      <c r="O5" s="53">
        <v>2</v>
      </c>
      <c r="P5" s="56">
        <v>43130</v>
      </c>
      <c r="Q5" s="56">
        <v>43161</v>
      </c>
      <c r="R5" s="58" t="s">
        <v>159</v>
      </c>
      <c r="S5" s="53">
        <f t="shared" ref="S5:S42" si="3">DATEDIF(P5,Q5,"d")-1</f>
        <v>30</v>
      </c>
      <c r="T5" s="53">
        <f t="shared" ref="T5:T42" si="4">DATEDIF(E5,Q5,"d")-1</f>
        <v>37</v>
      </c>
      <c r="U5" s="53" t="str">
        <f t="shared" si="0"/>
        <v>N</v>
      </c>
      <c r="V5" s="78">
        <v>4</v>
      </c>
      <c r="W5" s="78">
        <v>4</v>
      </c>
      <c r="Z5" s="120" t="s">
        <v>488</v>
      </c>
      <c r="AA5" s="381" t="s">
        <v>111</v>
      </c>
      <c r="AB5" s="381"/>
      <c r="AC5" s="305" t="s">
        <v>178</v>
      </c>
      <c r="AD5" s="305"/>
      <c r="AE5" s="305"/>
      <c r="AF5" s="305"/>
      <c r="AG5" s="305"/>
      <c r="AH5" s="305"/>
      <c r="AI5" s="305"/>
      <c r="AJ5" s="305"/>
      <c r="AK5" s="305"/>
      <c r="AL5" s="305"/>
    </row>
    <row r="6" spans="1:38" ht="15.75" thickBot="1" x14ac:dyDescent="0.3">
      <c r="A6" s="71">
        <v>3</v>
      </c>
      <c r="B6" s="71" t="s">
        <v>259</v>
      </c>
      <c r="C6" s="72" t="s">
        <v>121</v>
      </c>
      <c r="D6" s="73">
        <v>43103</v>
      </c>
      <c r="E6" s="73">
        <v>43123</v>
      </c>
      <c r="F6" s="74" t="s">
        <v>155</v>
      </c>
      <c r="G6" s="101">
        <v>41418.26</v>
      </c>
      <c r="H6" s="75">
        <v>393</v>
      </c>
      <c r="I6" s="101">
        <v>42735</v>
      </c>
      <c r="J6" s="75">
        <v>405.5</v>
      </c>
      <c r="K6" s="101">
        <f t="shared" si="1"/>
        <v>8547</v>
      </c>
      <c r="L6" s="101">
        <f t="shared" si="2"/>
        <v>0</v>
      </c>
      <c r="M6" s="75">
        <v>8</v>
      </c>
      <c r="N6" s="75">
        <v>2</v>
      </c>
      <c r="O6" s="75">
        <v>2</v>
      </c>
      <c r="P6" s="76">
        <v>43130</v>
      </c>
      <c r="Q6" s="76">
        <v>43161</v>
      </c>
      <c r="R6" s="77" t="s">
        <v>159</v>
      </c>
      <c r="S6" s="75">
        <f t="shared" si="3"/>
        <v>30</v>
      </c>
      <c r="T6" s="75">
        <f t="shared" si="4"/>
        <v>37</v>
      </c>
      <c r="U6" s="75" t="str">
        <f t="shared" si="0"/>
        <v>N</v>
      </c>
      <c r="V6" s="79">
        <v>3</v>
      </c>
      <c r="W6" s="79">
        <v>2</v>
      </c>
      <c r="Z6" s="120" t="s">
        <v>489</v>
      </c>
      <c r="AA6" s="459" t="s">
        <v>116</v>
      </c>
      <c r="AB6" s="459"/>
      <c r="AC6" s="305" t="s">
        <v>179</v>
      </c>
      <c r="AD6" s="305"/>
      <c r="AE6" s="305"/>
      <c r="AF6" s="305"/>
      <c r="AG6" s="305"/>
      <c r="AH6" s="305"/>
      <c r="AI6" s="305"/>
      <c r="AJ6" s="305"/>
      <c r="AK6" s="305"/>
      <c r="AL6" s="305"/>
    </row>
    <row r="7" spans="1:38" ht="15" customHeight="1" thickBot="1" x14ac:dyDescent="0.3">
      <c r="A7" s="4">
        <v>4</v>
      </c>
      <c r="B7" s="189" t="s">
        <v>260</v>
      </c>
      <c r="C7" t="s">
        <v>122</v>
      </c>
      <c r="D7" s="47">
        <v>43124</v>
      </c>
      <c r="E7" s="47">
        <v>43137</v>
      </c>
      <c r="F7" s="61" t="s">
        <v>153</v>
      </c>
      <c r="G7" s="100">
        <v>53522.36</v>
      </c>
      <c r="H7" s="53">
        <v>384.5</v>
      </c>
      <c r="I7" s="100">
        <v>50307</v>
      </c>
      <c r="J7" s="53">
        <v>359</v>
      </c>
      <c r="K7" s="100">
        <f t="shared" si="1"/>
        <v>10061.400000000001</v>
      </c>
      <c r="L7" s="100">
        <f t="shared" si="2"/>
        <v>0</v>
      </c>
      <c r="M7" s="53">
        <v>14</v>
      </c>
      <c r="N7" s="53">
        <v>3</v>
      </c>
      <c r="O7" s="53">
        <v>3</v>
      </c>
      <c r="P7" s="56">
        <v>43143</v>
      </c>
      <c r="Q7" s="56">
        <v>43168</v>
      </c>
      <c r="R7" s="58" t="s">
        <v>159</v>
      </c>
      <c r="S7" s="53">
        <f t="shared" si="3"/>
        <v>24</v>
      </c>
      <c r="T7" s="75">
        <f t="shared" si="4"/>
        <v>30</v>
      </c>
      <c r="U7" s="53" t="str">
        <f>IF(S7 &lt;=$Y$2,"Y","N")</f>
        <v>N</v>
      </c>
      <c r="V7" s="78">
        <v>4</v>
      </c>
      <c r="W7" s="78">
        <v>3</v>
      </c>
      <c r="Z7" s="120" t="s">
        <v>489</v>
      </c>
      <c r="AA7" s="93" t="s">
        <v>171</v>
      </c>
      <c r="AB7" s="93"/>
      <c r="AC7" s="305" t="s">
        <v>180</v>
      </c>
      <c r="AD7" s="305"/>
      <c r="AE7" s="305"/>
      <c r="AF7" s="305"/>
      <c r="AG7" s="305"/>
      <c r="AH7" s="305"/>
      <c r="AI7" s="305"/>
      <c r="AJ7" s="305"/>
      <c r="AK7" s="305"/>
      <c r="AL7" s="305"/>
    </row>
    <row r="8" spans="1:38" ht="15" customHeight="1" thickBot="1" x14ac:dyDescent="0.3">
      <c r="A8" s="51">
        <v>5</v>
      </c>
      <c r="B8" s="189" t="s">
        <v>261</v>
      </c>
      <c r="C8" t="s">
        <v>122</v>
      </c>
      <c r="D8" s="47">
        <v>43124</v>
      </c>
      <c r="E8" s="47">
        <v>43137</v>
      </c>
      <c r="F8" s="61" t="s">
        <v>154</v>
      </c>
      <c r="G8" s="100">
        <v>28196.47</v>
      </c>
      <c r="H8" s="53">
        <v>319</v>
      </c>
      <c r="I8" s="100">
        <v>26825</v>
      </c>
      <c r="J8" s="53">
        <v>303.5</v>
      </c>
      <c r="K8" s="100">
        <f t="shared" si="1"/>
        <v>5365</v>
      </c>
      <c r="L8" s="100">
        <f t="shared" si="2"/>
        <v>0</v>
      </c>
      <c r="M8" s="53">
        <v>15</v>
      </c>
      <c r="N8" s="53">
        <v>2</v>
      </c>
      <c r="O8" s="53">
        <v>2</v>
      </c>
      <c r="P8" s="56">
        <v>43144</v>
      </c>
      <c r="Q8" s="56">
        <v>43168</v>
      </c>
      <c r="R8" s="58" t="s">
        <v>159</v>
      </c>
      <c r="S8" s="53">
        <f t="shared" si="3"/>
        <v>23</v>
      </c>
      <c r="T8" s="75">
        <f t="shared" si="4"/>
        <v>30</v>
      </c>
      <c r="U8" s="53" t="str">
        <f>IF(S8 &lt;=$Y$2,"Y","N")</f>
        <v>N</v>
      </c>
      <c r="V8" s="78">
        <v>4</v>
      </c>
      <c r="W8" s="78">
        <v>3</v>
      </c>
      <c r="Z8" s="120" t="s">
        <v>488</v>
      </c>
      <c r="AA8" s="93" t="s">
        <v>152</v>
      </c>
      <c r="AB8" s="93"/>
      <c r="AC8" s="305" t="s">
        <v>181</v>
      </c>
      <c r="AD8" s="305"/>
      <c r="AE8" s="305"/>
      <c r="AF8" s="305"/>
      <c r="AG8" s="305"/>
      <c r="AH8" s="305"/>
      <c r="AI8" s="305"/>
      <c r="AJ8" s="305"/>
      <c r="AK8" s="305"/>
      <c r="AL8" s="305"/>
    </row>
    <row r="9" spans="1:38" ht="15" customHeight="1" thickBot="1" x14ac:dyDescent="0.3">
      <c r="A9" s="71">
        <v>6</v>
      </c>
      <c r="B9" s="71" t="s">
        <v>262</v>
      </c>
      <c r="C9" s="72" t="s">
        <v>122</v>
      </c>
      <c r="D9" s="73">
        <v>43124</v>
      </c>
      <c r="E9" s="73">
        <v>43137</v>
      </c>
      <c r="F9" s="74" t="s">
        <v>155</v>
      </c>
      <c r="G9" s="101">
        <v>45320</v>
      </c>
      <c r="H9" s="75">
        <v>400</v>
      </c>
      <c r="I9" s="101">
        <v>45887</v>
      </c>
      <c r="J9" s="75">
        <v>405</v>
      </c>
      <c r="K9" s="101">
        <f t="shared" si="1"/>
        <v>9177.4</v>
      </c>
      <c r="L9" s="101">
        <f t="shared" si="2"/>
        <v>0</v>
      </c>
      <c r="M9" s="75">
        <v>6</v>
      </c>
      <c r="N9" s="75">
        <v>4</v>
      </c>
      <c r="O9" s="75">
        <v>4</v>
      </c>
      <c r="P9" s="76">
        <v>43140</v>
      </c>
      <c r="Q9" s="76">
        <v>43165</v>
      </c>
      <c r="R9" s="77" t="s">
        <v>159</v>
      </c>
      <c r="S9" s="75">
        <f t="shared" si="3"/>
        <v>24</v>
      </c>
      <c r="T9" s="75">
        <f t="shared" si="4"/>
        <v>27</v>
      </c>
      <c r="U9" s="75" t="str">
        <f>IF(S9 &lt;= $Y$2,"Y","N")</f>
        <v>N</v>
      </c>
      <c r="V9" s="79">
        <v>3</v>
      </c>
      <c r="W9" s="79">
        <v>2</v>
      </c>
      <c r="Z9" s="120" t="s">
        <v>488</v>
      </c>
      <c r="AA9" s="93" t="s">
        <v>150</v>
      </c>
      <c r="AB9" s="93"/>
      <c r="AC9" s="305" t="s">
        <v>182</v>
      </c>
      <c r="AD9" s="305"/>
      <c r="AE9" s="305"/>
      <c r="AF9" s="305"/>
      <c r="AG9" s="305"/>
      <c r="AH9" s="305"/>
      <c r="AI9" s="305"/>
      <c r="AJ9" s="305"/>
      <c r="AK9" s="305"/>
      <c r="AL9" s="305"/>
    </row>
    <row r="10" spans="1:38" ht="15.75" thickBot="1" x14ac:dyDescent="0.3">
      <c r="A10" s="4">
        <v>7</v>
      </c>
      <c r="B10" s="189" t="s">
        <v>263</v>
      </c>
      <c r="C10" t="s">
        <v>123</v>
      </c>
      <c r="D10" s="47">
        <v>43138</v>
      </c>
      <c r="E10" s="47">
        <v>43151</v>
      </c>
      <c r="F10" s="61" t="s">
        <v>153</v>
      </c>
      <c r="G10" s="100">
        <v>55285.4</v>
      </c>
      <c r="H10" s="53">
        <v>426</v>
      </c>
      <c r="I10" s="100">
        <v>45452</v>
      </c>
      <c r="J10" s="53">
        <v>346</v>
      </c>
      <c r="K10" s="100">
        <f t="shared" si="1"/>
        <v>9090.4</v>
      </c>
      <c r="L10" s="100">
        <f t="shared" si="2"/>
        <v>0</v>
      </c>
      <c r="M10" s="53">
        <v>15</v>
      </c>
      <c r="N10" s="53">
        <v>3</v>
      </c>
      <c r="O10" s="53">
        <v>3</v>
      </c>
      <c r="P10" s="56">
        <v>43158</v>
      </c>
      <c r="Q10" s="56">
        <v>43182</v>
      </c>
      <c r="R10" s="58" t="s">
        <v>159</v>
      </c>
      <c r="S10" s="53">
        <f t="shared" si="3"/>
        <v>23</v>
      </c>
      <c r="T10" s="75">
        <f t="shared" si="4"/>
        <v>30</v>
      </c>
      <c r="U10" s="53" t="str">
        <f>IF(S10 &lt;= $Y$2,"Y","N")</f>
        <v>N</v>
      </c>
      <c r="V10" s="78">
        <v>4</v>
      </c>
      <c r="W10" s="78">
        <v>4</v>
      </c>
      <c r="Z10" t="s">
        <v>488</v>
      </c>
      <c r="AA10" s="93" t="s">
        <v>156</v>
      </c>
      <c r="AB10" s="93"/>
      <c r="AC10" s="305" t="s">
        <v>183</v>
      </c>
      <c r="AD10" s="305"/>
      <c r="AE10" s="305"/>
      <c r="AF10" s="305"/>
      <c r="AG10" s="305"/>
      <c r="AH10" s="305"/>
      <c r="AI10" s="305"/>
      <c r="AJ10" s="305"/>
      <c r="AK10" s="305"/>
      <c r="AL10" s="305"/>
    </row>
    <row r="11" spans="1:38" ht="15.75" thickBot="1" x14ac:dyDescent="0.3">
      <c r="A11" s="51">
        <v>8</v>
      </c>
      <c r="B11" s="189" t="s">
        <v>264</v>
      </c>
      <c r="C11" t="s">
        <v>123</v>
      </c>
      <c r="D11" s="47">
        <v>43138</v>
      </c>
      <c r="E11" s="47">
        <v>43151</v>
      </c>
      <c r="F11" s="61" t="s">
        <v>154</v>
      </c>
      <c r="G11" s="100">
        <v>26377.45</v>
      </c>
      <c r="H11" s="53">
        <v>321.5</v>
      </c>
      <c r="I11" s="100">
        <v>26825</v>
      </c>
      <c r="J11" s="53">
        <v>327</v>
      </c>
      <c r="K11" s="100">
        <f t="shared" si="1"/>
        <v>5365</v>
      </c>
      <c r="L11" s="100">
        <f t="shared" si="2"/>
        <v>0</v>
      </c>
      <c r="M11" s="53">
        <v>15</v>
      </c>
      <c r="N11" s="53">
        <v>2</v>
      </c>
      <c r="O11" s="53">
        <v>2</v>
      </c>
      <c r="P11" s="56">
        <v>43158</v>
      </c>
      <c r="Q11" s="56">
        <v>43182</v>
      </c>
      <c r="R11" s="58" t="s">
        <v>158</v>
      </c>
      <c r="S11" s="53">
        <f t="shared" si="3"/>
        <v>23</v>
      </c>
      <c r="T11" s="75">
        <f t="shared" si="4"/>
        <v>30</v>
      </c>
      <c r="U11" s="53" t="str">
        <f t="shared" ref="U11:U42" si="5">IF(S11 &lt;= $Y$2,"Y","N")</f>
        <v>N</v>
      </c>
      <c r="V11" s="78">
        <v>1</v>
      </c>
      <c r="W11" s="78">
        <v>3</v>
      </c>
      <c r="Z11" s="120" t="s">
        <v>488</v>
      </c>
      <c r="AA11" s="93" t="s">
        <v>172</v>
      </c>
      <c r="AB11" s="93"/>
      <c r="AC11" s="305" t="s">
        <v>184</v>
      </c>
      <c r="AD11" s="305"/>
      <c r="AE11" s="305"/>
      <c r="AF11" s="305"/>
      <c r="AG11" s="305"/>
      <c r="AH11" s="305"/>
      <c r="AI11" s="305"/>
      <c r="AJ11" s="305"/>
      <c r="AK11" s="305"/>
      <c r="AL11" s="305"/>
    </row>
    <row r="12" spans="1:38" ht="15.75" thickBot="1" x14ac:dyDescent="0.3">
      <c r="A12" s="153">
        <v>9</v>
      </c>
      <c r="B12" s="153" t="s">
        <v>265</v>
      </c>
      <c r="C12" s="154" t="s">
        <v>123</v>
      </c>
      <c r="D12" s="155">
        <v>43138</v>
      </c>
      <c r="E12" s="155">
        <v>43151</v>
      </c>
      <c r="F12" s="156" t="s">
        <v>155</v>
      </c>
      <c r="G12" s="157">
        <v>47485.9</v>
      </c>
      <c r="H12" s="158">
        <v>490</v>
      </c>
      <c r="I12" s="157">
        <v>45887</v>
      </c>
      <c r="J12" s="158">
        <v>473.5</v>
      </c>
      <c r="K12" s="157">
        <f t="shared" si="1"/>
        <v>9177.4</v>
      </c>
      <c r="L12" s="157">
        <f t="shared" si="2"/>
        <v>0</v>
      </c>
      <c r="M12" s="158">
        <v>10</v>
      </c>
      <c r="N12" s="158">
        <v>4</v>
      </c>
      <c r="O12" s="158">
        <v>4</v>
      </c>
      <c r="P12" s="159">
        <v>43154</v>
      </c>
      <c r="Q12" s="159">
        <v>43175</v>
      </c>
      <c r="R12" s="160" t="s">
        <v>159</v>
      </c>
      <c r="S12" s="158">
        <f t="shared" si="3"/>
        <v>20</v>
      </c>
      <c r="T12" s="158">
        <f t="shared" si="4"/>
        <v>23</v>
      </c>
      <c r="U12" s="158" t="str">
        <f t="shared" si="5"/>
        <v>N</v>
      </c>
      <c r="V12" s="161">
        <v>1</v>
      </c>
      <c r="W12" s="161">
        <v>3</v>
      </c>
      <c r="Z12" s="120" t="s">
        <v>489</v>
      </c>
      <c r="AA12" s="93" t="s">
        <v>472</v>
      </c>
      <c r="AB12" s="93"/>
      <c r="AC12" s="305" t="s">
        <v>186</v>
      </c>
      <c r="AD12" s="305"/>
      <c r="AE12" s="305"/>
      <c r="AF12" s="305"/>
      <c r="AG12" s="305"/>
      <c r="AH12" s="305"/>
      <c r="AI12" s="305"/>
      <c r="AJ12" s="305"/>
      <c r="AK12" s="305"/>
      <c r="AL12" s="305"/>
    </row>
    <row r="13" spans="1:38" ht="15.75" thickBot="1" x14ac:dyDescent="0.3">
      <c r="A13" s="4">
        <v>10</v>
      </c>
      <c r="B13" s="189" t="s">
        <v>266</v>
      </c>
      <c r="C13" t="s">
        <v>124</v>
      </c>
      <c r="D13" s="47">
        <v>43152</v>
      </c>
      <c r="E13" s="47">
        <v>43165</v>
      </c>
      <c r="F13" s="61" t="s">
        <v>153</v>
      </c>
      <c r="G13" s="100">
        <v>48706.27</v>
      </c>
      <c r="H13" s="53">
        <v>360.5</v>
      </c>
      <c r="I13" s="100">
        <v>42636</v>
      </c>
      <c r="J13" s="53">
        <v>316</v>
      </c>
      <c r="K13" s="100">
        <f t="shared" si="1"/>
        <v>8527.2000000000007</v>
      </c>
      <c r="L13" s="100">
        <f t="shared" si="2"/>
        <v>0</v>
      </c>
      <c r="M13" s="53">
        <v>11</v>
      </c>
      <c r="N13" s="53">
        <v>3</v>
      </c>
      <c r="O13" s="53">
        <v>3</v>
      </c>
      <c r="P13" s="56">
        <v>43171</v>
      </c>
      <c r="Q13" s="56">
        <v>43192</v>
      </c>
      <c r="R13" s="58" t="s">
        <v>159</v>
      </c>
      <c r="S13" s="53">
        <f t="shared" si="3"/>
        <v>20</v>
      </c>
      <c r="T13" s="75">
        <f t="shared" si="4"/>
        <v>26</v>
      </c>
      <c r="U13" s="53" t="str">
        <f t="shared" si="5"/>
        <v>N</v>
      </c>
      <c r="V13" s="78">
        <v>3</v>
      </c>
      <c r="W13" s="78">
        <v>3</v>
      </c>
      <c r="Z13" s="120" t="s">
        <v>489</v>
      </c>
      <c r="AA13" s="93" t="s">
        <v>173</v>
      </c>
      <c r="AB13" s="93"/>
      <c r="AC13" s="305" t="s">
        <v>185</v>
      </c>
      <c r="AD13" s="305"/>
      <c r="AE13" s="305"/>
      <c r="AF13" s="305"/>
      <c r="AG13" s="305"/>
      <c r="AH13" s="305"/>
      <c r="AI13" s="305"/>
      <c r="AJ13" s="305"/>
      <c r="AK13" s="305"/>
      <c r="AL13" s="305"/>
    </row>
    <row r="14" spans="1:38" ht="15.75" thickBot="1" x14ac:dyDescent="0.3">
      <c r="A14" s="51">
        <v>11</v>
      </c>
      <c r="B14" s="189" t="s">
        <v>267</v>
      </c>
      <c r="C14" t="s">
        <v>124</v>
      </c>
      <c r="D14" s="47">
        <v>43152</v>
      </c>
      <c r="E14" s="47">
        <v>43165</v>
      </c>
      <c r="F14" s="61" t="s">
        <v>154</v>
      </c>
      <c r="G14" s="100">
        <v>36480.339999999997</v>
      </c>
      <c r="H14" s="53">
        <v>397</v>
      </c>
      <c r="I14" s="100">
        <v>30185</v>
      </c>
      <c r="J14" s="53">
        <v>328.5</v>
      </c>
      <c r="K14" s="100">
        <f t="shared" si="1"/>
        <v>6037</v>
      </c>
      <c r="L14" s="100">
        <f t="shared" si="2"/>
        <v>0</v>
      </c>
      <c r="M14" s="53">
        <v>11</v>
      </c>
      <c r="N14" s="53">
        <v>2</v>
      </c>
      <c r="O14" s="53">
        <v>2</v>
      </c>
      <c r="P14" s="56">
        <v>43171</v>
      </c>
      <c r="Q14" s="56">
        <v>43192</v>
      </c>
      <c r="R14" s="58" t="s">
        <v>159</v>
      </c>
      <c r="S14" s="53">
        <f t="shared" si="3"/>
        <v>20</v>
      </c>
      <c r="T14" s="75">
        <f t="shared" si="4"/>
        <v>26</v>
      </c>
      <c r="U14" s="53" t="str">
        <f t="shared" si="5"/>
        <v>N</v>
      </c>
      <c r="V14" s="78">
        <v>3</v>
      </c>
      <c r="W14" s="78">
        <v>3</v>
      </c>
      <c r="Z14" t="s">
        <v>488</v>
      </c>
      <c r="AA14" s="93" t="s">
        <v>174</v>
      </c>
      <c r="AB14" s="93"/>
      <c r="AC14" s="305" t="s">
        <v>187</v>
      </c>
      <c r="AD14" s="305"/>
      <c r="AE14" s="305"/>
      <c r="AF14" s="305"/>
      <c r="AG14" s="305"/>
      <c r="AH14" s="305"/>
      <c r="AI14" s="305"/>
      <c r="AJ14" s="305"/>
      <c r="AK14" s="305"/>
      <c r="AL14" s="305"/>
    </row>
    <row r="15" spans="1:38" ht="15.75" thickBot="1" x14ac:dyDescent="0.3">
      <c r="A15" s="71">
        <v>12</v>
      </c>
      <c r="B15" s="71" t="s">
        <v>268</v>
      </c>
      <c r="C15" s="72" t="s">
        <v>124</v>
      </c>
      <c r="D15" s="73">
        <v>43152</v>
      </c>
      <c r="E15" s="73">
        <v>43165</v>
      </c>
      <c r="F15" s="74" t="s">
        <v>155</v>
      </c>
      <c r="G15" s="101">
        <v>47884.93</v>
      </c>
      <c r="H15" s="75">
        <v>428.5</v>
      </c>
      <c r="I15" s="101">
        <v>42185</v>
      </c>
      <c r="J15" s="75">
        <v>377.5</v>
      </c>
      <c r="K15" s="101">
        <f t="shared" si="1"/>
        <v>8437</v>
      </c>
      <c r="L15" s="101">
        <f t="shared" si="2"/>
        <v>0</v>
      </c>
      <c r="M15" s="75">
        <v>13</v>
      </c>
      <c r="N15" s="75">
        <v>1</v>
      </c>
      <c r="O15" s="75">
        <v>1</v>
      </c>
      <c r="P15" s="76">
        <v>43168</v>
      </c>
      <c r="Q15" s="76">
        <v>43189</v>
      </c>
      <c r="R15" s="77" t="s">
        <v>158</v>
      </c>
      <c r="S15" s="75">
        <f t="shared" si="3"/>
        <v>20</v>
      </c>
      <c r="T15" s="75">
        <f t="shared" si="4"/>
        <v>23</v>
      </c>
      <c r="U15" s="75" t="str">
        <f t="shared" si="5"/>
        <v>N</v>
      </c>
      <c r="V15" s="79">
        <v>1.5</v>
      </c>
      <c r="W15" s="79">
        <v>3</v>
      </c>
      <c r="Z15" t="s">
        <v>489</v>
      </c>
      <c r="AA15" s="93" t="s">
        <v>175</v>
      </c>
      <c r="AB15" s="93"/>
      <c r="AC15" s="305" t="s">
        <v>188</v>
      </c>
      <c r="AD15" s="305"/>
      <c r="AE15" s="305"/>
      <c r="AF15" s="305"/>
      <c r="AG15" s="305"/>
      <c r="AH15" s="305"/>
      <c r="AI15" s="305"/>
      <c r="AJ15" s="305"/>
      <c r="AK15" s="305"/>
      <c r="AL15" s="305"/>
    </row>
    <row r="16" spans="1:38" ht="15.75" thickBot="1" x14ac:dyDescent="0.3">
      <c r="A16" s="4">
        <v>13</v>
      </c>
      <c r="B16" s="189" t="s">
        <v>269</v>
      </c>
      <c r="C16" t="s">
        <v>125</v>
      </c>
      <c r="D16" s="47">
        <v>43166</v>
      </c>
      <c r="E16" s="47">
        <v>43179</v>
      </c>
      <c r="F16" s="61" t="s">
        <v>153</v>
      </c>
      <c r="G16" s="100">
        <v>46003.73</v>
      </c>
      <c r="H16" s="53">
        <v>316.5</v>
      </c>
      <c r="I16" s="100">
        <v>48017</v>
      </c>
      <c r="J16" s="53">
        <v>331</v>
      </c>
      <c r="K16" s="100">
        <f t="shared" si="1"/>
        <v>9603.4</v>
      </c>
      <c r="L16" s="100">
        <f t="shared" si="2"/>
        <v>0</v>
      </c>
      <c r="M16" s="53">
        <v>8</v>
      </c>
      <c r="N16" s="53">
        <v>2</v>
      </c>
      <c r="O16" s="53">
        <v>2</v>
      </c>
      <c r="P16" s="56">
        <v>43182</v>
      </c>
      <c r="Q16" s="56">
        <v>43207</v>
      </c>
      <c r="R16" s="58" t="s">
        <v>159</v>
      </c>
      <c r="S16" s="53">
        <f t="shared" si="3"/>
        <v>24</v>
      </c>
      <c r="T16" s="75">
        <f t="shared" si="4"/>
        <v>27</v>
      </c>
      <c r="U16" s="53" t="str">
        <f t="shared" si="5"/>
        <v>N</v>
      </c>
      <c r="V16" s="78">
        <v>3</v>
      </c>
      <c r="W16" s="78">
        <v>3</v>
      </c>
      <c r="Z16" s="120" t="s">
        <v>489</v>
      </c>
      <c r="AA16" s="93" t="s">
        <v>151</v>
      </c>
      <c r="AB16" s="93"/>
      <c r="AC16" s="305" t="s">
        <v>189</v>
      </c>
      <c r="AD16" s="305"/>
      <c r="AE16" s="305"/>
      <c r="AF16" s="305"/>
      <c r="AG16" s="305"/>
      <c r="AH16" s="305"/>
      <c r="AI16" s="305"/>
      <c r="AJ16" s="305"/>
      <c r="AK16" s="305"/>
      <c r="AL16" s="305"/>
    </row>
    <row r="17" spans="1:38" ht="15.75" thickBot="1" x14ac:dyDescent="0.3">
      <c r="A17" s="51">
        <v>14</v>
      </c>
      <c r="B17" s="189" t="s">
        <v>270</v>
      </c>
      <c r="C17" t="s">
        <v>125</v>
      </c>
      <c r="D17" s="47">
        <v>43166</v>
      </c>
      <c r="E17" s="47">
        <v>43179</v>
      </c>
      <c r="F17" s="61" t="s">
        <v>154</v>
      </c>
      <c r="G17" s="100">
        <v>34222.51</v>
      </c>
      <c r="H17" s="53">
        <v>390</v>
      </c>
      <c r="I17" s="100">
        <v>29835</v>
      </c>
      <c r="J17" s="53">
        <v>340</v>
      </c>
      <c r="K17" s="100">
        <f t="shared" si="1"/>
        <v>5967</v>
      </c>
      <c r="L17" s="100">
        <f t="shared" si="2"/>
        <v>0</v>
      </c>
      <c r="M17" s="53">
        <v>13</v>
      </c>
      <c r="N17" s="53">
        <v>2</v>
      </c>
      <c r="O17" s="53">
        <v>2</v>
      </c>
      <c r="P17" s="56">
        <v>43186</v>
      </c>
      <c r="Q17" s="56">
        <v>43207</v>
      </c>
      <c r="R17" s="58" t="s">
        <v>159</v>
      </c>
      <c r="S17" s="53">
        <f t="shared" si="3"/>
        <v>20</v>
      </c>
      <c r="T17" s="75">
        <f t="shared" si="4"/>
        <v>27</v>
      </c>
      <c r="U17" s="53" t="str">
        <f t="shared" si="5"/>
        <v>N</v>
      </c>
      <c r="V17" s="78">
        <v>4</v>
      </c>
      <c r="W17" s="78">
        <v>4</v>
      </c>
      <c r="Z17" s="120" t="s">
        <v>488</v>
      </c>
      <c r="AA17" s="93" t="s">
        <v>166</v>
      </c>
      <c r="AB17" s="93"/>
      <c r="AC17" s="305" t="s">
        <v>190</v>
      </c>
      <c r="AD17" s="305"/>
      <c r="AE17" s="305"/>
      <c r="AF17" s="305"/>
      <c r="AG17" s="305"/>
      <c r="AH17" s="305"/>
      <c r="AI17" s="305"/>
      <c r="AJ17" s="305"/>
      <c r="AK17" s="305"/>
      <c r="AL17" s="305"/>
    </row>
    <row r="18" spans="1:38" ht="15.75" thickBot="1" x14ac:dyDescent="0.3">
      <c r="A18" s="71">
        <v>15</v>
      </c>
      <c r="B18" s="71" t="s">
        <v>271</v>
      </c>
      <c r="C18" s="72" t="s">
        <v>125</v>
      </c>
      <c r="D18" s="73">
        <v>43166</v>
      </c>
      <c r="E18" s="73">
        <v>43179</v>
      </c>
      <c r="F18" s="74" t="s">
        <v>155</v>
      </c>
      <c r="G18" s="101">
        <v>42389.05</v>
      </c>
      <c r="H18" s="75">
        <v>407</v>
      </c>
      <c r="I18" s="101">
        <v>38745</v>
      </c>
      <c r="J18" s="75">
        <v>372</v>
      </c>
      <c r="K18" s="101">
        <f t="shared" si="1"/>
        <v>7749</v>
      </c>
      <c r="L18" s="101">
        <f t="shared" si="2"/>
        <v>0</v>
      </c>
      <c r="M18" s="75">
        <v>8</v>
      </c>
      <c r="N18" s="75">
        <v>1</v>
      </c>
      <c r="O18" s="75">
        <v>1</v>
      </c>
      <c r="P18" s="76">
        <v>43182</v>
      </c>
      <c r="Q18" s="76">
        <v>43207</v>
      </c>
      <c r="R18" s="77" t="s">
        <v>159</v>
      </c>
      <c r="S18" s="75">
        <f t="shared" si="3"/>
        <v>24</v>
      </c>
      <c r="T18" s="75">
        <f t="shared" si="4"/>
        <v>27</v>
      </c>
      <c r="U18" s="75" t="str">
        <f t="shared" si="5"/>
        <v>N</v>
      </c>
      <c r="V18" s="79">
        <v>1</v>
      </c>
      <c r="W18" s="79">
        <v>2</v>
      </c>
      <c r="Z18" s="120" t="s">
        <v>489</v>
      </c>
      <c r="AA18" s="93" t="s">
        <v>176</v>
      </c>
      <c r="AB18" s="93"/>
      <c r="AC18" s="305" t="s">
        <v>191</v>
      </c>
      <c r="AD18" s="305"/>
      <c r="AE18" s="305"/>
      <c r="AF18" s="305"/>
      <c r="AG18" s="305"/>
      <c r="AH18" s="305"/>
      <c r="AI18" s="305"/>
      <c r="AJ18" s="305"/>
      <c r="AK18" s="305"/>
      <c r="AL18" s="305"/>
    </row>
    <row r="19" spans="1:38" ht="15.75" thickBot="1" x14ac:dyDescent="0.3">
      <c r="A19" s="4">
        <v>16</v>
      </c>
      <c r="B19" s="189" t="s">
        <v>272</v>
      </c>
      <c r="C19" t="s">
        <v>126</v>
      </c>
      <c r="D19" s="47">
        <v>43180</v>
      </c>
      <c r="E19" s="47">
        <v>43193</v>
      </c>
      <c r="F19" s="61" t="s">
        <v>153</v>
      </c>
      <c r="G19" s="100">
        <v>52955.45</v>
      </c>
      <c r="H19" s="53">
        <v>306</v>
      </c>
      <c r="I19" s="100">
        <v>45631</v>
      </c>
      <c r="J19" s="53">
        <v>281</v>
      </c>
      <c r="K19" s="100">
        <f t="shared" si="1"/>
        <v>9126.2000000000007</v>
      </c>
      <c r="L19" s="100">
        <f t="shared" si="2"/>
        <v>0</v>
      </c>
      <c r="M19" s="53">
        <v>9</v>
      </c>
      <c r="N19" s="53">
        <v>4</v>
      </c>
      <c r="O19" s="53">
        <v>4</v>
      </c>
      <c r="P19" s="56">
        <v>43196</v>
      </c>
      <c r="Q19" s="56">
        <v>43217</v>
      </c>
      <c r="R19" s="58" t="s">
        <v>159</v>
      </c>
      <c r="S19" s="53">
        <f t="shared" si="3"/>
        <v>20</v>
      </c>
      <c r="T19" s="75">
        <f t="shared" si="4"/>
        <v>23</v>
      </c>
      <c r="U19" s="53" t="str">
        <f t="shared" si="5"/>
        <v>N</v>
      </c>
      <c r="V19" s="78">
        <v>3</v>
      </c>
      <c r="W19" s="78">
        <v>4</v>
      </c>
      <c r="Z19" s="120" t="s">
        <v>489</v>
      </c>
      <c r="AA19" s="93" t="s">
        <v>177</v>
      </c>
      <c r="AB19" s="93"/>
      <c r="AC19" s="305" t="s">
        <v>486</v>
      </c>
      <c r="AD19" s="305"/>
      <c r="AE19" s="305"/>
      <c r="AF19" s="305"/>
      <c r="AG19" s="305"/>
      <c r="AH19" s="305"/>
      <c r="AI19" s="305"/>
      <c r="AJ19" s="305"/>
      <c r="AK19" s="305"/>
      <c r="AL19" s="305"/>
    </row>
    <row r="20" spans="1:38" ht="15.75" thickBot="1" x14ac:dyDescent="0.3">
      <c r="A20" s="51">
        <v>17</v>
      </c>
      <c r="B20" s="189" t="s">
        <v>273</v>
      </c>
      <c r="C20" t="s">
        <v>126</v>
      </c>
      <c r="D20" s="47">
        <v>43180</v>
      </c>
      <c r="E20" s="47">
        <v>43193</v>
      </c>
      <c r="F20" s="61" t="s">
        <v>154</v>
      </c>
      <c r="G20" s="100">
        <v>34311.69</v>
      </c>
      <c r="H20" s="53">
        <v>481.5</v>
      </c>
      <c r="I20" s="100">
        <v>29360</v>
      </c>
      <c r="J20" s="53">
        <v>412</v>
      </c>
      <c r="K20" s="100">
        <f t="shared" si="1"/>
        <v>5872</v>
      </c>
      <c r="L20" s="100">
        <f t="shared" si="2"/>
        <v>0</v>
      </c>
      <c r="M20" s="53">
        <v>11</v>
      </c>
      <c r="N20" s="53">
        <v>2</v>
      </c>
      <c r="O20" s="53">
        <v>2</v>
      </c>
      <c r="P20" s="56">
        <v>43199</v>
      </c>
      <c r="Q20" s="56">
        <v>43224</v>
      </c>
      <c r="R20" s="58" t="s">
        <v>159</v>
      </c>
      <c r="S20" s="53">
        <f t="shared" si="3"/>
        <v>24</v>
      </c>
      <c r="T20" s="75">
        <f t="shared" si="4"/>
        <v>30</v>
      </c>
      <c r="U20" s="53" t="str">
        <f t="shared" si="5"/>
        <v>N</v>
      </c>
      <c r="V20" s="78">
        <v>4</v>
      </c>
      <c r="W20" s="78">
        <v>4</v>
      </c>
      <c r="Z20" s="120" t="s">
        <v>489</v>
      </c>
      <c r="AA20" s="459" t="s">
        <v>452</v>
      </c>
      <c r="AB20" s="459"/>
      <c r="AC20" s="305" t="s">
        <v>453</v>
      </c>
      <c r="AD20" s="305"/>
      <c r="AE20" s="305"/>
      <c r="AF20" s="305"/>
      <c r="AG20" s="305"/>
      <c r="AH20" s="305"/>
      <c r="AI20" s="305"/>
      <c r="AJ20" s="305"/>
      <c r="AK20" s="305"/>
      <c r="AL20" s="305"/>
    </row>
    <row r="21" spans="1:38" ht="15.75" thickBot="1" x14ac:dyDescent="0.3">
      <c r="A21" s="128">
        <v>18</v>
      </c>
      <c r="B21" s="128" t="s">
        <v>274</v>
      </c>
      <c r="C21" s="129" t="s">
        <v>126</v>
      </c>
      <c r="D21" s="130">
        <v>43180</v>
      </c>
      <c r="E21" s="130">
        <v>43193</v>
      </c>
      <c r="F21" s="131" t="s">
        <v>155</v>
      </c>
      <c r="G21" s="132">
        <v>40789.879999999997</v>
      </c>
      <c r="H21" s="133">
        <v>262.5</v>
      </c>
      <c r="I21" s="132">
        <v>37915</v>
      </c>
      <c r="J21" s="133">
        <v>244</v>
      </c>
      <c r="K21" s="132">
        <f t="shared" si="1"/>
        <v>7583</v>
      </c>
      <c r="L21" s="132">
        <f t="shared" si="2"/>
        <v>7583</v>
      </c>
      <c r="M21" s="133">
        <v>6</v>
      </c>
      <c r="N21" s="133">
        <v>1</v>
      </c>
      <c r="O21" s="133">
        <v>1</v>
      </c>
      <c r="P21" s="134">
        <v>43196</v>
      </c>
      <c r="Q21" s="134">
        <v>43207</v>
      </c>
      <c r="R21" s="135" t="s">
        <v>158</v>
      </c>
      <c r="S21" s="133">
        <f t="shared" si="3"/>
        <v>10</v>
      </c>
      <c r="T21" s="133">
        <f t="shared" si="4"/>
        <v>13</v>
      </c>
      <c r="U21" s="133" t="str">
        <f t="shared" si="5"/>
        <v>Y</v>
      </c>
      <c r="V21" s="136">
        <v>1</v>
      </c>
      <c r="W21" s="136">
        <v>1</v>
      </c>
      <c r="Z21" s="120" t="s">
        <v>489</v>
      </c>
      <c r="AA21" s="459" t="s">
        <v>195</v>
      </c>
      <c r="AB21" s="459"/>
      <c r="AC21" s="305" t="s">
        <v>454</v>
      </c>
      <c r="AD21" s="305"/>
      <c r="AE21" s="305"/>
      <c r="AF21" s="305"/>
      <c r="AG21" s="305"/>
      <c r="AH21" s="305"/>
      <c r="AI21" s="305"/>
      <c r="AJ21" s="305"/>
      <c r="AK21" s="305"/>
      <c r="AL21" s="305"/>
    </row>
    <row r="22" spans="1:38" ht="16.5" thickTop="1" thickBot="1" x14ac:dyDescent="0.3">
      <c r="A22" s="4">
        <v>19</v>
      </c>
      <c r="B22" s="189" t="s">
        <v>275</v>
      </c>
      <c r="C22" t="s">
        <v>127</v>
      </c>
      <c r="D22" s="47">
        <v>43194</v>
      </c>
      <c r="E22" s="47">
        <v>43207</v>
      </c>
      <c r="F22" s="61" t="s">
        <v>153</v>
      </c>
      <c r="G22" s="100">
        <v>48697.2</v>
      </c>
      <c r="H22" s="53">
        <v>294</v>
      </c>
      <c r="I22" s="100">
        <v>46973</v>
      </c>
      <c r="J22" s="53">
        <v>255.7</v>
      </c>
      <c r="K22" s="100">
        <f t="shared" si="1"/>
        <v>9394.6</v>
      </c>
      <c r="L22" s="100">
        <f t="shared" si="2"/>
        <v>0</v>
      </c>
      <c r="M22" s="53">
        <v>10</v>
      </c>
      <c r="N22" s="53">
        <v>5</v>
      </c>
      <c r="O22" s="53">
        <v>5</v>
      </c>
      <c r="P22" s="56">
        <v>43213</v>
      </c>
      <c r="Q22" s="56">
        <v>43235</v>
      </c>
      <c r="R22" s="58" t="s">
        <v>159</v>
      </c>
      <c r="S22" s="53">
        <f t="shared" si="3"/>
        <v>21</v>
      </c>
      <c r="T22" s="75">
        <f t="shared" si="4"/>
        <v>27</v>
      </c>
      <c r="U22" s="53" t="str">
        <f t="shared" si="5"/>
        <v>N</v>
      </c>
      <c r="V22" s="78">
        <v>4</v>
      </c>
      <c r="W22" s="78">
        <v>4</v>
      </c>
      <c r="Z22" s="120" t="s">
        <v>489</v>
      </c>
      <c r="AA22" s="459" t="s">
        <v>197</v>
      </c>
      <c r="AB22" s="459"/>
      <c r="AC22" s="309" t="s">
        <v>455</v>
      </c>
      <c r="AD22" s="309"/>
      <c r="AE22" s="309"/>
      <c r="AF22" s="309"/>
      <c r="AG22" s="309"/>
      <c r="AH22" s="309"/>
      <c r="AI22" s="309"/>
      <c r="AJ22" s="309"/>
      <c r="AK22" s="309"/>
      <c r="AL22" s="309"/>
    </row>
    <row r="23" spans="1:38" ht="15.75" thickBot="1" x14ac:dyDescent="0.3">
      <c r="A23" s="51">
        <v>20</v>
      </c>
      <c r="B23" s="189" t="s">
        <v>276</v>
      </c>
      <c r="C23" t="s">
        <v>127</v>
      </c>
      <c r="D23" s="47">
        <v>43194</v>
      </c>
      <c r="E23" s="47">
        <v>43207</v>
      </c>
      <c r="F23" s="61" t="s">
        <v>154</v>
      </c>
      <c r="G23" s="100">
        <v>21643.51</v>
      </c>
      <c r="H23" s="53">
        <v>282</v>
      </c>
      <c r="I23" s="100">
        <v>24905</v>
      </c>
      <c r="J23" s="53">
        <v>324.5</v>
      </c>
      <c r="K23" s="100">
        <f t="shared" si="1"/>
        <v>4981</v>
      </c>
      <c r="L23" s="100">
        <f t="shared" si="2"/>
        <v>0</v>
      </c>
      <c r="M23" s="53">
        <v>11</v>
      </c>
      <c r="N23" s="53">
        <v>2</v>
      </c>
      <c r="O23" s="53">
        <v>2</v>
      </c>
      <c r="P23" s="56">
        <v>43213</v>
      </c>
      <c r="Q23" s="56">
        <v>43235</v>
      </c>
      <c r="R23" s="58" t="s">
        <v>159</v>
      </c>
      <c r="S23" s="53">
        <f t="shared" si="3"/>
        <v>21</v>
      </c>
      <c r="T23" s="75">
        <f t="shared" si="4"/>
        <v>27</v>
      </c>
      <c r="U23" s="53" t="str">
        <f t="shared" si="5"/>
        <v>N</v>
      </c>
      <c r="V23" s="78">
        <v>4</v>
      </c>
      <c r="W23" s="78">
        <v>4</v>
      </c>
      <c r="Z23" s="496" t="s">
        <v>489</v>
      </c>
      <c r="AA23" s="497" t="s">
        <v>196</v>
      </c>
      <c r="AB23" s="497"/>
      <c r="AC23" s="498" t="s">
        <v>456</v>
      </c>
      <c r="AD23" s="498"/>
      <c r="AE23" s="498"/>
      <c r="AF23" s="498"/>
      <c r="AG23" s="498"/>
      <c r="AH23" s="498"/>
      <c r="AI23" s="498"/>
      <c r="AJ23" s="498"/>
      <c r="AK23" s="498"/>
      <c r="AL23" s="498"/>
    </row>
    <row r="24" spans="1:38" ht="15.75" thickBot="1" x14ac:dyDescent="0.3">
      <c r="A24" s="71">
        <v>21</v>
      </c>
      <c r="B24" s="71" t="s">
        <v>277</v>
      </c>
      <c r="C24" s="72" t="s">
        <v>127</v>
      </c>
      <c r="D24" s="73">
        <v>43194</v>
      </c>
      <c r="E24" s="73">
        <v>43207</v>
      </c>
      <c r="F24" s="74" t="s">
        <v>155</v>
      </c>
      <c r="G24" s="101">
        <v>36031.440000000002</v>
      </c>
      <c r="H24" s="75">
        <v>297</v>
      </c>
      <c r="I24" s="101">
        <v>34272</v>
      </c>
      <c r="J24" s="75">
        <v>282.5</v>
      </c>
      <c r="K24" s="101">
        <f t="shared" si="1"/>
        <v>6854.4000000000005</v>
      </c>
      <c r="L24" s="101">
        <f t="shared" si="2"/>
        <v>6854.4000000000005</v>
      </c>
      <c r="M24" s="75">
        <v>5</v>
      </c>
      <c r="N24" s="75">
        <v>1</v>
      </c>
      <c r="O24" s="75">
        <v>1</v>
      </c>
      <c r="P24" s="76">
        <v>43210</v>
      </c>
      <c r="Q24" s="76">
        <v>43228</v>
      </c>
      <c r="R24" s="77" t="s">
        <v>158</v>
      </c>
      <c r="S24" s="75">
        <f t="shared" si="3"/>
        <v>17</v>
      </c>
      <c r="T24" s="75">
        <f t="shared" si="4"/>
        <v>20</v>
      </c>
      <c r="U24" s="75" t="str">
        <f t="shared" si="5"/>
        <v>Y</v>
      </c>
      <c r="V24" s="79">
        <v>1</v>
      </c>
      <c r="W24" s="79">
        <v>1</v>
      </c>
    </row>
    <row r="25" spans="1:38" ht="15.75" thickBot="1" x14ac:dyDescent="0.3">
      <c r="A25" s="4">
        <v>22</v>
      </c>
      <c r="B25" s="189" t="s">
        <v>278</v>
      </c>
      <c r="C25" t="s">
        <v>128</v>
      </c>
      <c r="D25" s="47">
        <v>43208</v>
      </c>
      <c r="E25" s="47">
        <v>43221</v>
      </c>
      <c r="F25" s="61" t="s">
        <v>153</v>
      </c>
      <c r="G25" s="100">
        <v>49495.95</v>
      </c>
      <c r="H25" s="53">
        <v>303.5</v>
      </c>
      <c r="I25" s="100">
        <v>49220</v>
      </c>
      <c r="J25" s="53">
        <v>302</v>
      </c>
      <c r="K25" s="100">
        <f t="shared" si="1"/>
        <v>9844</v>
      </c>
      <c r="L25" s="100">
        <f t="shared" si="2"/>
        <v>0</v>
      </c>
      <c r="M25" s="53">
        <v>10</v>
      </c>
      <c r="N25" s="53">
        <v>3</v>
      </c>
      <c r="O25" s="53">
        <v>3</v>
      </c>
      <c r="P25" s="56">
        <v>43227</v>
      </c>
      <c r="Q25" s="56">
        <v>43249</v>
      </c>
      <c r="R25" s="58" t="s">
        <v>159</v>
      </c>
      <c r="S25" s="53">
        <f t="shared" si="3"/>
        <v>21</v>
      </c>
      <c r="T25" s="75">
        <f t="shared" si="4"/>
        <v>27</v>
      </c>
      <c r="U25" s="53" t="str">
        <f t="shared" si="5"/>
        <v>N</v>
      </c>
      <c r="V25" s="78">
        <v>4</v>
      </c>
      <c r="W25" s="78">
        <v>4</v>
      </c>
    </row>
    <row r="26" spans="1:38" ht="15.75" thickBot="1" x14ac:dyDescent="0.3">
      <c r="A26" s="51">
        <v>23</v>
      </c>
      <c r="B26" s="189" t="s">
        <v>279</v>
      </c>
      <c r="C26" t="s">
        <v>128</v>
      </c>
      <c r="D26" s="47">
        <v>43208</v>
      </c>
      <c r="E26" s="47">
        <v>43221</v>
      </c>
      <c r="F26" s="61" t="s">
        <v>154</v>
      </c>
      <c r="G26" s="100">
        <v>20604.61</v>
      </c>
      <c r="H26" s="53">
        <v>251</v>
      </c>
      <c r="I26" s="100">
        <v>20933</v>
      </c>
      <c r="J26" s="53">
        <v>255</v>
      </c>
      <c r="K26" s="100">
        <f t="shared" si="1"/>
        <v>4186.6000000000004</v>
      </c>
      <c r="L26" s="100">
        <f t="shared" si="2"/>
        <v>0</v>
      </c>
      <c r="M26" s="53">
        <v>11</v>
      </c>
      <c r="N26" s="53">
        <v>1</v>
      </c>
      <c r="O26" s="53">
        <v>1</v>
      </c>
      <c r="P26" s="56">
        <v>43227</v>
      </c>
      <c r="Q26" s="56">
        <v>43249</v>
      </c>
      <c r="R26" s="58" t="s">
        <v>158</v>
      </c>
      <c r="S26" s="53">
        <f t="shared" si="3"/>
        <v>21</v>
      </c>
      <c r="T26" s="75">
        <f t="shared" si="4"/>
        <v>27</v>
      </c>
      <c r="U26" s="53" t="str">
        <f t="shared" si="5"/>
        <v>N</v>
      </c>
      <c r="V26" s="78">
        <v>1</v>
      </c>
      <c r="W26" s="78">
        <v>3</v>
      </c>
    </row>
    <row r="27" spans="1:38" ht="15.75" thickBot="1" x14ac:dyDescent="0.3">
      <c r="A27" s="71">
        <v>24</v>
      </c>
      <c r="B27" s="71" t="s">
        <v>280</v>
      </c>
      <c r="C27" s="72" t="s">
        <v>128</v>
      </c>
      <c r="D27" s="73">
        <v>43208</v>
      </c>
      <c r="E27" s="73">
        <v>43221</v>
      </c>
      <c r="F27" s="74" t="s">
        <v>155</v>
      </c>
      <c r="G27" s="101">
        <v>37517.21</v>
      </c>
      <c r="H27" s="75">
        <v>379</v>
      </c>
      <c r="I27" s="101">
        <v>35685</v>
      </c>
      <c r="J27" s="75">
        <v>360.5</v>
      </c>
      <c r="K27" s="101">
        <f t="shared" si="1"/>
        <v>7137</v>
      </c>
      <c r="L27" s="101">
        <f t="shared" si="2"/>
        <v>0</v>
      </c>
      <c r="M27" s="75">
        <v>7</v>
      </c>
      <c r="N27" s="75">
        <v>2</v>
      </c>
      <c r="O27" s="75">
        <v>2</v>
      </c>
      <c r="P27" s="76">
        <v>43224</v>
      </c>
      <c r="Q27" s="76">
        <v>43249</v>
      </c>
      <c r="R27" s="77" t="s">
        <v>159</v>
      </c>
      <c r="S27" s="75">
        <f t="shared" si="3"/>
        <v>24</v>
      </c>
      <c r="T27" s="75">
        <f t="shared" si="4"/>
        <v>27</v>
      </c>
      <c r="U27" s="75" t="str">
        <f t="shared" si="5"/>
        <v>N</v>
      </c>
      <c r="V27" s="79">
        <v>1</v>
      </c>
      <c r="W27" s="79">
        <v>2</v>
      </c>
    </row>
    <row r="28" spans="1:38" ht="15.75" thickBot="1" x14ac:dyDescent="0.3">
      <c r="A28" s="4">
        <v>25</v>
      </c>
      <c r="B28" s="189" t="s">
        <v>281</v>
      </c>
      <c r="C28" t="s">
        <v>129</v>
      </c>
      <c r="D28" s="47">
        <v>43222</v>
      </c>
      <c r="E28" s="47">
        <v>43235</v>
      </c>
      <c r="F28" s="61" t="s">
        <v>153</v>
      </c>
      <c r="G28" s="100">
        <v>56974.53</v>
      </c>
      <c r="H28" s="53">
        <v>387</v>
      </c>
      <c r="I28" s="100">
        <v>48260</v>
      </c>
      <c r="J28" s="53">
        <v>329.5</v>
      </c>
      <c r="K28" s="100">
        <f t="shared" si="1"/>
        <v>9652</v>
      </c>
      <c r="L28" s="100">
        <f t="shared" si="2"/>
        <v>0</v>
      </c>
      <c r="M28" s="53">
        <v>14</v>
      </c>
      <c r="N28" s="53">
        <v>4</v>
      </c>
      <c r="O28" s="53">
        <v>4</v>
      </c>
      <c r="P28" s="56">
        <v>43241</v>
      </c>
      <c r="Q28" s="56">
        <v>43263</v>
      </c>
      <c r="R28" s="58" t="s">
        <v>159</v>
      </c>
      <c r="S28" s="53">
        <f t="shared" si="3"/>
        <v>21</v>
      </c>
      <c r="T28" s="75">
        <f t="shared" si="4"/>
        <v>27</v>
      </c>
      <c r="U28" s="53" t="str">
        <f t="shared" si="5"/>
        <v>N</v>
      </c>
      <c r="V28" s="78">
        <v>4</v>
      </c>
      <c r="W28" s="78">
        <v>5</v>
      </c>
    </row>
    <row r="29" spans="1:38" ht="15.75" thickBot="1" x14ac:dyDescent="0.3">
      <c r="A29" s="51">
        <v>26</v>
      </c>
      <c r="B29" s="189" t="s">
        <v>282</v>
      </c>
      <c r="C29" t="s">
        <v>129</v>
      </c>
      <c r="D29" s="47">
        <v>43222</v>
      </c>
      <c r="E29" s="47">
        <v>43235</v>
      </c>
      <c r="F29" s="61" t="s">
        <v>154</v>
      </c>
      <c r="G29" s="100">
        <v>24798.53</v>
      </c>
      <c r="H29" s="53">
        <v>285.5</v>
      </c>
      <c r="I29" s="100">
        <v>19150</v>
      </c>
      <c r="J29" s="53">
        <v>220.5</v>
      </c>
      <c r="K29" s="100">
        <f t="shared" si="1"/>
        <v>3830</v>
      </c>
      <c r="L29" s="100">
        <f t="shared" si="2"/>
        <v>0</v>
      </c>
      <c r="M29" s="53">
        <v>10</v>
      </c>
      <c r="N29" s="53">
        <v>1</v>
      </c>
      <c r="O29" s="53">
        <v>1</v>
      </c>
      <c r="P29" s="56">
        <v>43238</v>
      </c>
      <c r="Q29" s="56">
        <v>43263</v>
      </c>
      <c r="R29" s="58" t="s">
        <v>158</v>
      </c>
      <c r="S29" s="53">
        <f t="shared" si="3"/>
        <v>24</v>
      </c>
      <c r="T29" s="75">
        <f t="shared" si="4"/>
        <v>27</v>
      </c>
      <c r="U29" s="53" t="str">
        <f t="shared" si="5"/>
        <v>N</v>
      </c>
      <c r="V29" s="78">
        <v>1</v>
      </c>
      <c r="W29" s="78">
        <v>3</v>
      </c>
    </row>
    <row r="30" spans="1:38" ht="15.75" thickBot="1" x14ac:dyDescent="0.3">
      <c r="A30" s="153">
        <v>27</v>
      </c>
      <c r="B30" s="153" t="s">
        <v>283</v>
      </c>
      <c r="C30" s="154" t="s">
        <v>129</v>
      </c>
      <c r="D30" s="155">
        <v>43222</v>
      </c>
      <c r="E30" s="155">
        <v>43235</v>
      </c>
      <c r="F30" s="156" t="s">
        <v>155</v>
      </c>
      <c r="G30" s="157">
        <v>28811.25</v>
      </c>
      <c r="H30" s="158">
        <v>177</v>
      </c>
      <c r="I30" s="157">
        <v>30439</v>
      </c>
      <c r="J30" s="158">
        <v>187</v>
      </c>
      <c r="K30" s="157">
        <f t="shared" si="1"/>
        <v>6087.8</v>
      </c>
      <c r="L30" s="157">
        <f t="shared" si="2"/>
        <v>6087.8</v>
      </c>
      <c r="M30" s="158">
        <v>5</v>
      </c>
      <c r="N30" s="158">
        <v>2</v>
      </c>
      <c r="O30" s="158">
        <v>2</v>
      </c>
      <c r="P30" s="159">
        <v>43238</v>
      </c>
      <c r="Q30" s="159">
        <v>43252</v>
      </c>
      <c r="R30" s="160" t="s">
        <v>158</v>
      </c>
      <c r="S30" s="158">
        <f t="shared" si="3"/>
        <v>13</v>
      </c>
      <c r="T30" s="158">
        <f t="shared" si="4"/>
        <v>16</v>
      </c>
      <c r="U30" s="158" t="str">
        <f t="shared" si="5"/>
        <v>Y</v>
      </c>
      <c r="V30" s="161">
        <v>1</v>
      </c>
      <c r="W30" s="161">
        <v>1</v>
      </c>
    </row>
    <row r="31" spans="1:38" ht="15.75" thickBot="1" x14ac:dyDescent="0.3">
      <c r="A31" s="4">
        <v>28</v>
      </c>
      <c r="B31" s="189" t="s">
        <v>284</v>
      </c>
      <c r="C31" t="s">
        <v>130</v>
      </c>
      <c r="D31" s="47">
        <v>43236</v>
      </c>
      <c r="E31" s="47">
        <v>43249</v>
      </c>
      <c r="F31" s="61" t="s">
        <v>153</v>
      </c>
      <c r="G31" s="100">
        <v>54053.36</v>
      </c>
      <c r="H31" s="53">
        <v>445</v>
      </c>
      <c r="I31" s="100">
        <v>48260</v>
      </c>
      <c r="J31" s="53">
        <v>402</v>
      </c>
      <c r="K31" s="100">
        <f t="shared" si="1"/>
        <v>9652</v>
      </c>
      <c r="L31" s="100">
        <f t="shared" si="2"/>
        <v>0</v>
      </c>
      <c r="M31" s="53">
        <v>15</v>
      </c>
      <c r="N31" s="53">
        <v>4</v>
      </c>
      <c r="O31" s="53">
        <v>4</v>
      </c>
      <c r="P31" s="56">
        <v>43255</v>
      </c>
      <c r="Q31" s="56">
        <v>43280</v>
      </c>
      <c r="R31" s="58" t="s">
        <v>159</v>
      </c>
      <c r="S31" s="53">
        <f t="shared" si="3"/>
        <v>24</v>
      </c>
      <c r="T31" s="75">
        <f t="shared" si="4"/>
        <v>30</v>
      </c>
      <c r="U31" s="53" t="str">
        <f t="shared" si="5"/>
        <v>N</v>
      </c>
      <c r="V31" s="78">
        <v>4</v>
      </c>
      <c r="W31" s="78">
        <v>5</v>
      </c>
    </row>
    <row r="32" spans="1:38" ht="15.75" thickBot="1" x14ac:dyDescent="0.3">
      <c r="A32" s="51">
        <v>29</v>
      </c>
      <c r="B32" s="189" t="s">
        <v>285</v>
      </c>
      <c r="C32" t="s">
        <v>130</v>
      </c>
      <c r="D32" s="47">
        <v>43236</v>
      </c>
      <c r="E32" s="47">
        <v>43249</v>
      </c>
      <c r="F32" s="61" t="s">
        <v>154</v>
      </c>
      <c r="G32" s="100">
        <v>27749.46</v>
      </c>
      <c r="H32" s="53">
        <v>313</v>
      </c>
      <c r="I32" s="100">
        <v>23095</v>
      </c>
      <c r="J32" s="53">
        <v>260.5</v>
      </c>
      <c r="K32" s="100">
        <f t="shared" si="1"/>
        <v>4619</v>
      </c>
      <c r="L32" s="100">
        <f t="shared" si="2"/>
        <v>4619</v>
      </c>
      <c r="M32" s="53">
        <v>4</v>
      </c>
      <c r="N32" s="53">
        <v>1</v>
      </c>
      <c r="O32" s="53">
        <v>1</v>
      </c>
      <c r="P32" s="56">
        <v>43252</v>
      </c>
      <c r="Q32" s="56">
        <v>43263</v>
      </c>
      <c r="R32" s="58" t="s">
        <v>158</v>
      </c>
      <c r="S32" s="53">
        <f t="shared" si="3"/>
        <v>10</v>
      </c>
      <c r="T32" s="75">
        <f t="shared" si="4"/>
        <v>13</v>
      </c>
      <c r="U32" s="53" t="str">
        <f t="shared" si="5"/>
        <v>Y</v>
      </c>
      <c r="V32" s="78">
        <v>1</v>
      </c>
      <c r="W32" s="78">
        <v>2</v>
      </c>
    </row>
    <row r="33" spans="1:53" ht="15.75" thickBot="1" x14ac:dyDescent="0.3">
      <c r="A33" s="71">
        <v>30</v>
      </c>
      <c r="B33" s="71" t="s">
        <v>286</v>
      </c>
      <c r="C33" s="72" t="s">
        <v>130</v>
      </c>
      <c r="D33" s="73">
        <v>43236</v>
      </c>
      <c r="E33" s="73">
        <v>43249</v>
      </c>
      <c r="F33" s="74" t="s">
        <v>155</v>
      </c>
      <c r="G33" s="101">
        <v>51507.18</v>
      </c>
      <c r="H33" s="75">
        <v>305</v>
      </c>
      <c r="I33" s="101">
        <v>32002</v>
      </c>
      <c r="J33" s="75">
        <v>189.5</v>
      </c>
      <c r="K33" s="101">
        <f t="shared" si="1"/>
        <v>6400.4000000000005</v>
      </c>
      <c r="L33" s="101">
        <f t="shared" si="2"/>
        <v>6400.4000000000005</v>
      </c>
      <c r="M33" s="75">
        <v>5</v>
      </c>
      <c r="N33" s="75">
        <v>2</v>
      </c>
      <c r="O33" s="75">
        <v>2</v>
      </c>
      <c r="P33" s="76">
        <v>43252</v>
      </c>
      <c r="Q33" s="76">
        <v>43263</v>
      </c>
      <c r="R33" s="77" t="s">
        <v>158</v>
      </c>
      <c r="S33" s="75">
        <f t="shared" si="3"/>
        <v>10</v>
      </c>
      <c r="T33" s="75">
        <f t="shared" si="4"/>
        <v>13</v>
      </c>
      <c r="U33" s="75" t="str">
        <f t="shared" si="5"/>
        <v>Y</v>
      </c>
      <c r="V33" s="79">
        <v>1</v>
      </c>
      <c r="W33" s="79">
        <v>1</v>
      </c>
    </row>
    <row r="34" spans="1:53" ht="15.75" thickBot="1" x14ac:dyDescent="0.3">
      <c r="A34" s="4">
        <v>31</v>
      </c>
      <c r="B34" s="189" t="s">
        <v>287</v>
      </c>
      <c r="C34" t="s">
        <v>131</v>
      </c>
      <c r="D34" s="47">
        <v>43250</v>
      </c>
      <c r="E34" s="47">
        <v>43263</v>
      </c>
      <c r="F34" s="61" t="s">
        <v>153</v>
      </c>
      <c r="G34" s="100">
        <v>44117.79</v>
      </c>
      <c r="H34" s="53">
        <v>325.5</v>
      </c>
      <c r="I34" s="100">
        <v>43956</v>
      </c>
      <c r="J34" s="53">
        <v>324</v>
      </c>
      <c r="K34" s="100">
        <f t="shared" si="1"/>
        <v>8791.2000000000007</v>
      </c>
      <c r="L34" s="100">
        <f t="shared" si="2"/>
        <v>0</v>
      </c>
      <c r="M34" s="53">
        <v>15</v>
      </c>
      <c r="N34" s="53">
        <v>4</v>
      </c>
      <c r="O34" s="53">
        <v>4</v>
      </c>
      <c r="P34" s="56">
        <v>43269</v>
      </c>
      <c r="Q34" s="56">
        <v>43294</v>
      </c>
      <c r="R34" s="58" t="s">
        <v>159</v>
      </c>
      <c r="S34" s="53">
        <f t="shared" si="3"/>
        <v>24</v>
      </c>
      <c r="T34" s="75">
        <f t="shared" si="4"/>
        <v>30</v>
      </c>
      <c r="U34" s="53" t="str">
        <f t="shared" si="5"/>
        <v>N</v>
      </c>
      <c r="V34" s="78">
        <v>4</v>
      </c>
      <c r="W34" s="78">
        <v>5</v>
      </c>
    </row>
    <row r="35" spans="1:53" ht="15.75" thickBot="1" x14ac:dyDescent="0.3">
      <c r="A35" s="51">
        <v>32</v>
      </c>
      <c r="B35" s="189" t="s">
        <v>288</v>
      </c>
      <c r="C35" t="s">
        <v>131</v>
      </c>
      <c r="D35" s="47">
        <v>43250</v>
      </c>
      <c r="E35" s="47">
        <v>43263</v>
      </c>
      <c r="F35" s="61" t="s">
        <v>154</v>
      </c>
      <c r="G35" s="100">
        <v>33364.339999999997</v>
      </c>
      <c r="H35" s="53">
        <v>317.5</v>
      </c>
      <c r="I35" s="100">
        <v>21960</v>
      </c>
      <c r="J35" s="53">
        <v>207</v>
      </c>
      <c r="K35" s="100">
        <f t="shared" si="1"/>
        <v>4392</v>
      </c>
      <c r="L35" s="100">
        <f t="shared" si="2"/>
        <v>4392</v>
      </c>
      <c r="M35" s="53">
        <v>6</v>
      </c>
      <c r="N35" s="53">
        <v>1</v>
      </c>
      <c r="O35" s="53">
        <v>1</v>
      </c>
      <c r="P35" s="56">
        <v>43266</v>
      </c>
      <c r="Q35" s="56">
        <v>43284</v>
      </c>
      <c r="R35" s="58" t="s">
        <v>158</v>
      </c>
      <c r="S35" s="53">
        <f t="shared" si="3"/>
        <v>17</v>
      </c>
      <c r="T35" s="75">
        <f t="shared" si="4"/>
        <v>20</v>
      </c>
      <c r="U35" s="53" t="str">
        <f t="shared" si="5"/>
        <v>Y</v>
      </c>
      <c r="V35" s="78">
        <v>1</v>
      </c>
      <c r="W35" s="78">
        <v>2</v>
      </c>
    </row>
    <row r="36" spans="1:53" ht="15.75" thickBot="1" x14ac:dyDescent="0.3">
      <c r="A36" s="71">
        <v>33</v>
      </c>
      <c r="B36" s="71" t="s">
        <v>289</v>
      </c>
      <c r="C36" s="72" t="s">
        <v>131</v>
      </c>
      <c r="D36" s="73">
        <v>43250</v>
      </c>
      <c r="E36" s="73">
        <v>43263</v>
      </c>
      <c r="F36" s="74" t="s">
        <v>155</v>
      </c>
      <c r="G36" s="101">
        <v>37863.46</v>
      </c>
      <c r="H36" s="75">
        <v>264</v>
      </c>
      <c r="I36" s="101">
        <v>34995</v>
      </c>
      <c r="J36" s="75">
        <v>244</v>
      </c>
      <c r="K36" s="101">
        <f t="shared" si="1"/>
        <v>6999</v>
      </c>
      <c r="L36" s="101">
        <f t="shared" si="2"/>
        <v>0</v>
      </c>
      <c r="M36" s="75">
        <v>6</v>
      </c>
      <c r="N36" s="75">
        <v>2</v>
      </c>
      <c r="O36" s="75">
        <v>2</v>
      </c>
      <c r="P36" s="76">
        <v>43266</v>
      </c>
      <c r="Q36" s="76">
        <v>43294</v>
      </c>
      <c r="R36" s="77" t="s">
        <v>159</v>
      </c>
      <c r="S36" s="75">
        <f t="shared" si="3"/>
        <v>27</v>
      </c>
      <c r="T36" s="75">
        <f t="shared" si="4"/>
        <v>30</v>
      </c>
      <c r="U36" s="75" t="str">
        <f t="shared" si="5"/>
        <v>N</v>
      </c>
      <c r="V36" s="79">
        <v>2</v>
      </c>
      <c r="W36" s="79">
        <v>1</v>
      </c>
    </row>
    <row r="37" spans="1:53" ht="15.75" thickBot="1" x14ac:dyDescent="0.3">
      <c r="A37" s="4">
        <v>34</v>
      </c>
      <c r="B37" s="189" t="s">
        <v>290</v>
      </c>
      <c r="C37" t="s">
        <v>132</v>
      </c>
      <c r="D37" s="47">
        <v>43264</v>
      </c>
      <c r="E37" s="47">
        <v>43277</v>
      </c>
      <c r="F37" s="61" t="s">
        <v>153</v>
      </c>
      <c r="G37" s="100">
        <v>49582.74</v>
      </c>
      <c r="H37" s="53">
        <v>344.5</v>
      </c>
      <c r="I37" s="100">
        <v>42597</v>
      </c>
      <c r="J37" s="53">
        <v>296.5</v>
      </c>
      <c r="K37" s="100">
        <f t="shared" si="1"/>
        <v>8519.4</v>
      </c>
      <c r="L37" s="100">
        <f t="shared" si="2"/>
        <v>0</v>
      </c>
      <c r="M37" s="53">
        <v>9</v>
      </c>
      <c r="N37" s="53">
        <v>3</v>
      </c>
      <c r="O37" s="53">
        <v>3</v>
      </c>
      <c r="P37" s="56">
        <v>43283</v>
      </c>
      <c r="Q37" s="56">
        <v>43308</v>
      </c>
      <c r="R37" s="58" t="s">
        <v>159</v>
      </c>
      <c r="S37" s="53">
        <f t="shared" si="3"/>
        <v>24</v>
      </c>
      <c r="T37" s="75">
        <f t="shared" si="4"/>
        <v>30</v>
      </c>
      <c r="U37" s="53" t="str">
        <f t="shared" si="5"/>
        <v>N</v>
      </c>
      <c r="V37" s="78">
        <v>4</v>
      </c>
      <c r="W37" s="78">
        <v>3</v>
      </c>
    </row>
    <row r="38" spans="1:53" ht="15.75" thickBot="1" x14ac:dyDescent="0.3">
      <c r="A38" s="51">
        <v>35</v>
      </c>
      <c r="B38" s="189" t="s">
        <v>291</v>
      </c>
      <c r="C38" t="s">
        <v>132</v>
      </c>
      <c r="D38" s="47">
        <v>43264</v>
      </c>
      <c r="E38" s="47">
        <v>43277</v>
      </c>
      <c r="F38" s="61" t="s">
        <v>154</v>
      </c>
      <c r="G38" s="100">
        <v>27483</v>
      </c>
      <c r="H38" s="53">
        <v>195.5</v>
      </c>
      <c r="I38" s="100">
        <v>23350</v>
      </c>
      <c r="J38" s="53">
        <v>166.1</v>
      </c>
      <c r="K38" s="100">
        <f t="shared" si="1"/>
        <v>4670</v>
      </c>
      <c r="L38" s="100">
        <f t="shared" si="2"/>
        <v>0</v>
      </c>
      <c r="M38" s="53">
        <v>7</v>
      </c>
      <c r="N38" s="53">
        <v>1</v>
      </c>
      <c r="O38" s="53">
        <v>1</v>
      </c>
      <c r="P38" s="56">
        <v>43280</v>
      </c>
      <c r="Q38" s="56">
        <v>43308</v>
      </c>
      <c r="R38" s="58" t="s">
        <v>159</v>
      </c>
      <c r="S38" s="53">
        <f>DATEDIF(P38,Q38,"d")-1</f>
        <v>27</v>
      </c>
      <c r="T38" s="75">
        <f>DATEDIF(E38,Q38,"d")-1</f>
        <v>30</v>
      </c>
      <c r="U38" s="53" t="str">
        <f t="shared" si="5"/>
        <v>N</v>
      </c>
      <c r="V38" s="78">
        <v>2</v>
      </c>
      <c r="W38" s="78">
        <v>3</v>
      </c>
    </row>
    <row r="39" spans="1:53" ht="15.75" thickBot="1" x14ac:dyDescent="0.3">
      <c r="A39" s="128">
        <v>36</v>
      </c>
      <c r="B39" s="128" t="s">
        <v>292</v>
      </c>
      <c r="C39" s="129" t="s">
        <v>132</v>
      </c>
      <c r="D39" s="130">
        <v>43264</v>
      </c>
      <c r="E39" s="130">
        <v>43277</v>
      </c>
      <c r="F39" s="131" t="s">
        <v>155</v>
      </c>
      <c r="G39" s="132">
        <v>37269.17</v>
      </c>
      <c r="H39" s="133">
        <v>365.5</v>
      </c>
      <c r="I39" s="132">
        <v>37779</v>
      </c>
      <c r="J39" s="133">
        <v>370.5</v>
      </c>
      <c r="K39" s="132">
        <f t="shared" si="1"/>
        <v>7555.8</v>
      </c>
      <c r="L39" s="132">
        <f t="shared" si="2"/>
        <v>7555.8</v>
      </c>
      <c r="M39" s="133">
        <v>8</v>
      </c>
      <c r="N39" s="133">
        <v>1</v>
      </c>
      <c r="O39" s="133">
        <v>1</v>
      </c>
      <c r="P39" s="134">
        <v>43280</v>
      </c>
      <c r="Q39" s="134">
        <v>43288</v>
      </c>
      <c r="R39" s="135" t="s">
        <v>158</v>
      </c>
      <c r="S39" s="133">
        <f t="shared" si="3"/>
        <v>7</v>
      </c>
      <c r="T39" s="133">
        <f t="shared" si="4"/>
        <v>10</v>
      </c>
      <c r="U39" s="133" t="str">
        <f t="shared" si="5"/>
        <v>Y</v>
      </c>
      <c r="V39" s="136">
        <v>1</v>
      </c>
      <c r="W39" s="136">
        <v>2</v>
      </c>
      <c r="X39" s="5" t="s">
        <v>223</v>
      </c>
    </row>
    <row r="40" spans="1:53" ht="16.5" thickTop="1" thickBot="1" x14ac:dyDescent="0.3">
      <c r="A40" s="63">
        <v>37</v>
      </c>
      <c r="B40" s="191" t="s">
        <v>293</v>
      </c>
      <c r="C40" s="21" t="s">
        <v>133</v>
      </c>
      <c r="D40" s="64">
        <v>43278</v>
      </c>
      <c r="E40" s="64">
        <v>43291</v>
      </c>
      <c r="F40" s="61" t="s">
        <v>153</v>
      </c>
      <c r="G40" s="100">
        <v>49598.13</v>
      </c>
      <c r="H40" s="53">
        <v>235</v>
      </c>
      <c r="I40" s="100">
        <v>40618.33</v>
      </c>
      <c r="J40" s="53">
        <v>189.5</v>
      </c>
      <c r="K40" s="100">
        <f t="shared" si="1"/>
        <v>8123.6660000000011</v>
      </c>
      <c r="L40" s="100">
        <f t="shared" si="2"/>
        <v>0</v>
      </c>
      <c r="M40" s="66">
        <v>7</v>
      </c>
      <c r="N40" s="66">
        <v>4</v>
      </c>
      <c r="O40" s="66">
        <v>4</v>
      </c>
      <c r="P40" s="67">
        <v>43297</v>
      </c>
      <c r="Q40" s="67">
        <v>43319</v>
      </c>
      <c r="R40" s="68" t="s">
        <v>159</v>
      </c>
      <c r="S40" s="53">
        <f t="shared" si="3"/>
        <v>21</v>
      </c>
      <c r="T40" s="75">
        <f t="shared" si="4"/>
        <v>27</v>
      </c>
      <c r="U40" s="53" t="str">
        <f t="shared" si="5"/>
        <v>N</v>
      </c>
      <c r="V40" s="81">
        <v>3</v>
      </c>
      <c r="W40" s="81">
        <v>3</v>
      </c>
    </row>
    <row r="41" spans="1:53" ht="15.75" thickBot="1" x14ac:dyDescent="0.3">
      <c r="A41" s="63">
        <v>38</v>
      </c>
      <c r="B41" s="191" t="s">
        <v>294</v>
      </c>
      <c r="C41" s="21" t="s">
        <v>133</v>
      </c>
      <c r="D41" s="64">
        <v>43278</v>
      </c>
      <c r="E41" s="64">
        <v>43291</v>
      </c>
      <c r="F41" s="61" t="s">
        <v>154</v>
      </c>
      <c r="G41" s="100">
        <v>13267.61</v>
      </c>
      <c r="H41" s="53">
        <v>328</v>
      </c>
      <c r="I41" s="100">
        <v>12560</v>
      </c>
      <c r="J41" s="53">
        <v>310.5</v>
      </c>
      <c r="K41" s="100">
        <f t="shared" si="1"/>
        <v>2512</v>
      </c>
      <c r="L41" s="100">
        <f t="shared" si="2"/>
        <v>0</v>
      </c>
      <c r="M41" s="66">
        <v>11</v>
      </c>
      <c r="N41" s="66">
        <v>1</v>
      </c>
      <c r="O41" s="66">
        <v>1</v>
      </c>
      <c r="P41" s="67">
        <v>43294</v>
      </c>
      <c r="Q41" s="67">
        <v>43319</v>
      </c>
      <c r="R41" s="68" t="s">
        <v>159</v>
      </c>
      <c r="S41" s="53">
        <f t="shared" si="3"/>
        <v>24</v>
      </c>
      <c r="T41" s="75">
        <f t="shared" si="4"/>
        <v>27</v>
      </c>
      <c r="U41" s="53" t="str">
        <f t="shared" si="5"/>
        <v>N</v>
      </c>
      <c r="V41" s="81">
        <v>3</v>
      </c>
      <c r="W41" s="81">
        <v>3</v>
      </c>
    </row>
    <row r="42" spans="1:53" ht="15.75" thickBot="1" x14ac:dyDescent="0.3">
      <c r="A42" s="50">
        <v>39</v>
      </c>
      <c r="B42" s="50" t="s">
        <v>295</v>
      </c>
      <c r="C42" s="48" t="s">
        <v>133</v>
      </c>
      <c r="D42" s="49">
        <v>43278</v>
      </c>
      <c r="E42" s="49">
        <v>43291</v>
      </c>
      <c r="F42" s="62" t="s">
        <v>155</v>
      </c>
      <c r="G42" s="102">
        <v>0</v>
      </c>
      <c r="H42" s="54">
        <v>416</v>
      </c>
      <c r="I42" s="102">
        <v>0</v>
      </c>
      <c r="J42" s="54">
        <v>305</v>
      </c>
      <c r="K42" s="109">
        <f t="shared" si="1"/>
        <v>0</v>
      </c>
      <c r="L42" s="109">
        <f t="shared" si="2"/>
        <v>0</v>
      </c>
      <c r="M42" s="54">
        <v>9</v>
      </c>
      <c r="N42" s="54">
        <v>1</v>
      </c>
      <c r="O42" s="54">
        <v>1</v>
      </c>
      <c r="P42" s="69">
        <v>43294</v>
      </c>
      <c r="Q42" s="69">
        <v>43308</v>
      </c>
      <c r="R42" s="70" t="s">
        <v>158</v>
      </c>
      <c r="S42" s="89">
        <f t="shared" si="3"/>
        <v>13</v>
      </c>
      <c r="T42" s="89">
        <f t="shared" si="4"/>
        <v>16</v>
      </c>
      <c r="U42" s="89" t="str">
        <f t="shared" si="5"/>
        <v>Y</v>
      </c>
      <c r="V42" s="82">
        <v>1</v>
      </c>
      <c r="W42" s="82">
        <v>2</v>
      </c>
      <c r="X42" s="48"/>
    </row>
    <row r="43" spans="1:53" ht="15.75" thickTop="1" x14ac:dyDescent="0.25">
      <c r="A43" s="5" t="s">
        <v>139</v>
      </c>
      <c r="B43" s="5"/>
      <c r="F43" s="33"/>
      <c r="G43" s="105">
        <f t="shared" ref="G43:L43" si="6">SUM(G4:G42)</f>
        <v>1500782.78</v>
      </c>
      <c r="H43" s="96">
        <f t="shared" si="6"/>
        <v>13185</v>
      </c>
      <c r="I43" s="105">
        <f t="shared" si="6"/>
        <v>1370138.33</v>
      </c>
      <c r="J43" s="96">
        <f t="shared" si="6"/>
        <v>12001.800000000001</v>
      </c>
      <c r="K43" s="110">
        <f t="shared" si="6"/>
        <v>274027.66600000003</v>
      </c>
      <c r="L43" s="111">
        <f t="shared" si="6"/>
        <v>43492.400000000009</v>
      </c>
      <c r="M43" s="33"/>
      <c r="N43" s="51"/>
      <c r="O43" s="33"/>
      <c r="P43" s="33"/>
      <c r="Q43" s="33"/>
      <c r="R43" s="98">
        <f>COUNTIF(R4:R42,"Y")</f>
        <v>27</v>
      </c>
      <c r="S43" s="51"/>
      <c r="T43" s="88"/>
      <c r="U43" s="99">
        <f>COUNTIF(U4:U42,"Y")</f>
        <v>8</v>
      </c>
      <c r="V43" s="85">
        <f>SUM(V4:V42)</f>
        <v>98.5</v>
      </c>
      <c r="W43" s="85">
        <f>SUM(W4:W42)</f>
        <v>113</v>
      </c>
      <c r="X43" t="s">
        <v>193</v>
      </c>
    </row>
    <row r="44" spans="1:53" x14ac:dyDescent="0.25">
      <c r="A44" s="5"/>
      <c r="B44" s="5"/>
      <c r="F44" s="51"/>
      <c r="G44" s="105">
        <f>AVERAGE(G4:G42)</f>
        <v>38481.609743589746</v>
      </c>
      <c r="H44" s="96">
        <f>AVERAGE(H4:H42)</f>
        <v>338.07692307692309</v>
      </c>
      <c r="I44" s="105">
        <f>AVERAGE(I4:I42)</f>
        <v>35131.752051282056</v>
      </c>
      <c r="J44" s="96">
        <f>AVERAGE(J4:J42)</f>
        <v>307.73846153846159</v>
      </c>
      <c r="K44" s="105">
        <f>AVERAGE(K4:K42)</f>
        <v>7026.3504102564111</v>
      </c>
      <c r="L44" s="105">
        <f>AVERAGE(L4:L42)</f>
        <v>1115.1897435897438</v>
      </c>
      <c r="M44" s="88">
        <f>AVERAGE(M4:M42)</f>
        <v>9.8205128205128212</v>
      </c>
      <c r="N44" s="88">
        <f>AVERAGE(N4:N42)</f>
        <v>2.2564102564102564</v>
      </c>
      <c r="O44" s="88">
        <f>AVERAGE(O4:O42)</f>
        <v>2.2564102564102564</v>
      </c>
      <c r="P44" s="51"/>
      <c r="Q44" s="51"/>
      <c r="R44" s="97">
        <f>COUNTIF(R4:R42,"Y")/COUNTIF(R4:R42,"*")</f>
        <v>0.69230769230769229</v>
      </c>
      <c r="S44" s="88">
        <f>AVERAGE(S4:S42)</f>
        <v>21</v>
      </c>
      <c r="T44" s="88">
        <f>AVERAGE(T4:T42)</f>
        <v>25.692307692307693</v>
      </c>
      <c r="U44" s="97">
        <f>COUNTIF(U4:U42,"Y")/COUNTIF(U4:U42,"*")</f>
        <v>0.20512820512820512</v>
      </c>
      <c r="V44" s="88">
        <f>AVERAGE(V4:V42)</f>
        <v>2.5256410256410255</v>
      </c>
      <c r="W44" s="88">
        <f>AVERAGE(W4:W42)</f>
        <v>2.8974358974358974</v>
      </c>
      <c r="X44" t="s">
        <v>192</v>
      </c>
    </row>
    <row r="45" spans="1:53" x14ac:dyDescent="0.25">
      <c r="F45" s="33"/>
      <c r="G45" s="106">
        <f>_xlfn.STDEV.S(G4:G42)</f>
        <v>12707.136275851457</v>
      </c>
      <c r="H45" s="107">
        <f>_xlfn.STDEV.S(H4:H42)</f>
        <v>71.993287192693955</v>
      </c>
      <c r="I45" s="106">
        <f>_xlfn.STDEV.S(I4:I42)</f>
        <v>11547.49161696945</v>
      </c>
      <c r="J45" s="107">
        <f>_xlfn.STDEV.S(J4:J42)</f>
        <v>70.231428020376725</v>
      </c>
      <c r="K45" s="107"/>
      <c r="L45" s="106">
        <f>_xlfn.STDEV.S(L4:L42)</f>
        <v>2469.4117006405513</v>
      </c>
      <c r="M45" s="86">
        <f>_xlfn.STDEV.S(M4:M42)</f>
        <v>3.3472046064534045</v>
      </c>
      <c r="N45" s="86">
        <f>_xlfn.STDEV.S(N4:N42)</f>
        <v>1.1634329582374268</v>
      </c>
      <c r="O45" s="86">
        <f>_xlfn.STDEV.S(O4:O42)</f>
        <v>1.1634329582374268</v>
      </c>
      <c r="P45" s="33"/>
      <c r="Q45" s="33"/>
      <c r="R45" s="33"/>
      <c r="S45" s="86">
        <f>_xlfn.STDEV.S(S4:S42)</f>
        <v>5.4627928080019554</v>
      </c>
      <c r="T45" s="86">
        <f>_xlfn.STDEV.S(T4:T42)</f>
        <v>6.3955323475139378</v>
      </c>
      <c r="U45" s="86"/>
      <c r="V45" s="86">
        <f>_xlfn.STDEV.S(V4:V42)</f>
        <v>1.3025719393645685</v>
      </c>
      <c r="W45" s="86">
        <f>_xlfn.STDEV.S(W4:W42)</f>
        <v>1.1190896628127278</v>
      </c>
      <c r="X45" t="s">
        <v>140</v>
      </c>
      <c r="AF45" s="382" t="s">
        <v>225</v>
      </c>
      <c r="AG45" s="382"/>
      <c r="AH45" s="121">
        <f>COUNTIF(U4:U39,"*")</f>
        <v>36</v>
      </c>
      <c r="AJ45" s="172"/>
      <c r="AK45" s="173"/>
      <c r="AL45" s="173"/>
      <c r="AM45" s="173"/>
      <c r="AN45" s="173"/>
      <c r="AO45" s="173"/>
      <c r="AP45" s="173"/>
      <c r="AQ45" s="173"/>
      <c r="AR45" s="173"/>
      <c r="AS45" s="174"/>
    </row>
    <row r="46" spans="1:53" ht="21.75" thickBot="1" x14ac:dyDescent="0.4">
      <c r="A46" s="48"/>
      <c r="B46" s="48"/>
      <c r="C46" s="48"/>
      <c r="D46" s="48"/>
      <c r="E46" s="48"/>
      <c r="F46" s="50"/>
      <c r="G46" s="108">
        <f>MAX(G4:G42)-MIN(G4:G42)</f>
        <v>56974.53</v>
      </c>
      <c r="H46" s="87">
        <f>MAX(H4:H42)-MIN(H4:H42)</f>
        <v>313</v>
      </c>
      <c r="I46" s="108">
        <f>MAX(I4:I42)-MIN(I4:I42)</f>
        <v>50307</v>
      </c>
      <c r="J46" s="87">
        <f>MAX(J4:J42)-MIN(J4:J42)</f>
        <v>307.39999999999998</v>
      </c>
      <c r="K46" s="87"/>
      <c r="L46" s="108">
        <f>MAX(L4:L42)-MIN(L4:L42)</f>
        <v>7583</v>
      </c>
      <c r="M46" s="87">
        <f>MAX(M4:M42)-MIN(M4:M42)</f>
        <v>11</v>
      </c>
      <c r="N46" s="87">
        <f>MAX(N4:N42)-MIN(N4:N42)</f>
        <v>4</v>
      </c>
      <c r="O46" s="87">
        <f>MAX(O4:O42)-MIN(O4:O42)</f>
        <v>4</v>
      </c>
      <c r="P46" s="50"/>
      <c r="Q46" s="50"/>
      <c r="R46" s="50"/>
      <c r="S46" s="87">
        <f>MAX(S4:S42)-MIN(S4:S42)</f>
        <v>23</v>
      </c>
      <c r="T46" s="87">
        <f>MAX(T4:T42)-MIN(T4:T42)</f>
        <v>27</v>
      </c>
      <c r="U46" s="87"/>
      <c r="V46" s="87">
        <f>MAX(V4:V42)-MIN(V4:V42)</f>
        <v>3</v>
      </c>
      <c r="W46" s="87">
        <f>MAX(W4:W42)-MIN(W4:W42)</f>
        <v>4</v>
      </c>
      <c r="X46" s="65" t="s">
        <v>141</v>
      </c>
      <c r="AA46" s="374" t="s">
        <v>226</v>
      </c>
      <c r="AB46" s="374"/>
      <c r="AC46" s="374"/>
      <c r="AD46" s="374"/>
      <c r="AE46" s="374"/>
      <c r="AF46" s="374"/>
      <c r="AG46" s="374"/>
      <c r="AH46" s="140" t="s">
        <v>224</v>
      </c>
      <c r="AJ46" s="175"/>
      <c r="AK46" s="374" t="s">
        <v>227</v>
      </c>
      <c r="AL46" s="374"/>
      <c r="AM46" s="374"/>
      <c r="AN46" s="374"/>
      <c r="AO46" s="374"/>
      <c r="AP46" s="374"/>
      <c r="AQ46" s="374"/>
      <c r="AR46" s="140" t="s">
        <v>224</v>
      </c>
      <c r="AS46" s="176"/>
      <c r="AT46" s="374" t="s">
        <v>228</v>
      </c>
      <c r="AU46" s="374"/>
      <c r="AV46" s="374"/>
      <c r="AW46" s="374"/>
      <c r="AX46" s="374"/>
      <c r="AY46" s="374"/>
      <c r="AZ46" s="374"/>
      <c r="BA46" s="140" t="s">
        <v>224</v>
      </c>
    </row>
    <row r="47" spans="1:53" ht="15.75" thickTop="1" x14ac:dyDescent="0.25">
      <c r="K47" s="460">
        <f>K44-L44</f>
        <v>5911.1606666666676</v>
      </c>
      <c r="P47" s="384" t="s">
        <v>202</v>
      </c>
      <c r="Q47" s="384"/>
      <c r="R47" s="112">
        <f>ROUND(100%-R44,1)</f>
        <v>0.3</v>
      </c>
      <c r="AA47" s="372" t="s">
        <v>212</v>
      </c>
      <c r="AB47" s="373"/>
      <c r="AC47" s="373"/>
      <c r="AD47" s="373"/>
      <c r="AE47" s="373"/>
      <c r="AF47" s="373"/>
      <c r="AG47" s="373"/>
      <c r="AH47" s="141">
        <f>COUNTIF(R4:R39,"Y")</f>
        <v>25</v>
      </c>
      <c r="AJ47" s="175"/>
      <c r="AK47" s="372" t="s">
        <v>212</v>
      </c>
      <c r="AL47" s="373"/>
      <c r="AM47" s="373"/>
      <c r="AN47" s="373"/>
      <c r="AO47" s="373"/>
      <c r="AP47" s="373"/>
      <c r="AQ47" s="373"/>
      <c r="AR47" s="141">
        <f>COUNTIF(R4:R21,"Y")</f>
        <v>15</v>
      </c>
      <c r="AS47" s="176"/>
      <c r="AT47" s="373" t="s">
        <v>212</v>
      </c>
      <c r="AU47" s="373"/>
      <c r="AV47" s="373"/>
      <c r="AW47" s="373"/>
      <c r="AX47" s="373"/>
      <c r="AY47" s="373"/>
      <c r="AZ47" s="373"/>
      <c r="BA47" s="141">
        <f>COUNTIF(R22:R39,"Y")</f>
        <v>10</v>
      </c>
    </row>
    <row r="48" spans="1:53" x14ac:dyDescent="0.25">
      <c r="AA48" s="368" t="s">
        <v>213</v>
      </c>
      <c r="AB48" s="369"/>
      <c r="AC48" s="369"/>
      <c r="AD48" s="369"/>
      <c r="AE48" s="369"/>
      <c r="AF48" s="369"/>
      <c r="AG48" s="369"/>
      <c r="AH48" s="142">
        <f>COUNTIF(U4:U39,"N")</f>
        <v>29</v>
      </c>
      <c r="AJ48" s="175"/>
      <c r="AK48" s="368" t="s">
        <v>213</v>
      </c>
      <c r="AL48" s="369"/>
      <c r="AM48" s="369"/>
      <c r="AN48" s="369"/>
      <c r="AO48" s="369"/>
      <c r="AP48" s="369"/>
      <c r="AQ48" s="369"/>
      <c r="AR48" s="142">
        <f>COUNTIF(U4:U21,"N")</f>
        <v>17</v>
      </c>
      <c r="AS48" s="176"/>
      <c r="AT48" s="369" t="s">
        <v>213</v>
      </c>
      <c r="AU48" s="369"/>
      <c r="AV48" s="369"/>
      <c r="AW48" s="369"/>
      <c r="AX48" s="369"/>
      <c r="AY48" s="369"/>
      <c r="AZ48" s="369"/>
      <c r="BA48" s="142">
        <f>COUNTIF(U22:U39,"N")</f>
        <v>12</v>
      </c>
    </row>
    <row r="49" spans="1:53" x14ac:dyDescent="0.25">
      <c r="AA49" s="139" t="s">
        <v>214</v>
      </c>
      <c r="AB49" s="124"/>
      <c r="AC49" s="124"/>
      <c r="AD49" s="124"/>
      <c r="AE49" s="124"/>
      <c r="AF49" s="124"/>
      <c r="AG49" s="124"/>
      <c r="AH49" s="142">
        <f>COUNTIF(W4:W39,"&gt;2")</f>
        <v>24</v>
      </c>
      <c r="AJ49" s="175"/>
      <c r="AK49" s="139" t="s">
        <v>214</v>
      </c>
      <c r="AL49" s="138"/>
      <c r="AM49" s="138"/>
      <c r="AN49" s="138"/>
      <c r="AO49" s="138"/>
      <c r="AP49" s="138"/>
      <c r="AQ49" s="138"/>
      <c r="AR49" s="142">
        <f>COUNTIF(W4:W21,"&gt;2")</f>
        <v>14</v>
      </c>
      <c r="AS49" s="176"/>
      <c r="AT49" s="138" t="s">
        <v>214</v>
      </c>
      <c r="AU49" s="124"/>
      <c r="AV49" s="124"/>
      <c r="AW49" s="124"/>
      <c r="AX49" s="124"/>
      <c r="AY49" s="124"/>
      <c r="AZ49" s="124"/>
      <c r="BA49" s="142">
        <f>COUNTIF(W22:W39,"&gt;2")</f>
        <v>10</v>
      </c>
    </row>
    <row r="50" spans="1:53" ht="15" customHeight="1" thickBot="1" x14ac:dyDescent="0.3">
      <c r="U50" s="378" t="s">
        <v>168</v>
      </c>
      <c r="V50" s="376" t="s">
        <v>165</v>
      </c>
      <c r="W50" s="376" t="s">
        <v>162</v>
      </c>
      <c r="AA50" s="370" t="s">
        <v>215</v>
      </c>
      <c r="AB50" s="371"/>
      <c r="AC50" s="371"/>
      <c r="AD50" s="371"/>
      <c r="AE50" s="371"/>
      <c r="AF50" s="371"/>
      <c r="AG50" s="371"/>
      <c r="AH50" s="143">
        <f>COUNTIF(V4:V39,"&gt;3")</f>
        <v>13</v>
      </c>
      <c r="AJ50" s="175"/>
      <c r="AK50" s="370" t="s">
        <v>215</v>
      </c>
      <c r="AL50" s="371"/>
      <c r="AM50" s="371"/>
      <c r="AN50" s="371"/>
      <c r="AO50" s="371"/>
      <c r="AP50" s="371"/>
      <c r="AQ50" s="371"/>
      <c r="AR50" s="143">
        <f>COUNTIF(V4:V21,"&gt;3")</f>
        <v>6</v>
      </c>
      <c r="AS50" s="176"/>
      <c r="AT50" s="371" t="s">
        <v>215</v>
      </c>
      <c r="AU50" s="371"/>
      <c r="AV50" s="371"/>
      <c r="AW50" s="371"/>
      <c r="AX50" s="371"/>
      <c r="AY50" s="371"/>
      <c r="AZ50" s="371"/>
      <c r="BA50" s="143">
        <f>COUNTIF(V22:V39,"&gt;3")</f>
        <v>7</v>
      </c>
    </row>
    <row r="51" spans="1:53" ht="19.5" thickTop="1" x14ac:dyDescent="0.3">
      <c r="A51" s="375" t="s">
        <v>142</v>
      </c>
      <c r="B51" s="375"/>
      <c r="C51" s="375"/>
      <c r="D51" s="375"/>
      <c r="E51" s="375"/>
      <c r="F51" s="375"/>
      <c r="G51" s="375"/>
      <c r="H51" s="375"/>
      <c r="I51" s="375"/>
      <c r="J51" s="375"/>
      <c r="K51" s="375"/>
      <c r="L51" s="375"/>
      <c r="M51" s="375"/>
      <c r="N51" s="375"/>
      <c r="O51" s="375"/>
      <c r="U51" s="379"/>
      <c r="V51" s="376"/>
      <c r="W51" s="376"/>
      <c r="AG51" t="s">
        <v>231</v>
      </c>
      <c r="AH51" s="137">
        <f>SUM(AH47:AH50)</f>
        <v>91</v>
      </c>
      <c r="AJ51" s="175"/>
      <c r="AK51" s="21"/>
      <c r="AL51" s="21"/>
      <c r="AM51" s="21"/>
      <c r="AN51" s="21"/>
      <c r="AO51" s="21"/>
      <c r="AP51" s="21"/>
      <c r="AQ51" s="21" t="s">
        <v>231</v>
      </c>
      <c r="AR51" s="162">
        <f>SUM(AR47:AR50)</f>
        <v>52</v>
      </c>
      <c r="AS51" s="176"/>
      <c r="AT51" s="120"/>
      <c r="AU51" s="120"/>
      <c r="AV51" s="120"/>
      <c r="AW51" s="120"/>
      <c r="AX51" s="120"/>
      <c r="AY51" s="120"/>
      <c r="AZ51" s="120" t="s">
        <v>231</v>
      </c>
      <c r="BA51" s="137">
        <f>SUM(BA47:BA50)</f>
        <v>39</v>
      </c>
    </row>
    <row r="52" spans="1:53" ht="75.75" thickBot="1" x14ac:dyDescent="0.3">
      <c r="A52" s="46" t="s">
        <v>110</v>
      </c>
      <c r="B52" s="211" t="s">
        <v>256</v>
      </c>
      <c r="C52" s="46" t="s">
        <v>111</v>
      </c>
      <c r="D52" s="46" t="s">
        <v>116</v>
      </c>
      <c r="E52" s="46" t="s">
        <v>117</v>
      </c>
      <c r="F52" s="46" t="s">
        <v>149</v>
      </c>
      <c r="G52" s="46" t="s">
        <v>194</v>
      </c>
      <c r="H52" s="46" t="s">
        <v>197</v>
      </c>
      <c r="I52" s="46" t="s">
        <v>195</v>
      </c>
      <c r="J52" s="46" t="s">
        <v>196</v>
      </c>
      <c r="K52" s="46" t="s">
        <v>198</v>
      </c>
      <c r="L52" s="46" t="s">
        <v>199</v>
      </c>
      <c r="M52" s="46" t="s">
        <v>150</v>
      </c>
      <c r="N52" s="46" t="s">
        <v>156</v>
      </c>
      <c r="O52" s="46" t="s">
        <v>118</v>
      </c>
      <c r="P52" s="46" t="s">
        <v>119</v>
      </c>
      <c r="Q52" s="46" t="s">
        <v>120</v>
      </c>
      <c r="R52" s="46" t="s">
        <v>138</v>
      </c>
      <c r="S52" s="46" t="s">
        <v>163</v>
      </c>
      <c r="T52" s="46" t="s">
        <v>134</v>
      </c>
      <c r="U52" s="46" t="s">
        <v>167</v>
      </c>
      <c r="V52" s="52" t="s">
        <v>164</v>
      </c>
      <c r="W52" s="52" t="s">
        <v>137</v>
      </c>
      <c r="AJ52" s="177"/>
      <c r="AK52" s="178"/>
      <c r="AL52" s="178"/>
      <c r="AM52" s="178"/>
      <c r="AN52" s="178"/>
      <c r="AO52" s="178"/>
      <c r="AP52" s="178"/>
      <c r="AQ52" s="178"/>
      <c r="AR52" s="178"/>
      <c r="AS52" s="179"/>
    </row>
    <row r="53" spans="1:53" ht="22.5" thickTop="1" thickBot="1" x14ac:dyDescent="0.4">
      <c r="A53" s="33">
        <v>1</v>
      </c>
      <c r="B53" s="189" t="s">
        <v>296</v>
      </c>
      <c r="C53" t="s">
        <v>144</v>
      </c>
      <c r="D53" s="47">
        <v>43292</v>
      </c>
      <c r="E53" s="47">
        <v>43305</v>
      </c>
      <c r="F53" s="61" t="s">
        <v>153</v>
      </c>
      <c r="G53" s="100">
        <v>41685.39</v>
      </c>
      <c r="H53" s="53">
        <v>163.5</v>
      </c>
      <c r="I53" s="100">
        <v>39038</v>
      </c>
      <c r="J53" s="53">
        <v>152.5</v>
      </c>
      <c r="K53" s="100">
        <f>I53*0.2</f>
        <v>7807.6</v>
      </c>
      <c r="L53" s="100">
        <f t="shared" ref="L53:L67" si="7">IF(U53 = "Y",K53,0)</f>
        <v>7807.6</v>
      </c>
      <c r="M53" s="53">
        <v>11</v>
      </c>
      <c r="N53" s="53">
        <v>2</v>
      </c>
      <c r="O53" s="53">
        <v>2</v>
      </c>
      <c r="P53" s="56">
        <v>43308</v>
      </c>
      <c r="Q53" s="56">
        <v>43322</v>
      </c>
      <c r="R53" s="58" t="s">
        <v>158</v>
      </c>
      <c r="S53" s="53">
        <f>(DATEDIF(P53,Q53,"d")-1)</f>
        <v>13</v>
      </c>
      <c r="T53" s="53">
        <f>(DATEDIF(E53,Q53,"d")-1)</f>
        <v>16</v>
      </c>
      <c r="U53" s="83" t="str">
        <f>IF(S53 &lt;= $Y$2,"Y","N")</f>
        <v>Y</v>
      </c>
      <c r="V53" s="78">
        <v>2</v>
      </c>
      <c r="W53" s="78">
        <v>1</v>
      </c>
      <c r="AA53" s="383"/>
      <c r="AB53" s="383"/>
      <c r="AC53" s="383"/>
      <c r="AD53" s="383"/>
      <c r="AE53" s="383"/>
      <c r="AF53" s="383"/>
      <c r="AG53" s="383"/>
      <c r="AH53" s="140"/>
      <c r="AK53" s="374" t="s">
        <v>232</v>
      </c>
      <c r="AL53" s="374"/>
      <c r="AM53" s="374"/>
      <c r="AN53" s="374"/>
      <c r="AO53" s="374"/>
      <c r="AP53" s="374"/>
      <c r="AQ53" s="374"/>
      <c r="AR53" s="140" t="s">
        <v>224</v>
      </c>
    </row>
    <row r="54" spans="1:53" ht="15.75" thickTop="1" x14ac:dyDescent="0.25">
      <c r="A54" s="51">
        <v>2</v>
      </c>
      <c r="B54" s="189" t="s">
        <v>297</v>
      </c>
      <c r="C54" t="s">
        <v>144</v>
      </c>
      <c r="D54" s="47">
        <v>43292</v>
      </c>
      <c r="E54" s="47">
        <v>43305</v>
      </c>
      <c r="F54" s="61" t="s">
        <v>154</v>
      </c>
      <c r="G54" s="100">
        <v>16596.13</v>
      </c>
      <c r="H54" s="53">
        <v>294</v>
      </c>
      <c r="I54" s="100">
        <v>12560</v>
      </c>
      <c r="J54" s="53">
        <v>222.5</v>
      </c>
      <c r="K54" s="100">
        <f t="shared" ref="K54:K67" si="8">I54*0.2</f>
        <v>2512</v>
      </c>
      <c r="L54" s="100">
        <f t="shared" si="7"/>
        <v>2512</v>
      </c>
      <c r="M54" s="53">
        <v>10</v>
      </c>
      <c r="N54" s="53">
        <v>1</v>
      </c>
      <c r="O54" s="53">
        <v>1</v>
      </c>
      <c r="P54" s="56">
        <v>43308</v>
      </c>
      <c r="Q54" s="56">
        <v>43322</v>
      </c>
      <c r="R54" s="58" t="s">
        <v>158</v>
      </c>
      <c r="S54" s="53">
        <f t="shared" ref="S54" si="9">DATEDIF(P54,Q54,"d")-1</f>
        <v>13</v>
      </c>
      <c r="T54" s="53">
        <f>DATEDIF(E55,Q55,"d")-1</f>
        <v>16</v>
      </c>
      <c r="U54" s="83" t="str">
        <f>IF(S55 &lt;= $Y$2,"Y","N")</f>
        <v>Y</v>
      </c>
      <c r="V54" s="78">
        <v>0</v>
      </c>
      <c r="W54" s="78">
        <v>1</v>
      </c>
      <c r="AA54" s="369"/>
      <c r="AB54" s="369"/>
      <c r="AC54" s="369"/>
      <c r="AD54" s="369"/>
      <c r="AE54" s="369"/>
      <c r="AF54" s="369"/>
      <c r="AG54" s="369"/>
      <c r="AH54" s="63"/>
      <c r="AK54" s="372" t="s">
        <v>212</v>
      </c>
      <c r="AL54" s="373"/>
      <c r="AM54" s="373"/>
      <c r="AN54" s="373"/>
      <c r="AO54" s="373"/>
      <c r="AP54" s="373"/>
      <c r="AQ54" s="373"/>
      <c r="AR54" s="141">
        <f>COUNTIF(R4:R12,"Y")</f>
        <v>8</v>
      </c>
    </row>
    <row r="55" spans="1:53" ht="15.75" thickBot="1" x14ac:dyDescent="0.3">
      <c r="A55" s="71">
        <v>3</v>
      </c>
      <c r="B55" s="71" t="s">
        <v>300</v>
      </c>
      <c r="C55" s="72" t="s">
        <v>144</v>
      </c>
      <c r="D55" s="73">
        <v>43292</v>
      </c>
      <c r="E55" s="73">
        <v>43305</v>
      </c>
      <c r="F55" s="74" t="s">
        <v>155</v>
      </c>
      <c r="G55" s="101">
        <v>41195.35</v>
      </c>
      <c r="H55" s="75">
        <v>347</v>
      </c>
      <c r="I55" s="101">
        <v>35022</v>
      </c>
      <c r="J55" s="75">
        <v>295</v>
      </c>
      <c r="K55" s="101">
        <f t="shared" si="8"/>
        <v>7004.4000000000005</v>
      </c>
      <c r="L55" s="101">
        <f t="shared" si="7"/>
        <v>7004.4000000000005</v>
      </c>
      <c r="M55" s="75">
        <v>8</v>
      </c>
      <c r="N55" s="75">
        <v>1</v>
      </c>
      <c r="O55" s="75">
        <v>1</v>
      </c>
      <c r="P55" s="76">
        <v>43308</v>
      </c>
      <c r="Q55" s="76">
        <v>43322</v>
      </c>
      <c r="R55" s="77" t="s">
        <v>158</v>
      </c>
      <c r="S55" s="75">
        <f>DATEDIF(P55,Q55,"d")-1</f>
        <v>13</v>
      </c>
      <c r="T55" s="75">
        <f t="shared" ref="T55:T60" si="10">DATEDIF(E55,Q55,"d")-1</f>
        <v>16</v>
      </c>
      <c r="U55" s="75" t="str">
        <f>IF(S55 &lt;= $Y$2,"Y","N")</f>
        <v>Y</v>
      </c>
      <c r="V55" s="79">
        <v>0</v>
      </c>
      <c r="W55" s="79">
        <v>0.5</v>
      </c>
      <c r="AA55" s="369"/>
      <c r="AB55" s="369"/>
      <c r="AC55" s="369"/>
      <c r="AD55" s="369"/>
      <c r="AE55" s="369"/>
      <c r="AF55" s="369"/>
      <c r="AG55" s="369"/>
      <c r="AH55" s="63"/>
      <c r="AK55" s="368" t="s">
        <v>213</v>
      </c>
      <c r="AL55" s="369"/>
      <c r="AM55" s="369"/>
      <c r="AN55" s="369"/>
      <c r="AO55" s="369"/>
      <c r="AP55" s="369"/>
      <c r="AQ55" s="369"/>
      <c r="AR55" s="142">
        <f>COUNTIF(U4:U12,"N")</f>
        <v>9</v>
      </c>
    </row>
    <row r="56" spans="1:53" x14ac:dyDescent="0.25">
      <c r="A56" s="33">
        <v>4</v>
      </c>
      <c r="B56" s="189" t="s">
        <v>298</v>
      </c>
      <c r="C56" t="s">
        <v>145</v>
      </c>
      <c r="D56" s="47">
        <v>43306</v>
      </c>
      <c r="E56" s="47">
        <v>43319</v>
      </c>
      <c r="F56" s="61" t="s">
        <v>153</v>
      </c>
      <c r="G56" s="100">
        <v>66633.47</v>
      </c>
      <c r="H56" s="53">
        <v>196</v>
      </c>
      <c r="I56" s="100">
        <v>51913</v>
      </c>
      <c r="J56" s="103">
        <v>152</v>
      </c>
      <c r="K56" s="100">
        <f t="shared" si="8"/>
        <v>10382.6</v>
      </c>
      <c r="L56" s="100">
        <f t="shared" si="7"/>
        <v>10382.6</v>
      </c>
      <c r="M56" s="53">
        <v>8</v>
      </c>
      <c r="N56" s="53">
        <v>2</v>
      </c>
      <c r="O56" s="53">
        <v>2</v>
      </c>
      <c r="P56" s="56">
        <v>43322</v>
      </c>
      <c r="Q56" s="56">
        <v>43333</v>
      </c>
      <c r="R56" s="58" t="s">
        <v>158</v>
      </c>
      <c r="S56" s="53">
        <f t="shared" ref="S56" si="11">DATEDIF(P56,Q56,"d")-1</f>
        <v>10</v>
      </c>
      <c r="T56" s="53">
        <f t="shared" si="10"/>
        <v>13</v>
      </c>
      <c r="U56" s="83" t="str">
        <f>IF(S56 &lt;= $Y$2,"Y","N")</f>
        <v>Y</v>
      </c>
      <c r="V56" s="78">
        <v>2</v>
      </c>
      <c r="W56" s="78">
        <v>1</v>
      </c>
      <c r="Z56">
        <f>87-30</f>
        <v>57</v>
      </c>
      <c r="AA56" s="124"/>
      <c r="AB56" s="124"/>
      <c r="AC56" s="124"/>
      <c r="AD56" s="124"/>
      <c r="AE56" s="124"/>
      <c r="AF56" s="124"/>
      <c r="AG56" s="124"/>
      <c r="AH56" s="63"/>
      <c r="AK56" s="139" t="s">
        <v>214</v>
      </c>
      <c r="AL56" s="124"/>
      <c r="AM56" s="124"/>
      <c r="AN56" s="124"/>
      <c r="AO56" s="124"/>
      <c r="AP56" s="124"/>
      <c r="AQ56" s="124"/>
      <c r="AR56" s="142">
        <f>COUNTIF(W4:W12,"&gt;2")</f>
        <v>7</v>
      </c>
    </row>
    <row r="57" spans="1:53" ht="15.75" thickBot="1" x14ac:dyDescent="0.3">
      <c r="A57" s="51">
        <v>5</v>
      </c>
      <c r="B57" s="189" t="s">
        <v>301</v>
      </c>
      <c r="C57" t="s">
        <v>145</v>
      </c>
      <c r="D57" s="47">
        <v>43306</v>
      </c>
      <c r="E57" s="47">
        <v>43319</v>
      </c>
      <c r="F57" s="61" t="s">
        <v>154</v>
      </c>
      <c r="G57" s="100">
        <v>15387.38</v>
      </c>
      <c r="H57" s="53">
        <v>361</v>
      </c>
      <c r="I57" s="104">
        <v>15430</v>
      </c>
      <c r="J57" s="53">
        <v>362</v>
      </c>
      <c r="K57" s="100">
        <f t="shared" si="8"/>
        <v>3086</v>
      </c>
      <c r="L57" s="100">
        <f t="shared" si="7"/>
        <v>3086</v>
      </c>
      <c r="M57" s="53">
        <v>6</v>
      </c>
      <c r="N57" s="53">
        <v>1</v>
      </c>
      <c r="O57" s="53">
        <v>1</v>
      </c>
      <c r="P57" s="56">
        <v>43322</v>
      </c>
      <c r="Q57" s="56">
        <v>43333</v>
      </c>
      <c r="R57" s="58" t="s">
        <v>158</v>
      </c>
      <c r="S57" s="53">
        <f t="shared" ref="S57" si="12">DATEDIF(P57,Q57,"d")-1</f>
        <v>10</v>
      </c>
      <c r="T57" s="53">
        <f t="shared" si="10"/>
        <v>13</v>
      </c>
      <c r="U57" s="83" t="str">
        <f>IF(S57 &lt;= $Y$2,"Y","N")</f>
        <v>Y</v>
      </c>
      <c r="V57" s="78">
        <v>0</v>
      </c>
      <c r="W57" s="78">
        <v>0.5</v>
      </c>
      <c r="AA57" s="305"/>
      <c r="AB57" s="305"/>
      <c r="AC57" s="305"/>
      <c r="AD57" s="305"/>
      <c r="AE57" s="305"/>
      <c r="AF57" s="305"/>
      <c r="AG57" s="305"/>
      <c r="AH57" s="63"/>
      <c r="AK57" s="370" t="s">
        <v>215</v>
      </c>
      <c r="AL57" s="371"/>
      <c r="AM57" s="371"/>
      <c r="AN57" s="371"/>
      <c r="AO57" s="371"/>
      <c r="AP57" s="371"/>
      <c r="AQ57" s="371"/>
      <c r="AR57" s="143">
        <f>COUNTIF(V4:V12,"&gt;3")</f>
        <v>4</v>
      </c>
    </row>
    <row r="58" spans="1:53" ht="16.5" thickTop="1" thickBot="1" x14ac:dyDescent="0.3">
      <c r="A58" s="71">
        <v>6</v>
      </c>
      <c r="B58" s="71" t="s">
        <v>302</v>
      </c>
      <c r="C58" s="72" t="s">
        <v>145</v>
      </c>
      <c r="D58" s="73">
        <v>43306</v>
      </c>
      <c r="E58" s="73">
        <v>43319</v>
      </c>
      <c r="F58" s="74" t="s">
        <v>155</v>
      </c>
      <c r="G58" s="101">
        <v>35834.230000000003</v>
      </c>
      <c r="H58" s="75">
        <v>310</v>
      </c>
      <c r="I58" s="101">
        <v>30680</v>
      </c>
      <c r="J58" s="75">
        <v>268</v>
      </c>
      <c r="K58" s="101">
        <f t="shared" si="8"/>
        <v>6136</v>
      </c>
      <c r="L58" s="101">
        <f t="shared" si="7"/>
        <v>6136</v>
      </c>
      <c r="M58" s="75">
        <v>8</v>
      </c>
      <c r="N58" s="75">
        <v>2</v>
      </c>
      <c r="O58" s="75">
        <v>2</v>
      </c>
      <c r="P58" s="76">
        <v>43322</v>
      </c>
      <c r="Q58" s="76">
        <v>43336</v>
      </c>
      <c r="R58" s="77" t="s">
        <v>159</v>
      </c>
      <c r="S58" s="75">
        <f>DATEDIF(P58,Q58,"d")-1</f>
        <v>13</v>
      </c>
      <c r="T58" s="75">
        <f t="shared" si="10"/>
        <v>16</v>
      </c>
      <c r="U58" s="75" t="str">
        <f t="shared" ref="U58" si="13">IF(S58 &lt;= $Y$2,"Y","N")</f>
        <v>Y</v>
      </c>
      <c r="V58" s="79">
        <v>2</v>
      </c>
      <c r="W58" s="79">
        <v>1.5</v>
      </c>
      <c r="AA58" s="21"/>
      <c r="AB58" s="21"/>
      <c r="AC58" s="21"/>
      <c r="AD58" s="21"/>
      <c r="AE58" s="21"/>
      <c r="AF58" s="21"/>
      <c r="AG58" s="21"/>
      <c r="AH58" s="162"/>
      <c r="AK58" s="120"/>
      <c r="AL58" s="120"/>
      <c r="AM58" s="120"/>
      <c r="AN58" s="120"/>
      <c r="AO58" s="120"/>
      <c r="AP58" s="120"/>
      <c r="AQ58" s="120" t="s">
        <v>231</v>
      </c>
      <c r="AR58" s="137">
        <f>SUM(AR54:AR57)</f>
        <v>28</v>
      </c>
    </row>
    <row r="59" spans="1:53" x14ac:dyDescent="0.25">
      <c r="A59" s="33">
        <v>7</v>
      </c>
      <c r="B59" s="189" t="s">
        <v>303</v>
      </c>
      <c r="C59" t="s">
        <v>146</v>
      </c>
      <c r="D59" s="47">
        <v>43320</v>
      </c>
      <c r="E59" s="47">
        <v>43333</v>
      </c>
      <c r="F59" s="61" t="s">
        <v>153</v>
      </c>
      <c r="G59" s="100">
        <v>27689</v>
      </c>
      <c r="H59" s="53">
        <v>155.5</v>
      </c>
      <c r="I59" s="100">
        <v>27423</v>
      </c>
      <c r="J59" s="53">
        <v>151</v>
      </c>
      <c r="K59" s="100">
        <f t="shared" si="8"/>
        <v>5484.6</v>
      </c>
      <c r="L59" s="100">
        <f t="shared" si="7"/>
        <v>5484.6</v>
      </c>
      <c r="M59" s="53">
        <v>7</v>
      </c>
      <c r="N59" s="53">
        <v>3</v>
      </c>
      <c r="O59" s="53">
        <v>3</v>
      </c>
      <c r="P59" s="56">
        <v>43336</v>
      </c>
      <c r="Q59" s="56">
        <v>43347</v>
      </c>
      <c r="R59" s="58" t="s">
        <v>158</v>
      </c>
      <c r="S59" s="53">
        <f>DATEDIF(P59,Q59,"d")-1</f>
        <v>10</v>
      </c>
      <c r="T59" s="53">
        <f t="shared" si="10"/>
        <v>13</v>
      </c>
      <c r="U59" s="83" t="str">
        <f>IF(S59 &lt;= $Y$2,"Y","N")</f>
        <v>Y</v>
      </c>
      <c r="V59" s="78">
        <v>1</v>
      </c>
      <c r="W59" s="78">
        <v>1</v>
      </c>
      <c r="AA59" s="21"/>
      <c r="AB59" s="21"/>
      <c r="AC59" s="21"/>
      <c r="AD59" s="21"/>
      <c r="AE59" s="21"/>
      <c r="AF59" s="21"/>
      <c r="AG59" s="21"/>
      <c r="AH59" s="21"/>
    </row>
    <row r="60" spans="1:53" ht="21.75" thickBot="1" x14ac:dyDescent="0.4">
      <c r="A60" s="51">
        <v>8</v>
      </c>
      <c r="B60" s="189" t="s">
        <v>304</v>
      </c>
      <c r="C60" t="s">
        <v>146</v>
      </c>
      <c r="D60" s="47">
        <v>43320</v>
      </c>
      <c r="E60" s="47">
        <v>43333</v>
      </c>
      <c r="F60" s="61" t="s">
        <v>154</v>
      </c>
      <c r="G60" s="100">
        <v>27749.46</v>
      </c>
      <c r="H60" s="53">
        <v>340.5</v>
      </c>
      <c r="I60" s="100">
        <v>36287</v>
      </c>
      <c r="J60" s="53">
        <v>411</v>
      </c>
      <c r="K60" s="100">
        <f t="shared" si="8"/>
        <v>7257.4000000000005</v>
      </c>
      <c r="L60" s="100">
        <f t="shared" si="7"/>
        <v>7257.4000000000005</v>
      </c>
      <c r="M60" s="53">
        <v>8</v>
      </c>
      <c r="N60" s="53">
        <v>1</v>
      </c>
      <c r="O60" s="53">
        <v>1</v>
      </c>
      <c r="P60" s="56">
        <v>43336</v>
      </c>
      <c r="Q60" s="56">
        <v>43347</v>
      </c>
      <c r="R60" s="58" t="s">
        <v>158</v>
      </c>
      <c r="S60" s="53">
        <f t="shared" ref="S60" si="14">DATEDIF(P60,Q60,"d")-1</f>
        <v>10</v>
      </c>
      <c r="T60" s="53">
        <f t="shared" si="10"/>
        <v>13</v>
      </c>
      <c r="U60" s="83" t="str">
        <f>IF(S60 &lt;= $Y$2,"Y","N")</f>
        <v>Y</v>
      </c>
      <c r="V60" s="78">
        <v>0</v>
      </c>
      <c r="W60" s="78">
        <v>0.5</v>
      </c>
      <c r="AA60" s="383"/>
      <c r="AB60" s="383"/>
      <c r="AC60" s="383"/>
      <c r="AD60" s="383"/>
      <c r="AE60" s="383"/>
      <c r="AF60" s="383"/>
      <c r="AG60" s="383"/>
      <c r="AH60" s="140"/>
      <c r="AI60" s="21"/>
      <c r="AK60" s="374" t="s">
        <v>233</v>
      </c>
      <c r="AL60" s="374"/>
      <c r="AM60" s="374"/>
      <c r="AN60" s="374"/>
      <c r="AO60" s="374"/>
      <c r="AP60" s="374"/>
      <c r="AQ60" s="374"/>
      <c r="AR60" s="140" t="s">
        <v>224</v>
      </c>
    </row>
    <row r="61" spans="1:53" ht="16.5" thickTop="1" thickBot="1" x14ac:dyDescent="0.3">
      <c r="A61" s="144">
        <v>9</v>
      </c>
      <c r="B61" s="144" t="s">
        <v>299</v>
      </c>
      <c r="C61" s="145" t="s">
        <v>146</v>
      </c>
      <c r="D61" s="146">
        <v>43320</v>
      </c>
      <c r="E61" s="146">
        <v>43333</v>
      </c>
      <c r="F61" s="147" t="s">
        <v>155</v>
      </c>
      <c r="G61" s="148">
        <v>32598</v>
      </c>
      <c r="H61" s="149">
        <v>201</v>
      </c>
      <c r="I61" s="148">
        <v>26823</v>
      </c>
      <c r="J61" s="149">
        <v>159</v>
      </c>
      <c r="K61" s="148">
        <f t="shared" si="8"/>
        <v>5364.6</v>
      </c>
      <c r="L61" s="148">
        <f t="shared" si="7"/>
        <v>5364.6</v>
      </c>
      <c r="M61" s="149">
        <v>4</v>
      </c>
      <c r="N61" s="149">
        <v>1</v>
      </c>
      <c r="O61" s="149">
        <v>1</v>
      </c>
      <c r="P61" s="150">
        <v>43336</v>
      </c>
      <c r="Q61" s="150">
        <v>43347</v>
      </c>
      <c r="R61" s="151" t="s">
        <v>158</v>
      </c>
      <c r="S61" s="149">
        <f t="shared" ref="S61:S62" si="15">DATEDIF(P61,Q61,"d")-1</f>
        <v>10</v>
      </c>
      <c r="T61" s="149">
        <f t="shared" ref="T61" si="16">DATEDIF(E61,Q61,"d")-1</f>
        <v>13</v>
      </c>
      <c r="U61" s="149" t="str">
        <f t="shared" ref="U61" si="17">IF(S61 &lt;= $Y$2,"Y","N")</f>
        <v>Y</v>
      </c>
      <c r="V61" s="152">
        <v>0</v>
      </c>
      <c r="W61" s="152">
        <v>0.25</v>
      </c>
      <c r="AA61" s="369"/>
      <c r="AB61" s="369"/>
      <c r="AC61" s="369"/>
      <c r="AD61" s="369"/>
      <c r="AE61" s="369"/>
      <c r="AF61" s="369"/>
      <c r="AG61" s="369"/>
      <c r="AH61" s="63"/>
      <c r="AI61" s="21"/>
      <c r="AK61" s="372" t="s">
        <v>212</v>
      </c>
      <c r="AL61" s="373"/>
      <c r="AM61" s="373"/>
      <c r="AN61" s="373"/>
      <c r="AO61" s="373"/>
      <c r="AP61" s="373"/>
      <c r="AQ61" s="373"/>
      <c r="AR61" s="141">
        <f>COUNTIF(R13:R21,"Y")</f>
        <v>7</v>
      </c>
    </row>
    <row r="62" spans="1:53" ht="15.75" thickTop="1" x14ac:dyDescent="0.25">
      <c r="A62" s="33">
        <v>10</v>
      </c>
      <c r="B62" s="189" t="s">
        <v>305</v>
      </c>
      <c r="C62" t="s">
        <v>147</v>
      </c>
      <c r="D62" s="47">
        <v>43334</v>
      </c>
      <c r="E62" s="47">
        <v>43347</v>
      </c>
      <c r="F62" s="61" t="s">
        <v>153</v>
      </c>
      <c r="G62" s="100">
        <v>49598.13</v>
      </c>
      <c r="H62" s="53">
        <v>169</v>
      </c>
      <c r="I62" s="100">
        <v>49220</v>
      </c>
      <c r="J62" s="53">
        <v>182</v>
      </c>
      <c r="K62" s="100">
        <f t="shared" si="8"/>
        <v>9844</v>
      </c>
      <c r="L62" s="100">
        <f t="shared" si="7"/>
        <v>9844</v>
      </c>
      <c r="M62" s="53">
        <v>9</v>
      </c>
      <c r="N62" s="53">
        <v>2</v>
      </c>
      <c r="O62" s="53">
        <v>2</v>
      </c>
      <c r="P62" s="56">
        <v>43350</v>
      </c>
      <c r="Q62" s="56">
        <v>43357</v>
      </c>
      <c r="R62" s="58" t="s">
        <v>158</v>
      </c>
      <c r="S62" s="53">
        <f t="shared" si="15"/>
        <v>6</v>
      </c>
      <c r="T62" s="53">
        <f t="shared" ref="T62:T67" si="18">DATEDIF(E62,Q62,"d")-1</f>
        <v>9</v>
      </c>
      <c r="U62" s="83" t="str">
        <f t="shared" ref="U62:U67" si="19">IF(S62 &lt;= $Y$2,"Y","N")</f>
        <v>Y</v>
      </c>
      <c r="V62" s="78">
        <v>2</v>
      </c>
      <c r="W62" s="78">
        <v>1</v>
      </c>
      <c r="AA62" s="369"/>
      <c r="AB62" s="369"/>
      <c r="AC62" s="369"/>
      <c r="AD62" s="369"/>
      <c r="AE62" s="369"/>
      <c r="AF62" s="369"/>
      <c r="AG62" s="369"/>
      <c r="AH62" s="63"/>
      <c r="AI62" s="21"/>
      <c r="AK62" s="368" t="s">
        <v>213</v>
      </c>
      <c r="AL62" s="369"/>
      <c r="AM62" s="369"/>
      <c r="AN62" s="369"/>
      <c r="AO62" s="369"/>
      <c r="AP62" s="369"/>
      <c r="AQ62" s="369"/>
      <c r="AR62" s="142">
        <f>COUNTIF(U13:U21,"N")</f>
        <v>8</v>
      </c>
    </row>
    <row r="63" spans="1:53" x14ac:dyDescent="0.25">
      <c r="A63" s="51">
        <v>11</v>
      </c>
      <c r="B63" s="189" t="s">
        <v>306</v>
      </c>
      <c r="C63" t="s">
        <v>147</v>
      </c>
      <c r="D63" s="47">
        <v>43334</v>
      </c>
      <c r="E63" s="47">
        <v>43347</v>
      </c>
      <c r="F63" s="61" t="s">
        <v>154</v>
      </c>
      <c r="G63" s="100">
        <v>13267.61</v>
      </c>
      <c r="H63" s="53">
        <v>340.5</v>
      </c>
      <c r="I63" s="100">
        <v>20933</v>
      </c>
      <c r="J63" s="53">
        <v>411</v>
      </c>
      <c r="K63" s="100">
        <f t="shared" si="8"/>
        <v>4186.6000000000004</v>
      </c>
      <c r="L63" s="100">
        <f t="shared" si="7"/>
        <v>4186.6000000000004</v>
      </c>
      <c r="M63" s="53">
        <v>10</v>
      </c>
      <c r="N63" s="53">
        <v>1</v>
      </c>
      <c r="O63" s="53">
        <v>1</v>
      </c>
      <c r="P63" s="56">
        <v>43350</v>
      </c>
      <c r="Q63" s="56">
        <v>43361</v>
      </c>
      <c r="R63" s="58" t="s">
        <v>159</v>
      </c>
      <c r="S63" s="53">
        <f t="shared" ref="S63" si="20">DATEDIF(P63,Q63,"d")-1</f>
        <v>10</v>
      </c>
      <c r="T63" s="53">
        <f t="shared" si="18"/>
        <v>13</v>
      </c>
      <c r="U63" s="83" t="str">
        <f t="shared" si="19"/>
        <v>Y</v>
      </c>
      <c r="V63" s="78">
        <v>3</v>
      </c>
      <c r="W63" s="78">
        <v>2</v>
      </c>
      <c r="AA63" s="124"/>
      <c r="AB63" s="124"/>
      <c r="AC63" s="124"/>
      <c r="AD63" s="124"/>
      <c r="AE63" s="124"/>
      <c r="AF63" s="124"/>
      <c r="AG63" s="124"/>
      <c r="AH63" s="63"/>
      <c r="AI63" s="21"/>
      <c r="AK63" s="139" t="s">
        <v>214</v>
      </c>
      <c r="AL63" s="124"/>
      <c r="AM63" s="124"/>
      <c r="AN63" s="124"/>
      <c r="AO63" s="124"/>
      <c r="AP63" s="124"/>
      <c r="AQ63" s="124"/>
      <c r="AR63" s="142">
        <f>COUNTIF(W13:W21,"&gt;2")</f>
        <v>7</v>
      </c>
    </row>
    <row r="64" spans="1:53" ht="15.75" thickBot="1" x14ac:dyDescent="0.3">
      <c r="A64" s="71">
        <v>12</v>
      </c>
      <c r="B64" s="71" t="s">
        <v>307</v>
      </c>
      <c r="C64" s="72" t="s">
        <v>157</v>
      </c>
      <c r="D64" s="73">
        <v>43334</v>
      </c>
      <c r="E64" s="73">
        <v>43347</v>
      </c>
      <c r="F64" s="74" t="s">
        <v>155</v>
      </c>
      <c r="G64" s="148">
        <v>32598</v>
      </c>
      <c r="H64" s="75">
        <v>201</v>
      </c>
      <c r="I64" s="101">
        <v>35685</v>
      </c>
      <c r="J64" s="75">
        <v>159</v>
      </c>
      <c r="K64" s="101">
        <f t="shared" si="8"/>
        <v>7137</v>
      </c>
      <c r="L64" s="101">
        <f t="shared" si="7"/>
        <v>7137</v>
      </c>
      <c r="M64" s="75">
        <v>4</v>
      </c>
      <c r="N64" s="75">
        <v>1</v>
      </c>
      <c r="O64" s="75">
        <v>1</v>
      </c>
      <c r="P64" s="76">
        <v>43350</v>
      </c>
      <c r="Q64" s="76">
        <v>43357</v>
      </c>
      <c r="R64" s="77" t="s">
        <v>158</v>
      </c>
      <c r="S64" s="75">
        <f t="shared" ref="S64:S65" si="21">DATEDIF(P64,Q64,"d")-1</f>
        <v>6</v>
      </c>
      <c r="T64" s="75">
        <f t="shared" si="18"/>
        <v>9</v>
      </c>
      <c r="U64" s="75" t="str">
        <f t="shared" si="19"/>
        <v>Y</v>
      </c>
      <c r="V64" s="79">
        <v>0</v>
      </c>
      <c r="W64" s="79">
        <v>0.25</v>
      </c>
      <c r="AA64" s="305"/>
      <c r="AB64" s="305"/>
      <c r="AC64" s="305"/>
      <c r="AD64" s="305"/>
      <c r="AE64" s="305"/>
      <c r="AF64" s="305"/>
      <c r="AG64" s="305"/>
      <c r="AH64" s="63"/>
      <c r="AI64" s="21"/>
      <c r="AK64" s="370" t="s">
        <v>215</v>
      </c>
      <c r="AL64" s="371"/>
      <c r="AM64" s="371"/>
      <c r="AN64" s="371"/>
      <c r="AO64" s="371"/>
      <c r="AP64" s="371"/>
      <c r="AQ64" s="371"/>
      <c r="AR64" s="143">
        <f>COUNTIF(V13:V21,"&gt;3")</f>
        <v>2</v>
      </c>
    </row>
    <row r="65" spans="1:44" x14ac:dyDescent="0.25">
      <c r="A65" s="33">
        <v>13</v>
      </c>
      <c r="B65" s="189" t="s">
        <v>308</v>
      </c>
      <c r="C65" t="s">
        <v>148</v>
      </c>
      <c r="D65" s="47">
        <v>43348</v>
      </c>
      <c r="E65" s="47">
        <v>43361</v>
      </c>
      <c r="F65" s="61" t="s">
        <v>153</v>
      </c>
      <c r="G65" s="100">
        <v>46003.73</v>
      </c>
      <c r="H65" s="53">
        <v>250</v>
      </c>
      <c r="I65" s="100">
        <v>48017</v>
      </c>
      <c r="J65" s="53">
        <v>257</v>
      </c>
      <c r="K65" s="100">
        <f t="shared" si="8"/>
        <v>9603.4</v>
      </c>
      <c r="L65" s="100">
        <f t="shared" si="7"/>
        <v>9603.4</v>
      </c>
      <c r="M65" s="53">
        <v>10</v>
      </c>
      <c r="N65" s="53">
        <v>3</v>
      </c>
      <c r="O65" s="53">
        <v>3</v>
      </c>
      <c r="P65" s="56">
        <v>43364</v>
      </c>
      <c r="Q65" s="56">
        <v>43368</v>
      </c>
      <c r="R65" s="58" t="s">
        <v>158</v>
      </c>
      <c r="S65" s="53">
        <f t="shared" si="21"/>
        <v>3</v>
      </c>
      <c r="T65" s="53">
        <f t="shared" si="18"/>
        <v>6</v>
      </c>
      <c r="U65" s="83" t="str">
        <f t="shared" si="19"/>
        <v>Y</v>
      </c>
      <c r="V65" s="78">
        <v>1</v>
      </c>
      <c r="W65" s="78">
        <v>1</v>
      </c>
      <c r="AA65" s="21"/>
      <c r="AB65" s="21"/>
      <c r="AC65" s="21"/>
      <c r="AD65" s="21"/>
      <c r="AE65" s="21"/>
      <c r="AF65" s="21"/>
      <c r="AG65" s="21"/>
      <c r="AH65" s="162"/>
      <c r="AI65" s="21"/>
      <c r="AK65" s="120"/>
      <c r="AL65" s="120"/>
      <c r="AM65" s="120"/>
      <c r="AN65" s="120"/>
      <c r="AO65" s="120"/>
      <c r="AP65" s="120"/>
      <c r="AQ65" s="120" t="s">
        <v>231</v>
      </c>
      <c r="AR65" s="137">
        <f>SUM(AR61:AR64)</f>
        <v>24</v>
      </c>
    </row>
    <row r="66" spans="1:44" x14ac:dyDescent="0.25">
      <c r="A66" s="51">
        <v>14</v>
      </c>
      <c r="B66" s="189" t="s">
        <v>309</v>
      </c>
      <c r="C66" t="s">
        <v>148</v>
      </c>
      <c r="D66" s="47">
        <v>43348</v>
      </c>
      <c r="E66" s="47">
        <v>43361</v>
      </c>
      <c r="F66" s="61" t="s">
        <v>154</v>
      </c>
      <c r="G66" s="100">
        <v>34222.51</v>
      </c>
      <c r="H66" s="53">
        <v>617</v>
      </c>
      <c r="I66" s="100">
        <v>29835</v>
      </c>
      <c r="J66" s="53">
        <v>352</v>
      </c>
      <c r="K66" s="100">
        <f t="shared" si="8"/>
        <v>5967</v>
      </c>
      <c r="L66" s="100">
        <f t="shared" si="7"/>
        <v>5967</v>
      </c>
      <c r="M66" s="53">
        <v>15</v>
      </c>
      <c r="N66" s="53">
        <v>1</v>
      </c>
      <c r="O66" s="53">
        <v>1</v>
      </c>
      <c r="P66" s="56">
        <v>43364</v>
      </c>
      <c r="Q66" s="56">
        <v>43368</v>
      </c>
      <c r="R66" s="58" t="s">
        <v>158</v>
      </c>
      <c r="S66" s="53">
        <f t="shared" ref="S66" si="22">DATEDIF(P66,Q66,"d")-1</f>
        <v>3</v>
      </c>
      <c r="T66" s="53">
        <f t="shared" si="18"/>
        <v>6</v>
      </c>
      <c r="U66" s="83" t="str">
        <f t="shared" si="19"/>
        <v>Y</v>
      </c>
      <c r="V66" s="78">
        <v>1</v>
      </c>
      <c r="W66" s="78">
        <v>1</v>
      </c>
      <c r="AA66" s="21"/>
      <c r="AB66" s="21"/>
      <c r="AC66" s="21"/>
      <c r="AD66" s="21"/>
      <c r="AE66" s="21"/>
      <c r="AF66" s="21"/>
      <c r="AG66" s="21"/>
      <c r="AH66" s="21"/>
      <c r="AI66" s="21"/>
    </row>
    <row r="67" spans="1:44" ht="15.75" thickBot="1" x14ac:dyDescent="0.3">
      <c r="A67" s="71">
        <v>15</v>
      </c>
      <c r="B67" s="71" t="s">
        <v>310</v>
      </c>
      <c r="C67" s="72" t="s">
        <v>148</v>
      </c>
      <c r="D67" s="73">
        <v>43348</v>
      </c>
      <c r="E67" s="73">
        <v>43361</v>
      </c>
      <c r="F67" s="74" t="s">
        <v>155</v>
      </c>
      <c r="G67" s="101">
        <v>42389.05</v>
      </c>
      <c r="H67" s="75">
        <v>476</v>
      </c>
      <c r="I67" s="101">
        <v>38745</v>
      </c>
      <c r="J67" s="75">
        <v>178</v>
      </c>
      <c r="K67" s="101">
        <f t="shared" si="8"/>
        <v>7749</v>
      </c>
      <c r="L67" s="101">
        <f t="shared" si="7"/>
        <v>7749</v>
      </c>
      <c r="M67" s="75">
        <v>4</v>
      </c>
      <c r="N67" s="75">
        <v>1</v>
      </c>
      <c r="O67" s="75">
        <v>1</v>
      </c>
      <c r="P67" s="76">
        <v>43364</v>
      </c>
      <c r="Q67" s="76">
        <v>43368</v>
      </c>
      <c r="R67" s="77" t="s">
        <v>158</v>
      </c>
      <c r="S67" s="75">
        <f t="shared" ref="S67" si="23">DATEDIF(P67,Q67,"d")-1</f>
        <v>3</v>
      </c>
      <c r="T67" s="75">
        <f t="shared" si="18"/>
        <v>6</v>
      </c>
      <c r="U67" s="75" t="str">
        <f t="shared" si="19"/>
        <v>Y</v>
      </c>
      <c r="V67" s="79">
        <v>0</v>
      </c>
      <c r="W67" s="79">
        <v>0.25</v>
      </c>
    </row>
    <row r="68" spans="1:44" ht="15.75" thickBot="1" x14ac:dyDescent="0.3">
      <c r="A68" s="50"/>
      <c r="B68" s="50"/>
      <c r="C68" s="48"/>
      <c r="D68" s="49"/>
      <c r="E68" s="49"/>
      <c r="F68" s="49"/>
      <c r="G68" s="49"/>
      <c r="H68" s="49"/>
      <c r="I68" s="49"/>
      <c r="J68" s="49"/>
      <c r="K68" s="49"/>
      <c r="L68" s="49"/>
      <c r="M68" s="55"/>
      <c r="N68" s="55"/>
      <c r="O68" s="55"/>
      <c r="P68" s="57"/>
      <c r="Q68" s="57"/>
      <c r="R68" s="59"/>
      <c r="S68" s="90"/>
      <c r="T68" s="84"/>
      <c r="U68" s="84"/>
      <c r="V68" s="80"/>
      <c r="W68" s="80"/>
    </row>
    <row r="69" spans="1:44" ht="15.75" thickTop="1" x14ac:dyDescent="0.25">
      <c r="A69" s="5" t="s">
        <v>139</v>
      </c>
      <c r="B69" s="5"/>
      <c r="G69" s="100">
        <f>SUM(G53:G67)</f>
        <v>523447.44</v>
      </c>
      <c r="H69" s="53">
        <f>SUM(H53:H67)</f>
        <v>4422</v>
      </c>
      <c r="I69" s="100">
        <f>SUM(I53:I67)</f>
        <v>497611</v>
      </c>
      <c r="J69" s="53">
        <f>SUM(J53:J67)</f>
        <v>3712</v>
      </c>
      <c r="K69" s="110">
        <f>SUM(K53:K67)</f>
        <v>99522.2</v>
      </c>
      <c r="L69" s="111">
        <f>SUM(L55:L67)</f>
        <v>89202.599999999991</v>
      </c>
      <c r="M69" s="53">
        <f>SUM(M53:M67)</f>
        <v>122</v>
      </c>
      <c r="N69" s="51"/>
      <c r="O69" s="51"/>
      <c r="P69" s="51"/>
      <c r="Q69" s="51"/>
      <c r="R69" s="98">
        <f>COUNTIF(R53:R67,"Y")</f>
        <v>2</v>
      </c>
      <c r="U69" s="99">
        <f>COUNTIF(U53:U67,"Y")</f>
        <v>15</v>
      </c>
      <c r="W69" s="85">
        <f>AVERAGE(W53:W67)</f>
        <v>0.85</v>
      </c>
      <c r="X69" t="s">
        <v>200</v>
      </c>
    </row>
    <row r="70" spans="1:44" ht="21.75" thickBot="1" x14ac:dyDescent="0.4">
      <c r="A70" s="5" t="s">
        <v>192</v>
      </c>
      <c r="B70" s="5"/>
      <c r="G70" s="100">
        <f t="shared" ref="G70:L70" si="24">AVERAGE(G53:G67)</f>
        <v>34896.495999999999</v>
      </c>
      <c r="H70" s="53">
        <f t="shared" si="24"/>
        <v>294.8</v>
      </c>
      <c r="I70" s="100">
        <f t="shared" si="24"/>
        <v>33174.066666666666</v>
      </c>
      <c r="J70" s="53">
        <f t="shared" si="24"/>
        <v>247.46666666666667</v>
      </c>
      <c r="K70" s="100">
        <f t="shared" si="24"/>
        <v>6634.8133333333335</v>
      </c>
      <c r="L70" s="100">
        <f>AVERAGE(L53:AF56)</f>
        <v>9133.5390243902439</v>
      </c>
      <c r="M70" s="53">
        <f>AVERAGE(M53:M67)</f>
        <v>8.1333333333333329</v>
      </c>
      <c r="N70" s="53">
        <f t="shared" ref="N70" si="25">AVERAGE(N53:N67)</f>
        <v>1.5333333333333334</v>
      </c>
      <c r="O70" s="53">
        <f>AVERAGE(O53:O67)</f>
        <v>1.5333333333333334</v>
      </c>
      <c r="P70" s="51"/>
      <c r="Q70" s="51"/>
      <c r="R70" s="97">
        <f>COUNTIF(R53:R67,"Y")/COUNTIF(R53:R67,"*")</f>
        <v>0.13333333333333333</v>
      </c>
      <c r="S70" s="88">
        <f>AVERAGE(S53:S67)</f>
        <v>8.8666666666666671</v>
      </c>
      <c r="T70" s="88">
        <f>AVERAGE(T53:T67)</f>
        <v>11.866666666666667</v>
      </c>
      <c r="U70" s="97">
        <f>COUNTIF(U53:U67,"Y")/COUNTIF(U53:U67,"*")</f>
        <v>1</v>
      </c>
      <c r="V70" s="85">
        <f>AVERAGE(V53:V67)</f>
        <v>0.93333333333333335</v>
      </c>
      <c r="W70" s="85">
        <f>AVERAGE(W54:W68)</f>
        <v>0.8392857142857143</v>
      </c>
      <c r="X70" t="s">
        <v>192</v>
      </c>
      <c r="Z70" s="374" t="s">
        <v>508</v>
      </c>
      <c r="AA70" s="374"/>
      <c r="AB70" s="374"/>
      <c r="AC70" s="374"/>
      <c r="AD70" s="374"/>
      <c r="AE70" s="374"/>
      <c r="AF70" s="374"/>
      <c r="AG70" s="140" t="s">
        <v>224</v>
      </c>
    </row>
    <row r="71" spans="1:44" ht="15.75" thickTop="1" x14ac:dyDescent="0.25">
      <c r="A71" s="5" t="s">
        <v>140</v>
      </c>
      <c r="B71" s="5"/>
      <c r="G71" s="100">
        <f t="shared" ref="G71:O71" si="26">_xlfn.STDEV.S(G53:G67)</f>
        <v>14108.996171378345</v>
      </c>
      <c r="H71" s="78">
        <f t="shared" si="26"/>
        <v>128.17326442860738</v>
      </c>
      <c r="I71" s="100">
        <f t="shared" si="26"/>
        <v>11631.788920679313</v>
      </c>
      <c r="J71" s="78">
        <f t="shared" si="26"/>
        <v>97.515285737062527</v>
      </c>
      <c r="K71" s="100">
        <f t="shared" si="26"/>
        <v>2326.3577841358619</v>
      </c>
      <c r="L71" s="100">
        <f t="shared" si="26"/>
        <v>2326.3577841358619</v>
      </c>
      <c r="M71" s="78">
        <f t="shared" si="26"/>
        <v>2.9728934118288262</v>
      </c>
      <c r="N71" s="78">
        <f t="shared" si="26"/>
        <v>0.74322335295720654</v>
      </c>
      <c r="O71" s="78">
        <f t="shared" si="26"/>
        <v>0.74322335295720654</v>
      </c>
      <c r="P71" s="51"/>
      <c r="Q71" s="51"/>
      <c r="S71" s="86">
        <f>_xlfn.STDEV.S(S53:S67)</f>
        <v>3.7391111752597546</v>
      </c>
      <c r="T71" s="86">
        <f>_xlfn.STDEV.S(T53:T67)</f>
        <v>3.7391111752597523</v>
      </c>
      <c r="U71" s="86"/>
      <c r="V71" s="86">
        <f>_xlfn.STDEV.S(V53:V67)</f>
        <v>1.0327955589886444</v>
      </c>
      <c r="W71" s="86">
        <f>_xlfn.STDEV.S(W53:W67)</f>
        <v>0.48916839052182659</v>
      </c>
      <c r="X71" t="s">
        <v>140</v>
      </c>
      <c r="Z71" s="372" t="s">
        <v>212</v>
      </c>
      <c r="AA71" s="373"/>
      <c r="AB71" s="373"/>
      <c r="AC71" s="373"/>
      <c r="AD71" s="373"/>
      <c r="AE71" s="373"/>
      <c r="AF71" s="373"/>
      <c r="AG71" s="141">
        <f>COUNTIF(R54:R67,"Y")</f>
        <v>2</v>
      </c>
    </row>
    <row r="72" spans="1:44" ht="15.75" thickBot="1" x14ac:dyDescent="0.3">
      <c r="A72" s="113" t="s">
        <v>141</v>
      </c>
      <c r="B72" s="113"/>
      <c r="C72" s="48"/>
      <c r="D72" s="48"/>
      <c r="E72" s="48"/>
      <c r="F72" s="48"/>
      <c r="G72" s="102">
        <f t="shared" ref="G72:L72" si="27">MAX(G53:G67)-MIN(G53:G67)</f>
        <v>53365.86</v>
      </c>
      <c r="H72" s="82">
        <f t="shared" si="27"/>
        <v>461.5</v>
      </c>
      <c r="I72" s="102">
        <f t="shared" si="27"/>
        <v>39353</v>
      </c>
      <c r="J72" s="82">
        <f t="shared" si="27"/>
        <v>260</v>
      </c>
      <c r="K72" s="102">
        <f t="shared" si="27"/>
        <v>7870.6</v>
      </c>
      <c r="L72" s="102">
        <f t="shared" si="27"/>
        <v>7870.6</v>
      </c>
      <c r="M72" s="82">
        <f t="shared" ref="M72:N72" si="28">MAX(M53:M67)-MIN(M53:M67)</f>
        <v>11</v>
      </c>
      <c r="N72" s="82">
        <f t="shared" si="28"/>
        <v>2</v>
      </c>
      <c r="O72" s="82">
        <f>MAX(O53:O67)-MIN(O53:O67)</f>
        <v>2</v>
      </c>
      <c r="P72" s="50"/>
      <c r="Q72" s="50"/>
      <c r="R72" s="48"/>
      <c r="S72" s="87">
        <f>MAX(S53:S67)-MIN(S53:S67)</f>
        <v>10</v>
      </c>
      <c r="T72" s="87">
        <f>MAX(T53:T67)-MIN(T53:T67)</f>
        <v>10</v>
      </c>
      <c r="U72" s="87"/>
      <c r="V72" s="87">
        <f>MAX(V53:V67)-MIN(V53:V67)</f>
        <v>3</v>
      </c>
      <c r="W72" s="87">
        <f>MAX(W53:W67)-MIN(W53:W67)</f>
        <v>1.75</v>
      </c>
      <c r="X72" t="s">
        <v>141</v>
      </c>
      <c r="Z72" s="368" t="s">
        <v>213</v>
      </c>
      <c r="AA72" s="369"/>
      <c r="AB72" s="369"/>
      <c r="AC72" s="369"/>
      <c r="AD72" s="369"/>
      <c r="AE72" s="369"/>
      <c r="AF72" s="369"/>
      <c r="AG72" s="142">
        <f>COUNTIF(U53:U67,"N")</f>
        <v>0</v>
      </c>
    </row>
    <row r="73" spans="1:44" ht="15.75" thickTop="1" x14ac:dyDescent="0.25">
      <c r="P73" s="384" t="s">
        <v>201</v>
      </c>
      <c r="Q73" s="384"/>
      <c r="R73" s="112">
        <f>100%-R70</f>
        <v>0.8666666666666667</v>
      </c>
      <c r="Z73" s="210" t="s">
        <v>509</v>
      </c>
      <c r="AA73" s="209"/>
      <c r="AB73" s="209"/>
      <c r="AC73" s="209"/>
      <c r="AD73" s="209"/>
      <c r="AE73" s="209"/>
      <c r="AF73" s="209"/>
      <c r="AG73" s="142">
        <f>COUNTIF(W53:W67,"&gt;1")</f>
        <v>2</v>
      </c>
    </row>
    <row r="74" spans="1:44" ht="15.75" thickBot="1" x14ac:dyDescent="0.3">
      <c r="Z74" s="370" t="s">
        <v>215</v>
      </c>
      <c r="AA74" s="371"/>
      <c r="AB74" s="371"/>
      <c r="AC74" s="371"/>
      <c r="AD74" s="371"/>
      <c r="AE74" s="371"/>
      <c r="AF74" s="371"/>
      <c r="AG74" s="143">
        <f>COUNTIF(V53:V67,"&gt;3")</f>
        <v>0</v>
      </c>
    </row>
    <row r="75" spans="1:44" ht="15.75" thickTop="1" x14ac:dyDescent="0.25">
      <c r="Z75" s="120"/>
      <c r="AA75" s="120"/>
      <c r="AB75" s="120"/>
      <c r="AC75" s="120"/>
      <c r="AD75" s="120"/>
      <c r="AE75" s="120"/>
      <c r="AF75" s="120" t="s">
        <v>231</v>
      </c>
      <c r="AG75" s="137">
        <f>SUM(AG71:AG74)</f>
        <v>4</v>
      </c>
    </row>
    <row r="76" spans="1:44" x14ac:dyDescent="0.25">
      <c r="Z76" s="120"/>
      <c r="AA76" s="120"/>
      <c r="AB76" s="120"/>
      <c r="AC76" s="120"/>
      <c r="AD76" s="120"/>
      <c r="AE76" s="120"/>
      <c r="AF76" s="120"/>
      <c r="AG76" s="120"/>
    </row>
    <row r="78" spans="1:44" ht="19.5" thickBot="1" x14ac:dyDescent="0.35">
      <c r="Z78" s="318" t="s">
        <v>84</v>
      </c>
      <c r="AA78" s="318"/>
      <c r="AB78" s="318"/>
      <c r="AC78" s="318"/>
      <c r="AD78" s="318"/>
      <c r="AE78" s="318"/>
      <c r="AF78" s="318"/>
      <c r="AG78" s="318"/>
      <c r="AH78" s="207" t="s">
        <v>241</v>
      </c>
    </row>
    <row r="79" spans="1:44" x14ac:dyDescent="0.25">
      <c r="Z79" s="311" t="s">
        <v>77</v>
      </c>
      <c r="AA79" s="312"/>
      <c r="AB79" s="312"/>
      <c r="AC79" s="312"/>
      <c r="AD79" s="312"/>
      <c r="AE79" s="312"/>
      <c r="AF79" s="312"/>
      <c r="AG79" s="42">
        <v>4</v>
      </c>
      <c r="AH79" s="21"/>
    </row>
    <row r="80" spans="1:44" x14ac:dyDescent="0.25">
      <c r="Z80" s="313" t="s">
        <v>80</v>
      </c>
      <c r="AA80" s="314"/>
      <c r="AB80" s="314"/>
      <c r="AC80" s="314"/>
      <c r="AD80" s="314"/>
      <c r="AE80" s="314"/>
      <c r="AF80" s="314"/>
      <c r="AG80" s="127">
        <v>5</v>
      </c>
      <c r="AH80" s="209"/>
    </row>
    <row r="81" spans="26:34" x14ac:dyDescent="0.25">
      <c r="Z81" s="313" t="s">
        <v>78</v>
      </c>
      <c r="AA81" s="314"/>
      <c r="AB81" s="314"/>
      <c r="AC81" s="314"/>
      <c r="AD81" s="314"/>
      <c r="AE81" s="314"/>
      <c r="AF81" s="314"/>
      <c r="AG81" s="127">
        <f>AG79*AG80</f>
        <v>20</v>
      </c>
      <c r="AH81" s="209"/>
    </row>
    <row r="82" spans="26:34" x14ac:dyDescent="0.25">
      <c r="Z82" s="313" t="s">
        <v>79</v>
      </c>
      <c r="AA82" s="314"/>
      <c r="AB82" s="314"/>
      <c r="AC82" s="314"/>
      <c r="AD82" s="314"/>
      <c r="AE82" s="314"/>
      <c r="AF82" s="314"/>
      <c r="AG82" s="127">
        <f>AG75</f>
        <v>4</v>
      </c>
      <c r="AH82" s="209"/>
    </row>
    <row r="83" spans="26:34" x14ac:dyDescent="0.25">
      <c r="Z83" s="313" t="s">
        <v>81</v>
      </c>
      <c r="AA83" s="314"/>
      <c r="AB83" s="314"/>
      <c r="AC83" s="314"/>
      <c r="AD83" s="314"/>
      <c r="AE83" s="314"/>
      <c r="AF83" s="314"/>
      <c r="AG83" s="43">
        <f>AG82/AG81</f>
        <v>0.2</v>
      </c>
      <c r="AH83" s="21"/>
    </row>
    <row r="84" spans="26:34" x14ac:dyDescent="0.25">
      <c r="Z84" s="313" t="s">
        <v>82</v>
      </c>
      <c r="AA84" s="314"/>
      <c r="AB84" s="314"/>
      <c r="AC84" s="314"/>
      <c r="AD84" s="314"/>
      <c r="AE84" s="314"/>
      <c r="AF84" s="314"/>
      <c r="AG84" s="518">
        <f>AG83*1000000</f>
        <v>200000</v>
      </c>
      <c r="AH84" s="21"/>
    </row>
    <row r="85" spans="26:34" ht="15.75" thickBot="1" x14ac:dyDescent="0.3">
      <c r="Z85" s="316" t="s">
        <v>83</v>
      </c>
      <c r="AA85" s="317"/>
      <c r="AB85" s="317"/>
      <c r="AC85" s="317"/>
      <c r="AD85" s="317"/>
      <c r="AE85" s="317"/>
      <c r="AF85" s="317"/>
      <c r="AG85" s="519">
        <v>2.2999999999999998</v>
      </c>
      <c r="AH85" s="21"/>
    </row>
  </sheetData>
  <mergeCells count="80">
    <mergeCell ref="Z81:AF81"/>
    <mergeCell ref="Z82:AF82"/>
    <mergeCell ref="Z83:AF83"/>
    <mergeCell ref="Z84:AF84"/>
    <mergeCell ref="Z85:AF85"/>
    <mergeCell ref="Z72:AF72"/>
    <mergeCell ref="Z74:AF74"/>
    <mergeCell ref="Z78:AG78"/>
    <mergeCell ref="Z79:AF79"/>
    <mergeCell ref="Z80:AF80"/>
    <mergeCell ref="AC4:AL4"/>
    <mergeCell ref="AA4:AB4"/>
    <mergeCell ref="Z70:AF70"/>
    <mergeCell ref="Z71:AF71"/>
    <mergeCell ref="AC19:AL19"/>
    <mergeCell ref="AC20:AL20"/>
    <mergeCell ref="AC21:AL21"/>
    <mergeCell ref="AC22:AL22"/>
    <mergeCell ref="AC23:AL23"/>
    <mergeCell ref="AC14:AL14"/>
    <mergeCell ref="AC15:AL15"/>
    <mergeCell ref="AC16:AL16"/>
    <mergeCell ref="AC17:AL17"/>
    <mergeCell ref="AC18:AL18"/>
    <mergeCell ref="AA20:AB20"/>
    <mergeCell ref="AA21:AB21"/>
    <mergeCell ref="AA22:AB22"/>
    <mergeCell ref="AA23:AB23"/>
    <mergeCell ref="P73:Q73"/>
    <mergeCell ref="P47:Q47"/>
    <mergeCell ref="AA57:AG57"/>
    <mergeCell ref="AA60:AG60"/>
    <mergeCell ref="AA61:AG61"/>
    <mergeCell ref="AA62:AG62"/>
    <mergeCell ref="AA64:AG64"/>
    <mergeCell ref="AK46:AQ46"/>
    <mergeCell ref="AK47:AQ47"/>
    <mergeCell ref="AK48:AQ48"/>
    <mergeCell ref="AK50:AQ50"/>
    <mergeCell ref="AC5:AL5"/>
    <mergeCell ref="AC6:AL6"/>
    <mergeCell ref="AC7:AL7"/>
    <mergeCell ref="AC8:AL8"/>
    <mergeCell ref="AC9:AL9"/>
    <mergeCell ref="AC10:AL10"/>
    <mergeCell ref="AC11:AL11"/>
    <mergeCell ref="AC12:AL12"/>
    <mergeCell ref="AC13:AL13"/>
    <mergeCell ref="Y1:Z1"/>
    <mergeCell ref="U50:U51"/>
    <mergeCell ref="AA5:AB5"/>
    <mergeCell ref="AA6:AB6"/>
    <mergeCell ref="AA47:AG47"/>
    <mergeCell ref="AA48:AG48"/>
    <mergeCell ref="AA50:AG50"/>
    <mergeCell ref="AA46:AG46"/>
    <mergeCell ref="AF45:AG45"/>
    <mergeCell ref="AA53:AG53"/>
    <mergeCell ref="AA54:AG54"/>
    <mergeCell ref="AA55:AG55"/>
    <mergeCell ref="A51:O51"/>
    <mergeCell ref="A2:O2"/>
    <mergeCell ref="V50:V51"/>
    <mergeCell ref="W50:W51"/>
    <mergeCell ref="V1:V2"/>
    <mergeCell ref="W1:W2"/>
    <mergeCell ref="A1:T1"/>
    <mergeCell ref="U1:U2"/>
    <mergeCell ref="AT46:AZ46"/>
    <mergeCell ref="AT47:AZ47"/>
    <mergeCell ref="AT48:AZ48"/>
    <mergeCell ref="AT50:AZ50"/>
    <mergeCell ref="AK53:AQ53"/>
    <mergeCell ref="AK62:AQ62"/>
    <mergeCell ref="AK64:AQ64"/>
    <mergeCell ref="AK54:AQ54"/>
    <mergeCell ref="AK55:AQ55"/>
    <mergeCell ref="AK57:AQ57"/>
    <mergeCell ref="AK60:AQ60"/>
    <mergeCell ref="AK61:AQ61"/>
  </mergeCells>
  <conditionalFormatting sqref="U4">
    <cfRule type="cellIs" dxfId="37" priority="24" operator="equal">
      <formula>"N"</formula>
    </cfRule>
  </conditionalFormatting>
  <conditionalFormatting sqref="U4:U39">
    <cfRule type="cellIs" dxfId="36" priority="22" operator="equal">
      <formula>"Y"</formula>
    </cfRule>
    <cfRule type="cellIs" dxfId="35" priority="23" operator="equal">
      <formula>"N"</formula>
    </cfRule>
  </conditionalFormatting>
  <conditionalFormatting sqref="R4:R39">
    <cfRule type="cellIs" dxfId="34" priority="20" operator="equal">
      <formula>"N"</formula>
    </cfRule>
    <cfRule type="cellIs" dxfId="33" priority="21" operator="equal">
      <formula>"Y"</formula>
    </cfRule>
  </conditionalFormatting>
  <conditionalFormatting sqref="S4:S39">
    <cfRule type="cellIs" dxfId="32" priority="18" operator="lessThan">
      <formula>19</formula>
    </cfRule>
    <cfRule type="cellIs" dxfId="31" priority="19" operator="greaterThan">
      <formula>19</formula>
    </cfRule>
  </conditionalFormatting>
  <conditionalFormatting sqref="W4:W39">
    <cfRule type="cellIs" dxfId="30" priority="15" operator="equal">
      <formula>2</formula>
    </cfRule>
    <cfRule type="cellIs" dxfId="29" priority="16" operator="lessThan">
      <formula>2</formula>
    </cfRule>
    <cfRule type="cellIs" dxfId="28" priority="17" operator="greaterThan">
      <formula>2</formula>
    </cfRule>
  </conditionalFormatting>
  <conditionalFormatting sqref="W53:W67">
    <cfRule type="cellIs" dxfId="27" priority="12" operator="equal">
      <formula>2</formula>
    </cfRule>
    <cfRule type="cellIs" dxfId="26" priority="13" operator="greaterThan">
      <formula>2</formula>
    </cfRule>
    <cfRule type="cellIs" dxfId="25" priority="14" operator="lessThan">
      <formula>2</formula>
    </cfRule>
  </conditionalFormatting>
  <conditionalFormatting sqref="V53:V67">
    <cfRule type="cellIs" dxfId="24" priority="9" operator="equal">
      <formula>3</formula>
    </cfRule>
    <cfRule type="cellIs" dxfId="23" priority="10" operator="greaterThan">
      <formula>3</formula>
    </cfRule>
    <cfRule type="cellIs" dxfId="22" priority="11" operator="lessThan">
      <formula>3</formula>
    </cfRule>
  </conditionalFormatting>
  <conditionalFormatting sqref="U53:U67">
    <cfRule type="cellIs" dxfId="21" priority="7" operator="equal">
      <formula>"N"</formula>
    </cfRule>
    <cfRule type="cellIs" dxfId="20" priority="8" operator="equal">
      <formula>"Y"</formula>
    </cfRule>
  </conditionalFormatting>
  <conditionalFormatting sqref="S53:S67">
    <cfRule type="cellIs" dxfId="19" priority="3" operator="greaterThan">
      <formula>19</formula>
    </cfRule>
    <cfRule type="cellIs" dxfId="18" priority="4" operator="lessThan">
      <formula>20</formula>
    </cfRule>
  </conditionalFormatting>
  <conditionalFormatting sqref="R53:R67">
    <cfRule type="cellIs" dxfId="17" priority="1" operator="equal">
      <formula>"N"</formula>
    </cfRule>
    <cfRule type="cellIs" dxfId="16" priority="2" operator="equal">
      <formula>"Y"</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95BBF-3826-414F-B469-9F0EAB1C76D3}">
  <dimension ref="A1:AB177"/>
  <sheetViews>
    <sheetView topLeftCell="A113" zoomScale="80" zoomScaleNormal="80" workbookViewId="0">
      <selection activeCell="X130" sqref="X130"/>
    </sheetView>
  </sheetViews>
  <sheetFormatPr defaultRowHeight="15" x14ac:dyDescent="0.25"/>
  <cols>
    <col min="2" max="2" width="13" customWidth="1"/>
    <col min="3" max="3" width="14.28515625" customWidth="1"/>
    <col min="4" max="4" width="13.140625" customWidth="1"/>
    <col min="7" max="7" width="9.140625" style="120"/>
    <col min="20" max="20" width="20.28515625" bestFit="1" customWidth="1"/>
    <col min="27" max="27" width="20.28515625" bestFit="1" customWidth="1"/>
    <col min="28" max="28" width="10.85546875" customWidth="1"/>
  </cols>
  <sheetData>
    <row r="1" spans="1:28" ht="19.5" thickBot="1" x14ac:dyDescent="0.35">
      <c r="J1" s="298" t="s">
        <v>92</v>
      </c>
      <c r="K1" s="298"/>
      <c r="L1" s="298"/>
      <c r="M1" s="298"/>
      <c r="N1" s="298"/>
      <c r="O1" s="298"/>
      <c r="P1" s="298"/>
      <c r="Q1" s="298"/>
    </row>
    <row r="2" spans="1:28" ht="16.5" thickTop="1" x14ac:dyDescent="0.25">
      <c r="C2" s="389"/>
      <c r="D2" s="389"/>
      <c r="J2" s="301" t="s">
        <v>212</v>
      </c>
      <c r="K2" s="302"/>
      <c r="L2" s="302"/>
      <c r="M2" s="302"/>
      <c r="N2" s="302"/>
      <c r="O2" s="302"/>
      <c r="P2" s="302"/>
      <c r="Q2" s="303"/>
    </row>
    <row r="3" spans="1:28" x14ac:dyDescent="0.25">
      <c r="C3" s="190"/>
      <c r="D3" s="190"/>
      <c r="J3" s="304" t="s">
        <v>213</v>
      </c>
      <c r="K3" s="305"/>
      <c r="L3" s="305"/>
      <c r="M3" s="305"/>
      <c r="N3" s="305"/>
      <c r="O3" s="305"/>
      <c r="P3" s="305"/>
      <c r="Q3" s="306"/>
    </row>
    <row r="4" spans="1:28" x14ac:dyDescent="0.25">
      <c r="C4" s="188"/>
      <c r="D4" s="188"/>
      <c r="J4" s="164" t="s">
        <v>214</v>
      </c>
      <c r="K4" s="165"/>
      <c r="L4" s="165"/>
      <c r="M4" s="165"/>
      <c r="N4" s="165"/>
      <c r="O4" s="165"/>
      <c r="P4" s="165"/>
      <c r="Q4" s="166"/>
    </row>
    <row r="5" spans="1:28" x14ac:dyDescent="0.25">
      <c r="C5" s="188"/>
      <c r="D5" s="188"/>
      <c r="J5" s="164" t="s">
        <v>215</v>
      </c>
      <c r="K5" s="165"/>
      <c r="L5" s="165"/>
      <c r="M5" s="165"/>
      <c r="N5" s="165"/>
      <c r="O5" s="165"/>
      <c r="P5" s="165"/>
      <c r="Q5" s="166"/>
    </row>
    <row r="6" spans="1:28" ht="15.75" thickBot="1" x14ac:dyDescent="0.3">
      <c r="C6" s="188"/>
      <c r="D6" s="188"/>
      <c r="J6" s="167"/>
      <c r="K6" s="168"/>
      <c r="L6" s="168"/>
      <c r="M6" s="168"/>
      <c r="N6" s="168"/>
      <c r="O6" s="168"/>
      <c r="P6" s="168"/>
      <c r="Q6" s="169"/>
    </row>
    <row r="7" spans="1:28" ht="6.75" customHeight="1" thickTop="1" x14ac:dyDescent="0.25"/>
    <row r="8" spans="1:28" x14ac:dyDescent="0.25">
      <c r="A8" s="385" t="s">
        <v>256</v>
      </c>
      <c r="B8" s="387" t="s">
        <v>163</v>
      </c>
      <c r="C8" s="387" t="s">
        <v>311</v>
      </c>
    </row>
    <row r="9" spans="1:28" ht="33.75" customHeight="1" thickBot="1" x14ac:dyDescent="0.3">
      <c r="A9" s="386"/>
      <c r="B9" s="388"/>
      <c r="C9" s="388"/>
    </row>
    <row r="10" spans="1:28" ht="15.75" thickTop="1" x14ac:dyDescent="0.25">
      <c r="A10" s="189" t="s">
        <v>257</v>
      </c>
      <c r="B10" s="189">
        <v>29</v>
      </c>
      <c r="C10">
        <v>19</v>
      </c>
      <c r="AA10" s="18" t="s">
        <v>163</v>
      </c>
      <c r="AB10" s="18"/>
    </row>
    <row r="11" spans="1:28" x14ac:dyDescent="0.25">
      <c r="A11" s="189" t="s">
        <v>258</v>
      </c>
      <c r="B11" s="189">
        <v>30</v>
      </c>
      <c r="C11" s="120">
        <v>19</v>
      </c>
      <c r="AA11" s="15"/>
      <c r="AB11" s="15"/>
    </row>
    <row r="12" spans="1:28" ht="15.75" thickBot="1" x14ac:dyDescent="0.3">
      <c r="A12" s="71" t="s">
        <v>259</v>
      </c>
      <c r="B12" s="189">
        <v>30</v>
      </c>
      <c r="C12" s="120">
        <v>19</v>
      </c>
      <c r="AA12" s="202" t="s">
        <v>312</v>
      </c>
      <c r="AB12" s="204">
        <v>21.138888888888889</v>
      </c>
    </row>
    <row r="13" spans="1:28" x14ac:dyDescent="0.25">
      <c r="A13" s="189" t="s">
        <v>260</v>
      </c>
      <c r="B13" s="189">
        <v>24</v>
      </c>
      <c r="C13" s="120">
        <v>19</v>
      </c>
      <c r="AA13" s="15" t="s">
        <v>25</v>
      </c>
      <c r="AB13" s="203">
        <v>0.91733982017516924</v>
      </c>
    </row>
    <row r="14" spans="1:28" x14ac:dyDescent="0.25">
      <c r="A14" s="189" t="s">
        <v>261</v>
      </c>
      <c r="B14" s="189">
        <v>23</v>
      </c>
      <c r="C14" s="120">
        <v>19</v>
      </c>
      <c r="AA14" s="202" t="s">
        <v>313</v>
      </c>
      <c r="AB14" s="202">
        <v>22</v>
      </c>
    </row>
    <row r="15" spans="1:28" ht="15.75" thickBot="1" x14ac:dyDescent="0.3">
      <c r="A15" s="71" t="s">
        <v>262</v>
      </c>
      <c r="B15" s="189">
        <v>24</v>
      </c>
      <c r="C15" s="120">
        <v>19</v>
      </c>
      <c r="AA15" s="15" t="s">
        <v>314</v>
      </c>
      <c r="AB15" s="15">
        <v>24</v>
      </c>
    </row>
    <row r="16" spans="1:28" x14ac:dyDescent="0.25">
      <c r="A16" s="189" t="s">
        <v>263</v>
      </c>
      <c r="B16" s="189">
        <v>23</v>
      </c>
      <c r="C16" s="120">
        <v>19</v>
      </c>
      <c r="AA16" s="202" t="s">
        <v>315</v>
      </c>
      <c r="AB16" s="204">
        <v>5.5040389210510154</v>
      </c>
    </row>
    <row r="17" spans="1:28" x14ac:dyDescent="0.25">
      <c r="A17" s="189" t="s">
        <v>264</v>
      </c>
      <c r="B17" s="189">
        <v>23</v>
      </c>
      <c r="C17" s="120">
        <v>19</v>
      </c>
      <c r="AA17" s="15" t="s">
        <v>316</v>
      </c>
      <c r="AB17" s="203">
        <v>30.294444444444423</v>
      </c>
    </row>
    <row r="18" spans="1:28" ht="15.75" thickBot="1" x14ac:dyDescent="0.3">
      <c r="A18" s="153" t="s">
        <v>265</v>
      </c>
      <c r="B18" s="189">
        <v>20</v>
      </c>
      <c r="C18" s="120">
        <v>19</v>
      </c>
      <c r="AA18" s="15"/>
      <c r="AB18" s="203"/>
    </row>
    <row r="19" spans="1:28" x14ac:dyDescent="0.25">
      <c r="A19" s="189" t="s">
        <v>266</v>
      </c>
      <c r="B19" s="189">
        <v>20</v>
      </c>
      <c r="C19" s="120">
        <v>19</v>
      </c>
      <c r="AA19" s="15"/>
      <c r="AB19" s="203"/>
    </row>
    <row r="20" spans="1:28" x14ac:dyDescent="0.25">
      <c r="A20" s="189" t="s">
        <v>267</v>
      </c>
      <c r="B20" s="189">
        <v>20</v>
      </c>
      <c r="C20" s="120">
        <v>19</v>
      </c>
      <c r="AA20" s="15" t="s">
        <v>319</v>
      </c>
      <c r="AB20" s="15">
        <v>23</v>
      </c>
    </row>
    <row r="21" spans="1:28" ht="15.75" thickBot="1" x14ac:dyDescent="0.3">
      <c r="A21" s="71" t="s">
        <v>268</v>
      </c>
      <c r="B21" s="189">
        <v>20</v>
      </c>
      <c r="C21" s="120">
        <v>19</v>
      </c>
      <c r="AA21" s="15" t="s">
        <v>320</v>
      </c>
      <c r="AB21" s="15">
        <v>7</v>
      </c>
    </row>
    <row r="22" spans="1:28" x14ac:dyDescent="0.25">
      <c r="A22" s="189" t="s">
        <v>269</v>
      </c>
      <c r="B22" s="189">
        <v>24</v>
      </c>
      <c r="C22" s="120">
        <v>19</v>
      </c>
      <c r="AA22" s="15" t="s">
        <v>321</v>
      </c>
      <c r="AB22" s="15">
        <v>30</v>
      </c>
    </row>
    <row r="23" spans="1:28" x14ac:dyDescent="0.25">
      <c r="A23" s="189" t="s">
        <v>270</v>
      </c>
      <c r="B23" s="189">
        <v>20</v>
      </c>
      <c r="C23" s="120">
        <v>19</v>
      </c>
      <c r="AA23" s="15"/>
      <c r="AB23" s="15"/>
    </row>
    <row r="24" spans="1:28" ht="15.75" thickBot="1" x14ac:dyDescent="0.3">
      <c r="A24" s="71" t="s">
        <v>271</v>
      </c>
      <c r="B24" s="189">
        <v>24</v>
      </c>
      <c r="C24" s="120">
        <v>19</v>
      </c>
      <c r="AA24" s="16" t="s">
        <v>323</v>
      </c>
      <c r="AB24" s="16">
        <v>36</v>
      </c>
    </row>
    <row r="25" spans="1:28" x14ac:dyDescent="0.25">
      <c r="A25" s="189" t="s">
        <v>272</v>
      </c>
      <c r="B25" s="189">
        <v>20</v>
      </c>
      <c r="C25" s="120">
        <v>19</v>
      </c>
    </row>
    <row r="26" spans="1:28" x14ac:dyDescent="0.25">
      <c r="A26" s="189" t="s">
        <v>273</v>
      </c>
      <c r="B26" s="189">
        <v>24</v>
      </c>
      <c r="C26" s="120">
        <v>19</v>
      </c>
    </row>
    <row r="27" spans="1:28" ht="15.75" thickBot="1" x14ac:dyDescent="0.3">
      <c r="A27" s="128" t="s">
        <v>274</v>
      </c>
      <c r="B27" s="189">
        <v>10</v>
      </c>
      <c r="C27" s="120">
        <v>19</v>
      </c>
    </row>
    <row r="28" spans="1:28" ht="15.75" thickTop="1" x14ac:dyDescent="0.25">
      <c r="A28" s="189" t="s">
        <v>275</v>
      </c>
      <c r="B28" s="189">
        <v>21</v>
      </c>
      <c r="C28" s="120">
        <v>19</v>
      </c>
    </row>
    <row r="29" spans="1:28" x14ac:dyDescent="0.25">
      <c r="A29" s="189" t="s">
        <v>276</v>
      </c>
      <c r="B29" s="189">
        <v>21</v>
      </c>
      <c r="C29" s="120">
        <v>19</v>
      </c>
    </row>
    <row r="30" spans="1:28" ht="15.75" thickBot="1" x14ac:dyDescent="0.3">
      <c r="A30" s="71" t="s">
        <v>277</v>
      </c>
      <c r="B30" s="189">
        <v>17</v>
      </c>
      <c r="C30" s="120">
        <v>19</v>
      </c>
    </row>
    <row r="31" spans="1:28" x14ac:dyDescent="0.25">
      <c r="A31" s="189" t="s">
        <v>278</v>
      </c>
      <c r="B31" s="189">
        <v>21</v>
      </c>
      <c r="C31" s="120">
        <v>19</v>
      </c>
    </row>
    <row r="32" spans="1:28" x14ac:dyDescent="0.25">
      <c r="A32" s="189" t="s">
        <v>279</v>
      </c>
      <c r="B32" s="189">
        <v>21</v>
      </c>
      <c r="C32" s="120">
        <v>19</v>
      </c>
    </row>
    <row r="33" spans="1:5" ht="15.75" thickBot="1" x14ac:dyDescent="0.3">
      <c r="A33" s="71" t="s">
        <v>280</v>
      </c>
      <c r="B33" s="189">
        <v>24</v>
      </c>
      <c r="C33" s="120">
        <v>19</v>
      </c>
    </row>
    <row r="34" spans="1:5" x14ac:dyDescent="0.25">
      <c r="A34" s="189" t="s">
        <v>281</v>
      </c>
      <c r="B34" s="189">
        <v>21</v>
      </c>
      <c r="C34" s="120">
        <v>19</v>
      </c>
    </row>
    <row r="35" spans="1:5" x14ac:dyDescent="0.25">
      <c r="A35" s="189" t="s">
        <v>282</v>
      </c>
      <c r="B35" s="189">
        <v>24</v>
      </c>
      <c r="C35" s="120">
        <v>19</v>
      </c>
    </row>
    <row r="36" spans="1:5" ht="15.75" thickBot="1" x14ac:dyDescent="0.3">
      <c r="A36" s="153" t="s">
        <v>283</v>
      </c>
      <c r="B36" s="189">
        <v>13</v>
      </c>
      <c r="C36" s="120">
        <v>19</v>
      </c>
    </row>
    <row r="37" spans="1:5" x14ac:dyDescent="0.25">
      <c r="A37" s="189" t="s">
        <v>284</v>
      </c>
      <c r="B37" s="189">
        <v>24</v>
      </c>
      <c r="C37" s="120">
        <v>19</v>
      </c>
    </row>
    <row r="38" spans="1:5" x14ac:dyDescent="0.25">
      <c r="A38" s="189" t="s">
        <v>285</v>
      </c>
      <c r="B38" s="189">
        <v>10</v>
      </c>
      <c r="C38" s="120">
        <v>19</v>
      </c>
    </row>
    <row r="39" spans="1:5" ht="15.75" thickBot="1" x14ac:dyDescent="0.3">
      <c r="A39" s="71" t="s">
        <v>286</v>
      </c>
      <c r="B39" s="189">
        <v>10</v>
      </c>
      <c r="C39" s="120">
        <v>19</v>
      </c>
    </row>
    <row r="40" spans="1:5" x14ac:dyDescent="0.25">
      <c r="A40" s="189" t="s">
        <v>287</v>
      </c>
      <c r="B40" s="189">
        <v>24</v>
      </c>
      <c r="C40" s="120">
        <v>19</v>
      </c>
    </row>
    <row r="41" spans="1:5" x14ac:dyDescent="0.25">
      <c r="A41" s="189" t="s">
        <v>288</v>
      </c>
      <c r="B41" s="189">
        <v>17</v>
      </c>
      <c r="C41" s="120">
        <v>19</v>
      </c>
    </row>
    <row r="42" spans="1:5" ht="15.75" thickBot="1" x14ac:dyDescent="0.3">
      <c r="A42" s="71" t="s">
        <v>289</v>
      </c>
      <c r="B42" s="189">
        <v>27</v>
      </c>
      <c r="C42" s="120">
        <v>19</v>
      </c>
    </row>
    <row r="43" spans="1:5" x14ac:dyDescent="0.25">
      <c r="A43" s="189" t="s">
        <v>290</v>
      </c>
      <c r="B43" s="189">
        <v>24</v>
      </c>
      <c r="C43" s="120">
        <v>19</v>
      </c>
    </row>
    <row r="44" spans="1:5" x14ac:dyDescent="0.25">
      <c r="A44" s="189" t="s">
        <v>291</v>
      </c>
      <c r="B44" s="189">
        <v>27</v>
      </c>
      <c r="C44" s="120">
        <v>19</v>
      </c>
    </row>
    <row r="45" spans="1:5" ht="15.75" thickBot="1" x14ac:dyDescent="0.3">
      <c r="A45" s="128" t="s">
        <v>292</v>
      </c>
      <c r="B45" s="189">
        <v>7</v>
      </c>
      <c r="C45" s="120">
        <v>19</v>
      </c>
    </row>
    <row r="46" spans="1:5" ht="15.75" thickTop="1" x14ac:dyDescent="0.25"/>
    <row r="48" spans="1:5" x14ac:dyDescent="0.25">
      <c r="E48" t="s">
        <v>324</v>
      </c>
    </row>
    <row r="50" spans="1:3" x14ac:dyDescent="0.25">
      <c r="A50" s="385" t="s">
        <v>256</v>
      </c>
    </row>
    <row r="51" spans="1:3" ht="30.75" thickBot="1" x14ac:dyDescent="0.3">
      <c r="A51" s="386"/>
      <c r="B51" s="186" t="s">
        <v>150</v>
      </c>
      <c r="C51" s="186" t="s">
        <v>156</v>
      </c>
    </row>
    <row r="52" spans="1:3" ht="15.75" thickTop="1" x14ac:dyDescent="0.25">
      <c r="A52" s="189" t="s">
        <v>257</v>
      </c>
      <c r="B52" s="53">
        <v>10</v>
      </c>
      <c r="C52" s="53">
        <v>2</v>
      </c>
    </row>
    <row r="53" spans="1:3" x14ac:dyDescent="0.25">
      <c r="A53" s="189" t="s">
        <v>258</v>
      </c>
      <c r="B53" s="53">
        <v>15</v>
      </c>
      <c r="C53" s="53">
        <v>2</v>
      </c>
    </row>
    <row r="54" spans="1:3" ht="15.75" thickBot="1" x14ac:dyDescent="0.3">
      <c r="A54" s="71" t="s">
        <v>259</v>
      </c>
      <c r="B54" s="75">
        <v>8</v>
      </c>
      <c r="C54" s="75">
        <v>2</v>
      </c>
    </row>
    <row r="55" spans="1:3" x14ac:dyDescent="0.25">
      <c r="A55" s="189" t="s">
        <v>260</v>
      </c>
      <c r="B55" s="53">
        <v>14</v>
      </c>
      <c r="C55" s="53">
        <v>3</v>
      </c>
    </row>
    <row r="56" spans="1:3" x14ac:dyDescent="0.25">
      <c r="A56" s="189" t="s">
        <v>261</v>
      </c>
      <c r="B56" s="53">
        <v>15</v>
      </c>
      <c r="C56" s="53">
        <v>2</v>
      </c>
    </row>
    <row r="57" spans="1:3" ht="15.75" thickBot="1" x14ac:dyDescent="0.3">
      <c r="A57" s="71" t="s">
        <v>262</v>
      </c>
      <c r="B57" s="75">
        <v>6</v>
      </c>
      <c r="C57" s="75">
        <v>4</v>
      </c>
    </row>
    <row r="58" spans="1:3" x14ac:dyDescent="0.25">
      <c r="A58" s="189" t="s">
        <v>263</v>
      </c>
      <c r="B58" s="53">
        <v>15</v>
      </c>
      <c r="C58" s="53">
        <v>3</v>
      </c>
    </row>
    <row r="59" spans="1:3" x14ac:dyDescent="0.25">
      <c r="A59" s="189" t="s">
        <v>264</v>
      </c>
      <c r="B59" s="53">
        <v>15</v>
      </c>
      <c r="C59" s="53">
        <v>2</v>
      </c>
    </row>
    <row r="60" spans="1:3" ht="15.75" thickBot="1" x14ac:dyDescent="0.3">
      <c r="A60" s="153" t="s">
        <v>265</v>
      </c>
      <c r="B60" s="158">
        <v>10</v>
      </c>
      <c r="C60" s="158">
        <v>4</v>
      </c>
    </row>
    <row r="61" spans="1:3" x14ac:dyDescent="0.25">
      <c r="A61" s="189" t="s">
        <v>266</v>
      </c>
      <c r="B61" s="53">
        <v>11</v>
      </c>
      <c r="C61" s="53">
        <v>3</v>
      </c>
    </row>
    <row r="62" spans="1:3" x14ac:dyDescent="0.25">
      <c r="A62" s="189" t="s">
        <v>267</v>
      </c>
      <c r="B62" s="53">
        <v>11</v>
      </c>
      <c r="C62" s="53">
        <v>2</v>
      </c>
    </row>
    <row r="63" spans="1:3" ht="15.75" thickBot="1" x14ac:dyDescent="0.3">
      <c r="A63" s="71" t="s">
        <v>268</v>
      </c>
      <c r="B63" s="75">
        <v>13</v>
      </c>
      <c r="C63" s="75">
        <v>1</v>
      </c>
    </row>
    <row r="64" spans="1:3" x14ac:dyDescent="0.25">
      <c r="A64" s="189" t="s">
        <v>269</v>
      </c>
      <c r="B64" s="53">
        <v>8</v>
      </c>
      <c r="C64" s="53">
        <v>2</v>
      </c>
    </row>
    <row r="65" spans="1:3" x14ac:dyDescent="0.25">
      <c r="A65" s="189" t="s">
        <v>270</v>
      </c>
      <c r="B65" s="53">
        <v>13</v>
      </c>
      <c r="C65" s="53">
        <v>2</v>
      </c>
    </row>
    <row r="66" spans="1:3" ht="15.75" thickBot="1" x14ac:dyDescent="0.3">
      <c r="A66" s="71" t="s">
        <v>271</v>
      </c>
      <c r="B66" s="75">
        <v>8</v>
      </c>
      <c r="C66" s="75">
        <v>1</v>
      </c>
    </row>
    <row r="67" spans="1:3" x14ac:dyDescent="0.25">
      <c r="A67" s="189" t="s">
        <v>272</v>
      </c>
      <c r="B67" s="53">
        <v>9</v>
      </c>
      <c r="C67" s="53">
        <v>4</v>
      </c>
    </row>
    <row r="68" spans="1:3" x14ac:dyDescent="0.25">
      <c r="A68" s="189" t="s">
        <v>273</v>
      </c>
      <c r="B68" s="53">
        <v>11</v>
      </c>
      <c r="C68" s="53">
        <v>2</v>
      </c>
    </row>
    <row r="69" spans="1:3" ht="15.75" thickBot="1" x14ac:dyDescent="0.3">
      <c r="A69" s="128" t="s">
        <v>274</v>
      </c>
      <c r="B69" s="133">
        <v>6</v>
      </c>
      <c r="C69" s="133">
        <v>1</v>
      </c>
    </row>
    <row r="70" spans="1:3" ht="15.75" thickTop="1" x14ac:dyDescent="0.25">
      <c r="A70" s="189" t="s">
        <v>275</v>
      </c>
      <c r="B70" s="53">
        <v>10</v>
      </c>
      <c r="C70" s="53">
        <v>5</v>
      </c>
    </row>
    <row r="71" spans="1:3" x14ac:dyDescent="0.25">
      <c r="A71" s="189" t="s">
        <v>276</v>
      </c>
      <c r="B71" s="53">
        <v>11</v>
      </c>
      <c r="C71" s="53">
        <v>2</v>
      </c>
    </row>
    <row r="72" spans="1:3" ht="15.75" thickBot="1" x14ac:dyDescent="0.3">
      <c r="A72" s="71" t="s">
        <v>277</v>
      </c>
      <c r="B72" s="75">
        <v>5</v>
      </c>
      <c r="C72" s="75">
        <v>1</v>
      </c>
    </row>
    <row r="73" spans="1:3" x14ac:dyDescent="0.25">
      <c r="A73" s="189" t="s">
        <v>278</v>
      </c>
      <c r="B73" s="53">
        <v>10</v>
      </c>
      <c r="C73" s="53">
        <v>3</v>
      </c>
    </row>
    <row r="74" spans="1:3" x14ac:dyDescent="0.25">
      <c r="A74" s="189" t="s">
        <v>279</v>
      </c>
      <c r="B74" s="53">
        <v>11</v>
      </c>
      <c r="C74" s="53">
        <v>1</v>
      </c>
    </row>
    <row r="75" spans="1:3" ht="15.75" thickBot="1" x14ac:dyDescent="0.3">
      <c r="A75" s="71" t="s">
        <v>280</v>
      </c>
      <c r="B75" s="75">
        <v>7</v>
      </c>
      <c r="C75" s="75">
        <v>2</v>
      </c>
    </row>
    <row r="76" spans="1:3" x14ac:dyDescent="0.25">
      <c r="A76" s="189" t="s">
        <v>281</v>
      </c>
      <c r="B76" s="53">
        <v>14</v>
      </c>
      <c r="C76" s="53">
        <v>4</v>
      </c>
    </row>
    <row r="77" spans="1:3" x14ac:dyDescent="0.25">
      <c r="A77" s="189" t="s">
        <v>282</v>
      </c>
      <c r="B77" s="53">
        <v>10</v>
      </c>
      <c r="C77" s="53">
        <v>1</v>
      </c>
    </row>
    <row r="78" spans="1:3" ht="15.75" thickBot="1" x14ac:dyDescent="0.3">
      <c r="A78" s="153" t="s">
        <v>283</v>
      </c>
      <c r="B78" s="158">
        <v>5</v>
      </c>
      <c r="C78" s="158">
        <v>2</v>
      </c>
    </row>
    <row r="79" spans="1:3" x14ac:dyDescent="0.25">
      <c r="A79" s="189" t="s">
        <v>284</v>
      </c>
      <c r="B79" s="53">
        <v>15</v>
      </c>
      <c r="C79" s="53">
        <v>4</v>
      </c>
    </row>
    <row r="80" spans="1:3" x14ac:dyDescent="0.25">
      <c r="A80" s="189" t="s">
        <v>285</v>
      </c>
      <c r="B80" s="53">
        <v>4</v>
      </c>
      <c r="C80" s="53">
        <v>1</v>
      </c>
    </row>
    <row r="81" spans="1:3" ht="15.75" thickBot="1" x14ac:dyDescent="0.3">
      <c r="A81" s="71" t="s">
        <v>286</v>
      </c>
      <c r="B81" s="75">
        <v>5</v>
      </c>
      <c r="C81" s="75">
        <v>2</v>
      </c>
    </row>
    <row r="82" spans="1:3" x14ac:dyDescent="0.25">
      <c r="A82" s="189" t="s">
        <v>287</v>
      </c>
      <c r="B82" s="53">
        <v>15</v>
      </c>
      <c r="C82" s="53">
        <v>4</v>
      </c>
    </row>
    <row r="83" spans="1:3" x14ac:dyDescent="0.25">
      <c r="A83" s="189" t="s">
        <v>288</v>
      </c>
      <c r="B83" s="53">
        <v>6</v>
      </c>
      <c r="C83" s="53">
        <v>1</v>
      </c>
    </row>
    <row r="84" spans="1:3" ht="15.75" thickBot="1" x14ac:dyDescent="0.3">
      <c r="A84" s="71" t="s">
        <v>289</v>
      </c>
      <c r="B84" s="75">
        <v>6</v>
      </c>
      <c r="C84" s="75">
        <v>2</v>
      </c>
    </row>
    <row r="85" spans="1:3" x14ac:dyDescent="0.25">
      <c r="A85" s="189" t="s">
        <v>290</v>
      </c>
      <c r="B85" s="53">
        <v>9</v>
      </c>
      <c r="C85" s="53">
        <v>3</v>
      </c>
    </row>
    <row r="86" spans="1:3" x14ac:dyDescent="0.25">
      <c r="A86" s="189" t="s">
        <v>291</v>
      </c>
      <c r="B86" s="53">
        <v>7</v>
      </c>
      <c r="C86" s="53">
        <v>1</v>
      </c>
    </row>
    <row r="87" spans="1:3" ht="15.75" thickBot="1" x14ac:dyDescent="0.3">
      <c r="A87" s="128" t="s">
        <v>292</v>
      </c>
      <c r="B87" s="133">
        <v>8</v>
      </c>
      <c r="C87" s="133">
        <v>1</v>
      </c>
    </row>
    <row r="88" spans="1:3" ht="15.75" thickTop="1" x14ac:dyDescent="0.25">
      <c r="C88" s="66"/>
    </row>
    <row r="89" spans="1:3" x14ac:dyDescent="0.25">
      <c r="C89" s="66"/>
    </row>
    <row r="90" spans="1:3" ht="15.75" thickBot="1" x14ac:dyDescent="0.3">
      <c r="C90" s="54"/>
    </row>
    <row r="91" spans="1:3" ht="15.75" thickTop="1" x14ac:dyDescent="0.25"/>
    <row r="104" spans="1:9" x14ac:dyDescent="0.25">
      <c r="A104" s="385" t="s">
        <v>256</v>
      </c>
    </row>
    <row r="105" spans="1:9" ht="60.75" thickBot="1" x14ac:dyDescent="0.3">
      <c r="A105" s="386"/>
      <c r="B105" s="186" t="s">
        <v>138</v>
      </c>
      <c r="C105" s="186" t="s">
        <v>167</v>
      </c>
      <c r="E105" s="186"/>
      <c r="F105" s="186"/>
      <c r="G105" s="211" t="s">
        <v>256</v>
      </c>
      <c r="H105" s="211" t="s">
        <v>138</v>
      </c>
      <c r="I105" s="211" t="s">
        <v>167</v>
      </c>
    </row>
    <row r="106" spans="1:9" ht="15.75" thickTop="1" x14ac:dyDescent="0.25">
      <c r="A106" s="198" t="s">
        <v>257</v>
      </c>
      <c r="B106" s="58" t="s">
        <v>159</v>
      </c>
      <c r="C106" s="53" t="s">
        <v>158</v>
      </c>
      <c r="G106" s="206" t="s">
        <v>296</v>
      </c>
      <c r="H106" s="58" t="s">
        <v>158</v>
      </c>
      <c r="I106" s="83" t="str">
        <f>IF(G106 &lt;= $Y$2,"Y","N")</f>
        <v>N</v>
      </c>
    </row>
    <row r="107" spans="1:9" x14ac:dyDescent="0.25">
      <c r="A107" s="198" t="s">
        <v>258</v>
      </c>
      <c r="B107" s="58" t="s">
        <v>159</v>
      </c>
      <c r="C107" s="53" t="s">
        <v>158</v>
      </c>
      <c r="G107" s="206" t="s">
        <v>297</v>
      </c>
      <c r="H107" s="58" t="s">
        <v>158</v>
      </c>
      <c r="I107" s="83" t="str">
        <f>IF(G108 &lt;= $Y$2,"Y","N")</f>
        <v>N</v>
      </c>
    </row>
    <row r="108" spans="1:9" ht="15.75" thickBot="1" x14ac:dyDescent="0.3">
      <c r="A108" s="71" t="s">
        <v>259</v>
      </c>
      <c r="B108" s="77" t="s">
        <v>159</v>
      </c>
      <c r="C108" s="75" t="s">
        <v>158</v>
      </c>
      <c r="E108" s="213"/>
      <c r="F108" s="213"/>
      <c r="G108" s="71" t="s">
        <v>300</v>
      </c>
      <c r="H108" s="77" t="s">
        <v>158</v>
      </c>
      <c r="I108" s="75" t="str">
        <f>IF(G108 &lt;= $Y$2,"Y","N")</f>
        <v>N</v>
      </c>
    </row>
    <row r="109" spans="1:9" x14ac:dyDescent="0.25">
      <c r="A109" s="198" t="s">
        <v>260</v>
      </c>
      <c r="B109" s="58" t="s">
        <v>159</v>
      </c>
      <c r="C109" s="53" t="s">
        <v>158</v>
      </c>
      <c r="G109" s="206" t="s">
        <v>298</v>
      </c>
      <c r="H109" s="58" t="s">
        <v>158</v>
      </c>
      <c r="I109" s="83" t="str">
        <f>IF(G109 &lt;= $Y$2,"Y","N")</f>
        <v>N</v>
      </c>
    </row>
    <row r="110" spans="1:9" x14ac:dyDescent="0.25">
      <c r="A110" s="198" t="s">
        <v>261</v>
      </c>
      <c r="B110" s="58" t="s">
        <v>159</v>
      </c>
      <c r="C110" s="53" t="s">
        <v>158</v>
      </c>
      <c r="G110" s="206" t="s">
        <v>301</v>
      </c>
      <c r="H110" s="58" t="s">
        <v>158</v>
      </c>
      <c r="I110" s="83" t="str">
        <f>IF(G110 &lt;= $Y$2,"Y","N")</f>
        <v>N</v>
      </c>
    </row>
    <row r="111" spans="1:9" ht="15.75" thickBot="1" x14ac:dyDescent="0.3">
      <c r="A111" s="71" t="s">
        <v>262</v>
      </c>
      <c r="B111" s="77" t="s">
        <v>159</v>
      </c>
      <c r="C111" s="75" t="s">
        <v>158</v>
      </c>
      <c r="G111" s="71" t="s">
        <v>302</v>
      </c>
      <c r="H111" s="77" t="s">
        <v>159</v>
      </c>
      <c r="I111" s="75" t="str">
        <f t="shared" ref="I111" si="0">IF(G111 &lt;= $Y$2,"Y","N")</f>
        <v>N</v>
      </c>
    </row>
    <row r="112" spans="1:9" x14ac:dyDescent="0.25">
      <c r="A112" s="198" t="s">
        <v>263</v>
      </c>
      <c r="B112" s="58" t="s">
        <v>159</v>
      </c>
      <c r="C112" s="53" t="s">
        <v>158</v>
      </c>
      <c r="G112" s="206" t="s">
        <v>303</v>
      </c>
      <c r="H112" s="58" t="s">
        <v>158</v>
      </c>
      <c r="I112" s="83" t="str">
        <f>IF(G112 &lt;= $Y$2,"Y","N")</f>
        <v>N</v>
      </c>
    </row>
    <row r="113" spans="1:12" x14ac:dyDescent="0.25">
      <c r="A113" s="198" t="s">
        <v>264</v>
      </c>
      <c r="B113" s="58" t="s">
        <v>158</v>
      </c>
      <c r="C113" s="53" t="s">
        <v>158</v>
      </c>
      <c r="G113" s="206" t="s">
        <v>304</v>
      </c>
      <c r="H113" s="58" t="s">
        <v>158</v>
      </c>
      <c r="I113" s="83" t="str">
        <f>IF(G113 &lt;= $Y$2,"Y","N")</f>
        <v>N</v>
      </c>
    </row>
    <row r="114" spans="1:12" ht="15.75" thickBot="1" x14ac:dyDescent="0.3">
      <c r="A114" s="153" t="s">
        <v>265</v>
      </c>
      <c r="B114" s="160" t="s">
        <v>159</v>
      </c>
      <c r="C114" s="158" t="s">
        <v>158</v>
      </c>
      <c r="G114" s="144" t="s">
        <v>299</v>
      </c>
      <c r="H114" s="151" t="s">
        <v>158</v>
      </c>
      <c r="I114" s="149" t="str">
        <f t="shared" ref="I114:I120" si="1">IF(G114 &lt;= $Y$2,"Y","N")</f>
        <v>N</v>
      </c>
    </row>
    <row r="115" spans="1:12" x14ac:dyDescent="0.25">
      <c r="A115" s="198" t="s">
        <v>266</v>
      </c>
      <c r="B115" s="58" t="s">
        <v>159</v>
      </c>
      <c r="C115" s="53" t="s">
        <v>158</v>
      </c>
      <c r="G115" s="206" t="s">
        <v>305</v>
      </c>
      <c r="H115" s="58" t="s">
        <v>158</v>
      </c>
      <c r="I115" s="83" t="str">
        <f t="shared" si="1"/>
        <v>N</v>
      </c>
    </row>
    <row r="116" spans="1:12" x14ac:dyDescent="0.25">
      <c r="A116" s="198" t="s">
        <v>267</v>
      </c>
      <c r="B116" s="58" t="s">
        <v>159</v>
      </c>
      <c r="C116" s="53" t="s">
        <v>158</v>
      </c>
      <c r="G116" s="206" t="s">
        <v>306</v>
      </c>
      <c r="H116" s="58" t="s">
        <v>159</v>
      </c>
      <c r="I116" s="83" t="str">
        <f t="shared" si="1"/>
        <v>N</v>
      </c>
    </row>
    <row r="117" spans="1:12" ht="15.75" thickBot="1" x14ac:dyDescent="0.3">
      <c r="A117" s="71" t="s">
        <v>268</v>
      </c>
      <c r="B117" s="77" t="s">
        <v>158</v>
      </c>
      <c r="C117" s="75" t="s">
        <v>158</v>
      </c>
      <c r="G117" s="71" t="s">
        <v>307</v>
      </c>
      <c r="H117" s="77" t="s">
        <v>158</v>
      </c>
      <c r="I117" s="75" t="str">
        <f t="shared" si="1"/>
        <v>N</v>
      </c>
    </row>
    <row r="118" spans="1:12" x14ac:dyDescent="0.25">
      <c r="A118" s="198" t="s">
        <v>269</v>
      </c>
      <c r="B118" s="58" t="s">
        <v>159</v>
      </c>
      <c r="C118" s="53" t="s">
        <v>158</v>
      </c>
      <c r="G118" s="206" t="s">
        <v>308</v>
      </c>
      <c r="H118" s="58" t="s">
        <v>158</v>
      </c>
      <c r="I118" s="83" t="str">
        <f t="shared" si="1"/>
        <v>N</v>
      </c>
    </row>
    <row r="119" spans="1:12" x14ac:dyDescent="0.25">
      <c r="A119" s="198" t="s">
        <v>270</v>
      </c>
      <c r="B119" s="58" t="s">
        <v>159</v>
      </c>
      <c r="C119" s="53" t="s">
        <v>158</v>
      </c>
      <c r="G119" s="206" t="s">
        <v>309</v>
      </c>
      <c r="H119" s="58" t="s">
        <v>158</v>
      </c>
      <c r="I119" s="83" t="str">
        <f t="shared" si="1"/>
        <v>N</v>
      </c>
    </row>
    <row r="120" spans="1:12" ht="15.75" thickBot="1" x14ac:dyDescent="0.3">
      <c r="A120" s="71" t="s">
        <v>271</v>
      </c>
      <c r="B120" s="77" t="s">
        <v>159</v>
      </c>
      <c r="C120" s="75" t="s">
        <v>158</v>
      </c>
      <c r="G120" s="71" t="s">
        <v>310</v>
      </c>
      <c r="H120" s="77" t="s">
        <v>158</v>
      </c>
      <c r="I120" s="75" t="str">
        <f t="shared" si="1"/>
        <v>N</v>
      </c>
    </row>
    <row r="121" spans="1:12" x14ac:dyDescent="0.25">
      <c r="A121" s="198" t="s">
        <v>272</v>
      </c>
      <c r="B121" s="58" t="s">
        <v>159</v>
      </c>
      <c r="C121" s="53" t="s">
        <v>158</v>
      </c>
      <c r="H121" s="120">
        <f>COUNTIF(H106:H120,"Y")</f>
        <v>2</v>
      </c>
      <c r="I121" s="120">
        <f>COUNTIF(I106:I120,"Y")</f>
        <v>0</v>
      </c>
    </row>
    <row r="122" spans="1:12" x14ac:dyDescent="0.25">
      <c r="A122" s="198" t="s">
        <v>273</v>
      </c>
      <c r="B122" s="58" t="s">
        <v>159</v>
      </c>
      <c r="C122" s="53" t="s">
        <v>158</v>
      </c>
      <c r="H122" s="213">
        <f>COUNTIF(H106:H120,"Y")/COUNTIF(H106:H120,"*")</f>
        <v>0.13333333333333333</v>
      </c>
      <c r="I122" s="213">
        <f>COUNTIF(I106:I120,"Y")/COUNTIF(I106:I120,"*")</f>
        <v>0</v>
      </c>
      <c r="K122" t="s">
        <v>505</v>
      </c>
      <c r="L122" t="s">
        <v>506</v>
      </c>
    </row>
    <row r="123" spans="1:12" ht="15.75" thickBot="1" x14ac:dyDescent="0.3">
      <c r="A123" s="128" t="s">
        <v>274</v>
      </c>
      <c r="B123" s="135" t="s">
        <v>158</v>
      </c>
      <c r="C123" s="133" t="s">
        <v>159</v>
      </c>
      <c r="K123" s="213">
        <v>0.13333333333333333</v>
      </c>
      <c r="L123" s="213">
        <f>1-K123</f>
        <v>0.8666666666666667</v>
      </c>
    </row>
    <row r="124" spans="1:12" ht="15.75" thickTop="1" x14ac:dyDescent="0.25">
      <c r="A124" s="198" t="s">
        <v>275</v>
      </c>
      <c r="B124" s="58" t="s">
        <v>159</v>
      </c>
      <c r="C124" s="53" t="s">
        <v>158</v>
      </c>
    </row>
    <row r="125" spans="1:12" x14ac:dyDescent="0.25">
      <c r="A125" s="198" t="s">
        <v>276</v>
      </c>
      <c r="B125" s="58" t="s">
        <v>159</v>
      </c>
      <c r="C125" s="53" t="s">
        <v>158</v>
      </c>
    </row>
    <row r="126" spans="1:12" ht="15.75" thickBot="1" x14ac:dyDescent="0.3">
      <c r="A126" s="71" t="s">
        <v>277</v>
      </c>
      <c r="B126" s="77" t="s">
        <v>158</v>
      </c>
      <c r="C126" s="75" t="s">
        <v>159</v>
      </c>
    </row>
    <row r="127" spans="1:12" x14ac:dyDescent="0.25">
      <c r="A127" s="198" t="s">
        <v>278</v>
      </c>
      <c r="B127" s="58" t="s">
        <v>159</v>
      </c>
      <c r="C127" s="53" t="s">
        <v>158</v>
      </c>
    </row>
    <row r="128" spans="1:12" x14ac:dyDescent="0.25">
      <c r="A128" s="198" t="s">
        <v>279</v>
      </c>
      <c r="B128" s="58" t="s">
        <v>158</v>
      </c>
      <c r="C128" s="53" t="s">
        <v>158</v>
      </c>
    </row>
    <row r="129" spans="1:3" ht="15.75" thickBot="1" x14ac:dyDescent="0.3">
      <c r="A129" s="71" t="s">
        <v>280</v>
      </c>
      <c r="B129" s="77" t="s">
        <v>159</v>
      </c>
      <c r="C129" s="75" t="s">
        <v>158</v>
      </c>
    </row>
    <row r="130" spans="1:3" x14ac:dyDescent="0.25">
      <c r="A130" s="198" t="s">
        <v>281</v>
      </c>
      <c r="B130" s="58" t="s">
        <v>159</v>
      </c>
      <c r="C130" s="53" t="s">
        <v>158</v>
      </c>
    </row>
    <row r="131" spans="1:3" x14ac:dyDescent="0.25">
      <c r="A131" s="198" t="s">
        <v>282</v>
      </c>
      <c r="B131" s="58" t="s">
        <v>158</v>
      </c>
      <c r="C131" s="53" t="s">
        <v>158</v>
      </c>
    </row>
    <row r="132" spans="1:3" ht="15.75" thickBot="1" x14ac:dyDescent="0.3">
      <c r="A132" s="153" t="s">
        <v>283</v>
      </c>
      <c r="B132" s="160" t="s">
        <v>158</v>
      </c>
      <c r="C132" s="158" t="s">
        <v>159</v>
      </c>
    </row>
    <row r="133" spans="1:3" x14ac:dyDescent="0.25">
      <c r="A133" s="198" t="s">
        <v>284</v>
      </c>
      <c r="B133" s="58" t="s">
        <v>159</v>
      </c>
      <c r="C133" s="53" t="s">
        <v>158</v>
      </c>
    </row>
    <row r="134" spans="1:3" x14ac:dyDescent="0.25">
      <c r="A134" s="198" t="s">
        <v>285</v>
      </c>
      <c r="B134" s="58" t="s">
        <v>158</v>
      </c>
      <c r="C134" s="53" t="s">
        <v>159</v>
      </c>
    </row>
    <row r="135" spans="1:3" ht="15.75" thickBot="1" x14ac:dyDescent="0.3">
      <c r="A135" s="71" t="s">
        <v>286</v>
      </c>
      <c r="B135" s="77" t="s">
        <v>158</v>
      </c>
      <c r="C135" s="75" t="s">
        <v>159</v>
      </c>
    </row>
    <row r="136" spans="1:3" x14ac:dyDescent="0.25">
      <c r="A136" s="198" t="s">
        <v>287</v>
      </c>
      <c r="B136" s="58" t="s">
        <v>159</v>
      </c>
      <c r="C136" s="53" t="s">
        <v>158</v>
      </c>
    </row>
    <row r="137" spans="1:3" x14ac:dyDescent="0.25">
      <c r="A137" s="198" t="s">
        <v>288</v>
      </c>
      <c r="B137" s="58" t="s">
        <v>158</v>
      </c>
      <c r="C137" s="53" t="s">
        <v>159</v>
      </c>
    </row>
    <row r="138" spans="1:3" ht="15.75" thickBot="1" x14ac:dyDescent="0.3">
      <c r="A138" s="71" t="s">
        <v>289</v>
      </c>
      <c r="B138" s="77" t="s">
        <v>159</v>
      </c>
      <c r="C138" s="75" t="s">
        <v>158</v>
      </c>
    </row>
    <row r="139" spans="1:3" x14ac:dyDescent="0.25">
      <c r="A139" s="198" t="s">
        <v>290</v>
      </c>
      <c r="B139" s="58" t="s">
        <v>159</v>
      </c>
      <c r="C139" s="53" t="s">
        <v>158</v>
      </c>
    </row>
    <row r="140" spans="1:3" x14ac:dyDescent="0.25">
      <c r="A140" s="198" t="s">
        <v>291</v>
      </c>
      <c r="B140" s="58" t="s">
        <v>159</v>
      </c>
      <c r="C140" s="53" t="s">
        <v>158</v>
      </c>
    </row>
    <row r="141" spans="1:3" ht="15.75" thickBot="1" x14ac:dyDescent="0.3">
      <c r="A141" s="128" t="s">
        <v>292</v>
      </c>
      <c r="B141" s="135" t="s">
        <v>158</v>
      </c>
      <c r="C141" s="133" t="s">
        <v>159</v>
      </c>
    </row>
    <row r="142" spans="1:3" ht="15.75" thickTop="1" x14ac:dyDescent="0.25">
      <c r="B142">
        <f>COUNTIF(B106:B141,"Y")</f>
        <v>25</v>
      </c>
      <c r="C142" s="120">
        <f>COUNTIF(C106:C141,"Y")</f>
        <v>7</v>
      </c>
    </row>
    <row r="143" spans="1:3" x14ac:dyDescent="0.25">
      <c r="B143" s="213">
        <f>COUNTIF(B106:B141,"Y")/COUNTIF(B106:B141,"*")</f>
        <v>0.69444444444444442</v>
      </c>
      <c r="C143" s="213">
        <f>COUNTIF(C106:C141,"Y")/COUNTIF(C106:C141,"*")</f>
        <v>0.19444444444444445</v>
      </c>
    </row>
    <row r="147" spans="2:21" x14ac:dyDescent="0.25">
      <c r="B147" t="s">
        <v>329</v>
      </c>
      <c r="C147" t="s">
        <v>330</v>
      </c>
      <c r="D147" t="s">
        <v>331</v>
      </c>
    </row>
    <row r="148" spans="2:21" x14ac:dyDescent="0.25">
      <c r="B148" t="s">
        <v>325</v>
      </c>
      <c r="C148">
        <v>69</v>
      </c>
      <c r="D148">
        <v>31</v>
      </c>
    </row>
    <row r="149" spans="2:21" x14ac:dyDescent="0.25">
      <c r="B149" t="s">
        <v>328</v>
      </c>
      <c r="C149">
        <v>19</v>
      </c>
      <c r="D149">
        <v>81</v>
      </c>
    </row>
    <row r="151" spans="2:21" x14ac:dyDescent="0.25">
      <c r="C151" t="s">
        <v>174</v>
      </c>
      <c r="D151" t="s">
        <v>328</v>
      </c>
    </row>
    <row r="152" spans="2:21" x14ac:dyDescent="0.25">
      <c r="B152" t="s">
        <v>330</v>
      </c>
      <c r="C152" s="213">
        <v>0.69</v>
      </c>
      <c r="D152" s="213">
        <v>0.19</v>
      </c>
    </row>
    <row r="153" spans="2:21" x14ac:dyDescent="0.25">
      <c r="B153" t="s">
        <v>331</v>
      </c>
      <c r="C153" s="213">
        <v>0.31</v>
      </c>
      <c r="D153" s="213">
        <v>0.81</v>
      </c>
    </row>
    <row r="158" spans="2:21" x14ac:dyDescent="0.25">
      <c r="B158" s="509" t="s">
        <v>504</v>
      </c>
      <c r="C158" s="509"/>
      <c r="D158" s="509"/>
      <c r="E158" s="509"/>
      <c r="F158" s="509"/>
      <c r="G158" s="509"/>
      <c r="H158" s="509"/>
      <c r="I158" s="509"/>
      <c r="J158" s="509"/>
      <c r="K158" s="509"/>
      <c r="L158" s="509"/>
      <c r="M158" s="509"/>
      <c r="N158" s="509"/>
      <c r="O158" s="509"/>
      <c r="P158" s="509"/>
      <c r="Q158" s="509"/>
      <c r="R158" s="509"/>
      <c r="S158" s="509"/>
      <c r="T158" s="509"/>
      <c r="U158" s="509"/>
    </row>
    <row r="159" spans="2:21" x14ac:dyDescent="0.25">
      <c r="B159" s="509"/>
      <c r="C159" s="509"/>
      <c r="D159" s="509"/>
      <c r="E159" s="509"/>
      <c r="F159" s="509"/>
      <c r="G159" s="509"/>
      <c r="H159" s="509"/>
      <c r="I159" s="509"/>
      <c r="J159" s="509"/>
      <c r="K159" s="509"/>
      <c r="L159" s="509"/>
      <c r="M159" s="509"/>
      <c r="N159" s="509"/>
      <c r="O159" s="509"/>
      <c r="P159" s="509"/>
      <c r="Q159" s="509"/>
      <c r="R159" s="509"/>
      <c r="S159" s="509"/>
      <c r="T159" s="509"/>
      <c r="U159" s="509"/>
    </row>
    <row r="161" spans="1:21" ht="15.75" thickBot="1" x14ac:dyDescent="0.3">
      <c r="B161" s="510" t="s">
        <v>163</v>
      </c>
      <c r="C161" s="387" t="s">
        <v>311</v>
      </c>
    </row>
    <row r="162" spans="1:21" ht="15.75" customHeight="1" thickBot="1" x14ac:dyDescent="0.3">
      <c r="A162" s="211" t="s">
        <v>256</v>
      </c>
      <c r="B162" s="510"/>
      <c r="C162" s="388"/>
      <c r="T162" s="18" t="s">
        <v>457</v>
      </c>
      <c r="U162" s="18"/>
    </row>
    <row r="163" spans="1:21" ht="15.75" thickTop="1" x14ac:dyDescent="0.25">
      <c r="A163" s="206" t="s">
        <v>296</v>
      </c>
      <c r="B163">
        <v>13</v>
      </c>
      <c r="C163" s="120">
        <v>19</v>
      </c>
      <c r="T163" s="15"/>
      <c r="U163" s="15"/>
    </row>
    <row r="164" spans="1:21" x14ac:dyDescent="0.25">
      <c r="A164" s="206" t="s">
        <v>297</v>
      </c>
      <c r="B164">
        <v>13</v>
      </c>
      <c r="C164" s="120">
        <v>19</v>
      </c>
      <c r="T164" s="15" t="s">
        <v>312</v>
      </c>
      <c r="U164" s="19">
        <v>8.8666666666666707</v>
      </c>
    </row>
    <row r="165" spans="1:21" ht="15.75" thickBot="1" x14ac:dyDescent="0.3">
      <c r="A165" s="71" t="s">
        <v>300</v>
      </c>
      <c r="B165">
        <v>13</v>
      </c>
      <c r="C165" s="120">
        <v>19</v>
      </c>
      <c r="T165" s="15" t="s">
        <v>25</v>
      </c>
      <c r="U165" s="15">
        <v>0.96543435409327139</v>
      </c>
    </row>
    <row r="166" spans="1:21" x14ac:dyDescent="0.25">
      <c r="A166" s="206" t="s">
        <v>298</v>
      </c>
      <c r="B166">
        <v>10</v>
      </c>
      <c r="C166" s="120">
        <v>19</v>
      </c>
      <c r="T166" s="15" t="s">
        <v>315</v>
      </c>
      <c r="U166" s="15">
        <v>3.7391111752597546</v>
      </c>
    </row>
    <row r="167" spans="1:21" x14ac:dyDescent="0.25">
      <c r="A167" s="206" t="s">
        <v>301</v>
      </c>
      <c r="B167">
        <v>10</v>
      </c>
      <c r="C167" s="120">
        <v>19</v>
      </c>
      <c r="T167" s="15" t="s">
        <v>316</v>
      </c>
      <c r="U167" s="15">
        <v>13.980952380952383</v>
      </c>
    </row>
    <row r="168" spans="1:21" ht="15.75" thickBot="1" x14ac:dyDescent="0.3">
      <c r="A168" s="71" t="s">
        <v>302</v>
      </c>
      <c r="B168">
        <v>13</v>
      </c>
      <c r="C168" s="120">
        <v>19</v>
      </c>
      <c r="T168" s="15" t="s">
        <v>319</v>
      </c>
      <c r="U168" s="15">
        <v>10</v>
      </c>
    </row>
    <row r="169" spans="1:21" x14ac:dyDescent="0.25">
      <c r="A169" s="206" t="s">
        <v>303</v>
      </c>
      <c r="B169">
        <v>10</v>
      </c>
      <c r="C169" s="120">
        <v>19</v>
      </c>
      <c r="T169" s="15" t="s">
        <v>320</v>
      </c>
      <c r="U169" s="15">
        <v>3</v>
      </c>
    </row>
    <row r="170" spans="1:21" x14ac:dyDescent="0.25">
      <c r="A170" s="206" t="s">
        <v>304</v>
      </c>
      <c r="B170">
        <v>10</v>
      </c>
      <c r="C170" s="120">
        <v>19</v>
      </c>
      <c r="T170" s="15" t="s">
        <v>321</v>
      </c>
      <c r="U170" s="15">
        <v>13</v>
      </c>
    </row>
    <row r="171" spans="1:21" ht="15.75" thickBot="1" x14ac:dyDescent="0.3">
      <c r="A171" s="144" t="s">
        <v>299</v>
      </c>
      <c r="B171">
        <v>10</v>
      </c>
      <c r="C171" s="120">
        <v>19</v>
      </c>
      <c r="T171" s="20" t="s">
        <v>323</v>
      </c>
      <c r="U171" s="20">
        <v>15</v>
      </c>
    </row>
    <row r="172" spans="1:21" ht="15.75" thickTop="1" x14ac:dyDescent="0.25">
      <c r="A172" s="206" t="s">
        <v>305</v>
      </c>
      <c r="B172">
        <v>6</v>
      </c>
      <c r="C172" s="120">
        <v>19</v>
      </c>
    </row>
    <row r="173" spans="1:21" x14ac:dyDescent="0.25">
      <c r="A173" s="206" t="s">
        <v>306</v>
      </c>
      <c r="B173">
        <v>10</v>
      </c>
      <c r="C173" s="120">
        <v>19</v>
      </c>
    </row>
    <row r="174" spans="1:21" ht="15.75" thickBot="1" x14ac:dyDescent="0.3">
      <c r="A174" s="71" t="s">
        <v>307</v>
      </c>
      <c r="B174">
        <v>6</v>
      </c>
      <c r="C174" s="120">
        <v>19</v>
      </c>
    </row>
    <row r="175" spans="1:21" x14ac:dyDescent="0.25">
      <c r="A175" s="206" t="s">
        <v>308</v>
      </c>
      <c r="B175">
        <v>3</v>
      </c>
      <c r="C175" s="120">
        <v>19</v>
      </c>
      <c r="T175" s="15"/>
      <c r="U175" s="15"/>
    </row>
    <row r="176" spans="1:21" x14ac:dyDescent="0.25">
      <c r="A176" s="206" t="s">
        <v>309</v>
      </c>
      <c r="B176">
        <v>3</v>
      </c>
      <c r="C176" s="120">
        <v>19</v>
      </c>
    </row>
    <row r="177" spans="1:3" ht="15.75" thickBot="1" x14ac:dyDescent="0.3">
      <c r="A177" s="71" t="s">
        <v>310</v>
      </c>
      <c r="B177">
        <v>3</v>
      </c>
      <c r="C177" s="120">
        <v>19</v>
      </c>
    </row>
  </sheetData>
  <mergeCells count="12">
    <mergeCell ref="B158:U159"/>
    <mergeCell ref="B161:B162"/>
    <mergeCell ref="C161:C162"/>
    <mergeCell ref="J1:Q1"/>
    <mergeCell ref="J2:Q2"/>
    <mergeCell ref="J3:Q3"/>
    <mergeCell ref="A104:A105"/>
    <mergeCell ref="B8:B9"/>
    <mergeCell ref="C8:C9"/>
    <mergeCell ref="A8:A9"/>
    <mergeCell ref="A50:A51"/>
    <mergeCell ref="C2:D2"/>
  </mergeCells>
  <conditionalFormatting sqref="H106:H120">
    <cfRule type="cellIs" dxfId="13" priority="3" operator="equal">
      <formula>"N"</formula>
    </cfRule>
    <cfRule type="cellIs" dxfId="12" priority="4" operator="equal">
      <formula>"Y"</formula>
    </cfRule>
  </conditionalFormatting>
  <conditionalFormatting sqref="I106:I120">
    <cfRule type="cellIs" dxfId="11" priority="1" operator="equal">
      <formula>"N"</formula>
    </cfRule>
    <cfRule type="cellIs" dxfId="10" priority="2" operator="equal">
      <formula>"Y"</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A644E-F36B-46FE-8581-EABD65558D54}">
  <dimension ref="A1:AB48"/>
  <sheetViews>
    <sheetView topLeftCell="A13" workbookViewId="0">
      <selection activeCell="K44" sqref="K44"/>
    </sheetView>
  </sheetViews>
  <sheetFormatPr defaultRowHeight="15" x14ac:dyDescent="0.25"/>
  <sheetData>
    <row r="1" spans="1:28" ht="18.75" x14ac:dyDescent="0.3">
      <c r="X1" s="397" t="s">
        <v>363</v>
      </c>
      <c r="Y1" s="359"/>
      <c r="Z1" s="359"/>
      <c r="AA1" s="359"/>
      <c r="AB1" s="359"/>
    </row>
    <row r="2" spans="1:28" ht="15" customHeight="1" x14ac:dyDescent="0.25">
      <c r="A2" s="216"/>
      <c r="B2" s="216"/>
      <c r="C2" s="409" t="s">
        <v>360</v>
      </c>
      <c r="D2" s="409"/>
      <c r="E2" s="409"/>
      <c r="F2" s="409"/>
      <c r="G2" s="409"/>
      <c r="H2" s="409"/>
      <c r="I2" s="409"/>
      <c r="J2" s="409"/>
      <c r="K2" s="409"/>
      <c r="L2" s="216"/>
      <c r="M2" s="216"/>
      <c r="N2" s="389" t="s">
        <v>354</v>
      </c>
      <c r="O2" s="389"/>
      <c r="P2" s="389"/>
      <c r="Q2" s="389"/>
      <c r="R2" s="389"/>
      <c r="S2" s="389"/>
      <c r="T2" s="389"/>
      <c r="U2" s="389"/>
      <c r="V2" s="389"/>
      <c r="X2" s="359"/>
      <c r="Y2" s="359"/>
      <c r="Z2" s="359"/>
      <c r="AA2" s="359"/>
      <c r="AB2" s="359"/>
    </row>
    <row r="3" spans="1:28" ht="15" customHeight="1" x14ac:dyDescent="0.25">
      <c r="A3" s="216"/>
      <c r="B3" s="216"/>
      <c r="C3" s="409"/>
      <c r="D3" s="409"/>
      <c r="E3" s="409"/>
      <c r="F3" s="409"/>
      <c r="G3" s="409"/>
      <c r="H3" s="409"/>
      <c r="I3" s="409"/>
      <c r="J3" s="409"/>
      <c r="K3" s="409"/>
      <c r="L3" s="216"/>
      <c r="M3" s="216"/>
      <c r="N3" s="405" t="s">
        <v>367</v>
      </c>
      <c r="O3" s="406"/>
      <c r="P3" s="406"/>
      <c r="Q3" s="406"/>
      <c r="R3" s="406"/>
      <c r="S3" s="406"/>
      <c r="T3" s="406"/>
      <c r="U3" s="406"/>
      <c r="V3" s="407"/>
      <c r="X3" s="403" t="s">
        <v>361</v>
      </c>
      <c r="Y3" s="404"/>
      <c r="Z3" s="404"/>
      <c r="AA3" s="404"/>
    </row>
    <row r="4" spans="1:28" ht="15" customHeight="1" x14ac:dyDescent="0.25">
      <c r="A4" s="216"/>
      <c r="B4" s="216"/>
      <c r="C4" s="216"/>
      <c r="D4" s="216"/>
      <c r="E4" s="216"/>
      <c r="F4" s="216"/>
      <c r="G4" s="216"/>
      <c r="H4" s="216"/>
      <c r="I4" s="216"/>
      <c r="J4" s="216"/>
      <c r="K4" s="216"/>
      <c r="L4" s="216"/>
      <c r="M4" s="216"/>
      <c r="N4" s="405"/>
      <c r="O4" s="406"/>
      <c r="P4" s="406"/>
      <c r="Q4" s="406"/>
      <c r="R4" s="406"/>
      <c r="S4" s="406"/>
      <c r="T4" s="406"/>
      <c r="U4" s="406"/>
      <c r="V4" s="407"/>
      <c r="X4" s="329" t="s">
        <v>362</v>
      </c>
      <c r="Y4" s="329"/>
      <c r="Z4" s="329"/>
      <c r="AA4" s="329"/>
      <c r="AB4" s="329"/>
    </row>
    <row r="5" spans="1:28" x14ac:dyDescent="0.25">
      <c r="A5" s="217" t="s">
        <v>355</v>
      </c>
      <c r="B5" s="216"/>
      <c r="C5" s="216"/>
      <c r="D5" s="216"/>
      <c r="E5" s="216"/>
      <c r="F5" s="216"/>
      <c r="G5" s="216"/>
      <c r="H5" s="216"/>
      <c r="I5" s="216"/>
      <c r="J5" s="216"/>
      <c r="K5" s="216"/>
      <c r="L5" s="216"/>
      <c r="M5" s="216"/>
      <c r="N5" s="405"/>
      <c r="O5" s="406"/>
      <c r="P5" s="406"/>
      <c r="Q5" s="406"/>
      <c r="R5" s="406"/>
      <c r="S5" s="406"/>
      <c r="T5" s="406"/>
      <c r="U5" s="406"/>
      <c r="V5" s="407"/>
      <c r="X5" s="329"/>
      <c r="Y5" s="329"/>
      <c r="Z5" s="329"/>
      <c r="AA5" s="329"/>
      <c r="AB5" s="329"/>
    </row>
    <row r="6" spans="1:28" x14ac:dyDescent="0.25">
      <c r="A6" s="218" t="s">
        <v>242</v>
      </c>
      <c r="B6" s="216"/>
      <c r="C6" s="216"/>
      <c r="D6" s="216"/>
      <c r="E6" s="216"/>
      <c r="F6" s="216"/>
      <c r="G6" s="216"/>
      <c r="H6" s="216"/>
      <c r="I6" s="216"/>
      <c r="J6" s="216"/>
      <c r="K6" s="216"/>
      <c r="L6" s="216"/>
      <c r="M6" s="216"/>
      <c r="N6" s="405"/>
      <c r="O6" s="406"/>
      <c r="P6" s="406"/>
      <c r="Q6" s="406"/>
      <c r="R6" s="406"/>
      <c r="S6" s="406"/>
      <c r="T6" s="406"/>
      <c r="U6" s="406"/>
      <c r="V6" s="407"/>
      <c r="X6" s="329"/>
      <c r="Y6" s="329"/>
      <c r="Z6" s="329"/>
      <c r="AA6" s="329"/>
      <c r="AB6" s="329"/>
    </row>
    <row r="7" spans="1:28" x14ac:dyDescent="0.25">
      <c r="A7" s="218" t="s">
        <v>243</v>
      </c>
      <c r="B7" s="216"/>
      <c r="C7" s="216"/>
      <c r="D7" s="216"/>
      <c r="E7" s="216"/>
      <c r="F7" s="216"/>
      <c r="G7" s="216"/>
      <c r="H7" s="216"/>
      <c r="I7" s="216"/>
      <c r="J7" s="216"/>
      <c r="K7" s="216"/>
      <c r="L7" s="216"/>
      <c r="M7" s="216"/>
      <c r="N7" s="405" t="s">
        <v>368</v>
      </c>
      <c r="O7" s="394"/>
      <c r="P7" s="394"/>
      <c r="Q7" s="394"/>
      <c r="R7" s="394"/>
      <c r="S7" s="394"/>
      <c r="T7" s="394"/>
      <c r="U7" s="394"/>
      <c r="V7" s="395"/>
      <c r="X7" s="329"/>
      <c r="Y7" s="329"/>
      <c r="Z7" s="329"/>
      <c r="AA7" s="329"/>
      <c r="AB7" s="329"/>
    </row>
    <row r="8" spans="1:28" x14ac:dyDescent="0.25">
      <c r="A8" s="218" t="s">
        <v>244</v>
      </c>
      <c r="B8" s="216"/>
      <c r="C8" s="216"/>
      <c r="D8" s="216"/>
      <c r="E8" s="216"/>
      <c r="F8" s="216"/>
      <c r="G8" s="216"/>
      <c r="H8" s="216"/>
      <c r="I8" s="216"/>
      <c r="J8" s="216"/>
      <c r="K8" s="216"/>
      <c r="L8" s="216"/>
      <c r="M8" s="216"/>
      <c r="N8" s="396"/>
      <c r="O8" s="394"/>
      <c r="P8" s="394"/>
      <c r="Q8" s="394"/>
      <c r="R8" s="394"/>
      <c r="S8" s="394"/>
      <c r="T8" s="394"/>
      <c r="U8" s="394"/>
      <c r="V8" s="395"/>
      <c r="X8" s="329"/>
      <c r="Y8" s="329"/>
      <c r="Z8" s="329"/>
      <c r="AA8" s="329"/>
      <c r="AB8" s="329"/>
    </row>
    <row r="9" spans="1:28" s="120" customFormat="1" x14ac:dyDescent="0.25">
      <c r="A9" s="218"/>
      <c r="B9" s="216"/>
      <c r="C9" s="216"/>
      <c r="D9" s="216"/>
      <c r="E9" s="216"/>
      <c r="F9" s="216"/>
      <c r="G9" s="216"/>
      <c r="H9" s="216"/>
      <c r="I9" s="216"/>
      <c r="J9" s="216"/>
      <c r="K9" s="216"/>
      <c r="L9" s="216"/>
      <c r="M9" s="216"/>
      <c r="N9" s="396"/>
      <c r="O9" s="394"/>
      <c r="P9" s="394"/>
      <c r="Q9" s="394"/>
      <c r="R9" s="394"/>
      <c r="S9" s="394"/>
      <c r="T9" s="394"/>
      <c r="U9" s="394"/>
      <c r="V9" s="395"/>
      <c r="X9" s="329"/>
      <c r="Y9" s="329"/>
      <c r="Z9" s="329"/>
      <c r="AA9" s="329"/>
      <c r="AB9" s="329"/>
    </row>
    <row r="10" spans="1:28" x14ac:dyDescent="0.25">
      <c r="A10" s="217" t="s">
        <v>245</v>
      </c>
      <c r="B10" s="216"/>
      <c r="C10" s="216"/>
      <c r="D10" s="216"/>
      <c r="E10" s="216"/>
      <c r="F10" s="216"/>
      <c r="G10" s="216"/>
      <c r="H10" s="216"/>
      <c r="I10" s="216"/>
      <c r="J10" s="216"/>
      <c r="K10" s="216"/>
      <c r="L10" s="216"/>
      <c r="M10" s="216"/>
      <c r="N10" s="396"/>
      <c r="O10" s="394"/>
      <c r="P10" s="394"/>
      <c r="Q10" s="394"/>
      <c r="R10" s="394"/>
      <c r="S10" s="394"/>
      <c r="T10" s="394"/>
      <c r="U10" s="394"/>
      <c r="V10" s="395"/>
      <c r="X10" s="329"/>
      <c r="Y10" s="329"/>
      <c r="Z10" s="329"/>
      <c r="AA10" s="329"/>
      <c r="AB10" s="329"/>
    </row>
    <row r="11" spans="1:28" x14ac:dyDescent="0.25">
      <c r="A11" s="218" t="s">
        <v>246</v>
      </c>
      <c r="B11" s="216"/>
      <c r="C11" s="216"/>
      <c r="D11" s="216"/>
      <c r="E11" s="216"/>
      <c r="F11" s="216"/>
      <c r="G11" s="216"/>
      <c r="H11" s="216"/>
      <c r="I11" s="216"/>
      <c r="J11" s="216"/>
      <c r="K11" s="216"/>
      <c r="L11" s="216"/>
      <c r="M11" s="216"/>
      <c r="N11" s="405" t="s">
        <v>369</v>
      </c>
      <c r="O11" s="394"/>
      <c r="P11" s="394"/>
      <c r="Q11" s="394"/>
      <c r="R11" s="394"/>
      <c r="S11" s="394"/>
      <c r="T11" s="394"/>
      <c r="U11" s="394"/>
      <c r="V11" s="395"/>
      <c r="X11" s="329"/>
      <c r="Y11" s="329"/>
      <c r="Z11" s="329"/>
      <c r="AA11" s="329"/>
      <c r="AB11" s="329"/>
    </row>
    <row r="12" spans="1:28" x14ac:dyDescent="0.25">
      <c r="A12" s="218" t="s">
        <v>247</v>
      </c>
      <c r="B12" s="216"/>
      <c r="C12" s="216"/>
      <c r="D12" s="216"/>
      <c r="E12" s="216"/>
      <c r="F12" s="216"/>
      <c r="G12" s="216"/>
      <c r="H12" s="216"/>
      <c r="I12" s="216"/>
      <c r="J12" s="216"/>
      <c r="K12" s="216"/>
      <c r="L12" s="216"/>
      <c r="M12" s="216"/>
      <c r="N12" s="396"/>
      <c r="O12" s="394"/>
      <c r="P12" s="394"/>
      <c r="Q12" s="394"/>
      <c r="R12" s="394"/>
      <c r="S12" s="394"/>
      <c r="T12" s="394"/>
      <c r="U12" s="394"/>
      <c r="V12" s="395"/>
      <c r="X12" s="329"/>
      <c r="Y12" s="329"/>
      <c r="Z12" s="329"/>
      <c r="AA12" s="329"/>
      <c r="AB12" s="329"/>
    </row>
    <row r="13" spans="1:28" x14ac:dyDescent="0.25">
      <c r="A13" s="218" t="s">
        <v>248</v>
      </c>
      <c r="B13" s="216"/>
      <c r="C13" s="216"/>
      <c r="D13" s="216"/>
      <c r="E13" s="216"/>
      <c r="F13" s="216"/>
      <c r="G13" s="216"/>
      <c r="H13" s="216"/>
      <c r="I13" s="216"/>
      <c r="J13" s="216"/>
      <c r="K13" s="216"/>
      <c r="L13" s="216"/>
      <c r="M13" s="216"/>
      <c r="N13" s="396"/>
      <c r="O13" s="394"/>
      <c r="P13" s="394"/>
      <c r="Q13" s="394"/>
      <c r="R13" s="394"/>
      <c r="S13" s="394"/>
      <c r="T13" s="394"/>
      <c r="U13" s="394"/>
      <c r="V13" s="395"/>
      <c r="X13" s="398" t="s">
        <v>364</v>
      </c>
      <c r="Y13" s="398"/>
      <c r="Z13" s="398"/>
      <c r="AA13" s="398"/>
      <c r="AB13" s="398"/>
    </row>
    <row r="14" spans="1:28" s="120" customFormat="1" x14ac:dyDescent="0.25">
      <c r="A14" s="218"/>
      <c r="B14" s="216"/>
      <c r="C14" s="216"/>
      <c r="D14" s="216"/>
      <c r="E14" s="216"/>
      <c r="F14" s="216"/>
      <c r="G14" s="216"/>
      <c r="H14" s="216"/>
      <c r="I14" s="216"/>
      <c r="J14" s="216"/>
      <c r="K14" s="216"/>
      <c r="L14" s="216"/>
      <c r="M14" s="216"/>
      <c r="N14" s="396"/>
      <c r="O14" s="394"/>
      <c r="P14" s="394"/>
      <c r="Q14" s="394"/>
      <c r="R14" s="394"/>
      <c r="S14" s="394"/>
      <c r="T14" s="394"/>
      <c r="U14" s="394"/>
      <c r="V14" s="395"/>
      <c r="X14" s="365"/>
      <c r="Y14" s="365"/>
      <c r="Z14" s="365"/>
      <c r="AA14" s="365"/>
      <c r="AB14" s="365"/>
    </row>
    <row r="15" spans="1:28" x14ac:dyDescent="0.25">
      <c r="A15" s="217" t="s">
        <v>356</v>
      </c>
      <c r="B15" s="216"/>
      <c r="C15" s="216"/>
      <c r="D15" s="216"/>
      <c r="E15" s="216"/>
      <c r="F15" s="216"/>
      <c r="G15" s="216"/>
      <c r="H15" s="216"/>
      <c r="I15" s="216"/>
      <c r="J15" s="216"/>
      <c r="K15" s="216"/>
      <c r="L15" s="216"/>
      <c r="M15" s="216"/>
      <c r="N15" s="405" t="s">
        <v>370</v>
      </c>
      <c r="O15" s="394"/>
      <c r="P15" s="394"/>
      <c r="Q15" s="394"/>
      <c r="R15" s="394"/>
      <c r="S15" s="394"/>
      <c r="T15" s="394"/>
      <c r="U15" s="394"/>
      <c r="V15" s="395"/>
      <c r="X15" s="365"/>
      <c r="Y15" s="365"/>
      <c r="Z15" s="365"/>
      <c r="AA15" s="365"/>
      <c r="AB15" s="365"/>
    </row>
    <row r="16" spans="1:28" x14ac:dyDescent="0.25">
      <c r="A16" s="218" t="s">
        <v>357</v>
      </c>
      <c r="B16" s="216"/>
      <c r="C16" s="216"/>
      <c r="D16" s="216"/>
      <c r="E16" s="216"/>
      <c r="F16" s="216"/>
      <c r="G16" s="216"/>
      <c r="H16" s="216"/>
      <c r="I16" s="216"/>
      <c r="J16" s="216"/>
      <c r="K16" s="216"/>
      <c r="L16" s="216"/>
      <c r="M16" s="216"/>
      <c r="N16" s="396"/>
      <c r="O16" s="394"/>
      <c r="P16" s="394"/>
      <c r="Q16" s="394"/>
      <c r="R16" s="394"/>
      <c r="S16" s="394"/>
      <c r="T16" s="394"/>
      <c r="U16" s="394"/>
      <c r="V16" s="395"/>
      <c r="X16" s="365"/>
      <c r="Y16" s="365"/>
      <c r="Z16" s="365"/>
      <c r="AA16" s="365"/>
      <c r="AB16" s="365"/>
    </row>
    <row r="17" spans="1:28" s="120" customFormat="1" x14ac:dyDescent="0.25">
      <c r="A17" s="218"/>
      <c r="B17" s="216"/>
      <c r="C17" s="216"/>
      <c r="D17" s="216"/>
      <c r="E17" s="216"/>
      <c r="F17" s="216"/>
      <c r="G17" s="216"/>
      <c r="H17" s="216"/>
      <c r="I17" s="216"/>
      <c r="J17" s="216"/>
      <c r="K17" s="216"/>
      <c r="L17" s="216"/>
      <c r="M17" s="216"/>
      <c r="N17" s="396"/>
      <c r="O17" s="394"/>
      <c r="P17" s="394"/>
      <c r="Q17" s="394"/>
      <c r="R17" s="394"/>
      <c r="S17" s="394"/>
      <c r="T17" s="394"/>
      <c r="U17" s="394"/>
      <c r="V17" s="395"/>
      <c r="X17" s="365"/>
      <c r="Y17" s="365"/>
      <c r="Z17" s="365"/>
      <c r="AA17" s="365"/>
      <c r="AB17" s="365"/>
    </row>
    <row r="18" spans="1:28" x14ac:dyDescent="0.25">
      <c r="A18" s="217" t="s">
        <v>358</v>
      </c>
      <c r="B18" s="216"/>
      <c r="C18" s="216"/>
      <c r="D18" s="216"/>
      <c r="E18" s="216"/>
      <c r="F18" s="216"/>
      <c r="G18" s="216"/>
      <c r="H18" s="216"/>
      <c r="I18" s="216"/>
      <c r="J18" s="216"/>
      <c r="K18" s="216"/>
      <c r="L18" s="216"/>
      <c r="M18" s="216"/>
      <c r="N18" s="396"/>
      <c r="O18" s="394"/>
      <c r="P18" s="394"/>
      <c r="Q18" s="394"/>
      <c r="R18" s="394"/>
      <c r="S18" s="394"/>
      <c r="T18" s="394"/>
      <c r="U18" s="394"/>
      <c r="V18" s="395"/>
      <c r="X18" s="365"/>
      <c r="Y18" s="365"/>
      <c r="Z18" s="365"/>
      <c r="AA18" s="365"/>
      <c r="AB18" s="365"/>
    </row>
    <row r="19" spans="1:28" x14ac:dyDescent="0.25">
      <c r="A19" s="408" t="s">
        <v>250</v>
      </c>
      <c r="B19" s="408"/>
      <c r="C19" s="408"/>
      <c r="D19" s="408"/>
      <c r="E19" s="408"/>
      <c r="F19" s="408"/>
      <c r="G19" s="408"/>
      <c r="H19" s="408"/>
      <c r="I19" s="408"/>
      <c r="J19" s="408"/>
      <c r="K19" s="408"/>
      <c r="L19" s="408"/>
      <c r="M19" s="408"/>
      <c r="N19" s="400" t="s">
        <v>354</v>
      </c>
      <c r="O19" s="401"/>
      <c r="P19" s="401"/>
      <c r="Q19" s="401"/>
      <c r="R19" s="401"/>
      <c r="S19" s="401"/>
      <c r="T19" s="401"/>
      <c r="U19" s="401"/>
      <c r="V19" s="402"/>
      <c r="X19" s="365"/>
      <c r="Y19" s="365"/>
      <c r="Z19" s="365"/>
      <c r="AA19" s="365"/>
      <c r="AB19" s="365"/>
    </row>
    <row r="20" spans="1:28" s="120" customFormat="1" x14ac:dyDescent="0.25">
      <c r="A20" s="408"/>
      <c r="B20" s="408"/>
      <c r="C20" s="408"/>
      <c r="D20" s="408"/>
      <c r="E20" s="408"/>
      <c r="F20" s="408"/>
      <c r="G20" s="408"/>
      <c r="H20" s="408"/>
      <c r="I20" s="408"/>
      <c r="J20" s="408"/>
      <c r="K20" s="408"/>
      <c r="L20" s="408"/>
      <c r="M20" s="408"/>
      <c r="N20" s="393" t="s">
        <v>371</v>
      </c>
      <c r="O20" s="394"/>
      <c r="P20" s="394"/>
      <c r="Q20" s="394"/>
      <c r="R20" s="394"/>
      <c r="S20" s="394"/>
      <c r="T20" s="394"/>
      <c r="U20" s="394"/>
      <c r="V20" s="395"/>
      <c r="X20" s="399" t="s">
        <v>365</v>
      </c>
      <c r="Y20" s="399"/>
      <c r="Z20" s="399"/>
      <c r="AA20" s="399"/>
      <c r="AB20" s="399"/>
    </row>
    <row r="21" spans="1:28" x14ac:dyDescent="0.25">
      <c r="A21" s="218" t="s">
        <v>251</v>
      </c>
      <c r="B21" s="216"/>
      <c r="C21" s="216"/>
      <c r="D21" s="216"/>
      <c r="E21" s="216"/>
      <c r="F21" s="216"/>
      <c r="G21" s="216"/>
      <c r="H21" s="216"/>
      <c r="I21" s="216"/>
      <c r="J21" s="216"/>
      <c r="K21" s="216"/>
      <c r="L21" s="216"/>
      <c r="M21" s="216"/>
      <c r="N21" s="396"/>
      <c r="O21" s="394"/>
      <c r="P21" s="394"/>
      <c r="Q21" s="394"/>
      <c r="R21" s="394"/>
      <c r="S21" s="394"/>
      <c r="T21" s="394"/>
      <c r="U21" s="394"/>
      <c r="V21" s="395"/>
      <c r="X21" s="365"/>
      <c r="Y21" s="365"/>
      <c r="Z21" s="365"/>
      <c r="AA21" s="365"/>
      <c r="AB21" s="365"/>
    </row>
    <row r="22" spans="1:28" x14ac:dyDescent="0.25">
      <c r="A22" s="218" t="s">
        <v>252</v>
      </c>
      <c r="B22" s="216"/>
      <c r="C22" s="216"/>
      <c r="D22" s="216"/>
      <c r="E22" s="216"/>
      <c r="F22" s="216"/>
      <c r="G22" s="216"/>
      <c r="H22" s="216"/>
      <c r="I22" s="216"/>
      <c r="J22" s="216"/>
      <c r="K22" s="216"/>
      <c r="L22" s="216"/>
      <c r="M22" s="216"/>
      <c r="N22" s="396"/>
      <c r="O22" s="394"/>
      <c r="P22" s="394"/>
      <c r="Q22" s="394"/>
      <c r="R22" s="394"/>
      <c r="S22" s="394"/>
      <c r="T22" s="394"/>
      <c r="U22" s="394"/>
      <c r="V22" s="395"/>
      <c r="X22" s="365"/>
      <c r="Y22" s="365"/>
      <c r="Z22" s="365"/>
      <c r="AA22" s="365"/>
      <c r="AB22" s="365"/>
    </row>
    <row r="23" spans="1:28" s="120" customFormat="1" x14ac:dyDescent="0.25">
      <c r="A23" s="218"/>
      <c r="B23" s="216"/>
      <c r="C23" s="216"/>
      <c r="D23" s="216"/>
      <c r="E23" s="216"/>
      <c r="F23" s="216"/>
      <c r="G23" s="216"/>
      <c r="H23" s="216"/>
      <c r="I23" s="216"/>
      <c r="J23" s="216"/>
      <c r="K23" s="216"/>
      <c r="L23" s="216"/>
      <c r="M23" s="216"/>
      <c r="N23" s="396"/>
      <c r="O23" s="394"/>
      <c r="P23" s="394"/>
      <c r="Q23" s="394"/>
      <c r="R23" s="394"/>
      <c r="S23" s="394"/>
      <c r="T23" s="394"/>
      <c r="U23" s="394"/>
      <c r="V23" s="395"/>
      <c r="X23" s="365"/>
      <c r="Y23" s="365"/>
      <c r="Z23" s="365"/>
      <c r="AA23" s="365"/>
      <c r="AB23" s="365"/>
    </row>
    <row r="24" spans="1:28" x14ac:dyDescent="0.25">
      <c r="A24" s="217" t="s">
        <v>359</v>
      </c>
      <c r="B24" s="216"/>
      <c r="C24" s="216"/>
      <c r="D24" s="216"/>
      <c r="E24" s="216"/>
      <c r="F24" s="216"/>
      <c r="G24" s="216"/>
      <c r="H24" s="216"/>
      <c r="I24" s="216"/>
      <c r="J24" s="216"/>
      <c r="K24" s="216"/>
      <c r="L24" s="216"/>
      <c r="M24" s="216"/>
      <c r="N24" s="393" t="s">
        <v>372</v>
      </c>
      <c r="O24" s="394"/>
      <c r="P24" s="394"/>
      <c r="Q24" s="394"/>
      <c r="R24" s="394"/>
      <c r="S24" s="394"/>
      <c r="T24" s="394"/>
      <c r="U24" s="394"/>
      <c r="V24" s="395"/>
      <c r="X24" s="365"/>
      <c r="Y24" s="365"/>
      <c r="Z24" s="365"/>
      <c r="AA24" s="365"/>
      <c r="AB24" s="365"/>
    </row>
    <row r="25" spans="1:28" x14ac:dyDescent="0.25">
      <c r="A25" s="218" t="s">
        <v>253</v>
      </c>
      <c r="B25" s="216"/>
      <c r="C25" s="216"/>
      <c r="D25" s="216"/>
      <c r="E25" s="216"/>
      <c r="F25" s="216"/>
      <c r="G25" s="216"/>
      <c r="H25" s="216"/>
      <c r="I25" s="216"/>
      <c r="J25" s="216"/>
      <c r="K25" s="216"/>
      <c r="L25" s="216"/>
      <c r="M25" s="216"/>
      <c r="N25" s="396"/>
      <c r="O25" s="394"/>
      <c r="P25" s="394"/>
      <c r="Q25" s="394"/>
      <c r="R25" s="394"/>
      <c r="S25" s="394"/>
      <c r="T25" s="394"/>
      <c r="U25" s="394"/>
      <c r="V25" s="395"/>
      <c r="X25" s="365"/>
      <c r="Y25" s="365"/>
      <c r="Z25" s="365"/>
      <c r="AA25" s="365"/>
      <c r="AB25" s="365"/>
    </row>
    <row r="26" spans="1:28" x14ac:dyDescent="0.25">
      <c r="A26" s="218" t="s">
        <v>254</v>
      </c>
      <c r="B26" s="216"/>
      <c r="C26" s="216"/>
      <c r="D26" s="216"/>
      <c r="E26" s="216"/>
      <c r="F26" s="216"/>
      <c r="G26" s="216"/>
      <c r="H26" s="216"/>
      <c r="I26" s="216"/>
      <c r="J26" s="216"/>
      <c r="K26" s="216"/>
      <c r="L26" s="216"/>
      <c r="M26" s="216"/>
      <c r="N26" s="396"/>
      <c r="O26" s="394"/>
      <c r="P26" s="394"/>
      <c r="Q26" s="394"/>
      <c r="R26" s="394"/>
      <c r="S26" s="394"/>
      <c r="T26" s="394"/>
      <c r="U26" s="394"/>
      <c r="V26" s="395"/>
      <c r="X26" s="365"/>
      <c r="Y26" s="365"/>
      <c r="Z26" s="365"/>
      <c r="AA26" s="365"/>
      <c r="AB26" s="365"/>
    </row>
    <row r="27" spans="1:28" x14ac:dyDescent="0.25">
      <c r="A27" s="218" t="s">
        <v>255</v>
      </c>
      <c r="B27" s="216"/>
      <c r="C27" s="216"/>
      <c r="D27" s="216"/>
      <c r="E27" s="216"/>
      <c r="F27" s="216"/>
      <c r="G27" s="216"/>
      <c r="H27" s="216"/>
      <c r="I27" s="216"/>
      <c r="J27" s="216"/>
      <c r="K27" s="216"/>
      <c r="L27" s="216"/>
      <c r="M27" s="216"/>
      <c r="N27" s="396"/>
      <c r="O27" s="394"/>
      <c r="P27" s="394"/>
      <c r="Q27" s="394"/>
      <c r="R27" s="394"/>
      <c r="S27" s="394"/>
      <c r="T27" s="394"/>
      <c r="U27" s="394"/>
      <c r="V27" s="395"/>
      <c r="X27" s="399" t="s">
        <v>366</v>
      </c>
      <c r="Y27" s="399"/>
      <c r="Z27" s="399"/>
      <c r="AA27" s="399"/>
      <c r="AB27" s="399"/>
    </row>
    <row r="28" spans="1:28" x14ac:dyDescent="0.25">
      <c r="A28" s="216"/>
      <c r="B28" s="216"/>
      <c r="C28" s="216"/>
      <c r="D28" s="216"/>
      <c r="E28" s="216"/>
      <c r="F28" s="216"/>
      <c r="G28" s="216"/>
      <c r="H28" s="216"/>
      <c r="I28" s="216"/>
      <c r="J28" s="216"/>
      <c r="K28" s="216"/>
      <c r="L28" s="216"/>
      <c r="M28" s="216"/>
      <c r="N28" s="393" t="s">
        <v>373</v>
      </c>
      <c r="O28" s="394"/>
      <c r="P28" s="394"/>
      <c r="Q28" s="394"/>
      <c r="R28" s="394"/>
      <c r="S28" s="394"/>
      <c r="T28" s="394"/>
      <c r="U28" s="394"/>
      <c r="V28" s="395"/>
      <c r="X28" s="365"/>
      <c r="Y28" s="365"/>
      <c r="Z28" s="365"/>
      <c r="AA28" s="365"/>
      <c r="AB28" s="365"/>
    </row>
    <row r="29" spans="1:28" x14ac:dyDescent="0.25">
      <c r="A29" s="216"/>
      <c r="B29" s="216"/>
      <c r="C29" s="392" t="s">
        <v>391</v>
      </c>
      <c r="D29" s="392"/>
      <c r="E29" s="392"/>
      <c r="F29" s="392"/>
      <c r="G29" s="392"/>
      <c r="H29" s="392"/>
      <c r="I29" s="216"/>
      <c r="J29" s="216"/>
      <c r="K29" s="216"/>
      <c r="L29" s="216"/>
      <c r="M29" s="216"/>
      <c r="N29" s="396"/>
      <c r="O29" s="394"/>
      <c r="P29" s="394"/>
      <c r="Q29" s="394"/>
      <c r="R29" s="394"/>
      <c r="S29" s="394"/>
      <c r="T29" s="394"/>
      <c r="U29" s="394"/>
      <c r="V29" s="395"/>
      <c r="X29" s="365"/>
      <c r="Y29" s="365"/>
      <c r="Z29" s="365"/>
      <c r="AA29" s="365"/>
      <c r="AB29" s="365"/>
    </row>
    <row r="30" spans="1:28" x14ac:dyDescent="0.25">
      <c r="A30" s="216"/>
      <c r="B30" s="216"/>
      <c r="C30" s="390" t="s">
        <v>392</v>
      </c>
      <c r="D30" s="391"/>
      <c r="E30" s="391"/>
      <c r="F30" s="391"/>
      <c r="G30" s="391"/>
      <c r="H30" s="391"/>
      <c r="I30" s="216"/>
      <c r="J30" s="216"/>
      <c r="K30" s="216"/>
      <c r="L30" s="216"/>
      <c r="M30" s="216"/>
      <c r="N30" s="396"/>
      <c r="O30" s="394"/>
      <c r="P30" s="394"/>
      <c r="Q30" s="394"/>
      <c r="R30" s="394"/>
      <c r="S30" s="394"/>
      <c r="T30" s="394"/>
      <c r="U30" s="394"/>
      <c r="V30" s="395"/>
      <c r="X30" s="365"/>
      <c r="Y30" s="365"/>
      <c r="Z30" s="365"/>
      <c r="AA30" s="365"/>
      <c r="AB30" s="365"/>
    </row>
    <row r="31" spans="1:28" x14ac:dyDescent="0.25">
      <c r="A31" s="216"/>
      <c r="B31" s="216"/>
      <c r="C31" s="391"/>
      <c r="D31" s="391"/>
      <c r="E31" s="391"/>
      <c r="F31" s="391"/>
      <c r="G31" s="391"/>
      <c r="H31" s="391"/>
      <c r="I31" s="216"/>
      <c r="J31" s="216"/>
      <c r="K31" s="216"/>
      <c r="L31" s="216"/>
      <c r="M31" s="216"/>
      <c r="N31" s="396"/>
      <c r="O31" s="394"/>
      <c r="P31" s="394"/>
      <c r="Q31" s="394"/>
      <c r="R31" s="394"/>
      <c r="S31" s="394"/>
      <c r="T31" s="394"/>
      <c r="U31" s="394"/>
      <c r="V31" s="395"/>
      <c r="X31" s="365"/>
      <c r="Y31" s="365"/>
      <c r="Z31" s="365"/>
      <c r="AA31" s="365"/>
      <c r="AB31" s="365"/>
    </row>
    <row r="32" spans="1:28" x14ac:dyDescent="0.25">
      <c r="C32" s="391"/>
      <c r="D32" s="391"/>
      <c r="E32" s="391"/>
      <c r="F32" s="391"/>
      <c r="G32" s="391"/>
      <c r="H32" s="391"/>
      <c r="N32" s="393" t="s">
        <v>374</v>
      </c>
      <c r="O32" s="394"/>
      <c r="P32" s="394"/>
      <c r="Q32" s="394"/>
      <c r="R32" s="394"/>
      <c r="S32" s="394"/>
      <c r="T32" s="394"/>
      <c r="U32" s="394"/>
      <c r="V32" s="395"/>
      <c r="X32" s="365"/>
      <c r="Y32" s="365"/>
      <c r="Z32" s="365"/>
      <c r="AA32" s="365"/>
      <c r="AB32" s="365"/>
    </row>
    <row r="33" spans="1:28" x14ac:dyDescent="0.25">
      <c r="C33" s="391"/>
      <c r="D33" s="391"/>
      <c r="E33" s="391"/>
      <c r="F33" s="391"/>
      <c r="G33" s="391"/>
      <c r="H33" s="391"/>
      <c r="N33" s="396"/>
      <c r="O33" s="394"/>
      <c r="P33" s="394"/>
      <c r="Q33" s="394"/>
      <c r="R33" s="394"/>
      <c r="S33" s="394"/>
      <c r="T33" s="394"/>
      <c r="U33" s="394"/>
      <c r="V33" s="395"/>
      <c r="X33" s="365"/>
      <c r="Y33" s="365"/>
      <c r="Z33" s="365"/>
      <c r="AA33" s="365"/>
      <c r="AB33" s="365"/>
    </row>
    <row r="34" spans="1:28" x14ac:dyDescent="0.25">
      <c r="C34" s="391"/>
      <c r="D34" s="391"/>
      <c r="E34" s="391"/>
      <c r="F34" s="391"/>
      <c r="G34" s="391"/>
      <c r="H34" s="391"/>
      <c r="N34" s="396"/>
      <c r="O34" s="394"/>
      <c r="P34" s="394"/>
      <c r="Q34" s="394"/>
      <c r="R34" s="394"/>
      <c r="S34" s="394"/>
      <c r="T34" s="394"/>
      <c r="U34" s="394"/>
      <c r="V34" s="395"/>
      <c r="X34" s="365"/>
      <c r="Y34" s="365"/>
      <c r="Z34" s="365"/>
      <c r="AA34" s="365"/>
      <c r="AB34" s="365"/>
    </row>
    <row r="35" spans="1:28" x14ac:dyDescent="0.25">
      <c r="C35" s="391"/>
      <c r="D35" s="391"/>
      <c r="E35" s="391"/>
      <c r="F35" s="391"/>
      <c r="G35" s="391"/>
      <c r="H35" s="391"/>
      <c r="N35" s="396"/>
      <c r="O35" s="394"/>
      <c r="P35" s="394"/>
      <c r="Q35" s="394"/>
      <c r="R35" s="394"/>
      <c r="S35" s="394"/>
      <c r="T35" s="394"/>
      <c r="U35" s="394"/>
      <c r="V35" s="395"/>
    </row>
    <row r="36" spans="1:28" x14ac:dyDescent="0.25">
      <c r="C36" s="391"/>
      <c r="D36" s="391"/>
      <c r="E36" s="391"/>
      <c r="F36" s="391"/>
      <c r="G36" s="391"/>
      <c r="H36" s="391"/>
      <c r="N36" s="393" t="s">
        <v>375</v>
      </c>
      <c r="O36" s="394"/>
      <c r="P36" s="394"/>
      <c r="Q36" s="394"/>
      <c r="R36" s="394"/>
      <c r="S36" s="394"/>
      <c r="T36" s="394"/>
      <c r="U36" s="394"/>
      <c r="V36" s="395"/>
    </row>
    <row r="37" spans="1:28" x14ac:dyDescent="0.25">
      <c r="N37" s="396"/>
      <c r="O37" s="394"/>
      <c r="P37" s="394"/>
      <c r="Q37" s="394"/>
      <c r="R37" s="394"/>
      <c r="S37" s="394"/>
      <c r="T37" s="394"/>
      <c r="U37" s="394"/>
      <c r="V37" s="395"/>
    </row>
    <row r="38" spans="1:28" x14ac:dyDescent="0.25">
      <c r="N38" s="396"/>
      <c r="O38" s="394"/>
      <c r="P38" s="394"/>
      <c r="Q38" s="394"/>
      <c r="R38" s="394"/>
      <c r="S38" s="394"/>
      <c r="T38" s="394"/>
      <c r="U38" s="394"/>
      <c r="V38" s="395"/>
    </row>
    <row r="39" spans="1:28" x14ac:dyDescent="0.25">
      <c r="A39" s="390" t="s">
        <v>402</v>
      </c>
      <c r="B39" s="390"/>
      <c r="C39" s="390"/>
      <c r="D39" s="390"/>
      <c r="E39" s="390"/>
      <c r="F39" s="390"/>
      <c r="G39" s="390"/>
      <c r="H39" s="390"/>
      <c r="I39" s="390"/>
      <c r="N39" s="396"/>
      <c r="O39" s="394"/>
      <c r="P39" s="394"/>
      <c r="Q39" s="394"/>
      <c r="R39" s="394"/>
      <c r="S39" s="394"/>
      <c r="T39" s="394"/>
      <c r="U39" s="394"/>
      <c r="V39" s="395"/>
    </row>
    <row r="40" spans="1:28" x14ac:dyDescent="0.25">
      <c r="A40" s="390"/>
      <c r="B40" s="390"/>
      <c r="C40" s="390"/>
      <c r="D40" s="390"/>
      <c r="E40" s="390"/>
      <c r="F40" s="390"/>
      <c r="G40" s="390"/>
      <c r="H40" s="390"/>
      <c r="I40" s="390"/>
    </row>
    <row r="41" spans="1:28" x14ac:dyDescent="0.25">
      <c r="A41" s="390"/>
      <c r="B41" s="390"/>
      <c r="C41" s="390"/>
      <c r="D41" s="390"/>
      <c r="E41" s="390"/>
      <c r="F41" s="390"/>
      <c r="G41" s="390"/>
      <c r="H41" s="390"/>
      <c r="I41" s="390"/>
    </row>
    <row r="42" spans="1:28" x14ac:dyDescent="0.25">
      <c r="A42" s="390"/>
      <c r="B42" s="390"/>
      <c r="C42" s="390"/>
      <c r="D42" s="390"/>
      <c r="E42" s="390"/>
      <c r="F42" s="390"/>
      <c r="G42" s="390"/>
      <c r="H42" s="390"/>
      <c r="I42" s="390"/>
    </row>
    <row r="43" spans="1:28" x14ac:dyDescent="0.25">
      <c r="A43" s="390"/>
      <c r="B43" s="390"/>
      <c r="C43" s="390"/>
      <c r="D43" s="390"/>
      <c r="E43" s="390"/>
      <c r="F43" s="390"/>
      <c r="G43" s="390"/>
      <c r="H43" s="390"/>
      <c r="I43" s="390"/>
    </row>
    <row r="44" spans="1:28" x14ac:dyDescent="0.25">
      <c r="A44" s="390"/>
      <c r="B44" s="390"/>
      <c r="C44" s="390"/>
      <c r="D44" s="390"/>
      <c r="E44" s="390"/>
      <c r="F44" s="390"/>
      <c r="G44" s="390"/>
      <c r="H44" s="390"/>
      <c r="I44" s="390"/>
    </row>
    <row r="45" spans="1:28" x14ac:dyDescent="0.25">
      <c r="A45" s="390"/>
      <c r="B45" s="390"/>
      <c r="C45" s="390"/>
      <c r="D45" s="390"/>
      <c r="E45" s="390"/>
      <c r="F45" s="390"/>
      <c r="G45" s="390"/>
      <c r="H45" s="390"/>
      <c r="I45" s="390"/>
    </row>
    <row r="46" spans="1:28" x14ac:dyDescent="0.25">
      <c r="A46" s="390"/>
      <c r="B46" s="390"/>
      <c r="C46" s="390"/>
      <c r="D46" s="390"/>
      <c r="E46" s="390"/>
      <c r="F46" s="390"/>
      <c r="G46" s="390"/>
      <c r="H46" s="390"/>
      <c r="I46" s="390"/>
    </row>
    <row r="47" spans="1:28" x14ac:dyDescent="0.25">
      <c r="A47" s="390"/>
      <c r="B47" s="390"/>
      <c r="C47" s="390"/>
      <c r="D47" s="390"/>
      <c r="E47" s="390"/>
      <c r="F47" s="390"/>
      <c r="G47" s="390"/>
      <c r="H47" s="390"/>
      <c r="I47" s="390"/>
    </row>
    <row r="48" spans="1:28" x14ac:dyDescent="0.25">
      <c r="A48" s="390"/>
      <c r="B48" s="390"/>
      <c r="C48" s="390"/>
      <c r="D48" s="390"/>
      <c r="E48" s="390"/>
      <c r="F48" s="390"/>
      <c r="G48" s="390"/>
      <c r="H48" s="390"/>
      <c r="I48" s="390"/>
    </row>
  </sheetData>
  <mergeCells count="26">
    <mergeCell ref="N3:V6"/>
    <mergeCell ref="N7:V10"/>
    <mergeCell ref="A19:M20"/>
    <mergeCell ref="N11:V14"/>
    <mergeCell ref="N15:V18"/>
    <mergeCell ref="C2:K3"/>
    <mergeCell ref="N2:V2"/>
    <mergeCell ref="X21:AB26"/>
    <mergeCell ref="X27:AB27"/>
    <mergeCell ref="X28:AB34"/>
    <mergeCell ref="N19:V19"/>
    <mergeCell ref="N20:V23"/>
    <mergeCell ref="N24:V27"/>
    <mergeCell ref="X1:AB1"/>
    <mergeCell ref="X2:AB2"/>
    <mergeCell ref="X13:AB13"/>
    <mergeCell ref="X14:AB19"/>
    <mergeCell ref="X20:AB20"/>
    <mergeCell ref="X3:AA3"/>
    <mergeCell ref="X4:AB12"/>
    <mergeCell ref="C30:H36"/>
    <mergeCell ref="C29:H29"/>
    <mergeCell ref="A39:I48"/>
    <mergeCell ref="N28:V31"/>
    <mergeCell ref="N32:V35"/>
    <mergeCell ref="N36:V3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8DE7-6AB9-4E1A-A3F4-06D569CF585A}">
  <dimension ref="A2:W47"/>
  <sheetViews>
    <sheetView topLeftCell="A31" workbookViewId="0">
      <selection activeCell="W12" sqref="W12"/>
    </sheetView>
  </sheetViews>
  <sheetFormatPr defaultRowHeight="15" x14ac:dyDescent="0.25"/>
  <cols>
    <col min="2" max="2" width="13.85546875" customWidth="1"/>
    <col min="5" max="5" width="18.140625" bestFit="1" customWidth="1"/>
    <col min="6" max="6" width="12.7109375" bestFit="1" customWidth="1"/>
  </cols>
  <sheetData>
    <row r="2" spans="1:23" ht="15.75" x14ac:dyDescent="0.25">
      <c r="B2" s="389" t="s">
        <v>354</v>
      </c>
      <c r="C2" s="389"/>
      <c r="D2" s="389"/>
      <c r="E2" s="389"/>
      <c r="F2" s="389"/>
      <c r="G2" s="389"/>
      <c r="H2" s="389"/>
      <c r="I2" s="389"/>
      <c r="J2" s="389"/>
      <c r="L2" s="410" t="s">
        <v>380</v>
      </c>
      <c r="M2" s="410"/>
      <c r="N2" s="410"/>
      <c r="O2" s="410"/>
      <c r="P2" s="410"/>
      <c r="Q2" s="410"/>
      <c r="S2" s="411" t="s">
        <v>381</v>
      </c>
      <c r="T2" s="411"/>
      <c r="U2" s="411"/>
      <c r="V2" s="411"/>
    </row>
    <row r="3" spans="1:23" ht="15" customHeight="1" x14ac:dyDescent="0.25">
      <c r="B3" s="406" t="s">
        <v>498</v>
      </c>
      <c r="C3" s="406"/>
      <c r="D3" s="406"/>
      <c r="E3" s="406"/>
      <c r="F3" s="406"/>
      <c r="G3" s="406"/>
      <c r="H3" s="406"/>
      <c r="I3" s="406"/>
      <c r="J3" s="406"/>
      <c r="L3" s="390" t="s">
        <v>384</v>
      </c>
      <c r="M3" s="390"/>
      <c r="N3" s="390"/>
      <c r="O3" s="390"/>
      <c r="P3" s="390"/>
      <c r="Q3" s="390"/>
      <c r="S3" s="390" t="s">
        <v>382</v>
      </c>
      <c r="T3" s="390"/>
      <c r="U3" s="390"/>
      <c r="V3" s="390"/>
      <c r="W3" s="390"/>
    </row>
    <row r="4" spans="1:23" x14ac:dyDescent="0.25">
      <c r="B4" s="406"/>
      <c r="C4" s="406"/>
      <c r="D4" s="406"/>
      <c r="E4" s="406"/>
      <c r="F4" s="406"/>
      <c r="G4" s="406"/>
      <c r="H4" s="406"/>
      <c r="I4" s="406"/>
      <c r="J4" s="406"/>
      <c r="L4" s="390"/>
      <c r="M4" s="390"/>
      <c r="N4" s="390"/>
      <c r="O4" s="390"/>
      <c r="P4" s="390"/>
      <c r="Q4" s="390"/>
      <c r="S4" s="390"/>
      <c r="T4" s="390"/>
      <c r="U4" s="390"/>
      <c r="V4" s="390"/>
      <c r="W4" s="390"/>
    </row>
    <row r="5" spans="1:23" x14ac:dyDescent="0.25">
      <c r="B5" s="406"/>
      <c r="C5" s="406"/>
      <c r="D5" s="406"/>
      <c r="E5" s="406"/>
      <c r="F5" s="406"/>
      <c r="G5" s="406"/>
      <c r="H5" s="406"/>
      <c r="I5" s="406"/>
      <c r="J5" s="406"/>
      <c r="L5" s="390"/>
      <c r="M5" s="390"/>
      <c r="N5" s="390"/>
      <c r="O5" s="390"/>
      <c r="P5" s="390"/>
      <c r="Q5" s="390"/>
      <c r="S5" s="390"/>
      <c r="T5" s="390"/>
      <c r="U5" s="390"/>
      <c r="V5" s="390"/>
      <c r="W5" s="390"/>
    </row>
    <row r="6" spans="1:23" x14ac:dyDescent="0.25">
      <c r="B6" s="406"/>
      <c r="C6" s="406"/>
      <c r="D6" s="406"/>
      <c r="E6" s="406"/>
      <c r="F6" s="406"/>
      <c r="G6" s="406"/>
      <c r="H6" s="406"/>
      <c r="I6" s="406"/>
      <c r="J6" s="406"/>
      <c r="L6" s="390"/>
      <c r="M6" s="390"/>
      <c r="N6" s="390"/>
      <c r="O6" s="390"/>
      <c r="P6" s="390"/>
      <c r="Q6" s="390"/>
      <c r="S6" s="390"/>
      <c r="T6" s="390"/>
      <c r="U6" s="390"/>
      <c r="V6" s="390"/>
      <c r="W6" s="390"/>
    </row>
    <row r="7" spans="1:23" x14ac:dyDescent="0.25">
      <c r="B7" s="406"/>
      <c r="C7" s="406"/>
      <c r="D7" s="406"/>
      <c r="E7" s="406"/>
      <c r="F7" s="406"/>
      <c r="G7" s="406"/>
      <c r="H7" s="406"/>
      <c r="I7" s="406"/>
      <c r="J7" s="406"/>
      <c r="L7" s="390"/>
      <c r="M7" s="390"/>
      <c r="N7" s="390"/>
      <c r="O7" s="390"/>
      <c r="P7" s="390"/>
      <c r="Q7" s="390"/>
      <c r="S7" s="390"/>
      <c r="T7" s="390"/>
      <c r="U7" s="390"/>
      <c r="V7" s="390"/>
      <c r="W7" s="390"/>
    </row>
    <row r="8" spans="1:23" x14ac:dyDescent="0.25">
      <c r="B8" s="406"/>
      <c r="C8" s="406"/>
      <c r="D8" s="406"/>
      <c r="E8" s="406"/>
      <c r="F8" s="406"/>
      <c r="G8" s="406"/>
      <c r="H8" s="406"/>
      <c r="I8" s="406"/>
      <c r="J8" s="406"/>
      <c r="L8" s="390"/>
      <c r="M8" s="390"/>
      <c r="N8" s="390"/>
      <c r="O8" s="390"/>
      <c r="P8" s="390"/>
      <c r="Q8" s="390"/>
      <c r="S8" s="390"/>
      <c r="T8" s="390"/>
      <c r="U8" s="390"/>
      <c r="V8" s="390"/>
      <c r="W8" s="390"/>
    </row>
    <row r="9" spans="1:23" x14ac:dyDescent="0.25">
      <c r="B9" s="387" t="s">
        <v>163</v>
      </c>
      <c r="C9" s="414" t="s">
        <v>376</v>
      </c>
      <c r="S9" t="s">
        <v>383</v>
      </c>
      <c r="T9" s="5">
        <f>_xlfn.NORM.S.DIST(0.985,TRUE)</f>
        <v>0.83768796451810079</v>
      </c>
    </row>
    <row r="10" spans="1:23" ht="15.75" thickBot="1" x14ac:dyDescent="0.3">
      <c r="A10" s="201" t="s">
        <v>256</v>
      </c>
      <c r="B10" s="412"/>
      <c r="C10" s="415"/>
    </row>
    <row r="11" spans="1:23" ht="15.75" thickTop="1" x14ac:dyDescent="0.25">
      <c r="A11" s="198" t="s">
        <v>257</v>
      </c>
      <c r="B11">
        <v>29</v>
      </c>
      <c r="C11">
        <v>19</v>
      </c>
      <c r="E11" s="18" t="s">
        <v>175</v>
      </c>
      <c r="F11" s="18"/>
      <c r="H11" s="17" t="s">
        <v>377</v>
      </c>
      <c r="I11" s="17" t="s">
        <v>379</v>
      </c>
    </row>
    <row r="12" spans="1:23" x14ac:dyDescent="0.25">
      <c r="A12" s="198" t="s">
        <v>258</v>
      </c>
      <c r="B12">
        <v>30</v>
      </c>
      <c r="C12">
        <v>40</v>
      </c>
      <c r="E12" s="15"/>
      <c r="F12" s="15"/>
      <c r="H12" s="223">
        <v>19</v>
      </c>
      <c r="I12" s="15">
        <v>7</v>
      </c>
    </row>
    <row r="13" spans="1:23" ht="15.75" thickBot="1" x14ac:dyDescent="0.3">
      <c r="A13" s="71" t="s">
        <v>259</v>
      </c>
      <c r="B13">
        <v>30</v>
      </c>
      <c r="E13" s="15" t="s">
        <v>312</v>
      </c>
      <c r="F13" s="19">
        <v>21.138888888888889</v>
      </c>
      <c r="H13" s="223">
        <v>40</v>
      </c>
      <c r="I13" s="15">
        <v>29</v>
      </c>
    </row>
    <row r="14" spans="1:23" ht="15.75" thickBot="1" x14ac:dyDescent="0.3">
      <c r="A14" s="198" t="s">
        <v>260</v>
      </c>
      <c r="B14">
        <v>24</v>
      </c>
      <c r="E14" s="15" t="s">
        <v>25</v>
      </c>
      <c r="F14" s="15">
        <v>0.91733982017516924</v>
      </c>
      <c r="H14" s="16" t="s">
        <v>378</v>
      </c>
      <c r="I14" s="16">
        <v>0</v>
      </c>
    </row>
    <row r="15" spans="1:23" x14ac:dyDescent="0.25">
      <c r="A15" s="198" t="s">
        <v>261</v>
      </c>
      <c r="B15">
        <v>23</v>
      </c>
      <c r="E15" s="15" t="s">
        <v>313</v>
      </c>
      <c r="F15" s="15">
        <v>22</v>
      </c>
    </row>
    <row r="16" spans="1:23" ht="15.75" thickBot="1" x14ac:dyDescent="0.3">
      <c r="A16" s="71" t="s">
        <v>262</v>
      </c>
      <c r="B16">
        <v>24</v>
      </c>
      <c r="E16" s="15" t="s">
        <v>314</v>
      </c>
      <c r="F16" s="15">
        <v>24</v>
      </c>
    </row>
    <row r="17" spans="1:11" x14ac:dyDescent="0.25">
      <c r="A17" s="198" t="s">
        <v>263</v>
      </c>
      <c r="B17">
        <v>23</v>
      </c>
      <c r="E17" s="15" t="s">
        <v>315</v>
      </c>
      <c r="F17" s="19">
        <v>5.5040389210510154</v>
      </c>
    </row>
    <row r="18" spans="1:11" x14ac:dyDescent="0.25">
      <c r="A18" s="198" t="s">
        <v>264</v>
      </c>
      <c r="B18">
        <v>23</v>
      </c>
      <c r="E18" s="15" t="s">
        <v>316</v>
      </c>
      <c r="F18" s="15">
        <v>30.294444444444423</v>
      </c>
    </row>
    <row r="19" spans="1:11" ht="15.75" thickBot="1" x14ac:dyDescent="0.3">
      <c r="A19" s="153" t="s">
        <v>265</v>
      </c>
      <c r="B19">
        <v>20</v>
      </c>
      <c r="E19" s="15" t="s">
        <v>317</v>
      </c>
      <c r="F19" s="15">
        <v>0.80291072795381879</v>
      </c>
    </row>
    <row r="20" spans="1:11" x14ac:dyDescent="0.25">
      <c r="A20" s="198" t="s">
        <v>266</v>
      </c>
      <c r="B20">
        <v>20</v>
      </c>
      <c r="E20" s="15" t="s">
        <v>318</v>
      </c>
      <c r="F20" s="15">
        <v>-0.93053876909274114</v>
      </c>
    </row>
    <row r="21" spans="1:11" x14ac:dyDescent="0.25">
      <c r="A21" s="198" t="s">
        <v>267</v>
      </c>
      <c r="B21">
        <v>20</v>
      </c>
      <c r="E21" s="15" t="s">
        <v>319</v>
      </c>
      <c r="F21" s="15">
        <v>23</v>
      </c>
    </row>
    <row r="22" spans="1:11" ht="15.75" thickBot="1" x14ac:dyDescent="0.3">
      <c r="A22" s="71" t="s">
        <v>268</v>
      </c>
      <c r="B22">
        <v>20</v>
      </c>
      <c r="E22" s="15" t="s">
        <v>320</v>
      </c>
      <c r="F22" s="15">
        <v>7</v>
      </c>
    </row>
    <row r="23" spans="1:11" x14ac:dyDescent="0.25">
      <c r="A23" s="198" t="s">
        <v>269</v>
      </c>
      <c r="B23">
        <v>24</v>
      </c>
      <c r="E23" s="15" t="s">
        <v>321</v>
      </c>
      <c r="F23" s="15">
        <v>30</v>
      </c>
    </row>
    <row r="24" spans="1:11" x14ac:dyDescent="0.25">
      <c r="A24" s="198" t="s">
        <v>270</v>
      </c>
      <c r="B24">
        <v>20</v>
      </c>
      <c r="E24" s="15" t="s">
        <v>322</v>
      </c>
      <c r="F24" s="15">
        <v>761</v>
      </c>
    </row>
    <row r="25" spans="1:11" ht="15.75" thickBot="1" x14ac:dyDescent="0.3">
      <c r="A25" s="71" t="s">
        <v>271</v>
      </c>
      <c r="B25">
        <v>24</v>
      </c>
      <c r="E25" s="16" t="s">
        <v>323</v>
      </c>
      <c r="F25" s="16">
        <v>36</v>
      </c>
    </row>
    <row r="26" spans="1:11" ht="15.75" thickBot="1" x14ac:dyDescent="0.3">
      <c r="A26" s="198" t="s">
        <v>272</v>
      </c>
      <c r="B26">
        <v>20</v>
      </c>
    </row>
    <row r="27" spans="1:11" x14ac:dyDescent="0.25">
      <c r="A27" s="198" t="s">
        <v>273</v>
      </c>
      <c r="B27">
        <v>24</v>
      </c>
      <c r="J27" s="17" t="s">
        <v>377</v>
      </c>
      <c r="K27" s="17" t="s">
        <v>379</v>
      </c>
    </row>
    <row r="28" spans="1:11" ht="15.75" thickBot="1" x14ac:dyDescent="0.3">
      <c r="A28" s="128" t="s">
        <v>274</v>
      </c>
      <c r="B28">
        <v>10</v>
      </c>
      <c r="J28" s="224">
        <v>7</v>
      </c>
      <c r="K28" s="15">
        <v>1</v>
      </c>
    </row>
    <row r="29" spans="1:11" ht="15.75" thickTop="1" x14ac:dyDescent="0.25">
      <c r="A29" s="198" t="s">
        <v>275</v>
      </c>
      <c r="B29">
        <v>21</v>
      </c>
      <c r="J29" s="224">
        <v>10.833333333333334</v>
      </c>
      <c r="K29" s="15">
        <v>3</v>
      </c>
    </row>
    <row r="30" spans="1:11" x14ac:dyDescent="0.25">
      <c r="A30" s="198" t="s">
        <v>276</v>
      </c>
      <c r="B30">
        <v>21</v>
      </c>
      <c r="J30" s="224">
        <v>14.666666666666668</v>
      </c>
      <c r="K30" s="15">
        <v>1</v>
      </c>
    </row>
    <row r="31" spans="1:11" ht="15.75" thickBot="1" x14ac:dyDescent="0.3">
      <c r="A31" s="71" t="s">
        <v>277</v>
      </c>
      <c r="B31">
        <v>17</v>
      </c>
      <c r="J31" s="224">
        <v>18.5</v>
      </c>
      <c r="K31" s="15">
        <v>2</v>
      </c>
    </row>
    <row r="32" spans="1:11" x14ac:dyDescent="0.25">
      <c r="A32" s="198" t="s">
        <v>278</v>
      </c>
      <c r="B32">
        <v>21</v>
      </c>
      <c r="J32" s="224">
        <v>22.333333333333336</v>
      </c>
      <c r="K32" s="15">
        <v>11</v>
      </c>
    </row>
    <row r="33" spans="1:11" x14ac:dyDescent="0.25">
      <c r="A33" s="198" t="s">
        <v>279</v>
      </c>
      <c r="B33">
        <v>21</v>
      </c>
      <c r="J33" s="224">
        <v>26.166666666666668</v>
      </c>
      <c r="K33" s="15">
        <v>13</v>
      </c>
    </row>
    <row r="34" spans="1:11" ht="15.75" thickBot="1" x14ac:dyDescent="0.3">
      <c r="A34" s="71" t="s">
        <v>280</v>
      </c>
      <c r="B34">
        <v>24</v>
      </c>
      <c r="J34" s="16" t="s">
        <v>378</v>
      </c>
      <c r="K34" s="16">
        <v>5</v>
      </c>
    </row>
    <row r="35" spans="1:11" x14ac:dyDescent="0.25">
      <c r="A35" s="198" t="s">
        <v>281</v>
      </c>
      <c r="B35">
        <v>21</v>
      </c>
    </row>
    <row r="36" spans="1:11" x14ac:dyDescent="0.25">
      <c r="A36" s="198" t="s">
        <v>282</v>
      </c>
      <c r="B36">
        <v>24</v>
      </c>
    </row>
    <row r="37" spans="1:11" ht="15.75" thickBot="1" x14ac:dyDescent="0.3">
      <c r="A37" s="153" t="s">
        <v>283</v>
      </c>
      <c r="B37">
        <v>13</v>
      </c>
    </row>
    <row r="38" spans="1:11" x14ac:dyDescent="0.25">
      <c r="A38" s="198" t="s">
        <v>284</v>
      </c>
      <c r="B38">
        <v>24</v>
      </c>
    </row>
    <row r="39" spans="1:11" x14ac:dyDescent="0.25">
      <c r="A39" s="198" t="s">
        <v>285</v>
      </c>
      <c r="B39">
        <v>10</v>
      </c>
    </row>
    <row r="40" spans="1:11" ht="15.75" thickBot="1" x14ac:dyDescent="0.3">
      <c r="A40" s="71" t="s">
        <v>286</v>
      </c>
      <c r="B40">
        <v>10</v>
      </c>
    </row>
    <row r="41" spans="1:11" x14ac:dyDescent="0.25">
      <c r="A41" s="198" t="s">
        <v>287</v>
      </c>
      <c r="B41">
        <v>24</v>
      </c>
    </row>
    <row r="42" spans="1:11" x14ac:dyDescent="0.25">
      <c r="A42" s="198" t="s">
        <v>288</v>
      </c>
      <c r="B42">
        <v>17</v>
      </c>
    </row>
    <row r="43" spans="1:11" ht="15.75" thickBot="1" x14ac:dyDescent="0.3">
      <c r="A43" s="71" t="s">
        <v>289</v>
      </c>
      <c r="B43">
        <v>27</v>
      </c>
    </row>
    <row r="44" spans="1:11" x14ac:dyDescent="0.25">
      <c r="A44" s="198" t="s">
        <v>290</v>
      </c>
      <c r="B44">
        <v>24</v>
      </c>
    </row>
    <row r="45" spans="1:11" x14ac:dyDescent="0.25">
      <c r="A45" s="198" t="s">
        <v>291</v>
      </c>
      <c r="B45">
        <v>27</v>
      </c>
    </row>
    <row r="46" spans="1:11" ht="15.75" thickBot="1" x14ac:dyDescent="0.3">
      <c r="A46" s="221" t="s">
        <v>292</v>
      </c>
      <c r="B46" s="222">
        <v>7</v>
      </c>
      <c r="D46" s="413"/>
      <c r="E46" s="413"/>
      <c r="F46" s="413"/>
    </row>
    <row r="47" spans="1:11" ht="15.75" thickTop="1" x14ac:dyDescent="0.25"/>
  </sheetData>
  <sortState ref="H12:H13">
    <sortCondition ref="H12"/>
  </sortState>
  <mergeCells count="9">
    <mergeCell ref="B9:B10"/>
    <mergeCell ref="D46:F46"/>
    <mergeCell ref="C9:C10"/>
    <mergeCell ref="B3:J8"/>
    <mergeCell ref="L2:Q2"/>
    <mergeCell ref="L3:Q8"/>
    <mergeCell ref="S2:V2"/>
    <mergeCell ref="S3:W8"/>
    <mergeCell ref="B2:J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vt:i4>
      </vt:variant>
    </vt:vector>
  </HeadingPairs>
  <TitlesOfParts>
    <vt:vector size="39" baseType="lpstr">
      <vt:lpstr>Summary</vt:lpstr>
      <vt:lpstr>Define</vt:lpstr>
      <vt:lpstr>Measure</vt:lpstr>
      <vt:lpstr>Measure-SQL</vt:lpstr>
      <vt:lpstr>Measure-Data Measurement Plan</vt:lpstr>
      <vt:lpstr>Measure-Data Collection</vt:lpstr>
      <vt:lpstr>Measure-SoftTools</vt:lpstr>
      <vt:lpstr>Analyze</vt:lpstr>
      <vt:lpstr>Analyze-POInvoiceApprovalCycleT</vt:lpstr>
      <vt:lpstr>Analyze-CorrectionVsWithinThrsh</vt:lpstr>
      <vt:lpstr>Analyze-POInvoiceCorrectionFrq</vt:lpstr>
      <vt:lpstr>Analyze-DevMgrCycleTime</vt:lpstr>
      <vt:lpstr>Analyze-DevTeamCycleTime</vt:lpstr>
      <vt:lpstr>Analyze-ValidationCyTVsApprova</vt:lpstr>
      <vt:lpstr>Analyze-CorrectionVsApprovalCyT</vt:lpstr>
      <vt:lpstr>Analyze-UserStoryVsApprovalCyT</vt:lpstr>
      <vt:lpstr>Analyze-UserStoryVsCorrection</vt:lpstr>
      <vt:lpstr>Analyze-UniquePrjVsApprovalCyT</vt:lpstr>
      <vt:lpstr>Analyze-UniquePrjVsCorrection</vt:lpstr>
      <vt:lpstr>Analyze-HypothesisTesting</vt:lpstr>
      <vt:lpstr>Analyze-Correlation Analysis</vt:lpstr>
      <vt:lpstr>Analyze-Simple Linear Regressio</vt:lpstr>
      <vt:lpstr>Analyze-Control Chart Analysis</vt:lpstr>
      <vt:lpstr>Improve</vt:lpstr>
      <vt:lpstr>Improve-Implemented Solution</vt:lpstr>
      <vt:lpstr>Improve-New SQL, Hypothesis Tes</vt:lpstr>
      <vt:lpstr>Improve-New Control Charts</vt:lpstr>
      <vt:lpstr>Control</vt:lpstr>
      <vt:lpstr>Control (2)</vt:lpstr>
      <vt:lpstr>Control-Time Series, Next Steps</vt:lpstr>
      <vt:lpstr>timeseries_questions</vt:lpstr>
      <vt:lpstr>data</vt:lpstr>
      <vt:lpstr>A1</vt:lpstr>
      <vt:lpstr>A2</vt:lpstr>
      <vt:lpstr>A3</vt:lpstr>
      <vt:lpstr>A4</vt:lpstr>
      <vt:lpstr>A5</vt:lpstr>
      <vt:lpstr>data!Print_Area</vt:lpstr>
      <vt:lpstr>timeseries_questions!Print_Area</vt:lpstr>
    </vt:vector>
  </TitlesOfParts>
  <Company>Syracuse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Timbrook, Ryan</cp:lastModifiedBy>
  <cp:lastPrinted>2014-02-24T18:09:50Z</cp:lastPrinted>
  <dcterms:created xsi:type="dcterms:W3CDTF">2009-03-18T16:32:17Z</dcterms:created>
  <dcterms:modified xsi:type="dcterms:W3CDTF">2018-09-24T08:41:46Z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ec5e2e60-3d8f-49db-bfba-f748404430f0</vt:lpwstr>
  </property>
</Properties>
</file>