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440" windowHeight="15525" tabRatio="905" firstSheet="9" activeTab="13"/>
  </bookViews>
  <sheets>
    <sheet name="READ ME" sheetId="65" r:id="rId1"/>
    <sheet name="Weekly Data Input" sheetId="2" r:id="rId2"/>
    <sheet name="InfRateTotal" sheetId="75" r:id="rId3"/>
    <sheet name="InfRateZone" sheetId="73" r:id="rId4"/>
    <sheet name="InfRateZO" sheetId="71"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4" r:id="rId15"/>
    <pivotCache cacheId="84" r:id="rId16"/>
  </pivotCaches>
</workbook>
</file>

<file path=xl/calcChain.xml><?xml version="1.0" encoding="utf-8"?>
<calcChain xmlns="http://schemas.openxmlformats.org/spreadsheetml/2006/main">
  <c r="F41" i="5" l="1"/>
  <c r="M74" i="5" l="1"/>
  <c r="F12" i="5" s="1"/>
  <c r="L74" i="5"/>
  <c r="E12" i="5" s="1"/>
  <c r="L72" i="5"/>
  <c r="E10" i="5" s="1"/>
  <c r="M72" i="5"/>
  <c r="F10" i="5" s="1"/>
  <c r="M71" i="5"/>
  <c r="F9" i="5" s="1"/>
  <c r="M70" i="5"/>
  <c r="F8" i="5" s="1"/>
  <c r="M69" i="5"/>
  <c r="F7" i="5" s="1"/>
  <c r="M68" i="5"/>
  <c r="F6" i="5" s="1"/>
  <c r="L71" i="5"/>
  <c r="E9" i="5" s="1"/>
  <c r="L70" i="5"/>
  <c r="E8" i="5" s="1"/>
  <c r="L69" i="5"/>
  <c r="E7" i="5" s="1"/>
  <c r="L68" i="5"/>
  <c r="E6" i="5" s="1"/>
  <c r="H9" i="64"/>
  <c r="I6" i="64"/>
  <c r="H10" i="64"/>
  <c r="H8" i="64"/>
  <c r="G8" i="6"/>
  <c r="I10" i="6"/>
  <c r="H8" i="6"/>
  <c r="J7" i="61"/>
  <c r="J10" i="64"/>
  <c r="H6" i="64"/>
  <c r="I10" i="64"/>
  <c r="J7" i="64"/>
  <c r="H10" i="6"/>
  <c r="H7" i="6"/>
  <c r="I8" i="6"/>
  <c r="I7" i="6"/>
  <c r="J9" i="61"/>
  <c r="K10" i="61"/>
  <c r="I9" i="61"/>
  <c r="J9" i="64"/>
  <c r="J6" i="64"/>
  <c r="I8" i="64"/>
  <c r="I7" i="64"/>
  <c r="G7" i="6"/>
  <c r="G11" i="6"/>
  <c r="H9" i="6"/>
  <c r="K8" i="61"/>
  <c r="K7" i="61"/>
  <c r="K9" i="61"/>
  <c r="J6" i="61"/>
  <c r="H7" i="64"/>
  <c r="I9" i="64"/>
  <c r="J8" i="64"/>
  <c r="H11" i="6"/>
  <c r="G9" i="6"/>
  <c r="I11" i="6"/>
  <c r="I9" i="6"/>
  <c r="I7" i="61"/>
  <c r="K6" i="61"/>
  <c r="J10" i="61"/>
  <c r="J8" i="61"/>
  <c r="G10" i="6"/>
  <c r="I10" i="61"/>
  <c r="I6" i="61"/>
  <c r="I8" i="61"/>
  <c r="I5" i="63"/>
  <c r="J9" i="63"/>
  <c r="I8" i="63"/>
  <c r="H6" i="63"/>
  <c r="I6" i="63"/>
  <c r="H7" i="63"/>
  <c r="H5" i="63"/>
  <c r="J7" i="63"/>
  <c r="J6" i="63"/>
  <c r="J5" i="63"/>
  <c r="I7" i="63"/>
  <c r="J8" i="63"/>
  <c r="I9" i="63"/>
  <c r="H9" i="63"/>
  <c r="H8" i="63"/>
  <c r="F69" i="5" l="1"/>
  <c r="G74" i="5"/>
  <c r="F68" i="5"/>
  <c r="F70" i="5"/>
  <c r="G68" i="5"/>
  <c r="F71" i="5"/>
  <c r="G70" i="5"/>
  <c r="F74" i="5"/>
  <c r="G71" i="5"/>
  <c r="G69" i="5"/>
  <c r="C68" i="5"/>
  <c r="D69" i="5"/>
  <c r="C69" i="5"/>
  <c r="D74" i="5"/>
  <c r="D71" i="5"/>
  <c r="C70" i="5"/>
  <c r="D68" i="5"/>
  <c r="C74" i="5"/>
  <c r="C71" i="5"/>
  <c r="D70" i="5"/>
  <c r="C39" i="5"/>
  <c r="D37" i="5"/>
  <c r="C43" i="5"/>
  <c r="G43" i="5" s="1"/>
  <c r="C40" i="5"/>
  <c r="D39" i="5"/>
  <c r="C38" i="5"/>
  <c r="D43" i="5"/>
  <c r="H43" i="5" s="1"/>
  <c r="D40" i="5"/>
  <c r="C37" i="5"/>
  <c r="D38" i="5"/>
  <c r="J74" i="5"/>
  <c r="I74" i="5"/>
  <c r="H69" i="5" l="1"/>
  <c r="E74" i="5"/>
  <c r="H68" i="5"/>
  <c r="H70" i="5"/>
  <c r="H71" i="5"/>
  <c r="E70" i="5"/>
  <c r="E71" i="5"/>
  <c r="E69" i="5"/>
  <c r="D72" i="5"/>
  <c r="C72" i="5"/>
  <c r="E68" i="5"/>
  <c r="K74" i="5"/>
  <c r="H74" i="5"/>
  <c r="D12" i="5"/>
  <c r="H12" i="5" s="1"/>
  <c r="C12" i="5"/>
  <c r="G12" i="5" s="1"/>
  <c r="E43" i="5"/>
  <c r="I43" i="5" s="1"/>
  <c r="E72" i="5" l="1"/>
  <c r="I12" i="5"/>
  <c r="H39" i="5" l="1"/>
  <c r="H38" i="5"/>
  <c r="G40" i="5"/>
  <c r="G38" i="5"/>
  <c r="G37" i="5"/>
  <c r="H37" i="5" l="1"/>
  <c r="D6" i="5" s="1"/>
  <c r="G39" i="5"/>
  <c r="C8" i="5" s="1"/>
  <c r="H40" i="5"/>
  <c r="D9" i="5" s="1"/>
  <c r="E37" i="5"/>
  <c r="D41" i="5"/>
  <c r="C41" i="5"/>
  <c r="E38" i="5"/>
  <c r="I38" i="5" s="1"/>
  <c r="E40" i="5"/>
  <c r="I40" i="5" s="1"/>
  <c r="E39" i="5"/>
  <c r="K71" i="5"/>
  <c r="K70" i="5"/>
  <c r="K69" i="5"/>
  <c r="K68" i="5"/>
  <c r="J71" i="5"/>
  <c r="J70" i="5"/>
  <c r="J69" i="5"/>
  <c r="J68" i="5"/>
  <c r="I68" i="5"/>
  <c r="I71" i="5"/>
  <c r="I70" i="5"/>
  <c r="I69" i="5"/>
  <c r="D8" i="5"/>
  <c r="D7" i="5"/>
  <c r="C9" i="5"/>
  <c r="C7" i="5"/>
  <c r="C6" i="5"/>
  <c r="I37" i="5" l="1"/>
  <c r="I39" i="5"/>
  <c r="G41" i="5"/>
  <c r="C10" i="5" s="1"/>
  <c r="G10" i="5" s="1"/>
  <c r="H41" i="5"/>
  <c r="D10" i="5" s="1"/>
  <c r="H10" i="5" s="1"/>
  <c r="J72" i="5"/>
  <c r="K72" i="5"/>
  <c r="I72" i="5"/>
  <c r="F72" i="5"/>
  <c r="G72" i="5"/>
  <c r="E41" i="5"/>
  <c r="I41" i="5" s="1"/>
  <c r="G8" i="5"/>
  <c r="G9" i="5"/>
  <c r="G6" i="5"/>
  <c r="H6" i="5"/>
  <c r="G7" i="5"/>
  <c r="H7" i="5"/>
  <c r="H8" i="5"/>
  <c r="H9" i="5"/>
  <c r="H72" i="5" l="1"/>
  <c r="I10" i="5"/>
  <c r="I9" i="5"/>
  <c r="I8" i="5"/>
  <c r="I6" i="5"/>
  <c r="I7" i="5"/>
</calcChain>
</file>

<file path=xl/sharedStrings.xml><?xml version="1.0" encoding="utf-8"?>
<sst xmlns="http://schemas.openxmlformats.org/spreadsheetml/2006/main" count="1877" uniqueCount="351">
  <si>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</si>
  <si>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</si>
  <si>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</si>
  <si>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</si>
  <si>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</si>
  <si>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</si>
  <si>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</si>
  <si>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</si>
  <si>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</si>
  <si>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</si>
  <si>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</si>
  <si>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</si>
  <si>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</si>
  <si>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</si>
  <si>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</si>
  <si>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</si>
  <si>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</si>
  <si>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</si>
  <si>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</si>
  <si>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</si>
  <si>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</si>
  <si>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</si>
  <si>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</si>
  <si>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</si>
  <si>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</si>
  <si>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</si>
  <si>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</si>
  <si>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</si>
  <si>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</si>
  <si>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</si>
  <si>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</si>
  <si>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</si>
  <si>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</si>
  <si>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</si>
  <si>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</si>
  <si>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</si>
  <si>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</si>
  <si>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</si>
  <si>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</si>
  <si>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</si>
  <si>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</si>
  <si>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</si>
  <si>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</si>
  <si>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</si>
  <si>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</si>
  <si>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</si>
  <si>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</si>
  <si>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</si>
  <si>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</si>
  <si>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</si>
  <si>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</si>
  <si>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</si>
  <si>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</si>
  <si>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</si>
  <si>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</si>
  <si>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</si>
  <si>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</si>
  <si>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</si>
  <si>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</si>
  <si>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</si>
  <si>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</si>
  <si>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</si>
  <si>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</si>
  <si>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</si>
  <si>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</si>
  <si>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</si>
  <si>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</si>
  <si>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</si>
  <si>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</si>
  <si>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</si>
  <si>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</si>
  <si>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</si>
  <si>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</si>
  <si>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</si>
  <si>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</si>
  <si>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</si>
  <si>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</si>
  <si>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</si>
  <si>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</si>
  <si>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</si>
  <si>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</si>
  <si>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</si>
  <si>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</si>
  <si>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</si>
  <si>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</si>
  <si>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</si>
  <si>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</si>
  <si>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</si>
  <si>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</si>
  <si>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</si>
  <si>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</si>
  <si>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</si>
  <si>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</si>
  <si>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</si>
  <si>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</si>
  <si>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</si>
  <si>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</si>
  <si>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</si>
  <si>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</si>
  <si>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</si>
  <si>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</si>
  <si>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</si>
  <si>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</si>
  <si>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CSU-9931</t>
  </si>
  <si>
    <t>LC</t>
  </si>
  <si>
    <t>FC-057</t>
  </si>
  <si>
    <t>L</t>
  </si>
  <si>
    <t>Cx.</t>
  </si>
  <si>
    <t>F</t>
  </si>
  <si>
    <t>Negative</t>
  </si>
  <si>
    <t>CSU-9932</t>
  </si>
  <si>
    <t>FC-071</t>
  </si>
  <si>
    <t>CSU-9933</t>
  </si>
  <si>
    <t>CSU-9934</t>
  </si>
  <si>
    <t>FC-037</t>
  </si>
  <si>
    <t>CSU-9935</t>
  </si>
  <si>
    <t>FC-062</t>
  </si>
  <si>
    <t>CSU-9936</t>
  </si>
  <si>
    <t>CSU-9937</t>
  </si>
  <si>
    <t>FC-089gr</t>
  </si>
  <si>
    <t>G</t>
  </si>
  <si>
    <t>CSU-9938</t>
  </si>
  <si>
    <t>CSU-9939</t>
  </si>
  <si>
    <t>FC-093</t>
  </si>
  <si>
    <t>CSU-9940</t>
  </si>
  <si>
    <t>FC-068</t>
  </si>
  <si>
    <t>CSU-9941</t>
  </si>
  <si>
    <t>FC-029</t>
  </si>
  <si>
    <t>CSU-9942</t>
  </si>
  <si>
    <t>CSU-9943</t>
  </si>
  <si>
    <t>FC-001</t>
  </si>
  <si>
    <t>CSU-9944</t>
  </si>
  <si>
    <t>FC-029gr</t>
  </si>
  <si>
    <t>Positive</t>
  </si>
  <si>
    <t>CSU-9945</t>
  </si>
  <si>
    <t>FC-054</t>
  </si>
  <si>
    <t>CSU-9946</t>
  </si>
  <si>
    <t>CSU-9947</t>
  </si>
  <si>
    <t>LV-078</t>
  </si>
  <si>
    <t>CSU-9948</t>
  </si>
  <si>
    <t>CSU-9949</t>
  </si>
  <si>
    <t>LV-069</t>
  </si>
  <si>
    <t>CSU-9950</t>
  </si>
  <si>
    <t>CSU-9951</t>
  </si>
  <si>
    <t>LV-079gr</t>
  </si>
  <si>
    <t>CSU-9952</t>
  </si>
  <si>
    <t>CSU-9953</t>
  </si>
  <si>
    <t>LV-095</t>
  </si>
  <si>
    <t>CSU-9954</t>
  </si>
  <si>
    <t>LV-074gr</t>
  </si>
  <si>
    <t>CSU-9955</t>
  </si>
  <si>
    <t>CSU-9956</t>
  </si>
  <si>
    <t>CSU-9957</t>
  </si>
  <si>
    <t>FC-031</t>
  </si>
  <si>
    <t>CSU-9958</t>
  </si>
  <si>
    <t>CSU-9959</t>
  </si>
  <si>
    <t>LV-104</t>
  </si>
  <si>
    <t>CSU-9960</t>
  </si>
  <si>
    <t>CSU-9961</t>
  </si>
  <si>
    <t>FC-047</t>
  </si>
  <si>
    <t>CSU-9962</t>
  </si>
  <si>
    <t>CSU-9963</t>
  </si>
  <si>
    <t>LV-074</t>
  </si>
  <si>
    <t>CSU-9964</t>
  </si>
  <si>
    <t>CSU-9965</t>
  </si>
  <si>
    <t>FC-046</t>
  </si>
  <si>
    <t>CSU-9966</t>
  </si>
  <si>
    <t>CSU-9967</t>
  </si>
  <si>
    <t>LV-089</t>
  </si>
  <si>
    <t>CSU-9968</t>
  </si>
  <si>
    <t>CSU-9969</t>
  </si>
  <si>
    <t>CSU-9970</t>
  </si>
  <si>
    <t>FC-050</t>
  </si>
  <si>
    <t>CSU-9971</t>
  </si>
  <si>
    <t>CSU-9972</t>
  </si>
  <si>
    <t>FC-023</t>
  </si>
  <si>
    <t>CSU-9973</t>
  </si>
  <si>
    <t>LV-110</t>
  </si>
  <si>
    <t>CSU-9974</t>
  </si>
  <si>
    <t>CSU-9975</t>
  </si>
  <si>
    <t>FC-059</t>
  </si>
  <si>
    <t>CSU-9976</t>
  </si>
  <si>
    <t>CSU-9977</t>
  </si>
  <si>
    <t>FC-027</t>
  </si>
  <si>
    <t>CSU-9978</t>
  </si>
  <si>
    <t>CSU-9979</t>
  </si>
  <si>
    <t>FC-004</t>
  </si>
  <si>
    <t>CSU-9980</t>
  </si>
  <si>
    <t>CSU-9981</t>
  </si>
  <si>
    <t>FC-088gr</t>
  </si>
  <si>
    <t>CSU-9982</t>
  </si>
  <si>
    <t>FC-074</t>
  </si>
  <si>
    <t>CSU-9983</t>
  </si>
  <si>
    <t>CSU-9984</t>
  </si>
  <si>
    <t>FC-075gr</t>
  </si>
  <si>
    <t>CSU-9985</t>
  </si>
  <si>
    <t>CSU-9986</t>
  </si>
  <si>
    <t>FC-053</t>
  </si>
  <si>
    <t>CSU-9987</t>
  </si>
  <si>
    <t>CSU-9988</t>
  </si>
  <si>
    <t>FC-039</t>
  </si>
  <si>
    <t>CSU-9989</t>
  </si>
  <si>
    <t>FC-064</t>
  </si>
  <si>
    <t>CSU-9990</t>
  </si>
  <si>
    <t>CSU-9991</t>
  </si>
  <si>
    <t>LV-020</t>
  </si>
  <si>
    <t>CSU-9992</t>
  </si>
  <si>
    <t>FC-061</t>
  </si>
  <si>
    <t>CSU-9993</t>
  </si>
  <si>
    <t>FC-052</t>
  </si>
  <si>
    <t>CSU-9994</t>
  </si>
  <si>
    <t>FC-075</t>
  </si>
  <si>
    <t>CSU-9995</t>
  </si>
  <si>
    <t>FC-073</t>
  </si>
  <si>
    <t>CSU-9996</t>
  </si>
  <si>
    <t>CSU-9997</t>
  </si>
  <si>
    <t>FC-041</t>
  </si>
  <si>
    <t>CSU-9998</t>
  </si>
  <si>
    <t>CSU-9999</t>
  </si>
  <si>
    <t>FC-090gr</t>
  </si>
  <si>
    <t>CSU-10000</t>
  </si>
  <si>
    <t>CSU-10001</t>
  </si>
  <si>
    <t>CSU-10002</t>
  </si>
  <si>
    <t>CSU-10003</t>
  </si>
  <si>
    <t>FC-060</t>
  </si>
  <si>
    <t>CSU-10004</t>
  </si>
  <si>
    <t>FC-011</t>
  </si>
  <si>
    <t>CSU-10005</t>
  </si>
  <si>
    <t>FC-063</t>
  </si>
  <si>
    <t>CSU-10006</t>
  </si>
  <si>
    <t>FC-063gr</t>
  </si>
  <si>
    <t>CSU-10007</t>
  </si>
  <si>
    <t>CSU-10008</t>
  </si>
  <si>
    <t>FC-015</t>
  </si>
  <si>
    <t>CSU-10009</t>
  </si>
  <si>
    <t>FC-058</t>
  </si>
  <si>
    <t>CSU-10010</t>
  </si>
  <si>
    <t>FC-049</t>
  </si>
  <si>
    <t>CSU-10011</t>
  </si>
  <si>
    <t>CSU-10012</t>
  </si>
  <si>
    <t>FC-066gr</t>
  </si>
  <si>
    <t>CSU-10013</t>
  </si>
  <si>
    <t>CSU-10014</t>
  </si>
  <si>
    <t>FC-066</t>
  </si>
  <si>
    <t>CSU-10015</t>
  </si>
  <si>
    <t>CSU-10016</t>
  </si>
  <si>
    <t>FC-019</t>
  </si>
  <si>
    <t>CSU-10017</t>
  </si>
  <si>
    <t>FC-091gr</t>
  </si>
  <si>
    <t>CSU-10018</t>
  </si>
  <si>
    <t>FC-067</t>
  </si>
  <si>
    <t>CSU-10019</t>
  </si>
  <si>
    <t>CSU-10020</t>
  </si>
  <si>
    <t>FC-092gr</t>
  </si>
  <si>
    <t>CSU-10021</t>
  </si>
  <si>
    <t>FC-036</t>
  </si>
  <si>
    <t>CSU-10022</t>
  </si>
  <si>
    <t>CSU-10023</t>
  </si>
  <si>
    <t>FC-040</t>
  </si>
  <si>
    <t>CSU-10024</t>
  </si>
  <si>
    <t>CSU-10025</t>
  </si>
  <si>
    <t>FC-006</t>
  </si>
  <si>
    <t>CSU-10026</t>
  </si>
  <si>
    <t>CSU-10027</t>
  </si>
  <si>
    <t>FC-040gr</t>
  </si>
  <si>
    <t>CSU-10028</t>
  </si>
  <si>
    <t>FC-069</t>
  </si>
  <si>
    <t>CSU-10029</t>
  </si>
  <si>
    <t>CSU-10030</t>
  </si>
  <si>
    <t>FC-014</t>
  </si>
  <si>
    <t>CSU-10031</t>
  </si>
  <si>
    <t>FC-038</t>
  </si>
  <si>
    <t>CSU-10032</t>
  </si>
  <si>
    <t>LIGHT</t>
  </si>
  <si>
    <t>NO</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</si>
  <si>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</si>
  <si>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</si>
  <si>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</si>
  <si>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</si>
  <si>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</si>
  <si>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</si>
  <si>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</si>
  <si>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</si>
  <si>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</si>
  <si>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</si>
  <si>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</si>
  <si>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</si>
  <si>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</si>
  <si>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</si>
  <si>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</si>
  <si>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</si>
  <si>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</si>
  <si>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</si>
  <si>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</si>
  <si>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</si>
  <si>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</si>
  <si>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</si>
  <si>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</si>
  <si>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</si>
  <si>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</si>
  <si>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</si>
  <si>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</si>
  <si>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</si>
  <si>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</si>
  <si>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</si>
  <si>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</si>
  <si>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</si>
  <si>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North Sage Creek</t>
  </si>
  <si>
    <t>Magic Carpet</t>
  </si>
  <si>
    <t>Chelsea Ridge</t>
  </si>
  <si>
    <t>Casa Grande and Downing</t>
  </si>
  <si>
    <t>Registry Ridge- End of Ranger Dr</t>
  </si>
  <si>
    <t>Spring Creek Trail @ Michener Dr</t>
  </si>
  <si>
    <t>Waters Edge at Blue Mesa</t>
  </si>
  <si>
    <t>Silvergate Road</t>
  </si>
  <si>
    <t>Lopez Elementary School</t>
  </si>
  <si>
    <t>FC-tar</t>
  </si>
  <si>
    <t>FC-pip</t>
  </si>
  <si>
    <t>LV-tar</t>
  </si>
  <si>
    <t>LV-pip</t>
  </si>
  <si>
    <t>SW-tar</t>
  </si>
  <si>
    <t>SW-pip</t>
  </si>
  <si>
    <t>SE-tar</t>
  </si>
  <si>
    <t>SE-pip</t>
  </si>
  <si>
    <t>NW-pip</t>
  </si>
  <si>
    <t>NW-tar</t>
  </si>
  <si>
    <t>NE-pip</t>
  </si>
  <si>
    <t>NE-tar</t>
  </si>
  <si>
    <t>Infection Rate</t>
  </si>
  <si>
    <t>Lower Limit</t>
  </si>
  <si>
    <t>Upper Limit</t>
  </si>
  <si>
    <t>Scale</t>
  </si>
  <si>
    <t>Point Est Method</t>
  </si>
  <si>
    <t>CI Method</t>
  </si>
  <si>
    <t>Num Pools</t>
  </si>
  <si>
    <t>Num Pos Pools</t>
  </si>
  <si>
    <t>Num Individuals</t>
  </si>
  <si>
    <t>Bias Corrected MLE</t>
  </si>
  <si>
    <t>Corrected Score</t>
  </si>
  <si>
    <t>Score</t>
  </si>
  <si>
    <t>InfTotal</t>
  </si>
  <si>
    <t>InfZone</t>
  </si>
  <si>
    <t>GRAPH 1A</t>
  </si>
  <si>
    <t>Graph 1B</t>
  </si>
  <si>
    <t>FC-072</t>
  </si>
  <si>
    <t>422 Lake Drive Alley</t>
  </si>
  <si>
    <t>5029 Crest Drive</t>
  </si>
  <si>
    <t>08/26/2013</t>
  </si>
  <si>
    <t>08/28/2013</t>
  </si>
  <si>
    <t>08/27/2013</t>
  </si>
  <si>
    <t>08/29/2013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</si>
</sst>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d/yy;@"/>
    <numFmt numFmtId="165" formatCode="00"/>
    <numFmt numFmtId="166" formatCode="0.0"/>
    <numFmt numFmtId="167" formatCode="0.000"/>
    <numFmt numFmtId="168" formatCode="0.0000"/>
    <numFmt numFmtId="169" formatCode="#,###,###"/>
    <numFmt numFmtId="170" formatCode="[$-F800]dddd\,\ mmmm\ dd\,\ yyyy"/>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1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0" fillId="0" borderId="0" xfId="0" applyFill="1" applyAlignment="1">
      <alignment horizontal="center"/>
    </xf>
    <xf numFmtId="170" fontId="0" fillId="0" borderId="0" xfId="0" applyNumberFormat="1" applyFill="1" applyAlignment="1">
      <alignment horizontal="left" vertical="center" wrapText="1"/>
    </xf>
    <xf numFmtId="0" fontId="0" fillId="0" borderId="0" xfId="0" applyFill="1" applyAlignment="1">
      <alignment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05.413246180557" createdVersion="4" refreshedVersion="4" minRefreshableVersion="3" recordCount="102">
  <cacheSource type="worksheet">
    <worksheetSource ref="A1:R10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478" maxValue="19579"/>
    </cacheField>
    <cacheField name="Week" numFmtId="0">
      <sharedItems containsSemiMixedTypes="0" containsString="0" containsNumber="1" containsInteger="1" minValue="34" maxValue="34" count="1">
        <n v="34"/>
      </sharedItems>
    </cacheField>
    <cacheField name="Trap Date" numFmtId="0">
      <sharedItems containsSemiMixedTypes="0" containsDate="1" containsString="0" containsMixedTypes="1" minDate="2016-08-22T00:00:00" maxDate="1900-01-08T16:49:04" count="5">
        <d v="2016-08-22T00:00:00"/>
        <d v="2016-08-23T00:00:00"/>
        <d v="2016-08-24T00:00:00"/>
        <n v="42606"/>
        <n v="42607"/>
      </sharedItems>
    </cacheField>
    <cacheField name="County" numFmtId="0">
      <sharedItems/>
    </cacheField>
    <cacheField name="Account" numFmtId="0">
      <sharedItems/>
    </cacheField>
    <cacheField name="Collection Site (Trap ID)" numFmtId="0">
      <sharedItems/>
    </cacheField>
    <cacheField name="Zone" numFmtId="0">
      <sharedItems count="5">
        <s v="SW"/>
        <s v="SE"/>
        <s v="LV"/>
        <s v="NW"/>
        <s v="N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05.435430324076" createdVersion="4" refreshedVersion="4" minRefreshableVersion="3" recordCount="42">
  <cacheSource type="worksheet">
    <worksheetSource ref="A1:K43" sheet="Weekly 009 input (- Grav, Mal)"/>
  </cacheSource>
  <cacheFields count="11">
    <cacheField name="Week" numFmtId="0">
      <sharedItems containsSemiMixedTypes="0" containsString="0" containsNumber="1" containsInteger="1" minValue="28" maxValue="35" count="8">
        <n v="35"/>
        <n v="34" u="1"/>
        <n v="33" u="1"/>
        <n v="28" u="1"/>
        <n v="29" u="1"/>
        <n v="30" u="1"/>
        <n v="31" u="1"/>
        <n v="32" u="1"/>
      </sharedItems>
    </cacheField>
    <cacheField name="Trap Date" numFmtId="170">
      <sharedItems/>
    </cacheField>
    <cacheField name="Trap Number" numFmtId="0">
      <sharedItems/>
    </cacheField>
    <cacheField name="Zone" numFmtId="0">
      <sharedItems count="4">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65"/>
    </cacheField>
    <cacheField name="Cx pipiens" numFmtId="0">
      <sharedItems containsSemiMixedTypes="0" containsString="0" containsNumber="1" containsInteger="1" minValue="0" maxValue="67"/>
    </cacheField>
    <cacheField name="Total CX" numFmtId="0">
      <sharedItems containsSemiMixedTypes="0" containsString="0" containsNumber="1" containsInteger="1" minValue="0" maxValue="77"/>
    </cacheField>
    <cacheField name="Total Females" numFmtId="0">
      <sharedItems containsSemiMixedTypes="0" containsString="0" containsNumber="1" containsInteger="1" minValue="0" maxValue="3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
  <r>
    <n v="2016"/>
    <s v="CSU-9931"/>
    <n v="19478"/>
    <x v="0"/>
    <x v="0"/>
    <s v="LC"/>
    <s v="FC"/>
    <s v="FC-057"/>
    <x v="0"/>
    <s v="L"/>
    <s v="Cx."/>
    <x v="0"/>
    <s v="F"/>
    <m/>
    <n v="3"/>
    <n v="3"/>
    <n v="0"/>
    <s v="Negative"/>
  </r>
  <r>
    <n v="2016"/>
    <s v="CSU-9932"/>
    <n v="19479"/>
    <x v="0"/>
    <x v="0"/>
    <s v="LC"/>
    <s v="FC"/>
    <s v="FC-071"/>
    <x v="0"/>
    <s v="L"/>
    <s v="Cx."/>
    <x v="0"/>
    <s v="F"/>
    <m/>
    <n v="1"/>
    <n v="1"/>
    <n v="0"/>
    <s v="Negative"/>
  </r>
  <r>
    <n v="2016"/>
    <s v="CSU-9933"/>
    <n v="19480"/>
    <x v="0"/>
    <x v="0"/>
    <s v="LC"/>
    <s v="FC"/>
    <s v="FC-071"/>
    <x v="0"/>
    <s v="L"/>
    <s v="Cx."/>
    <x v="1"/>
    <s v="F"/>
    <m/>
    <n v="2"/>
    <n v="2"/>
    <n v="0"/>
    <s v="Negative"/>
  </r>
  <r>
    <n v="2016"/>
    <s v="CSU-9934"/>
    <n v="19481"/>
    <x v="0"/>
    <x v="0"/>
    <s v="LC"/>
    <s v="FC"/>
    <s v="FC-037"/>
    <x v="0"/>
    <s v="L"/>
    <s v="Cx."/>
    <x v="0"/>
    <s v="F"/>
    <m/>
    <n v="32"/>
    <n v="32"/>
    <n v="0"/>
    <s v="Negative"/>
  </r>
  <r>
    <n v="2016"/>
    <s v="CSU-9935"/>
    <n v="19482"/>
    <x v="0"/>
    <x v="0"/>
    <s v="LC"/>
    <s v="FC"/>
    <s v="FC-062"/>
    <x v="0"/>
    <s v="L"/>
    <s v="Cx."/>
    <x v="0"/>
    <s v="F"/>
    <m/>
    <n v="4"/>
    <n v="4"/>
    <n v="0"/>
    <s v="Negative"/>
  </r>
  <r>
    <n v="2016"/>
    <s v="CSU-9936"/>
    <n v="19483"/>
    <x v="0"/>
    <x v="0"/>
    <s v="LC"/>
    <s v="FC"/>
    <s v="FC-062"/>
    <x v="0"/>
    <s v="L"/>
    <s v="Cx."/>
    <x v="1"/>
    <s v="F"/>
    <m/>
    <n v="6"/>
    <n v="6"/>
    <n v="0"/>
    <s v="Negative"/>
  </r>
  <r>
    <n v="2016"/>
    <s v="CSU-9937"/>
    <n v="19484"/>
    <x v="0"/>
    <x v="0"/>
    <s v="LC"/>
    <s v="FC"/>
    <s v="FC-089gr"/>
    <x v="0"/>
    <s v="G"/>
    <s v="Cx."/>
    <x v="1"/>
    <s v="F"/>
    <n v="50"/>
    <m/>
    <n v="50"/>
    <n v="0"/>
    <s v="Negative"/>
  </r>
  <r>
    <n v="2016"/>
    <s v="CSU-9938"/>
    <n v="19485"/>
    <x v="0"/>
    <x v="0"/>
    <s v="LC"/>
    <s v="FC"/>
    <s v="FC-089gr"/>
    <x v="0"/>
    <s v="G"/>
    <s v="Cx."/>
    <x v="1"/>
    <s v="F"/>
    <n v="12"/>
    <m/>
    <n v="12"/>
    <n v="0"/>
    <s v="Negative"/>
  </r>
  <r>
    <n v="2016"/>
    <s v="CSU-9939"/>
    <n v="19486"/>
    <x v="0"/>
    <x v="0"/>
    <s v="LC"/>
    <s v="FC"/>
    <s v="FC-093"/>
    <x v="0"/>
    <s v="L"/>
    <s v="Cx."/>
    <x v="0"/>
    <s v="F"/>
    <m/>
    <n v="12"/>
    <n v="12"/>
    <n v="0"/>
    <s v="Negative"/>
  </r>
  <r>
    <n v="2016"/>
    <s v="CSU-9940"/>
    <n v="19487"/>
    <x v="0"/>
    <x v="0"/>
    <s v="LC"/>
    <s v="FC"/>
    <s v="FC-068"/>
    <x v="0"/>
    <s v="L"/>
    <s v="Cx."/>
    <x v="0"/>
    <s v="F"/>
    <m/>
    <n v="5"/>
    <n v="5"/>
    <n v="0"/>
    <s v="Negative"/>
  </r>
  <r>
    <n v="2016"/>
    <s v="CSU-9941"/>
    <n v="19488"/>
    <x v="0"/>
    <x v="0"/>
    <s v="LC"/>
    <s v="FC"/>
    <s v="FC-029"/>
    <x v="1"/>
    <s v="L"/>
    <s v="Cx."/>
    <x v="0"/>
    <s v="F"/>
    <m/>
    <n v="6"/>
    <n v="6"/>
    <n v="0"/>
    <s v="Negative"/>
  </r>
  <r>
    <n v="2016"/>
    <s v="CSU-9942"/>
    <n v="19489"/>
    <x v="0"/>
    <x v="0"/>
    <s v="LC"/>
    <s v="FC"/>
    <s v="FC-029"/>
    <x v="1"/>
    <s v="L"/>
    <s v="Cx."/>
    <x v="1"/>
    <s v="F"/>
    <m/>
    <n v="3"/>
    <n v="3"/>
    <n v="0"/>
    <s v="Negative"/>
  </r>
  <r>
    <n v="2016"/>
    <s v="CSU-9943"/>
    <n v="19490"/>
    <x v="0"/>
    <x v="0"/>
    <s v="LC"/>
    <s v="FC"/>
    <s v="FC-001"/>
    <x v="0"/>
    <s v="L"/>
    <s v="Cx."/>
    <x v="0"/>
    <s v="F"/>
    <m/>
    <n v="6"/>
    <n v="6"/>
    <n v="0"/>
    <s v="Negative"/>
  </r>
  <r>
    <n v="2016"/>
    <s v="CSU-9944"/>
    <n v="19491"/>
    <x v="0"/>
    <x v="0"/>
    <s v="LC"/>
    <s v="FC"/>
    <s v="FC-029gr"/>
    <x v="1"/>
    <s v="G"/>
    <s v="Cx."/>
    <x v="1"/>
    <s v="F"/>
    <n v="39"/>
    <m/>
    <n v="39"/>
    <n v="1"/>
    <s v="Positive"/>
  </r>
  <r>
    <n v="2016"/>
    <s v="CSU-9945"/>
    <n v="19492"/>
    <x v="0"/>
    <x v="0"/>
    <s v="LC"/>
    <s v="FC"/>
    <s v="FC-054"/>
    <x v="1"/>
    <s v="L"/>
    <s v="Cx."/>
    <x v="0"/>
    <s v="F"/>
    <m/>
    <n v="2"/>
    <n v="2"/>
    <n v="0"/>
    <s v="Negative"/>
  </r>
  <r>
    <n v="2016"/>
    <s v="CSU-9946"/>
    <n v="19493"/>
    <x v="0"/>
    <x v="0"/>
    <s v="LC"/>
    <s v="FC"/>
    <s v="FC-054"/>
    <x v="1"/>
    <s v="L"/>
    <s v="Cx."/>
    <x v="1"/>
    <s v="F"/>
    <m/>
    <n v="2"/>
    <n v="2"/>
    <n v="0"/>
    <s v="Negative"/>
  </r>
  <r>
    <n v="2016"/>
    <s v="CSU-9947"/>
    <n v="19494"/>
    <x v="0"/>
    <x v="0"/>
    <s v="LC"/>
    <s v="LV"/>
    <s v="LV-078"/>
    <x v="2"/>
    <s v="L"/>
    <s v="Cx."/>
    <x v="0"/>
    <s v="F"/>
    <m/>
    <n v="6"/>
    <n v="6"/>
    <n v="0"/>
    <s v="Negative"/>
  </r>
  <r>
    <n v="2016"/>
    <s v="CSU-9948"/>
    <n v="19495"/>
    <x v="0"/>
    <x v="0"/>
    <s v="LC"/>
    <s v="LV"/>
    <s v="LV-078"/>
    <x v="2"/>
    <s v="L"/>
    <s v="Cx."/>
    <x v="1"/>
    <s v="F"/>
    <m/>
    <n v="5"/>
    <n v="5"/>
    <n v="0"/>
    <s v="Negative"/>
  </r>
  <r>
    <n v="2016"/>
    <s v="CSU-9949"/>
    <n v="19496"/>
    <x v="0"/>
    <x v="0"/>
    <s v="LC"/>
    <s v="LV"/>
    <s v="LV-069"/>
    <x v="2"/>
    <s v="L"/>
    <s v="Cx."/>
    <x v="0"/>
    <s v="F"/>
    <m/>
    <n v="26"/>
    <n v="26"/>
    <n v="1"/>
    <s v="Positive"/>
  </r>
  <r>
    <n v="2016"/>
    <s v="CSU-9950"/>
    <n v="19497"/>
    <x v="0"/>
    <x v="0"/>
    <s v="LC"/>
    <s v="LV"/>
    <s v="LV-069"/>
    <x v="2"/>
    <s v="L"/>
    <s v="Cx."/>
    <x v="1"/>
    <s v="F"/>
    <m/>
    <n v="4"/>
    <n v="4"/>
    <n v="0"/>
    <s v="Negative"/>
  </r>
  <r>
    <n v="2016"/>
    <s v="CSU-9951"/>
    <n v="19498"/>
    <x v="0"/>
    <x v="0"/>
    <s v="LC"/>
    <s v="LV"/>
    <s v="LV-079gr"/>
    <x v="2"/>
    <s v="G"/>
    <s v="Cx."/>
    <x v="1"/>
    <s v="F"/>
    <n v="50"/>
    <m/>
    <n v="50"/>
    <n v="0"/>
    <s v="Negative"/>
  </r>
  <r>
    <n v="2016"/>
    <s v="CSU-9952"/>
    <n v="19499"/>
    <x v="0"/>
    <x v="0"/>
    <s v="LC"/>
    <s v="LV"/>
    <s v="LV-079gr"/>
    <x v="2"/>
    <s v="G"/>
    <s v="Cx."/>
    <x v="1"/>
    <s v="F"/>
    <n v="47"/>
    <m/>
    <n v="47"/>
    <n v="1"/>
    <s v="Positive"/>
  </r>
  <r>
    <n v="2016"/>
    <s v="CSU-9953"/>
    <n v="19500"/>
    <x v="0"/>
    <x v="0"/>
    <s v="LC"/>
    <s v="LV"/>
    <s v="LV-095"/>
    <x v="2"/>
    <s v="L"/>
    <s v="Cx."/>
    <x v="0"/>
    <s v="F"/>
    <m/>
    <n v="4"/>
    <n v="4"/>
    <n v="0"/>
    <s v="Negative"/>
  </r>
  <r>
    <n v="2016"/>
    <s v="CSU-9954"/>
    <n v="19501"/>
    <x v="0"/>
    <x v="1"/>
    <s v="LC"/>
    <s v="LV"/>
    <s v="LV-074gr"/>
    <x v="2"/>
    <s v="G"/>
    <s v="Cx."/>
    <x v="1"/>
    <s v="F"/>
    <n v="50"/>
    <m/>
    <n v="50"/>
    <n v="1"/>
    <s v="Positive"/>
  </r>
  <r>
    <n v="2016"/>
    <s v="CSU-9955"/>
    <n v="19502"/>
    <x v="0"/>
    <x v="1"/>
    <s v="LC"/>
    <s v="LV"/>
    <s v="LV-074gr"/>
    <x v="2"/>
    <s v="G"/>
    <s v="Cx."/>
    <x v="1"/>
    <s v="F"/>
    <n v="50"/>
    <m/>
    <n v="50"/>
    <n v="1"/>
    <s v="Positive"/>
  </r>
  <r>
    <n v="2016"/>
    <s v="CSU-9956"/>
    <n v="19503"/>
    <x v="0"/>
    <x v="1"/>
    <s v="LC"/>
    <s v="LV"/>
    <s v="LV-074gr"/>
    <x v="2"/>
    <s v="G"/>
    <s v="Cx."/>
    <x v="1"/>
    <s v="F"/>
    <n v="17"/>
    <m/>
    <n v="17"/>
    <n v="0"/>
    <s v="Negative"/>
  </r>
  <r>
    <n v="2016"/>
    <s v="CSU-9957"/>
    <n v="19504"/>
    <x v="0"/>
    <x v="1"/>
    <s v="LC"/>
    <s v="FC"/>
    <s v="FC-031"/>
    <x v="1"/>
    <s v="L"/>
    <s v="Cx."/>
    <x v="0"/>
    <s v="F"/>
    <m/>
    <n v="14"/>
    <n v="14"/>
    <n v="1"/>
    <s v="Positive"/>
  </r>
  <r>
    <n v="2016"/>
    <s v="CSU-9958"/>
    <n v="19505"/>
    <x v="0"/>
    <x v="1"/>
    <s v="LC"/>
    <s v="FC"/>
    <s v="FC-031"/>
    <x v="1"/>
    <s v="L"/>
    <s v="Cx."/>
    <x v="1"/>
    <s v="F"/>
    <m/>
    <n v="3"/>
    <n v="3"/>
    <n v="0"/>
    <s v="Negative"/>
  </r>
  <r>
    <n v="2016"/>
    <s v="CSU-9959"/>
    <n v="19506"/>
    <x v="0"/>
    <x v="1"/>
    <s v="LC"/>
    <s v="LV"/>
    <s v="LV-104"/>
    <x v="2"/>
    <s v="L"/>
    <s v="Cx."/>
    <x v="0"/>
    <s v="F"/>
    <m/>
    <n v="17"/>
    <n v="17"/>
    <n v="0"/>
    <s v="Negative"/>
  </r>
  <r>
    <n v="2016"/>
    <s v="CSU-9960"/>
    <n v="19507"/>
    <x v="0"/>
    <x v="1"/>
    <s v="LC"/>
    <s v="LV"/>
    <s v="LV-104"/>
    <x v="2"/>
    <s v="L"/>
    <s v="Cx."/>
    <x v="1"/>
    <s v="F"/>
    <m/>
    <n v="4"/>
    <n v="4"/>
    <n v="0"/>
    <s v="Negative"/>
  </r>
  <r>
    <n v="2016"/>
    <s v="CSU-9961"/>
    <n v="19508"/>
    <x v="0"/>
    <x v="1"/>
    <s v="LC"/>
    <s v="FC"/>
    <s v="FC-047"/>
    <x v="1"/>
    <s v="L"/>
    <s v="Cx."/>
    <x v="0"/>
    <s v="F"/>
    <m/>
    <n v="8"/>
    <n v="8"/>
    <n v="1"/>
    <s v="Positive"/>
  </r>
  <r>
    <n v="2016"/>
    <s v="CSU-9962"/>
    <n v="19509"/>
    <x v="0"/>
    <x v="1"/>
    <s v="LC"/>
    <s v="FC"/>
    <s v="FC-047"/>
    <x v="1"/>
    <s v="L"/>
    <s v="Cx."/>
    <x v="1"/>
    <s v="F"/>
    <m/>
    <n v="5"/>
    <n v="5"/>
    <n v="0"/>
    <s v="Negative"/>
  </r>
  <r>
    <n v="2016"/>
    <s v="CSU-9963"/>
    <n v="19510"/>
    <x v="0"/>
    <x v="1"/>
    <s v="LC"/>
    <s v="LV"/>
    <s v="LV-074"/>
    <x v="2"/>
    <s v="L"/>
    <s v="Cx."/>
    <x v="0"/>
    <s v="F"/>
    <m/>
    <n v="22"/>
    <n v="22"/>
    <n v="0"/>
    <s v="Negative"/>
  </r>
  <r>
    <n v="2016"/>
    <s v="CSU-9964"/>
    <n v="19511"/>
    <x v="0"/>
    <x v="1"/>
    <s v="LC"/>
    <s v="LV"/>
    <s v="LV-074"/>
    <x v="2"/>
    <s v="L"/>
    <s v="Cx."/>
    <x v="1"/>
    <s v="F"/>
    <m/>
    <n v="3"/>
    <n v="3"/>
    <n v="0"/>
    <s v="Negative"/>
  </r>
  <r>
    <n v="2016"/>
    <s v="CSU-9965"/>
    <n v="19512"/>
    <x v="0"/>
    <x v="1"/>
    <s v="LC"/>
    <s v="FC"/>
    <s v="FC-046"/>
    <x v="1"/>
    <s v="L"/>
    <s v="Cx."/>
    <x v="0"/>
    <s v="F"/>
    <m/>
    <n v="9"/>
    <n v="9"/>
    <n v="0"/>
    <s v="Negative"/>
  </r>
  <r>
    <n v="2016"/>
    <s v="CSU-9966"/>
    <n v="19513"/>
    <x v="0"/>
    <x v="1"/>
    <s v="LC"/>
    <s v="FC"/>
    <s v="FC-046"/>
    <x v="1"/>
    <s v="L"/>
    <s v="Cx."/>
    <x v="1"/>
    <s v="F"/>
    <m/>
    <n v="4"/>
    <n v="4"/>
    <n v="0"/>
    <s v="Negative"/>
  </r>
  <r>
    <n v="2016"/>
    <s v="CSU-9967"/>
    <n v="19514"/>
    <x v="0"/>
    <x v="1"/>
    <s v="LC"/>
    <s v="LV"/>
    <s v="LV-089"/>
    <x v="2"/>
    <s v="L"/>
    <s v="Cx."/>
    <x v="0"/>
    <s v="F"/>
    <m/>
    <n v="50"/>
    <n v="50"/>
    <n v="0"/>
    <s v="Negative"/>
  </r>
  <r>
    <n v="2016"/>
    <s v="CSU-9968"/>
    <n v="19515"/>
    <x v="0"/>
    <x v="1"/>
    <s v="LC"/>
    <s v="LV"/>
    <s v="LV-089"/>
    <x v="2"/>
    <s v="L"/>
    <s v="Cx."/>
    <x v="0"/>
    <s v="F"/>
    <m/>
    <n v="9"/>
    <n v="9"/>
    <n v="0"/>
    <s v="Negative"/>
  </r>
  <r>
    <n v="2016"/>
    <s v="CSU-9969"/>
    <n v="19516"/>
    <x v="0"/>
    <x v="1"/>
    <s v="LC"/>
    <s v="LV"/>
    <s v="LV-089"/>
    <x v="2"/>
    <s v="L"/>
    <s v="Cx."/>
    <x v="1"/>
    <s v="F"/>
    <m/>
    <n v="12"/>
    <n v="12"/>
    <n v="0"/>
    <s v="Negative"/>
  </r>
  <r>
    <n v="2016"/>
    <s v="CSU-9970"/>
    <n v="19517"/>
    <x v="0"/>
    <x v="1"/>
    <s v="LC"/>
    <s v="FC"/>
    <s v="FC-050"/>
    <x v="1"/>
    <s v="L"/>
    <s v="Cx."/>
    <x v="0"/>
    <s v="F"/>
    <m/>
    <n v="12"/>
    <n v="12"/>
    <n v="0"/>
    <s v="Negative"/>
  </r>
  <r>
    <n v="2016"/>
    <s v="CSU-9971"/>
    <n v="19518"/>
    <x v="0"/>
    <x v="1"/>
    <s v="LC"/>
    <s v="FC"/>
    <s v="FC-050"/>
    <x v="1"/>
    <s v="L"/>
    <s v="Cx."/>
    <x v="1"/>
    <s v="F"/>
    <m/>
    <n v="8"/>
    <n v="8"/>
    <n v="0"/>
    <s v="Negative"/>
  </r>
  <r>
    <n v="2016"/>
    <s v="CSU-9972"/>
    <n v="19519"/>
    <x v="0"/>
    <x v="1"/>
    <s v="LC"/>
    <s v="FC"/>
    <s v="FC-023"/>
    <x v="1"/>
    <s v="L"/>
    <s v="Cx."/>
    <x v="0"/>
    <s v="F"/>
    <m/>
    <n v="5"/>
    <n v="5"/>
    <n v="0"/>
    <s v="Negative"/>
  </r>
  <r>
    <n v="2016"/>
    <s v="CSU-9973"/>
    <n v="19520"/>
    <x v="0"/>
    <x v="1"/>
    <s v="LC"/>
    <s v="LV"/>
    <s v="LV-110"/>
    <x v="2"/>
    <s v="L"/>
    <s v="Cx."/>
    <x v="0"/>
    <s v="F"/>
    <m/>
    <n v="5"/>
    <n v="5"/>
    <n v="0"/>
    <s v="Negative"/>
  </r>
  <r>
    <n v="2016"/>
    <s v="CSU-9974"/>
    <n v="19521"/>
    <x v="0"/>
    <x v="1"/>
    <s v="LC"/>
    <s v="LV"/>
    <s v="LV-110"/>
    <x v="2"/>
    <s v="L"/>
    <s v="Cx."/>
    <x v="1"/>
    <s v="F"/>
    <m/>
    <n v="4"/>
    <n v="4"/>
    <n v="0"/>
    <s v="Negative"/>
  </r>
  <r>
    <n v="2016"/>
    <s v="CSU-9975"/>
    <n v="19522"/>
    <x v="0"/>
    <x v="1"/>
    <s v="LC"/>
    <s v="FC"/>
    <s v="FC-059"/>
    <x v="1"/>
    <s v="L"/>
    <s v="Cx."/>
    <x v="0"/>
    <s v="F"/>
    <m/>
    <n v="3"/>
    <n v="3"/>
    <n v="0"/>
    <s v="Negative"/>
  </r>
  <r>
    <n v="2016"/>
    <s v="CSU-9976"/>
    <n v="19523"/>
    <x v="0"/>
    <x v="1"/>
    <s v="LC"/>
    <s v="FC"/>
    <s v="FC-059"/>
    <x v="1"/>
    <s v="L"/>
    <s v="Cx."/>
    <x v="1"/>
    <s v="F"/>
    <m/>
    <n v="9"/>
    <n v="9"/>
    <n v="1"/>
    <s v="Positive"/>
  </r>
  <r>
    <n v="2016"/>
    <s v="CSU-9977"/>
    <n v="19524"/>
    <x v="0"/>
    <x v="1"/>
    <s v="LC"/>
    <s v="FC"/>
    <s v="FC-027"/>
    <x v="1"/>
    <s v="L"/>
    <s v="Cx."/>
    <x v="0"/>
    <s v="F"/>
    <m/>
    <n v="2"/>
    <n v="2"/>
    <n v="0"/>
    <s v="Negative"/>
  </r>
  <r>
    <n v="2016"/>
    <s v="CSU-9978"/>
    <n v="19525"/>
    <x v="0"/>
    <x v="1"/>
    <s v="LC"/>
    <s v="FC"/>
    <s v="FC-027"/>
    <x v="1"/>
    <s v="L"/>
    <s v="Cx."/>
    <x v="1"/>
    <s v="F"/>
    <m/>
    <n v="3"/>
    <n v="3"/>
    <n v="0"/>
    <s v="Negative"/>
  </r>
  <r>
    <n v="2016"/>
    <s v="CSU-9979"/>
    <n v="19526"/>
    <x v="0"/>
    <x v="1"/>
    <s v="LC"/>
    <s v="FC"/>
    <s v="FC-004"/>
    <x v="1"/>
    <s v="L"/>
    <s v="Cx."/>
    <x v="0"/>
    <s v="F"/>
    <m/>
    <n v="2"/>
    <n v="2"/>
    <n v="0"/>
    <s v="Negative"/>
  </r>
  <r>
    <n v="2016"/>
    <s v="CSU-9980"/>
    <n v="19527"/>
    <x v="0"/>
    <x v="1"/>
    <s v="LC"/>
    <s v="FC"/>
    <s v="FC-004"/>
    <x v="1"/>
    <s v="L"/>
    <s v="Cx."/>
    <x v="1"/>
    <s v="F"/>
    <m/>
    <n v="1"/>
    <n v="1"/>
    <n v="0"/>
    <s v="Negative"/>
  </r>
  <r>
    <n v="2016"/>
    <s v="CSU-9981"/>
    <n v="19528"/>
    <x v="0"/>
    <x v="1"/>
    <s v="LC"/>
    <s v="FC"/>
    <s v="FC-088gr"/>
    <x v="1"/>
    <s v="G"/>
    <s v="Cx."/>
    <x v="1"/>
    <s v="F"/>
    <n v="35"/>
    <m/>
    <n v="35"/>
    <n v="1"/>
    <s v="Positive"/>
  </r>
  <r>
    <n v="2016"/>
    <s v="CSU-9982"/>
    <n v="19529"/>
    <x v="0"/>
    <x v="1"/>
    <s v="LC"/>
    <s v="FC"/>
    <s v="FC-074"/>
    <x v="1"/>
    <s v="L"/>
    <s v="Cx."/>
    <x v="0"/>
    <s v="F"/>
    <m/>
    <n v="2"/>
    <n v="2"/>
    <n v="0"/>
    <s v="Negative"/>
  </r>
  <r>
    <n v="2016"/>
    <s v="CSU-9983"/>
    <n v="19530"/>
    <x v="0"/>
    <x v="1"/>
    <s v="LC"/>
    <s v="FC"/>
    <s v="FC-074"/>
    <x v="1"/>
    <s v="L"/>
    <s v="Cx."/>
    <x v="1"/>
    <s v="F"/>
    <m/>
    <n v="1"/>
    <n v="1"/>
    <n v="0"/>
    <s v="Negative"/>
  </r>
  <r>
    <n v="2016"/>
    <s v="CSU-9984"/>
    <n v="19531"/>
    <x v="0"/>
    <x v="1"/>
    <s v="LC"/>
    <s v="FC"/>
    <s v="FC-075gr"/>
    <x v="1"/>
    <s v="G"/>
    <s v="Cx."/>
    <x v="1"/>
    <s v="F"/>
    <n v="50"/>
    <m/>
    <n v="50"/>
    <n v="1"/>
    <s v="Positive"/>
  </r>
  <r>
    <n v="2016"/>
    <s v="CSU-9985"/>
    <n v="19532"/>
    <x v="0"/>
    <x v="1"/>
    <s v="LC"/>
    <s v="FC"/>
    <s v="FC-075gr"/>
    <x v="1"/>
    <s v="G"/>
    <s v="Cx."/>
    <x v="1"/>
    <s v="F"/>
    <n v="46"/>
    <m/>
    <n v="46"/>
    <n v="0"/>
    <s v="Negative"/>
  </r>
  <r>
    <n v="2016"/>
    <s v="CSU-9986"/>
    <n v="19533"/>
    <x v="0"/>
    <x v="1"/>
    <s v="LC"/>
    <s v="FC"/>
    <s v="FC-053"/>
    <x v="1"/>
    <s v="L"/>
    <s v="Cx."/>
    <x v="0"/>
    <s v="F"/>
    <m/>
    <n v="25"/>
    <n v="25"/>
    <n v="0"/>
    <s v="Negative"/>
  </r>
  <r>
    <n v="2016"/>
    <s v="CSU-9987"/>
    <n v="19534"/>
    <x v="0"/>
    <x v="1"/>
    <s v="LC"/>
    <s v="FC"/>
    <s v="FC-053"/>
    <x v="1"/>
    <s v="L"/>
    <s v="Cx."/>
    <x v="1"/>
    <s v="F"/>
    <m/>
    <n v="5"/>
    <n v="5"/>
    <n v="0"/>
    <s v="Negative"/>
  </r>
  <r>
    <n v="2016"/>
    <s v="CSU-9988"/>
    <n v="19535"/>
    <x v="0"/>
    <x v="1"/>
    <s v="LC"/>
    <s v="FC"/>
    <s v="FC-039"/>
    <x v="1"/>
    <s v="L"/>
    <s v="Cx."/>
    <x v="0"/>
    <s v="F"/>
    <m/>
    <n v="5"/>
    <n v="5"/>
    <n v="0"/>
    <s v="Negative"/>
  </r>
  <r>
    <n v="2016"/>
    <s v="CSU-9989"/>
    <n v="19536"/>
    <x v="0"/>
    <x v="1"/>
    <s v="LC"/>
    <s v="FC"/>
    <s v="FC-064"/>
    <x v="1"/>
    <s v="L"/>
    <s v="Cx."/>
    <x v="0"/>
    <s v="F"/>
    <m/>
    <n v="11"/>
    <n v="11"/>
    <n v="0"/>
    <s v="Negative"/>
  </r>
  <r>
    <n v="2016"/>
    <s v="CSU-9990"/>
    <n v="19537"/>
    <x v="0"/>
    <x v="1"/>
    <s v="LC"/>
    <s v="FC"/>
    <s v="FC-064"/>
    <x v="1"/>
    <s v="L"/>
    <s v="Cx."/>
    <x v="1"/>
    <s v="F"/>
    <m/>
    <n v="5"/>
    <n v="5"/>
    <n v="0"/>
    <s v="Negative"/>
  </r>
  <r>
    <n v="2016"/>
    <s v="CSU-9991"/>
    <n v="19538"/>
    <x v="0"/>
    <x v="2"/>
    <s v="LC"/>
    <s v="LV"/>
    <s v="LV-020"/>
    <x v="2"/>
    <s v="L"/>
    <s v="Cx."/>
    <x v="0"/>
    <s v="F"/>
    <m/>
    <n v="14"/>
    <n v="14"/>
    <n v="1"/>
    <s v="Positive"/>
  </r>
  <r>
    <n v="2016"/>
    <s v="CSU-9992"/>
    <n v="19539"/>
    <x v="0"/>
    <x v="2"/>
    <s v="LC"/>
    <s v="FC"/>
    <s v="FC-061"/>
    <x v="3"/>
    <s v="L"/>
    <s v="Cx."/>
    <x v="1"/>
    <s v="F"/>
    <m/>
    <n v="2"/>
    <n v="2"/>
    <n v="0"/>
    <s v="Negative"/>
  </r>
  <r>
    <n v="2016"/>
    <s v="CSU-9993"/>
    <n v="19540"/>
    <x v="0"/>
    <x v="2"/>
    <s v="LC"/>
    <s v="FC"/>
    <s v="FC-052"/>
    <x v="3"/>
    <s v="L"/>
    <s v="Cx."/>
    <x v="0"/>
    <s v="F"/>
    <m/>
    <n v="9"/>
    <n v="9"/>
    <n v="0"/>
    <s v="Negative"/>
  </r>
  <r>
    <n v="2016"/>
    <s v="CSU-9994"/>
    <n v="19541"/>
    <x v="0"/>
    <x v="2"/>
    <s v="LC"/>
    <s v="FC"/>
    <s v="FC-075"/>
    <x v="1"/>
    <s v="L"/>
    <s v="Cx."/>
    <x v="0"/>
    <s v="F"/>
    <m/>
    <n v="18"/>
    <n v="18"/>
    <n v="0"/>
    <s v="Negative"/>
  </r>
  <r>
    <n v="2016"/>
    <s v="CSU-9995"/>
    <n v="19542"/>
    <x v="0"/>
    <x v="2"/>
    <s v="LC"/>
    <s v="FC"/>
    <s v="FC-073"/>
    <x v="3"/>
    <s v="L"/>
    <s v="Cx."/>
    <x v="0"/>
    <s v="F"/>
    <m/>
    <n v="23"/>
    <n v="23"/>
    <n v="0"/>
    <s v="Negative"/>
  </r>
  <r>
    <n v="2016"/>
    <s v="CSU-9996"/>
    <n v="19543"/>
    <x v="0"/>
    <x v="2"/>
    <s v="LC"/>
    <s v="FC"/>
    <s v="FC-073"/>
    <x v="3"/>
    <s v="L"/>
    <s v="Cx."/>
    <x v="1"/>
    <s v="F"/>
    <m/>
    <n v="7"/>
    <n v="7"/>
    <n v="0"/>
    <s v="Negative"/>
  </r>
  <r>
    <n v="2016"/>
    <s v="CSU-9997"/>
    <n v="19544"/>
    <x v="0"/>
    <x v="2"/>
    <s v="LC"/>
    <s v="FC"/>
    <s v="FC-041"/>
    <x v="3"/>
    <s v="L"/>
    <s v="Cx."/>
    <x v="0"/>
    <s v="F"/>
    <m/>
    <n v="43"/>
    <n v="43"/>
    <n v="0"/>
    <s v="Negative"/>
  </r>
  <r>
    <n v="2016"/>
    <s v="CSU-9998"/>
    <n v="19545"/>
    <x v="0"/>
    <x v="2"/>
    <s v="LC"/>
    <s v="FC"/>
    <s v="FC-041"/>
    <x v="3"/>
    <s v="L"/>
    <s v="Cx."/>
    <x v="1"/>
    <s v="F"/>
    <m/>
    <n v="20"/>
    <n v="20"/>
    <n v="0"/>
    <s v="Negative"/>
  </r>
  <r>
    <n v="2016"/>
    <s v="CSU-9999"/>
    <n v="19546"/>
    <x v="0"/>
    <x v="2"/>
    <s v="LC"/>
    <s v="FC"/>
    <s v="FC-090gr"/>
    <x v="3"/>
    <s v="G"/>
    <s v="Cx."/>
    <x v="1"/>
    <s v="F"/>
    <n v="50"/>
    <m/>
    <n v="50"/>
    <n v="1"/>
    <s v="Positive"/>
  </r>
  <r>
    <n v="2016"/>
    <s v="CSU-10000"/>
    <n v="19547"/>
    <x v="0"/>
    <x v="3"/>
    <s v="LC"/>
    <s v="FC"/>
    <s v="FC-090gr"/>
    <x v="3"/>
    <s v="G"/>
    <s v="Cx."/>
    <x v="1"/>
    <s v="F"/>
    <n v="50"/>
    <m/>
    <n v="50"/>
    <n v="1"/>
    <s v="Positive"/>
  </r>
  <r>
    <n v="2016"/>
    <s v="CSU-10001"/>
    <n v="19548"/>
    <x v="0"/>
    <x v="3"/>
    <s v="LC"/>
    <s v="FC"/>
    <s v="FC-090gr"/>
    <x v="3"/>
    <s v="G"/>
    <s v="Cx."/>
    <x v="1"/>
    <s v="F"/>
    <n v="50"/>
    <m/>
    <n v="50"/>
    <n v="1"/>
    <s v="Positive"/>
  </r>
  <r>
    <n v="2016"/>
    <s v="CSU-10002"/>
    <n v="19549"/>
    <x v="0"/>
    <x v="3"/>
    <s v="LC"/>
    <s v="FC"/>
    <s v="FC-090gr"/>
    <x v="3"/>
    <s v="G"/>
    <s v="Cx."/>
    <x v="1"/>
    <s v="F"/>
    <n v="13"/>
    <m/>
    <n v="13"/>
    <n v="0"/>
    <s v="Negative"/>
  </r>
  <r>
    <n v="2016"/>
    <s v="CSU-10003"/>
    <n v="19550"/>
    <x v="0"/>
    <x v="3"/>
    <s v="LC"/>
    <s v="FC"/>
    <s v="FC-060"/>
    <x v="3"/>
    <s v="L"/>
    <s v="Cx."/>
    <x v="1"/>
    <s v="F"/>
    <m/>
    <n v="1"/>
    <n v="1"/>
    <n v="0"/>
    <s v="Negative"/>
  </r>
  <r>
    <n v="2016"/>
    <s v="CSU-10004"/>
    <n v="19551"/>
    <x v="0"/>
    <x v="3"/>
    <s v="LC"/>
    <s v="FC"/>
    <s v="FC-011"/>
    <x v="3"/>
    <s v="L"/>
    <s v="Cx."/>
    <x v="1"/>
    <s v="F"/>
    <m/>
    <n v="21"/>
    <n v="21"/>
    <n v="0"/>
    <s v="Negative"/>
  </r>
  <r>
    <n v="2016"/>
    <s v="CSU-10005"/>
    <n v="19552"/>
    <x v="0"/>
    <x v="3"/>
    <s v="LC"/>
    <s v="FC"/>
    <s v="FC-063"/>
    <x v="3"/>
    <s v="L"/>
    <s v="Cx."/>
    <x v="0"/>
    <s v="F"/>
    <m/>
    <n v="2"/>
    <n v="2"/>
    <n v="0"/>
    <s v="Negative"/>
  </r>
  <r>
    <n v="2016"/>
    <s v="CSU-10006"/>
    <n v="19553"/>
    <x v="0"/>
    <x v="3"/>
    <s v="LC"/>
    <s v="FC"/>
    <s v="FC-063gr"/>
    <x v="3"/>
    <s v="G"/>
    <s v="Cx."/>
    <x v="1"/>
    <s v="F"/>
    <n v="50"/>
    <m/>
    <n v="50"/>
    <n v="1"/>
    <s v="Positive"/>
  </r>
  <r>
    <n v="2016"/>
    <s v="CSU-10007"/>
    <n v="19554"/>
    <x v="0"/>
    <x v="3"/>
    <s v="LC"/>
    <s v="FC"/>
    <s v="FC-063gr"/>
    <x v="3"/>
    <s v="G"/>
    <s v="Cx."/>
    <x v="1"/>
    <s v="F"/>
    <n v="49"/>
    <m/>
    <n v="49"/>
    <n v="0"/>
    <s v="Negative"/>
  </r>
  <r>
    <n v="2016"/>
    <s v="CSU-10008"/>
    <n v="19555"/>
    <x v="0"/>
    <x v="3"/>
    <s v="LC"/>
    <s v="FC"/>
    <s v="FC-015"/>
    <x v="3"/>
    <s v="L"/>
    <s v="Cx."/>
    <x v="0"/>
    <s v="F"/>
    <m/>
    <n v="2"/>
    <n v="2"/>
    <n v="0"/>
    <s v="Negative"/>
  </r>
  <r>
    <n v="2016"/>
    <s v="CSU-10009"/>
    <n v="19556"/>
    <x v="0"/>
    <x v="3"/>
    <s v="LC"/>
    <s v="FC"/>
    <s v="FC-058"/>
    <x v="0"/>
    <s v="L"/>
    <s v="Cx."/>
    <x v="0"/>
    <s v="F"/>
    <m/>
    <n v="5"/>
    <n v="5"/>
    <n v="0"/>
    <s v="Negative"/>
  </r>
  <r>
    <n v="2016"/>
    <s v="CSU-10010"/>
    <n v="19557"/>
    <x v="0"/>
    <x v="3"/>
    <s v="LC"/>
    <s v="FC"/>
    <s v="FC-049"/>
    <x v="0"/>
    <s v="L"/>
    <s v="Cx."/>
    <x v="0"/>
    <s v="F"/>
    <m/>
    <n v="5"/>
    <n v="5"/>
    <n v="0"/>
    <s v="Negative"/>
  </r>
  <r>
    <n v="2016"/>
    <s v="CSU-10011"/>
    <n v="19558"/>
    <x v="0"/>
    <x v="3"/>
    <s v="LC"/>
    <s v="FC"/>
    <s v="FC-049"/>
    <x v="0"/>
    <s v="L"/>
    <s v="Cx."/>
    <x v="1"/>
    <s v="F"/>
    <m/>
    <n v="8"/>
    <n v="8"/>
    <n v="0"/>
    <s v="Negative"/>
  </r>
  <r>
    <n v="2016"/>
    <s v="CSU-10012"/>
    <n v="19559"/>
    <x v="0"/>
    <x v="4"/>
    <s v="LC"/>
    <s v="FC"/>
    <s v="FC-066gr"/>
    <x v="4"/>
    <s v="G"/>
    <s v="Cx."/>
    <x v="1"/>
    <s v="F"/>
    <n v="50"/>
    <m/>
    <n v="50"/>
    <n v="0"/>
    <s v="Negative"/>
  </r>
  <r>
    <n v="2016"/>
    <s v="CSU-10013"/>
    <n v="19560"/>
    <x v="0"/>
    <x v="4"/>
    <s v="LC"/>
    <s v="FC"/>
    <s v="FC-066gr"/>
    <x v="4"/>
    <s v="G"/>
    <s v="Cx."/>
    <x v="1"/>
    <s v="F"/>
    <n v="10"/>
    <m/>
    <n v="10"/>
    <n v="0"/>
    <s v="Negative"/>
  </r>
  <r>
    <n v="2016"/>
    <s v="CSU-10014"/>
    <n v="19561"/>
    <x v="0"/>
    <x v="4"/>
    <s v="LC"/>
    <s v="FC"/>
    <s v="FC-066"/>
    <x v="4"/>
    <s v="L"/>
    <s v="Cx."/>
    <x v="0"/>
    <s v="F"/>
    <m/>
    <n v="5"/>
    <n v="5"/>
    <n v="0"/>
    <s v="Negative"/>
  </r>
  <r>
    <n v="2016"/>
    <s v="CSU-10015"/>
    <n v="19562"/>
    <x v="0"/>
    <x v="4"/>
    <s v="LC"/>
    <s v="FC"/>
    <s v="FC-066"/>
    <x v="4"/>
    <s v="L"/>
    <s v="Cx."/>
    <x v="1"/>
    <s v="F"/>
    <m/>
    <n v="6"/>
    <n v="6"/>
    <n v="0"/>
    <s v="Negative"/>
  </r>
  <r>
    <n v="2016"/>
    <s v="CSU-10016"/>
    <n v="19563"/>
    <x v="0"/>
    <x v="4"/>
    <s v="LC"/>
    <s v="FC"/>
    <s v="FC-019"/>
    <x v="4"/>
    <s v="L"/>
    <s v="Cx."/>
    <x v="1"/>
    <s v="F"/>
    <m/>
    <n v="3"/>
    <n v="3"/>
    <n v="0"/>
    <s v="Negative"/>
  </r>
  <r>
    <n v="2016"/>
    <s v="CSU-10017"/>
    <n v="19564"/>
    <x v="0"/>
    <x v="4"/>
    <s v="LC"/>
    <s v="FC"/>
    <s v="FC-091gr"/>
    <x v="4"/>
    <s v="G"/>
    <s v="Cx."/>
    <x v="1"/>
    <s v="F"/>
    <n v="3"/>
    <m/>
    <n v="3"/>
    <n v="0"/>
    <s v="Negative"/>
  </r>
  <r>
    <n v="2016"/>
    <s v="CSU-10018"/>
    <n v="19565"/>
    <x v="0"/>
    <x v="4"/>
    <s v="LC"/>
    <s v="FC"/>
    <s v="FC-067"/>
    <x v="4"/>
    <s v="L"/>
    <s v="Cx."/>
    <x v="0"/>
    <s v="F"/>
    <m/>
    <n v="10"/>
    <n v="10"/>
    <n v="0"/>
    <s v="Negative"/>
  </r>
  <r>
    <n v="2016"/>
    <s v="CSU-10019"/>
    <n v="19566"/>
    <x v="0"/>
    <x v="4"/>
    <s v="LC"/>
    <s v="FC"/>
    <s v="FC-067"/>
    <x v="4"/>
    <s v="L"/>
    <s v="Cx."/>
    <x v="1"/>
    <s v="F"/>
    <m/>
    <n v="6"/>
    <n v="6"/>
    <n v="0"/>
    <s v="Negative"/>
  </r>
  <r>
    <n v="2016"/>
    <s v="CSU-10020"/>
    <n v="19567"/>
    <x v="0"/>
    <x v="4"/>
    <s v="LC"/>
    <s v="FC"/>
    <s v="FC-092gr"/>
    <x v="4"/>
    <s v="G"/>
    <s v="Cx."/>
    <x v="1"/>
    <s v="F"/>
    <n v="4"/>
    <m/>
    <n v="4"/>
    <n v="0"/>
    <s v="Negative"/>
  </r>
  <r>
    <n v="2016"/>
    <s v="CSU-10021"/>
    <n v="19568"/>
    <x v="0"/>
    <x v="4"/>
    <s v="LC"/>
    <s v="FC"/>
    <s v="FC-036"/>
    <x v="3"/>
    <s v="L"/>
    <s v="Cx."/>
    <x v="0"/>
    <s v="F"/>
    <m/>
    <n v="3"/>
    <n v="3"/>
    <n v="0"/>
    <s v="Negative"/>
  </r>
  <r>
    <n v="2016"/>
    <s v="CSU-10022"/>
    <n v="19569"/>
    <x v="0"/>
    <x v="4"/>
    <s v="LC"/>
    <s v="FC"/>
    <s v="FC-036"/>
    <x v="3"/>
    <s v="L"/>
    <s v="Cx."/>
    <x v="1"/>
    <s v="F"/>
    <m/>
    <n v="2"/>
    <n v="2"/>
    <n v="0"/>
    <s v="Negative"/>
  </r>
  <r>
    <n v="2016"/>
    <s v="CSU-10023"/>
    <n v="19570"/>
    <x v="0"/>
    <x v="4"/>
    <s v="LC"/>
    <s v="FC"/>
    <s v="FC-040"/>
    <x v="4"/>
    <s v="L"/>
    <s v="Cx."/>
    <x v="0"/>
    <s v="F"/>
    <m/>
    <n v="3"/>
    <n v="3"/>
    <n v="0"/>
    <s v="Negative"/>
  </r>
  <r>
    <n v="2016"/>
    <s v="CSU-10024"/>
    <n v="19571"/>
    <x v="0"/>
    <x v="4"/>
    <s v="LC"/>
    <s v="FC"/>
    <s v="FC-040"/>
    <x v="4"/>
    <s v="L"/>
    <s v="Cx."/>
    <x v="1"/>
    <s v="F"/>
    <m/>
    <n v="13"/>
    <n v="13"/>
    <n v="1"/>
    <s v="Positive"/>
  </r>
  <r>
    <n v="2016"/>
    <s v="CSU-10025"/>
    <n v="19572"/>
    <x v="0"/>
    <x v="4"/>
    <s v="LC"/>
    <s v="FC"/>
    <s v="FC-006"/>
    <x v="4"/>
    <s v="L"/>
    <s v="Cx."/>
    <x v="0"/>
    <s v="F"/>
    <m/>
    <n v="3"/>
    <n v="3"/>
    <n v="0"/>
    <s v="Negative"/>
  </r>
  <r>
    <n v="2016"/>
    <s v="CSU-10026"/>
    <n v="19573"/>
    <x v="0"/>
    <x v="4"/>
    <s v="LC"/>
    <s v="FC"/>
    <s v="FC-006"/>
    <x v="4"/>
    <s v="L"/>
    <s v="Cx."/>
    <x v="1"/>
    <s v="F"/>
    <m/>
    <n v="22"/>
    <n v="22"/>
    <n v="0"/>
    <s v="Negative"/>
  </r>
  <r>
    <n v="2016"/>
    <s v="CSU-10027"/>
    <n v="19574"/>
    <x v="0"/>
    <x v="4"/>
    <s v="LC"/>
    <s v="FC"/>
    <s v="FC-040gr"/>
    <x v="4"/>
    <s v="G"/>
    <s v="Cx."/>
    <x v="1"/>
    <s v="F"/>
    <n v="29"/>
    <m/>
    <n v="29"/>
    <n v="1"/>
    <s v="Positive"/>
  </r>
  <r>
    <n v="2016"/>
    <s v="CSU-10028"/>
    <n v="19575"/>
    <x v="0"/>
    <x v="4"/>
    <s v="LC"/>
    <s v="FC"/>
    <s v="FC-069"/>
    <x v="4"/>
    <s v="L"/>
    <s v="Cx."/>
    <x v="0"/>
    <s v="F"/>
    <m/>
    <n v="3"/>
    <n v="3"/>
    <n v="0"/>
    <s v="Negative"/>
  </r>
  <r>
    <n v="2016"/>
    <s v="CSU-10029"/>
    <n v="19576"/>
    <x v="0"/>
    <x v="4"/>
    <s v="LC"/>
    <s v="FC"/>
    <s v="FC-069"/>
    <x v="4"/>
    <s v="L"/>
    <s v="Cx."/>
    <x v="1"/>
    <s v="F"/>
    <m/>
    <n v="3"/>
    <n v="3"/>
    <n v="0"/>
    <s v="Negative"/>
  </r>
  <r>
    <n v="2016"/>
    <s v="CSU-10030"/>
    <n v="19577"/>
    <x v="0"/>
    <x v="4"/>
    <s v="LC"/>
    <s v="FC"/>
    <s v="FC-014"/>
    <x v="4"/>
    <s v="L"/>
    <s v="Cx."/>
    <x v="1"/>
    <s v="F"/>
    <m/>
    <n v="3"/>
    <n v="3"/>
    <n v="0"/>
    <s v="Negative"/>
  </r>
  <r>
    <n v="2016"/>
    <s v="CSU-10031"/>
    <n v="19578"/>
    <x v="0"/>
    <x v="4"/>
    <s v="LC"/>
    <s v="FC"/>
    <s v="FC-038"/>
    <x v="4"/>
    <s v="L"/>
    <s v="Cx."/>
    <x v="0"/>
    <s v="F"/>
    <m/>
    <n v="3"/>
    <n v="3"/>
    <n v="0"/>
    <s v="Negative"/>
  </r>
  <r>
    <n v="2016"/>
    <s v="CSU-10032"/>
    <n v="19579"/>
    <x v="0"/>
    <x v="4"/>
    <s v="LC"/>
    <s v="FC"/>
    <s v="FC-038"/>
    <x v="4"/>
    <s v="L"/>
    <s v="Cx."/>
    <x v="1"/>
    <s v="F"/>
    <m/>
    <n v="12"/>
    <n v="12"/>
    <n v="0"/>
    <s v="Negative"/>
  </r>
</pivotCacheRecords>
</file>

<file path=xl/pivotCache/pivotCacheRecords2.xml><?xml version="1.0" encoding="utf-8"?>
<pivotCacheRecords xmlns="http://schemas.openxmlformats.org/spreadsheetml/2006/main" xmlns:r="http://schemas.openxmlformats.org/officeDocument/2006/relationships" count="42">
  <r>
    <x v="0"/>
    <s v="08/26/2013"/>
    <s v="FC-006"/>
    <x v="0"/>
    <s v="North Linden"/>
    <s v="LIGHT"/>
    <s v="NO"/>
    <n v="9"/>
    <n v="10"/>
    <n v="19"/>
    <n v="29"/>
  </r>
  <r>
    <x v="0"/>
    <s v="08/26/2013"/>
    <s v="FC-014"/>
    <x v="0"/>
    <s v="Fort Collins Vistors Center"/>
    <s v="LIGHT"/>
    <s v="NO"/>
    <n v="10"/>
    <n v="21"/>
    <n v="31"/>
    <n v="54"/>
  </r>
  <r>
    <x v="0"/>
    <s v="08/26/2013"/>
    <s v="FC-019"/>
    <x v="0"/>
    <s v="Edora Park"/>
    <s v="LIGHT"/>
    <s v="NO"/>
    <n v="20"/>
    <n v="11"/>
    <n v="31"/>
    <n v="32"/>
  </r>
  <r>
    <x v="0"/>
    <s v="08/26/2013"/>
    <s v="FC-034"/>
    <x v="0"/>
    <s v="Country Club"/>
    <s v="LIGHT"/>
    <s v="NO"/>
    <n v="23"/>
    <n v="2"/>
    <n v="25"/>
    <n v="31"/>
  </r>
  <r>
    <x v="0"/>
    <s v="08/26/2013"/>
    <s v="FC-038"/>
    <x v="0"/>
    <s v="Lochside Lane"/>
    <s v="LIGHT"/>
    <s v="NO"/>
    <n v="44"/>
    <n v="18"/>
    <n v="62"/>
    <n v="119"/>
  </r>
  <r>
    <x v="0"/>
    <s v="08/26/2013"/>
    <s v="FC-040"/>
    <x v="0"/>
    <s v="Redwood"/>
    <s v="LIGHT"/>
    <s v="NO"/>
    <n v="2"/>
    <n v="14"/>
    <n v="16"/>
    <n v="25"/>
  </r>
  <r>
    <x v="0"/>
    <s v="08/26/2013"/>
    <s v="FC-066"/>
    <x v="0"/>
    <s v="Prospect Ponds @ Drake Water"/>
    <s v="LIGHT"/>
    <s v="NO"/>
    <n v="10"/>
    <n v="67"/>
    <n v="77"/>
    <n v="345"/>
  </r>
  <r>
    <x v="0"/>
    <s v="08/26/2013"/>
    <s v="FC-067"/>
    <x v="0"/>
    <s v="Poudre River Drive at bike trail"/>
    <s v="LIGHT"/>
    <s v="NO"/>
    <n v="65"/>
    <n v="11"/>
    <n v="76"/>
    <n v="133"/>
  </r>
  <r>
    <x v="0"/>
    <s v="08/26/2013"/>
    <s v="FC-069"/>
    <x v="0"/>
    <s v="Linden Lake Rd"/>
    <s v="LIGHT"/>
    <s v="NO"/>
    <n v="14"/>
    <n v="5"/>
    <n v="19"/>
    <n v="28"/>
  </r>
  <r>
    <x v="0"/>
    <s v="08/26/2013"/>
    <s v="FC-072"/>
    <x v="0"/>
    <s v="422 Lake Drive Alley"/>
    <s v="LIGHT"/>
    <s v="NO"/>
    <n v="27"/>
    <n v="6"/>
    <n v="33"/>
    <n v="36"/>
  </r>
  <r>
    <x v="0"/>
    <s v="08/28/2013"/>
    <s v="FC-011"/>
    <x v="1"/>
    <s v="Golden Currant"/>
    <s v="LIGHT"/>
    <s v="NO"/>
    <n v="1"/>
    <n v="5"/>
    <n v="6"/>
    <n v="7"/>
  </r>
  <r>
    <x v="0"/>
    <s v="08/28/2013"/>
    <s v="FC-015"/>
    <x v="1"/>
    <s v="Stuart and Dorset"/>
    <s v="LIGHT"/>
    <s v="NO"/>
    <n v="3"/>
    <n v="1"/>
    <n v="4"/>
    <n v="4"/>
  </r>
  <r>
    <x v="0"/>
    <s v="08/26/2013"/>
    <s v="FC-036"/>
    <x v="1"/>
    <s v="Hemlock"/>
    <s v="LIGHT"/>
    <s v="NO"/>
    <n v="22"/>
    <n v="11"/>
    <n v="33"/>
    <n v="39"/>
  </r>
  <r>
    <x v="0"/>
    <s v="08/28/2013"/>
    <s v="FC-041"/>
    <x v="1"/>
    <s v="Fishback"/>
    <s v="LIGHT"/>
    <s v="NO"/>
    <n v="13"/>
    <n v="16"/>
    <n v="29"/>
    <n v="32"/>
  </r>
  <r>
    <x v="0"/>
    <s v="08/28/2013"/>
    <s v="FC-052"/>
    <x v="1"/>
    <s v="603 Gilgalad Way"/>
    <s v="LIGHT"/>
    <s v="NO"/>
    <n v="6"/>
    <n v="0"/>
    <n v="6"/>
    <n v="8"/>
  </r>
  <r>
    <x v="0"/>
    <s v="08/28/2013"/>
    <s v="FC-060"/>
    <x v="1"/>
    <s v="808 Pondersosa"/>
    <s v="LIGHT"/>
    <s v="NO"/>
    <n v="1"/>
    <n v="1"/>
    <n v="2"/>
    <n v="4"/>
  </r>
  <r>
    <x v="0"/>
    <s v="08/28/2013"/>
    <s v="FC-061"/>
    <x v="1"/>
    <s v="Holley Environ. Plant Research Ctr"/>
    <s v="LIGHT"/>
    <s v="NO"/>
    <n v="5"/>
    <n v="13"/>
    <n v="18"/>
    <n v="19"/>
  </r>
  <r>
    <x v="0"/>
    <s v="08/28/2013"/>
    <s v="FC-063"/>
    <x v="1"/>
    <s v="Red Fox Meadows FCNA"/>
    <s v="LIGHT"/>
    <s v="NO"/>
    <n v="3"/>
    <n v="1"/>
    <n v="4"/>
    <n v="7"/>
  </r>
  <r>
    <x v="0"/>
    <s v="08/28/2013"/>
    <s v="FC-073"/>
    <x v="1"/>
    <s v="118 Grant"/>
    <s v="LIGHT"/>
    <s v="NO"/>
    <n v="4"/>
    <n v="1"/>
    <n v="5"/>
    <n v="7"/>
  </r>
  <r>
    <x v="0"/>
    <s v="08/27/2013"/>
    <s v="FC-004"/>
    <x v="2"/>
    <s v="Bighorn Drive"/>
    <s v="LIGHT"/>
    <s v="NO"/>
    <n v="8"/>
    <n v="7"/>
    <n v="15"/>
    <n v="22"/>
  </r>
  <r>
    <x v="0"/>
    <s v="08/27/2013"/>
    <s v="FC-023"/>
    <x v="2"/>
    <s v="Boltz"/>
    <s v="LIGHT"/>
    <s v="NO"/>
    <n v="0"/>
    <n v="0"/>
    <n v="0"/>
    <n v="2"/>
  </r>
  <r>
    <x v="0"/>
    <s v="08/27/2013"/>
    <s v="FC-027"/>
    <x v="2"/>
    <s v="San Luis"/>
    <s v="LIGHT"/>
    <s v="NO"/>
    <n v="9"/>
    <n v="6"/>
    <n v="15"/>
    <n v="16"/>
  </r>
  <r>
    <x v="0"/>
    <s v="08/29/2013"/>
    <s v="FC-029"/>
    <x v="2"/>
    <s v="Bens Park"/>
    <s v="LIGHT"/>
    <s v="NO"/>
    <n v="7"/>
    <n v="0"/>
    <n v="7"/>
    <n v="7"/>
  </r>
  <r>
    <x v="0"/>
    <s v="08/27/2013"/>
    <s v="FC-031"/>
    <x v="2"/>
    <s v="Willow Springs"/>
    <s v="LIGHT"/>
    <s v="NO"/>
    <n v="7"/>
    <n v="0"/>
    <n v="7"/>
    <n v="12"/>
  </r>
  <r>
    <x v="0"/>
    <s v="08/27/2013"/>
    <s v="FC-039"/>
    <x v="2"/>
    <s v="Fossil Creek South (Greenstone)"/>
    <s v="LIGHT"/>
    <s v="NO"/>
    <n v="3"/>
    <n v="0"/>
    <n v="3"/>
    <n v="43"/>
  </r>
  <r>
    <x v="0"/>
    <s v="08/27/2013"/>
    <s v="FC-046"/>
    <x v="2"/>
    <s v="725 Westshore Court"/>
    <s v="LIGHT"/>
    <s v="NO"/>
    <n v="12"/>
    <n v="0"/>
    <n v="12"/>
    <n v="17"/>
  </r>
  <r>
    <x v="0"/>
    <s v="08/27/2013"/>
    <s v="FC-047"/>
    <x v="2"/>
    <s v="Keenland &amp; Twin Oak"/>
    <s v="LIGHT"/>
    <s v="NO"/>
    <n v="0"/>
    <n v="7"/>
    <n v="7"/>
    <n v="8"/>
  </r>
  <r>
    <x v="0"/>
    <s v="08/27/2013"/>
    <s v="FC-050"/>
    <x v="2"/>
    <s v="Golden Meadows Ditch"/>
    <s v="LIGHT"/>
    <s v="NO"/>
    <n v="26"/>
    <n v="9"/>
    <n v="35"/>
    <n v="37"/>
  </r>
  <r>
    <x v="0"/>
    <s v="08/27/2013"/>
    <s v="FC-053"/>
    <x v="2"/>
    <s v="Egret and Rookery"/>
    <s v="LIGHT"/>
    <s v="NO"/>
    <n v="13"/>
    <n v="0"/>
    <n v="13"/>
    <n v="20"/>
  </r>
  <r>
    <x v="0"/>
    <s v="08/29/2013"/>
    <s v="FC-054"/>
    <x v="2"/>
    <s v="737 Parliament Court"/>
    <s v="LIGHT"/>
    <s v="NO"/>
    <n v="2"/>
    <n v="0"/>
    <n v="2"/>
    <n v="3"/>
  </r>
  <r>
    <x v="0"/>
    <s v="08/27/2013"/>
    <s v="FC-059"/>
    <x v="2"/>
    <s v="Springwood and Lockwood"/>
    <s v="LIGHT"/>
    <s v="NO"/>
    <n v="21"/>
    <n v="12"/>
    <n v="33"/>
    <n v="39"/>
  </r>
  <r>
    <x v="0"/>
    <s v="08/27/2013"/>
    <s v="FC-064"/>
    <x v="2"/>
    <s v="West Chase @ Kechter Farm"/>
    <s v="LIGHT"/>
    <s v="NO"/>
    <n v="0"/>
    <n v="0"/>
    <n v="0"/>
    <n v="2"/>
  </r>
  <r>
    <x v="0"/>
    <s v="08/27/2013"/>
    <s v="FC-075"/>
    <x v="2"/>
    <s v="North Sage Creek"/>
    <s v="LIGHT"/>
    <s v="NO"/>
    <n v="48"/>
    <n v="17"/>
    <n v="65"/>
    <n v="82"/>
  </r>
  <r>
    <x v="0"/>
    <s v="08/29/2013"/>
    <s v="FC-001"/>
    <x v="3"/>
    <s v="Magic Carpet"/>
    <s v="LIGHT"/>
    <s v="NO"/>
    <n v="0"/>
    <n v="0"/>
    <n v="0"/>
    <n v="0"/>
  </r>
  <r>
    <x v="0"/>
    <s v="08/29/2013"/>
    <s v="FC-037"/>
    <x v="3"/>
    <s v="Chelsea Ridge"/>
    <s v="LIGHT"/>
    <s v="NO"/>
    <n v="2"/>
    <n v="0"/>
    <n v="2"/>
    <n v="3"/>
  </r>
  <r>
    <x v="0"/>
    <s v="08/28/2013"/>
    <s v="FC-049"/>
    <x v="3"/>
    <s v="Casa Grande and Downing"/>
    <s v="LIGHT"/>
    <s v="NO"/>
    <n v="5"/>
    <n v="12"/>
    <n v="17"/>
    <n v="19"/>
  </r>
  <r>
    <x v="0"/>
    <s v="08/29/2013"/>
    <s v="FC-057"/>
    <x v="3"/>
    <s v="Registry Ridge- End of Ranger Dr"/>
    <s v="LIGHT"/>
    <s v="NO"/>
    <n v="0"/>
    <n v="0"/>
    <n v="0"/>
    <n v="0"/>
  </r>
  <r>
    <x v="0"/>
    <s v="08/28/2013"/>
    <s v="FC-058"/>
    <x v="3"/>
    <s v="Spring Creek Trail @ Michener Dr"/>
    <s v="LIGHT"/>
    <s v="NO"/>
    <n v="2"/>
    <n v="0"/>
    <n v="2"/>
    <n v="3"/>
  </r>
  <r>
    <x v="0"/>
    <s v="08/29/2013"/>
    <s v="FC-062"/>
    <x v="3"/>
    <s v="Waters Edge at Blue Mesa"/>
    <s v="LIGHT"/>
    <s v="NO"/>
    <n v="2"/>
    <n v="2"/>
    <n v="4"/>
    <n v="4"/>
  </r>
  <r>
    <x v="0"/>
    <s v="08/29/2013"/>
    <s v="FC-068"/>
    <x v="3"/>
    <s v="5029 Crest Drive"/>
    <s v="LIGHT"/>
    <s v="NO"/>
    <n v="1"/>
    <n v="0"/>
    <n v="1"/>
    <n v="2"/>
  </r>
  <r>
    <x v="0"/>
    <s v="08/29/2013"/>
    <s v="FC-071"/>
    <x v="3"/>
    <s v="Silvergate Road"/>
    <s v="LIGHT"/>
    <s v="NO"/>
    <n v="1"/>
    <n v="0"/>
    <n v="1"/>
    <n v="2"/>
  </r>
  <r>
    <x v="0"/>
    <s v="08/29/2013"/>
    <s v="FC-093"/>
    <x v="3"/>
    <s v="Lopez Elementary School"/>
    <s v="LIGHT"/>
    <s v="NO"/>
    <n v="2"/>
    <n v="5"/>
    <n v="7"/>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9">
        <item m="1" x="3"/>
        <item m="1" x="4"/>
        <item m="1" x="5"/>
        <item m="1" x="6"/>
        <item m="1" x="7"/>
        <item m="1" x="2"/>
        <item m="1" x="1"/>
        <item x="0"/>
        <item t="default"/>
      </items>
    </pivotField>
    <pivotField showAll="0"/>
    <pivotField showAll="0"/>
    <pivotField axis="axisRow" showAll="0">
      <items count="5">
        <item x="0"/>
        <item x="1"/>
        <item x="2"/>
        <item x="3"/>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4"/>
        <item x="3"/>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4"/>
        <item x="3"/>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4"/>
        <item x="1"/>
        <item x="0"/>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C1" workbookViewId="0">
      <selection activeCell="B9" sqref="B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70" t="s">
        <v>53</v>
      </c>
      <c r="H1" s="70"/>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11</v>
      </c>
      <c r="C6" s="2">
        <v>9</v>
      </c>
      <c r="D6" s="2">
        <v>20</v>
      </c>
      <c r="G6" s="1" t="s">
        <v>9</v>
      </c>
      <c r="H6" s="2">
        <f>GETPIVOTDATA("CSU Pool Number     (CMC enters)",$A$4,"Zone","LV","Spp","pipiens")</f>
        <v>11</v>
      </c>
      <c r="I6" s="2">
        <f>GETPIVOTDATA("CSU Pool Number     (CMC enters)",$A$4,"Zone","LV","Spp","tarsalis")</f>
        <v>9</v>
      </c>
      <c r="J6" s="2">
        <f>GETPIVOTDATA("CSU Pool Number     (CMC enters)",$A$4,"Zone","LV")</f>
        <v>20</v>
      </c>
    </row>
    <row r="7" spans="1:10" x14ac:dyDescent="0.25">
      <c r="A7" s="1" t="s">
        <v>59</v>
      </c>
      <c r="B7" s="2">
        <v>13</v>
      </c>
      <c r="C7" s="2">
        <v>6</v>
      </c>
      <c r="D7" s="2">
        <v>19</v>
      </c>
      <c r="G7" s="1" t="s">
        <v>59</v>
      </c>
      <c r="H7" s="2">
        <f>GETPIVOTDATA("CSU Pool Number     (CMC enters)",$A$4,"Zone","NE","Spp","pipiens")</f>
        <v>13</v>
      </c>
      <c r="I7" s="2">
        <f>GETPIVOTDATA("CSU Pool Number     (CMC enters)",$A$4,"Zone","NE","Spp","tarsalis")</f>
        <v>6</v>
      </c>
      <c r="J7" s="2">
        <f>GETPIVOTDATA("CSU Pool Number     (CMC enters)",$A$4,"Zone","NE")</f>
        <v>19</v>
      </c>
    </row>
    <row r="8" spans="1:10" x14ac:dyDescent="0.25">
      <c r="A8" s="1" t="s">
        <v>58</v>
      </c>
      <c r="B8" s="2">
        <v>12</v>
      </c>
      <c r="C8" s="2">
        <v>6</v>
      </c>
      <c r="D8" s="2">
        <v>18</v>
      </c>
      <c r="G8" s="1" t="s">
        <v>58</v>
      </c>
      <c r="H8" s="2">
        <f>GETPIVOTDATA("CSU Pool Number     (CMC enters)",$A$4,"Zone","NW","Spp","pipiens")</f>
        <v>12</v>
      </c>
      <c r="I8" s="2">
        <f>GETPIVOTDATA("CSU Pool Number     (CMC enters)",$A$4,"Zone","NW","Spp","tarsalis")</f>
        <v>6</v>
      </c>
      <c r="J8" s="2">
        <f>GETPIVOTDATA("CSU Pool Number     (CMC enters)",$A$4,"Zone","NW")</f>
        <v>18</v>
      </c>
    </row>
    <row r="9" spans="1:10" x14ac:dyDescent="0.25">
      <c r="A9" s="1" t="s">
        <v>60</v>
      </c>
      <c r="B9" s="2">
        <v>16</v>
      </c>
      <c r="C9" s="2">
        <v>15</v>
      </c>
      <c r="D9" s="2">
        <v>31</v>
      </c>
      <c r="G9" s="1" t="s">
        <v>60</v>
      </c>
      <c r="H9" s="2">
        <f>GETPIVOTDATA("CSU Pool Number     (CMC enters)",$A$4,"Zone","SE","Spp","pipiens")</f>
        <v>16</v>
      </c>
      <c r="I9" s="2">
        <f>GETPIVOTDATA("CSU Pool Number     (CMC enters)",$A$4,"Zone","SE","Spp","tarsalis")</f>
        <v>15</v>
      </c>
      <c r="J9" s="2">
        <f>GETPIVOTDATA("CSU Pool Number     (CMC enters)",$A$4,"Zone","SE")</f>
        <v>31</v>
      </c>
    </row>
    <row r="10" spans="1:10" x14ac:dyDescent="0.25">
      <c r="A10" s="1" t="s">
        <v>61</v>
      </c>
      <c r="B10" s="2">
        <v>5</v>
      </c>
      <c r="C10" s="2">
        <v>9</v>
      </c>
      <c r="D10" s="2">
        <v>14</v>
      </c>
      <c r="G10" s="1" t="s">
        <v>61</v>
      </c>
      <c r="H10" s="2">
        <f>GETPIVOTDATA("CSU Pool Number     (CMC enters)",$A$4,"Zone","SW","Spp","pipiens")</f>
        <v>5</v>
      </c>
      <c r="I10" s="2">
        <f>GETPIVOTDATA("CSU Pool Number     (CMC enters)",$A$4,"Zone","SW","Spp","tarsalis")</f>
        <v>9</v>
      </c>
      <c r="J10" s="2">
        <f>GETPIVOTDATA("CSU Pool Number     (CMC enters)",$A$4,"Zone","SW")</f>
        <v>14</v>
      </c>
    </row>
    <row r="11" spans="1:10" x14ac:dyDescent="0.25">
      <c r="A11" s="1" t="s">
        <v>7</v>
      </c>
      <c r="B11" s="2">
        <v>57</v>
      </c>
      <c r="C11" s="2">
        <v>45</v>
      </c>
      <c r="D11" s="2">
        <v>102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0" t="s">
        <v>77</v>
      </c>
      <c r="B1" s="70"/>
      <c r="C1" s="70"/>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4</v>
      </c>
      <c r="C7" s="2">
        <v>0</v>
      </c>
      <c r="D7" s="2">
        <v>4</v>
      </c>
      <c r="F7" s="1" t="s">
        <v>58</v>
      </c>
      <c r="G7" s="2">
        <f>GETPIVOTDATA("Test code (CSU enters)",$A$5,"Zone","NW","Spp","pipiens")</f>
        <v>4</v>
      </c>
      <c r="H7" s="2">
        <f>GETPIVOTDATA("Test code (CSU enters)",$A$5,"Zone","NW","Spp","tarsalis")</f>
        <v>0</v>
      </c>
      <c r="I7" s="2">
        <f>GETPIVOTDATA("Test code (CSU enters)",$A$5,"Zone","NW")</f>
        <v>4</v>
      </c>
    </row>
    <row r="8" spans="1:9" x14ac:dyDescent="0.25">
      <c r="A8" s="1" t="s">
        <v>59</v>
      </c>
      <c r="B8" s="2">
        <v>2</v>
      </c>
      <c r="C8" s="2">
        <v>0</v>
      </c>
      <c r="D8" s="2">
        <v>2</v>
      </c>
      <c r="F8" s="1" t="s">
        <v>59</v>
      </c>
      <c r="G8" s="2">
        <f>GETPIVOTDATA("Test code (CSU enters)",$A$5,"Zone","NE","Spp","pipiens")</f>
        <v>2</v>
      </c>
      <c r="H8" s="2">
        <f>GETPIVOTDATA("Test code (CSU enters)",$A$5,"Zone","NE","Spp","tarsalis")</f>
        <v>0</v>
      </c>
      <c r="I8" s="2">
        <f>GETPIVOTDATA("Test code (CSU enters)",$A$5,"Zone","NE")</f>
        <v>2</v>
      </c>
    </row>
    <row r="9" spans="1:9" x14ac:dyDescent="0.25">
      <c r="A9" s="1" t="s">
        <v>60</v>
      </c>
      <c r="B9" s="2">
        <v>4</v>
      </c>
      <c r="C9" s="2">
        <v>2</v>
      </c>
      <c r="D9" s="2">
        <v>6</v>
      </c>
      <c r="F9" s="1" t="s">
        <v>60</v>
      </c>
      <c r="G9" s="2">
        <f>GETPIVOTDATA("Test code (CSU enters)",$A$5,"Zone","SE","Spp","pipiens")</f>
        <v>4</v>
      </c>
      <c r="H9" s="2">
        <f>GETPIVOTDATA("Test code (CSU enters)",$A$5,"Zone","SE","Spp","tarsalis")</f>
        <v>2</v>
      </c>
      <c r="I9" s="2">
        <f>GETPIVOTDATA("Test code (CSU enters)",$A$5,"Zone","SE")</f>
        <v>6</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3</v>
      </c>
      <c r="C11" s="2">
        <v>2</v>
      </c>
      <c r="D11" s="2">
        <v>5</v>
      </c>
      <c r="F11" s="1" t="s">
        <v>9</v>
      </c>
      <c r="G11" s="2">
        <f>GETPIVOTDATA("Test code (CSU enters)",$A$5,"Zone","LV","Spp","pipiens")</f>
        <v>3</v>
      </c>
      <c r="H11" s="2">
        <f>GETPIVOTDATA("Test code (CSU enters)",$A$5,"Zone","LV","Spp","tarsalis")</f>
        <v>2</v>
      </c>
      <c r="I11" s="2">
        <f>GETPIVOTDATA("Test code (CSU enters)",$A$5,"Zone","LV")</f>
        <v>5</v>
      </c>
    </row>
    <row r="12" spans="1:9" x14ac:dyDescent="0.25">
      <c r="A12" s="1" t="s">
        <v>7</v>
      </c>
      <c r="B12" s="2">
        <v>13</v>
      </c>
      <c r="C12" s="2">
        <v>4</v>
      </c>
      <c r="D12" s="2">
        <v>17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G11" sqref="G11"/>
    </sheetView>
  </sheetViews>
  <sheetFormatPr defaultRowHeight="15" x14ac:dyDescent="0.25"/>
  <cols>
    <col min="1" max="1" width="15.85546875" customWidth="1"/>
    <col min="2" max="2" width="12.140625" customWidth="1"/>
    <col min="3" max="3" width="14.42578125" customWidth="1"/>
  </cols>
  <sheetData>
    <row r="1" spans="1:6" x14ac:dyDescent="0.25">
      <c r="A1" s="34" t="s">
        <v>63</v>
      </c>
      <c r="B1" s="34" t="s">
        <v>64</v>
      </c>
      <c r="C1" s="34" t="s">
        <v>62</v>
      </c>
    </row>
    <row r="2" spans="1:6" x14ac:dyDescent="0.25">
      <c r="A2" t="s">
        <v>47</v>
      </c>
      <c r="B2" t="s">
        <v>15</v>
      </c>
      <c r="C2" s="31">
        <v>17.050677477172833</v>
      </c>
    </row>
    <row r="3" spans="1:6" x14ac:dyDescent="0.25">
      <c r="A3" t="s">
        <v>47</v>
      </c>
      <c r="B3" t="s">
        <v>16</v>
      </c>
      <c r="C3" s="31">
        <v>6.5643495242034797</v>
      </c>
    </row>
    <row r="4" spans="1:6" x14ac:dyDescent="0.25">
      <c r="A4" t="s">
        <v>9</v>
      </c>
      <c r="B4" t="s">
        <v>15</v>
      </c>
      <c r="C4" s="31">
        <v>16.317642027211935</v>
      </c>
    </row>
    <row r="5" spans="1:6" x14ac:dyDescent="0.25">
      <c r="A5" t="s">
        <v>9</v>
      </c>
      <c r="B5" t="s">
        <v>16</v>
      </c>
      <c r="C5" s="31">
        <v>13.536841981498121</v>
      </c>
    </row>
    <row r="9" spans="1:6" x14ac:dyDescent="0.25">
      <c r="F9" s="31"/>
    </row>
    <row r="10" spans="1:6" x14ac:dyDescent="0.25">
      <c r="F10" s="31"/>
    </row>
    <row r="11" spans="1:6" x14ac:dyDescent="0.25">
      <c r="F11" s="31"/>
    </row>
    <row r="12" spans="1:6" x14ac:dyDescent="0.25">
      <c r="F1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9" sqref="G9:H16"/>
    </sheetView>
  </sheetViews>
  <sheetFormatPr defaultRowHeight="15" x14ac:dyDescent="0.25"/>
  <cols>
    <col min="2" max="2" width="15.7109375" customWidth="1"/>
    <col min="3" max="3" width="13.140625" customWidth="1"/>
  </cols>
  <sheetData>
    <row r="1" spans="1:8" x14ac:dyDescent="0.25">
      <c r="A1" s="34" t="s">
        <v>65</v>
      </c>
      <c r="B1" s="34" t="s">
        <v>64</v>
      </c>
      <c r="C1" s="34" t="s">
        <v>62</v>
      </c>
    </row>
    <row r="2" spans="1:8" x14ac:dyDescent="0.25">
      <c r="A2" t="s">
        <v>58</v>
      </c>
      <c r="B2" t="s">
        <v>15</v>
      </c>
      <c r="C2" s="31">
        <v>18.010000000000002</v>
      </c>
    </row>
    <row r="3" spans="1:8" x14ac:dyDescent="0.25">
      <c r="A3" t="s">
        <v>58</v>
      </c>
      <c r="B3" t="s">
        <v>16</v>
      </c>
      <c r="C3" s="31">
        <v>0</v>
      </c>
    </row>
    <row r="4" spans="1:8" x14ac:dyDescent="0.25">
      <c r="A4" t="s">
        <v>59</v>
      </c>
      <c r="B4" t="s">
        <v>15</v>
      </c>
      <c r="C4" s="31">
        <v>12.81</v>
      </c>
    </row>
    <row r="5" spans="1:8" x14ac:dyDescent="0.25">
      <c r="A5" t="s">
        <v>59</v>
      </c>
      <c r="B5" t="s">
        <v>16</v>
      </c>
      <c r="C5" s="31">
        <v>0</v>
      </c>
    </row>
    <row r="6" spans="1:8" x14ac:dyDescent="0.25">
      <c r="A6" t="s">
        <v>60</v>
      </c>
      <c r="B6" t="s">
        <v>15</v>
      </c>
      <c r="C6" s="31">
        <v>25.1</v>
      </c>
    </row>
    <row r="7" spans="1:8" x14ac:dyDescent="0.25">
      <c r="A7" t="s">
        <v>60</v>
      </c>
      <c r="B7" t="s">
        <v>16</v>
      </c>
      <c r="C7" s="31">
        <v>16.66</v>
      </c>
      <c r="H7" s="31"/>
    </row>
    <row r="8" spans="1:8" x14ac:dyDescent="0.25">
      <c r="A8" t="s">
        <v>61</v>
      </c>
      <c r="B8" t="s">
        <v>15</v>
      </c>
      <c r="C8" s="31">
        <v>0</v>
      </c>
      <c r="H8" s="31"/>
    </row>
    <row r="9" spans="1:8" x14ac:dyDescent="0.25">
      <c r="A9" t="s">
        <v>61</v>
      </c>
      <c r="B9" t="s">
        <v>16</v>
      </c>
      <c r="C9" s="31">
        <v>0</v>
      </c>
      <c r="H9" s="31"/>
    </row>
    <row r="10" spans="1:8" x14ac:dyDescent="0.25">
      <c r="H10" s="31"/>
    </row>
    <row r="11" spans="1:8" x14ac:dyDescent="0.25">
      <c r="H11" s="31"/>
    </row>
    <row r="12" spans="1:8" x14ac:dyDescent="0.25">
      <c r="B12" s="31"/>
      <c r="H12" s="31"/>
    </row>
    <row r="13" spans="1:8" x14ac:dyDescent="0.25">
      <c r="B13" s="31"/>
      <c r="H13" s="31"/>
    </row>
    <row r="14" spans="1:8" x14ac:dyDescent="0.25">
      <c r="B14" s="31"/>
      <c r="H14" s="31"/>
    </row>
    <row r="15" spans="1:8" x14ac:dyDescent="0.25">
      <c r="B15" s="31"/>
      <c r="H15" s="31"/>
    </row>
    <row r="16" spans="1:8" x14ac:dyDescent="0.25">
      <c r="B16" s="31"/>
      <c r="H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92"/>
  <sheetViews>
    <sheetView tabSelected="1" topLeftCell="A40" zoomScale="80" zoomScaleNormal="80" workbookViewId="0">
      <selection activeCell="O48" sqref="O48"/>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342</v>
      </c>
      <c r="B1" s="4"/>
      <c r="C1" s="75" t="s">
        <v>11</v>
      </c>
      <c r="D1" s="76"/>
      <c r="E1" s="75" t="s">
        <v>12</v>
      </c>
      <c r="F1" s="76"/>
      <c r="G1" s="83"/>
      <c r="H1" s="84"/>
      <c r="I1" s="85"/>
    </row>
    <row r="2" spans="1:13" ht="27" customHeight="1" x14ac:dyDescent="0.25">
      <c r="B2" s="5"/>
      <c r="C2" s="77"/>
      <c r="D2" s="78"/>
      <c r="E2" s="77" t="s">
        <v>13</v>
      </c>
      <c r="F2" s="78"/>
      <c r="G2" s="86" t="s">
        <v>14</v>
      </c>
      <c r="H2" s="87"/>
      <c r="I2" s="88"/>
    </row>
    <row r="3" spans="1:13" ht="15.75" thickBot="1" x14ac:dyDescent="0.3">
      <c r="B3" s="5"/>
      <c r="C3" s="79"/>
      <c r="D3" s="80"/>
      <c r="E3" s="81"/>
      <c r="F3" s="82"/>
      <c r="G3" s="81"/>
      <c r="H3" s="89"/>
      <c r="I3" s="82"/>
    </row>
    <row r="4" spans="1:13" ht="15.75" customHeight="1" x14ac:dyDescent="0.25">
      <c r="B4" s="5" t="s">
        <v>10</v>
      </c>
      <c r="C4" s="71" t="s">
        <v>15</v>
      </c>
      <c r="D4" s="71" t="s">
        <v>16</v>
      </c>
      <c r="E4" s="7" t="s">
        <v>17</v>
      </c>
      <c r="F4" s="7" t="s">
        <v>17</v>
      </c>
      <c r="G4" s="73" t="s">
        <v>18</v>
      </c>
      <c r="H4" s="73" t="s">
        <v>19</v>
      </c>
      <c r="I4" s="9" t="s">
        <v>20</v>
      </c>
    </row>
    <row r="5" spans="1:13" ht="15.75" thickBot="1" x14ac:dyDescent="0.3">
      <c r="B5" s="6"/>
      <c r="C5" s="72"/>
      <c r="D5" s="72"/>
      <c r="E5" s="8" t="s">
        <v>5</v>
      </c>
      <c r="F5" s="8" t="s">
        <v>6</v>
      </c>
      <c r="G5" s="74"/>
      <c r="H5" s="74"/>
      <c r="I5" s="10" t="s">
        <v>21</v>
      </c>
    </row>
    <row r="6" spans="1:13" ht="26.25" thickBot="1" x14ac:dyDescent="0.3">
      <c r="B6" s="11" t="s">
        <v>54</v>
      </c>
      <c r="C6" s="26">
        <f>G37</f>
        <v>5.4444444444444446</v>
      </c>
      <c r="D6" s="26">
        <f>H37</f>
        <v>6.4444444444444446</v>
      </c>
      <c r="E6" s="47">
        <f>L68/1000</f>
        <v>1.8010000000000002E-2</v>
      </c>
      <c r="F6" s="47">
        <f>M68/1000</f>
        <v>0</v>
      </c>
      <c r="G6" s="32">
        <f>C6*E6</f>
        <v>9.8054444444444458E-2</v>
      </c>
      <c r="H6" s="32">
        <f>D6*F6</f>
        <v>0</v>
      </c>
      <c r="I6" s="32">
        <f>G6+H6</f>
        <v>9.8054444444444458E-2</v>
      </c>
    </row>
    <row r="7" spans="1:13" ht="26.25" thickBot="1" x14ac:dyDescent="0.3">
      <c r="B7" s="11" t="s">
        <v>55</v>
      </c>
      <c r="C7" s="26">
        <f t="shared" ref="C7:C10" si="0">G38</f>
        <v>16.5</v>
      </c>
      <c r="D7" s="26">
        <f t="shared" ref="D7:D10" si="1">H38</f>
        <v>22.4</v>
      </c>
      <c r="E7" s="47">
        <f t="shared" ref="E7:E10" si="2">L69/1000</f>
        <v>1.281E-2</v>
      </c>
      <c r="F7" s="47">
        <f t="shared" ref="F7:F10" si="3">M69/1000</f>
        <v>0</v>
      </c>
      <c r="G7" s="32">
        <f t="shared" ref="G7:G9" si="4">C7*E7</f>
        <v>0.211365</v>
      </c>
      <c r="H7" s="32">
        <f t="shared" ref="H7:H9" si="5">D7*F7</f>
        <v>0</v>
      </c>
      <c r="I7" s="32">
        <f t="shared" ref="I7:I10" si="6">G7+H7</f>
        <v>0.211365</v>
      </c>
    </row>
    <row r="8" spans="1:13" ht="26.25" thickBot="1" x14ac:dyDescent="0.3">
      <c r="B8" s="11" t="s">
        <v>57</v>
      </c>
      <c r="C8" s="26">
        <f t="shared" si="0"/>
        <v>4.1428571428571432</v>
      </c>
      <c r="D8" s="26">
        <f t="shared" si="1"/>
        <v>11.142857142857142</v>
      </c>
      <c r="E8" s="47">
        <f t="shared" si="2"/>
        <v>2.5100000000000001E-2</v>
      </c>
      <c r="F8" s="47">
        <f t="shared" si="3"/>
        <v>1.6660000000000001E-2</v>
      </c>
      <c r="G8" s="32">
        <f t="shared" si="4"/>
        <v>0.10398571428571429</v>
      </c>
      <c r="H8" s="32">
        <f t="shared" si="5"/>
        <v>0.18564</v>
      </c>
      <c r="I8" s="32">
        <f t="shared" si="6"/>
        <v>0.28962571428571426</v>
      </c>
    </row>
    <row r="9" spans="1:13" ht="26.25" thickBot="1" x14ac:dyDescent="0.3">
      <c r="B9" s="11" t="s">
        <v>56</v>
      </c>
      <c r="C9" s="26">
        <f t="shared" si="0"/>
        <v>2.1111111111111112</v>
      </c>
      <c r="D9" s="26">
        <f t="shared" si="1"/>
        <v>1.6666666666666667</v>
      </c>
      <c r="E9" s="47">
        <f t="shared" si="2"/>
        <v>0</v>
      </c>
      <c r="F9" s="47">
        <f t="shared" si="3"/>
        <v>0</v>
      </c>
      <c r="G9" s="32">
        <f t="shared" si="4"/>
        <v>0</v>
      </c>
      <c r="H9" s="32">
        <f t="shared" si="5"/>
        <v>0</v>
      </c>
      <c r="I9" s="32">
        <f t="shared" si="6"/>
        <v>0</v>
      </c>
    </row>
    <row r="10" spans="1:13" ht="26.25" thickBot="1" x14ac:dyDescent="0.3">
      <c r="B10" s="11" t="s">
        <v>22</v>
      </c>
      <c r="C10" s="26">
        <f t="shared" si="0"/>
        <v>6.9285714285714288</v>
      </c>
      <c r="D10" s="26">
        <f t="shared" si="1"/>
        <v>10.785714285714286</v>
      </c>
      <c r="E10" s="47">
        <f t="shared" si="2"/>
        <v>1.7050677477172833E-2</v>
      </c>
      <c r="F10" s="47">
        <f t="shared" si="3"/>
        <v>6.5643495242034798E-3</v>
      </c>
      <c r="G10" s="32">
        <f>C10*E10</f>
        <v>0.11813683680612606</v>
      </c>
      <c r="H10" s="32">
        <f>D10*F10</f>
        <v>7.080119843962325E-2</v>
      </c>
      <c r="I10" s="32">
        <f t="shared" si="6"/>
        <v>0.18893803524574931</v>
      </c>
    </row>
    <row r="11" spans="1:13" ht="15.75" thickBot="1" x14ac:dyDescent="0.3">
      <c r="B11" s="11"/>
      <c r="C11" s="12"/>
      <c r="D11" s="12"/>
      <c r="E11" s="47"/>
      <c r="F11" s="47"/>
      <c r="G11" s="32"/>
      <c r="H11" s="32"/>
      <c r="I11" s="32"/>
    </row>
    <row r="12" spans="1:13" ht="15.75" thickBot="1" x14ac:dyDescent="0.3">
      <c r="B12" s="11" t="s">
        <v>9</v>
      </c>
      <c r="C12" s="29" t="e">
        <f>G43</f>
        <v>#REF!</v>
      </c>
      <c r="D12" s="29" t="e">
        <f>H43</f>
        <v>#REF!</v>
      </c>
      <c r="E12" s="47">
        <f>L74/1000</f>
        <v>1.6317642027211934E-2</v>
      </c>
      <c r="F12" s="47">
        <f>M74/1000</f>
        <v>1.3536841981498121E-2</v>
      </c>
      <c r="G12" s="32" t="e">
        <f>C12*E12</f>
        <v>#REF!</v>
      </c>
      <c r="H12" s="32" t="e">
        <f>D12*F12</f>
        <v>#REF!</v>
      </c>
      <c r="I12" s="32" t="e">
        <f>G12+H12</f>
        <v>#REF!</v>
      </c>
    </row>
    <row r="13" spans="1:13" ht="15.75" thickBot="1" x14ac:dyDescent="0.3"/>
    <row r="14" spans="1:13" ht="15" customHeight="1" x14ac:dyDescent="0.25">
      <c r="A14" t="s">
        <v>343</v>
      </c>
      <c r="B14" s="16"/>
      <c r="C14" s="90" t="s">
        <v>54</v>
      </c>
      <c r="D14" s="91"/>
      <c r="E14" s="90" t="s">
        <v>55</v>
      </c>
      <c r="F14" s="91"/>
      <c r="G14" s="90" t="s">
        <v>57</v>
      </c>
      <c r="H14" s="91"/>
      <c r="I14" s="90" t="s">
        <v>56</v>
      </c>
      <c r="J14" s="91"/>
      <c r="K14" s="90" t="s">
        <v>22</v>
      </c>
      <c r="L14" s="91"/>
      <c r="M14" s="19"/>
    </row>
    <row r="15" spans="1:13" ht="15.75" thickBot="1" x14ac:dyDescent="0.3">
      <c r="B15" s="17"/>
      <c r="C15" s="92"/>
      <c r="D15" s="93"/>
      <c r="E15" s="92"/>
      <c r="F15" s="93"/>
      <c r="G15" s="92"/>
      <c r="H15" s="93"/>
      <c r="I15" s="92"/>
      <c r="J15" s="93"/>
      <c r="K15" s="92"/>
      <c r="L15" s="93"/>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c r="D17" s="51">
        <v>0</v>
      </c>
      <c r="E17" s="54"/>
      <c r="F17" s="51">
        <v>0</v>
      </c>
      <c r="G17" s="54"/>
      <c r="H17" s="51">
        <v>6.3721999999999997E-3</v>
      </c>
      <c r="I17" s="54"/>
      <c r="J17" s="51">
        <v>0</v>
      </c>
      <c r="K17" s="54"/>
      <c r="L17" s="51">
        <v>2.310872354827171E-3</v>
      </c>
      <c r="M17" s="54"/>
    </row>
    <row r="18" spans="1:13" ht="15.75" thickBot="1" x14ac:dyDescent="0.3">
      <c r="B18" s="50">
        <v>25</v>
      </c>
      <c r="C18" s="54"/>
      <c r="D18" s="51">
        <v>0</v>
      </c>
      <c r="E18" s="54"/>
      <c r="F18" s="51">
        <v>1.8774300000000001E-2</v>
      </c>
      <c r="G18" s="54"/>
      <c r="H18" s="51">
        <v>0</v>
      </c>
      <c r="I18" s="54"/>
      <c r="J18" s="51">
        <v>0</v>
      </c>
      <c r="K18" s="54"/>
      <c r="L18" s="51">
        <v>3.7680930482037458E-3</v>
      </c>
      <c r="M18" s="54"/>
    </row>
    <row r="19" spans="1:13" ht="15.75" thickBot="1" x14ac:dyDescent="0.3">
      <c r="B19" s="50">
        <v>26</v>
      </c>
      <c r="C19" s="54"/>
      <c r="D19" s="51">
        <v>0</v>
      </c>
      <c r="E19" s="54"/>
      <c r="F19" s="51">
        <v>9.7776000000000009E-3</v>
      </c>
      <c r="G19" s="54"/>
      <c r="H19" s="51">
        <v>1.8501699999999999E-2</v>
      </c>
      <c r="I19" s="54"/>
      <c r="J19" s="51">
        <v>1.16285E-2</v>
      </c>
      <c r="K19" s="54"/>
      <c r="L19" s="51">
        <v>1.1468048137997683E-2</v>
      </c>
      <c r="M19" s="54"/>
    </row>
    <row r="20" spans="1:13" ht="15.75" thickBot="1" x14ac:dyDescent="0.3">
      <c r="B20" s="50">
        <v>27</v>
      </c>
      <c r="C20" s="55"/>
      <c r="D20" s="51">
        <v>0</v>
      </c>
      <c r="E20" s="55"/>
      <c r="F20" s="51">
        <v>4.0647552933751996E-2</v>
      </c>
      <c r="G20" s="54"/>
      <c r="H20" s="51">
        <v>7.1589000000000002E-3</v>
      </c>
      <c r="I20" s="54"/>
      <c r="J20" s="51">
        <v>0</v>
      </c>
      <c r="K20" s="54"/>
      <c r="L20" s="51">
        <v>1.2877096216512543E-2</v>
      </c>
      <c r="M20" s="54"/>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v>0.10605888888888891</v>
      </c>
      <c r="D27" s="51">
        <v>0.14035534568046981</v>
      </c>
      <c r="E27" s="52">
        <v>9.678666666666666E-2</v>
      </c>
      <c r="F27" s="51">
        <v>0.15779742049789733</v>
      </c>
      <c r="G27" s="52">
        <v>0.21971600000000002</v>
      </c>
      <c r="H27" s="51">
        <v>0.32777904179655093</v>
      </c>
      <c r="I27" s="52">
        <v>0</v>
      </c>
      <c r="J27" s="51">
        <v>5.1218048395847697E-2</v>
      </c>
      <c r="K27" s="52">
        <v>0.12333611821810506</v>
      </c>
      <c r="L27" s="51">
        <v>0.18728282853665851</v>
      </c>
      <c r="M27" s="52">
        <v>0.23462433039115441</v>
      </c>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49</v>
      </c>
      <c r="B32" s="4"/>
      <c r="C32" s="75" t="s">
        <v>25</v>
      </c>
      <c r="D32" s="94"/>
      <c r="E32" s="76"/>
      <c r="F32" s="15"/>
      <c r="G32" s="75" t="s">
        <v>28</v>
      </c>
      <c r="H32" s="94"/>
      <c r="I32" s="76"/>
    </row>
    <row r="33" spans="1:13" ht="38.25" x14ac:dyDescent="0.25">
      <c r="B33" s="5"/>
      <c r="C33" s="77" t="s">
        <v>26</v>
      </c>
      <c r="D33" s="95"/>
      <c r="E33" s="78"/>
      <c r="F33" s="14" t="s">
        <v>27</v>
      </c>
      <c r="G33" s="77"/>
      <c r="H33" s="96"/>
      <c r="I33" s="78"/>
    </row>
    <row r="34" spans="1:13" ht="15.75" thickBot="1" x14ac:dyDescent="0.3">
      <c r="B34" s="5"/>
      <c r="C34" s="81"/>
      <c r="D34" s="89"/>
      <c r="E34" s="82"/>
      <c r="F34" s="22"/>
      <c r="G34" s="79"/>
      <c r="H34" s="97"/>
      <c r="I34" s="80"/>
    </row>
    <row r="35" spans="1:13" x14ac:dyDescent="0.25">
      <c r="B35" s="5" t="s">
        <v>10</v>
      </c>
      <c r="C35" s="71" t="s">
        <v>15</v>
      </c>
      <c r="D35" s="71" t="s">
        <v>16</v>
      </c>
      <c r="E35" s="98" t="s">
        <v>29</v>
      </c>
      <c r="F35" s="22"/>
      <c r="G35" s="100" t="s">
        <v>30</v>
      </c>
      <c r="H35" s="100" t="s">
        <v>31</v>
      </c>
      <c r="I35" s="27" t="s">
        <v>20</v>
      </c>
    </row>
    <row r="36" spans="1:13" ht="15.75" thickBot="1" x14ac:dyDescent="0.3">
      <c r="B36" s="6"/>
      <c r="C36" s="72"/>
      <c r="D36" s="72"/>
      <c r="E36" s="99"/>
      <c r="F36" s="13"/>
      <c r="G36" s="101"/>
      <c r="H36" s="101"/>
      <c r="I36" s="28" t="s">
        <v>32</v>
      </c>
    </row>
    <row r="37" spans="1:13" ht="26.25" thickBot="1" x14ac:dyDescent="0.3">
      <c r="B37" s="11" t="s">
        <v>54</v>
      </c>
      <c r="C37" s="60">
        <f>'Total Number Of Ind'!H7</f>
        <v>49</v>
      </c>
      <c r="D37" s="60">
        <f>'Total Number Of Ind'!I7</f>
        <v>58</v>
      </c>
      <c r="E37" s="60">
        <f>C37+D37</f>
        <v>107</v>
      </c>
      <c r="F37" s="60">
        <v>9</v>
      </c>
      <c r="G37" s="26">
        <f>C37/F37</f>
        <v>5.4444444444444446</v>
      </c>
      <c r="H37" s="26">
        <f>D37/F37</f>
        <v>6.4444444444444446</v>
      </c>
      <c r="I37" s="26">
        <f>E37/F37</f>
        <v>11.888888888888889</v>
      </c>
    </row>
    <row r="38" spans="1:13" ht="26.25" thickBot="1" x14ac:dyDescent="0.3">
      <c r="B38" s="11" t="s">
        <v>55</v>
      </c>
      <c r="C38" s="60">
        <f>'Total Number Of Ind'!H6</f>
        <v>165</v>
      </c>
      <c r="D38" s="60">
        <f>'Total Number Of Ind'!I6</f>
        <v>224</v>
      </c>
      <c r="E38" s="60">
        <f t="shared" ref="E38:E40" si="7">C38+D38</f>
        <v>389</v>
      </c>
      <c r="F38" s="60">
        <v>10</v>
      </c>
      <c r="G38" s="26">
        <f t="shared" ref="G38:G43" si="8">C38/F38</f>
        <v>16.5</v>
      </c>
      <c r="H38" s="26">
        <f t="shared" ref="H38:H41" si="9">D38/F38</f>
        <v>22.4</v>
      </c>
      <c r="I38" s="26">
        <f t="shared" ref="I38:I43" si="10">E38/F38</f>
        <v>38.9</v>
      </c>
    </row>
    <row r="39" spans="1:13" ht="26.25" thickBot="1" x14ac:dyDescent="0.3">
      <c r="B39" s="11" t="s">
        <v>57</v>
      </c>
      <c r="C39" s="60">
        <f>'Total Number Of Ind'!H8</f>
        <v>58</v>
      </c>
      <c r="D39" s="60">
        <f>'Total Number Of Ind'!I8</f>
        <v>156</v>
      </c>
      <c r="E39" s="60">
        <f t="shared" si="7"/>
        <v>214</v>
      </c>
      <c r="F39" s="60">
        <v>14</v>
      </c>
      <c r="G39" s="26">
        <f t="shared" si="8"/>
        <v>4.1428571428571432</v>
      </c>
      <c r="H39" s="26">
        <f>D39/F39</f>
        <v>11.142857142857142</v>
      </c>
      <c r="I39" s="26">
        <f t="shared" si="10"/>
        <v>15.285714285714286</v>
      </c>
    </row>
    <row r="40" spans="1:13" ht="26.25" thickBot="1" x14ac:dyDescent="0.3">
      <c r="B40" s="11" t="s">
        <v>56</v>
      </c>
      <c r="C40" s="60">
        <f>'Total Number Of Ind'!H9</f>
        <v>19</v>
      </c>
      <c r="D40" s="60">
        <f>'Total Number Of Ind'!I9</f>
        <v>15</v>
      </c>
      <c r="E40" s="60">
        <f t="shared" si="7"/>
        <v>34</v>
      </c>
      <c r="F40" s="60">
        <v>9</v>
      </c>
      <c r="G40" s="26">
        <f t="shared" si="8"/>
        <v>2.1111111111111112</v>
      </c>
      <c r="H40" s="26">
        <f t="shared" si="9"/>
        <v>1.6666666666666667</v>
      </c>
      <c r="I40" s="26">
        <f t="shared" si="10"/>
        <v>3.7777777777777777</v>
      </c>
    </row>
    <row r="41" spans="1:13" ht="26.25" thickBot="1" x14ac:dyDescent="0.3">
      <c r="B41" s="11" t="s">
        <v>22</v>
      </c>
      <c r="C41" s="60">
        <f>SUM(C37:C40)</f>
        <v>291</v>
      </c>
      <c r="D41" s="60">
        <f>SUM(D37:D40)</f>
        <v>453</v>
      </c>
      <c r="E41" s="60">
        <f>SUM(E37:E40)</f>
        <v>744</v>
      </c>
      <c r="F41" s="60">
        <f>SUM(F37:F40)</f>
        <v>42</v>
      </c>
      <c r="G41" s="26">
        <f t="shared" si="8"/>
        <v>6.9285714285714288</v>
      </c>
      <c r="H41" s="26">
        <f t="shared" si="9"/>
        <v>10.785714285714286</v>
      </c>
      <c r="I41" s="26">
        <f>E41/F41</f>
        <v>17.714285714285715</v>
      </c>
    </row>
    <row r="42" spans="1:13" ht="15.75" thickBot="1" x14ac:dyDescent="0.3">
      <c r="B42" s="11"/>
      <c r="C42" s="60"/>
      <c r="D42" s="60"/>
      <c r="E42" s="60"/>
      <c r="F42" s="60"/>
      <c r="G42" s="26"/>
      <c r="H42" s="26"/>
      <c r="I42" s="26"/>
    </row>
    <row r="43" spans="1:13" ht="15.75" thickBot="1" x14ac:dyDescent="0.3">
      <c r="B43" s="11" t="s">
        <v>9</v>
      </c>
      <c r="C43" s="60" t="e">
        <f>'Total Number Of Ind'!H5</f>
        <v>#REF!</v>
      </c>
      <c r="D43" s="60" t="e">
        <f>'Total Number Of Ind'!I5</f>
        <v>#REF!</v>
      </c>
      <c r="E43" s="60" t="e">
        <f>C43+D43</f>
        <v>#REF!</v>
      </c>
      <c r="F43" s="60">
        <v>37</v>
      </c>
      <c r="G43" s="26" t="e">
        <f t="shared" si="8"/>
        <v>#REF!</v>
      </c>
      <c r="H43" s="26" t="e">
        <f>D43/F43</f>
        <v>#REF!</v>
      </c>
      <c r="I43" s="26" t="e">
        <f t="shared" si="10"/>
        <v>#REF!</v>
      </c>
    </row>
    <row r="44" spans="1:13" ht="15.75" thickBot="1" x14ac:dyDescent="0.3"/>
    <row r="45" spans="1:13" x14ac:dyDescent="0.25">
      <c r="A45" t="s">
        <v>50</v>
      </c>
      <c r="B45" s="16"/>
      <c r="C45" s="90" t="s">
        <v>54</v>
      </c>
      <c r="D45" s="91"/>
      <c r="E45" s="90" t="s">
        <v>55</v>
      </c>
      <c r="F45" s="91"/>
      <c r="G45" s="90" t="s">
        <v>57</v>
      </c>
      <c r="H45" s="91"/>
      <c r="I45" s="90" t="s">
        <v>56</v>
      </c>
      <c r="J45" s="91"/>
      <c r="K45" s="90" t="s">
        <v>22</v>
      </c>
      <c r="L45" s="91"/>
      <c r="M45" s="19"/>
    </row>
    <row r="46" spans="1:13" ht="15.75" thickBot="1" x14ac:dyDescent="0.3">
      <c r="B46" s="17"/>
      <c r="C46" s="92"/>
      <c r="D46" s="93"/>
      <c r="E46" s="92"/>
      <c r="F46" s="93"/>
      <c r="G46" s="92"/>
      <c r="H46" s="93"/>
      <c r="I46" s="92"/>
      <c r="J46" s="93"/>
      <c r="K46" s="92"/>
      <c r="L46" s="93"/>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23</v>
      </c>
      <c r="C48" s="62">
        <v>0.66666666666666663</v>
      </c>
      <c r="D48" s="62"/>
      <c r="E48" s="62">
        <v>4.7</v>
      </c>
      <c r="F48" s="62"/>
      <c r="G48" s="62">
        <v>2.7142857142857144</v>
      </c>
      <c r="H48" s="62"/>
      <c r="I48" s="62">
        <v>0.22222222222222221</v>
      </c>
      <c r="J48" s="62"/>
      <c r="K48" s="62">
        <v>2.2142857142857144</v>
      </c>
      <c r="L48" s="62"/>
      <c r="M48" s="62"/>
    </row>
    <row r="49" spans="1:14" ht="15.75" thickBot="1" x14ac:dyDescent="0.3">
      <c r="B49" s="18">
        <v>24</v>
      </c>
      <c r="C49" s="30">
        <v>0.77777777777777779</v>
      </c>
      <c r="D49" s="56">
        <v>2.292134831460674</v>
      </c>
      <c r="E49" s="30">
        <v>4.5</v>
      </c>
      <c r="F49" s="56">
        <v>8.3775510204081627</v>
      </c>
      <c r="G49" s="30">
        <v>21.714285714285715</v>
      </c>
      <c r="H49" s="56">
        <v>10.858156028368795</v>
      </c>
      <c r="I49" s="30">
        <v>1</v>
      </c>
      <c r="J49" s="56">
        <v>1.1395348837209303</v>
      </c>
      <c r="K49" s="30">
        <v>8.6904761904761898</v>
      </c>
      <c r="L49" s="56">
        <v>6.4106280193236715</v>
      </c>
      <c r="M49" s="30"/>
    </row>
    <row r="50" spans="1:14" ht="15.75" thickBot="1" x14ac:dyDescent="0.3">
      <c r="B50" s="18">
        <v>25</v>
      </c>
      <c r="C50" s="30">
        <v>2.1111111111111112</v>
      </c>
      <c r="D50" s="56">
        <v>8.0113636363636367</v>
      </c>
      <c r="E50" s="30">
        <v>5.4</v>
      </c>
      <c r="F50" s="56">
        <v>21.408163265306122</v>
      </c>
      <c r="G50" s="30">
        <v>10.5</v>
      </c>
      <c r="H50" s="56">
        <v>26.169014084507044</v>
      </c>
      <c r="I50" s="30">
        <v>1.2222222222222223</v>
      </c>
      <c r="J50" s="56">
        <v>3.6829268292682928</v>
      </c>
      <c r="K50" s="30">
        <v>5.5</v>
      </c>
      <c r="L50" s="56">
        <v>16.636585365853659</v>
      </c>
      <c r="M50" s="26"/>
    </row>
    <row r="51" spans="1:14" ht="15.75" thickBot="1" x14ac:dyDescent="0.3">
      <c r="B51" s="18">
        <v>26</v>
      </c>
      <c r="C51" s="30">
        <v>4.8888888888888893</v>
      </c>
      <c r="D51" s="56">
        <v>13.833333333333334</v>
      </c>
      <c r="E51" s="30">
        <v>30.2</v>
      </c>
      <c r="F51" s="56">
        <v>40.03092783505155</v>
      </c>
      <c r="G51" s="30">
        <v>19.642857142857142</v>
      </c>
      <c r="H51" s="56">
        <v>37.070921985815602</v>
      </c>
      <c r="I51" s="30">
        <v>6.333333333333333</v>
      </c>
      <c r="J51" s="56">
        <v>6.375</v>
      </c>
      <c r="K51" s="30">
        <v>16.142857142857142</v>
      </c>
      <c r="L51" s="56">
        <v>26.240384615384617</v>
      </c>
      <c r="M51" s="26"/>
    </row>
    <row r="52" spans="1:14" ht="15.75" thickBot="1" x14ac:dyDescent="0.3">
      <c r="B52" s="18">
        <v>27</v>
      </c>
      <c r="C52" s="30">
        <v>13.285714285714286</v>
      </c>
      <c r="D52" s="56">
        <v>29.192307692307693</v>
      </c>
      <c r="E52" s="30">
        <v>24.5</v>
      </c>
      <c r="F52" s="56">
        <v>67.744897959183675</v>
      </c>
      <c r="G52" s="30">
        <v>31.071428571428573</v>
      </c>
      <c r="H52" s="56">
        <v>44.028571428571432</v>
      </c>
      <c r="I52" s="30">
        <v>18.2</v>
      </c>
      <c r="J52" s="56">
        <v>11.838709677419354</v>
      </c>
      <c r="K52" s="30">
        <v>24</v>
      </c>
      <c r="L52" s="56">
        <v>41.835978835978835</v>
      </c>
      <c r="M52" s="30"/>
    </row>
    <row r="53" spans="1:14" ht="15.75" thickBot="1" x14ac:dyDescent="0.3">
      <c r="B53" s="18">
        <v>28</v>
      </c>
      <c r="C53" s="30">
        <v>54.222222222222221</v>
      </c>
      <c r="D53" s="56">
        <v>46.666666666666664</v>
      </c>
      <c r="E53" s="30">
        <v>64.3</v>
      </c>
      <c r="F53" s="56">
        <v>88.755102040816325</v>
      </c>
      <c r="G53" s="30">
        <v>96.428571428571431</v>
      </c>
      <c r="H53" s="56">
        <v>74.492857142857147</v>
      </c>
      <c r="I53" s="30">
        <v>25.222222222222221</v>
      </c>
      <c r="J53" s="56">
        <v>12.965909090909092</v>
      </c>
      <c r="K53" s="30">
        <v>64.476190476190482</v>
      </c>
      <c r="L53" s="56">
        <v>58.817307692307693</v>
      </c>
      <c r="M53" s="30"/>
    </row>
    <row r="54" spans="1:14" ht="15.75" thickBot="1" x14ac:dyDescent="0.3">
      <c r="B54" s="18">
        <v>29</v>
      </c>
      <c r="C54" s="48">
        <v>43.666666666666664</v>
      </c>
      <c r="D54" s="56">
        <v>55.359550561797754</v>
      </c>
      <c r="E54" s="48">
        <v>65.7</v>
      </c>
      <c r="F54" s="56">
        <v>85.717171717171723</v>
      </c>
      <c r="G54" s="48">
        <v>167.64285714285714</v>
      </c>
      <c r="H54" s="56">
        <v>74.274647887323937</v>
      </c>
      <c r="I54" s="48">
        <v>80.777777777777771</v>
      </c>
      <c r="J54" s="56">
        <v>22.654761904761905</v>
      </c>
      <c r="K54" s="48">
        <v>98.19047619047619</v>
      </c>
      <c r="L54" s="56">
        <v>62.471014492753625</v>
      </c>
      <c r="M54" s="48"/>
    </row>
    <row r="55" spans="1:14" ht="15.75" thickBot="1" x14ac:dyDescent="0.3">
      <c r="B55" s="18">
        <v>30</v>
      </c>
      <c r="C55" s="48">
        <v>63.333333333333336</v>
      </c>
      <c r="D55" s="56">
        <v>52.640449438202246</v>
      </c>
      <c r="E55" s="48">
        <v>101</v>
      </c>
      <c r="F55" s="56">
        <v>128.01010101010101</v>
      </c>
      <c r="G55" s="48">
        <v>158.92857142857142</v>
      </c>
      <c r="H55" s="56">
        <v>86.75</v>
      </c>
      <c r="I55" s="48">
        <v>31.111111111111111</v>
      </c>
      <c r="J55" s="56">
        <v>19.646341463414632</v>
      </c>
      <c r="K55" s="48">
        <v>97.261904761904759</v>
      </c>
      <c r="L55" s="56">
        <v>75.887804878048783</v>
      </c>
      <c r="M55" s="48"/>
    </row>
    <row r="56" spans="1:14" ht="15.75" thickBot="1" x14ac:dyDescent="0.3">
      <c r="B56" s="18">
        <v>31</v>
      </c>
      <c r="C56" s="48">
        <v>37.666666666666664</v>
      </c>
      <c r="D56" s="56">
        <v>49.121951219512198</v>
      </c>
      <c r="E56" s="48">
        <v>62.4</v>
      </c>
      <c r="F56" s="56">
        <v>102.62626262626263</v>
      </c>
      <c r="G56" s="48">
        <v>74.642857142857139</v>
      </c>
      <c r="H56" s="56">
        <v>58.826086956521742</v>
      </c>
      <c r="I56" s="48">
        <v>25.555555555555557</v>
      </c>
      <c r="J56" s="56">
        <v>16.310810810810811</v>
      </c>
      <c r="K56" s="48">
        <v>53.285714285714285</v>
      </c>
      <c r="L56" s="56">
        <v>59.829516539440206</v>
      </c>
      <c r="M56" s="48"/>
    </row>
    <row r="57" spans="1:14" ht="15.75" thickBot="1" x14ac:dyDescent="0.3">
      <c r="B57" s="18">
        <v>32</v>
      </c>
      <c r="C57" s="48">
        <v>68.888888888888886</v>
      </c>
      <c r="D57" s="56">
        <v>41.302325581395351</v>
      </c>
      <c r="E57" s="48">
        <v>80.599999999999994</v>
      </c>
      <c r="F57" s="56">
        <v>68.141414141414145</v>
      </c>
      <c r="G57" s="48">
        <v>103.28571428571429</v>
      </c>
      <c r="H57" s="56">
        <v>55.255319148936174</v>
      </c>
      <c r="I57" s="48">
        <v>18.333333333333332</v>
      </c>
      <c r="J57" s="56">
        <v>14.867469879518072</v>
      </c>
      <c r="K57" s="48">
        <v>72.30952380952381</v>
      </c>
      <c r="L57" s="56">
        <v>47.244498777506109</v>
      </c>
      <c r="M57" s="48"/>
    </row>
    <row r="58" spans="1:14" ht="15.75" thickBot="1" x14ac:dyDescent="0.3">
      <c r="B58" s="18">
        <v>33</v>
      </c>
      <c r="C58" s="48">
        <v>37.222222222222221</v>
      </c>
      <c r="D58" s="56">
        <v>24.864197530864196</v>
      </c>
      <c r="E58" s="48">
        <v>75.7</v>
      </c>
      <c r="F58" s="56">
        <v>49.241758241758241</v>
      </c>
      <c r="G58" s="48">
        <v>32.642857142857146</v>
      </c>
      <c r="H58" s="56">
        <v>33.930769230769229</v>
      </c>
      <c r="I58" s="48">
        <v>12</v>
      </c>
      <c r="J58" s="56">
        <v>8.8518518518518512</v>
      </c>
      <c r="K58" s="48">
        <v>39.452380952380949</v>
      </c>
      <c r="L58" s="56">
        <v>30.347258485639685</v>
      </c>
      <c r="M58" s="48"/>
    </row>
    <row r="59" spans="1:14" ht="15.75" thickBot="1" x14ac:dyDescent="0.3">
      <c r="B59" s="18">
        <v>34</v>
      </c>
      <c r="C59" s="48">
        <v>20.444444444444443</v>
      </c>
      <c r="D59" s="56">
        <v>19.594936708860761</v>
      </c>
      <c r="E59" s="48">
        <v>68.099999999999994</v>
      </c>
      <c r="F59" s="56">
        <v>43.344444444444441</v>
      </c>
      <c r="G59" s="48">
        <v>18.142857142857142</v>
      </c>
      <c r="H59" s="56">
        <v>27.08</v>
      </c>
      <c r="I59" s="48">
        <v>5</v>
      </c>
      <c r="J59" s="56">
        <v>6.5540540540540544</v>
      </c>
      <c r="K59" s="48">
        <v>27.714285714285715</v>
      </c>
      <c r="L59" s="56">
        <v>25.323369565217391</v>
      </c>
      <c r="M59" s="48"/>
    </row>
    <row r="60" spans="1:14" ht="15.75" thickBot="1" x14ac:dyDescent="0.3">
      <c r="B60" s="18">
        <v>35</v>
      </c>
      <c r="C60" s="48">
        <v>11.888888888888889</v>
      </c>
      <c r="D60" s="56">
        <v>8.0897435897435894</v>
      </c>
      <c r="E60" s="48">
        <v>38.9</v>
      </c>
      <c r="F60" s="56">
        <v>20.795454545454547</v>
      </c>
      <c r="G60" s="48">
        <v>15.285714285714286</v>
      </c>
      <c r="H60" s="56">
        <v>13.563492063492063</v>
      </c>
      <c r="I60" s="48">
        <v>3.7777777777777777</v>
      </c>
      <c r="J60" s="56">
        <v>3.9333333333333331</v>
      </c>
      <c r="K60" s="48">
        <v>17.714285714285715</v>
      </c>
      <c r="L60" s="56">
        <v>12.166212534059946</v>
      </c>
      <c r="M60" s="48"/>
    </row>
    <row r="61" spans="1:14" ht="15.75" thickBot="1" x14ac:dyDescent="0.3">
      <c r="B61" s="18">
        <v>36</v>
      </c>
      <c r="C61" s="49"/>
      <c r="D61" s="57">
        <v>5.1707317073170733</v>
      </c>
      <c r="E61" s="49"/>
      <c r="F61" s="57">
        <v>11.685185185185185</v>
      </c>
      <c r="G61" s="49"/>
      <c r="H61" s="57">
        <v>5.4933333333333332</v>
      </c>
      <c r="I61" s="49"/>
      <c r="J61" s="57">
        <v>2.125</v>
      </c>
      <c r="K61" s="49"/>
      <c r="L61" s="57">
        <v>6.5495049504950495</v>
      </c>
      <c r="M61" s="49"/>
    </row>
    <row r="62" spans="1:14" ht="15.75" thickBot="1" x14ac:dyDescent="0.3">
      <c r="B62" s="18">
        <v>37</v>
      </c>
      <c r="C62" s="21"/>
      <c r="D62" s="57">
        <v>4.3666666666666663</v>
      </c>
      <c r="E62" s="21"/>
      <c r="F62" s="57">
        <v>8.0606060606060606</v>
      </c>
      <c r="G62" s="21"/>
      <c r="H62" s="57">
        <v>5.2553191489361701</v>
      </c>
      <c r="I62" s="21"/>
      <c r="J62" s="57">
        <v>2.8636363636363638</v>
      </c>
      <c r="K62" s="21"/>
      <c r="L62" s="57">
        <v>5.3560606060606064</v>
      </c>
      <c r="M62" s="21"/>
    </row>
    <row r="63" spans="1:14" ht="15.75" thickBot="1" x14ac:dyDescent="0.3"/>
    <row r="64" spans="1:14" x14ac:dyDescent="0.25">
      <c r="A64" t="s">
        <v>51</v>
      </c>
      <c r="B64" s="16"/>
      <c r="C64" s="90" t="s">
        <v>34</v>
      </c>
      <c r="D64" s="102"/>
      <c r="E64" s="91"/>
      <c r="F64" s="90" t="s">
        <v>35</v>
      </c>
      <c r="G64" s="102"/>
      <c r="H64" s="91"/>
      <c r="I64" s="90" t="s">
        <v>33</v>
      </c>
      <c r="J64" s="102"/>
      <c r="K64" s="91"/>
      <c r="L64" s="90" t="s">
        <v>37</v>
      </c>
      <c r="M64" s="102"/>
      <c r="N64" s="91"/>
    </row>
    <row r="65" spans="1:18" x14ac:dyDescent="0.25">
      <c r="B65" s="17"/>
      <c r="C65" s="103"/>
      <c r="D65" s="104"/>
      <c r="E65" s="105"/>
      <c r="F65" s="103"/>
      <c r="G65" s="104"/>
      <c r="H65" s="105"/>
      <c r="I65" s="103" t="s">
        <v>36</v>
      </c>
      <c r="J65" s="107"/>
      <c r="K65" s="105"/>
      <c r="L65" s="103"/>
      <c r="M65" s="104"/>
      <c r="N65" s="105"/>
    </row>
    <row r="66" spans="1:18" ht="15.75" thickBot="1" x14ac:dyDescent="0.3">
      <c r="B66" s="17"/>
      <c r="C66" s="92"/>
      <c r="D66" s="106"/>
      <c r="E66" s="93"/>
      <c r="F66" s="92"/>
      <c r="G66" s="106"/>
      <c r="H66" s="93"/>
      <c r="I66" s="81"/>
      <c r="J66" s="89"/>
      <c r="K66" s="82"/>
      <c r="L66" s="92"/>
      <c r="M66" s="106"/>
      <c r="N66" s="93"/>
    </row>
    <row r="67" spans="1:18" ht="24.75" thickBot="1" x14ac:dyDescent="0.3">
      <c r="B67" s="18" t="s">
        <v>10</v>
      </c>
      <c r="C67" s="23" t="s">
        <v>15</v>
      </c>
      <c r="D67" s="23" t="s">
        <v>16</v>
      </c>
      <c r="E67" s="21" t="s">
        <v>38</v>
      </c>
      <c r="F67" s="23" t="s">
        <v>15</v>
      </c>
      <c r="G67" s="23" t="s">
        <v>16</v>
      </c>
      <c r="H67" s="21" t="s">
        <v>38</v>
      </c>
      <c r="I67" s="23" t="s">
        <v>15</v>
      </c>
      <c r="J67" s="23" t="s">
        <v>16</v>
      </c>
      <c r="K67" s="21" t="s">
        <v>38</v>
      </c>
      <c r="L67" s="23" t="s">
        <v>15</v>
      </c>
      <c r="M67" s="23" t="s">
        <v>16</v>
      </c>
      <c r="N67" s="21" t="s">
        <v>38</v>
      </c>
    </row>
    <row r="68" spans="1:18" ht="24.75" thickBot="1" x14ac:dyDescent="0.3">
      <c r="B68" s="18" t="s">
        <v>54</v>
      </c>
      <c r="C68" s="60">
        <f>'Total Number Ind Examined '!I8</f>
        <v>315</v>
      </c>
      <c r="D68" s="60">
        <f>'Total Number Ind Examined '!J8</f>
        <v>82</v>
      </c>
      <c r="E68" s="60">
        <f>C68+D68</f>
        <v>397</v>
      </c>
      <c r="F68" s="61">
        <f>'Total Number of Pools Examined'!H8</f>
        <v>12</v>
      </c>
      <c r="G68" s="61">
        <f>'Total Number of Pools Examined'!I8</f>
        <v>6</v>
      </c>
      <c r="H68" s="61">
        <f>F68+G68</f>
        <v>18</v>
      </c>
      <c r="I68" s="61">
        <f>'Total Number of WNV + Pools'!G7</f>
        <v>4</v>
      </c>
      <c r="J68" s="61">
        <f>'Total Number of WNV + Pools'!H7</f>
        <v>0</v>
      </c>
      <c r="K68" s="61">
        <f>'Total Number of WNV + Pools'!I7</f>
        <v>4</v>
      </c>
      <c r="L68" s="30">
        <f>ZONEINFRATE!C2</f>
        <v>18.010000000000002</v>
      </c>
      <c r="M68" s="30">
        <f>ZONEINFRATE!C3</f>
        <v>0</v>
      </c>
      <c r="N68" s="21">
        <v>13.048183147866625</v>
      </c>
      <c r="P68" t="s">
        <v>341</v>
      </c>
      <c r="R68" s="31"/>
    </row>
    <row r="69" spans="1:18" ht="24.75" thickBot="1" x14ac:dyDescent="0.3">
      <c r="B69" s="18" t="s">
        <v>55</v>
      </c>
      <c r="C69" s="60">
        <f>'Total Number Ind Examined '!I7</f>
        <v>164</v>
      </c>
      <c r="D69" s="60">
        <f>'Total Number Ind Examined '!J7</f>
        <v>27</v>
      </c>
      <c r="E69" s="60">
        <f t="shared" ref="E69:E72" si="11">C69+D69</f>
        <v>191</v>
      </c>
      <c r="F69" s="61">
        <f>'Total Number of Pools Examined'!H7</f>
        <v>13</v>
      </c>
      <c r="G69" s="61">
        <f>'Total Number of Pools Examined'!I7</f>
        <v>6</v>
      </c>
      <c r="H69" s="61">
        <f t="shared" ref="H69:H72" si="12">F69+G69</f>
        <v>19</v>
      </c>
      <c r="I69" s="61">
        <f>'Total Number of WNV + Pools'!G8</f>
        <v>2</v>
      </c>
      <c r="J69" s="61">
        <f>'Total Number of WNV + Pools'!H8</f>
        <v>0</v>
      </c>
      <c r="K69" s="61">
        <f>'Total Number of WNV + Pools'!I8</f>
        <v>2</v>
      </c>
      <c r="L69" s="30">
        <f>ZONEINFRATE!C4</f>
        <v>12.81</v>
      </c>
      <c r="M69" s="30">
        <f>ZONEINFRATE!C5</f>
        <v>0</v>
      </c>
      <c r="N69" s="21">
        <v>11.032737481449766</v>
      </c>
      <c r="R69" s="31"/>
    </row>
    <row r="70" spans="1:18" ht="24.75" thickBot="1" x14ac:dyDescent="0.3">
      <c r="B70" s="18" t="s">
        <v>57</v>
      </c>
      <c r="C70" s="60">
        <f>'Total Number Ind Examined '!I9</f>
        <v>219</v>
      </c>
      <c r="D70" s="60">
        <f>'Total Number Ind Examined '!J9</f>
        <v>124</v>
      </c>
      <c r="E70" s="60">
        <f t="shared" si="11"/>
        <v>343</v>
      </c>
      <c r="F70" s="61">
        <f>'Total Number of Pools Examined'!H9</f>
        <v>16</v>
      </c>
      <c r="G70" s="61">
        <f>'Total Number of Pools Examined'!I9</f>
        <v>15</v>
      </c>
      <c r="H70" s="61">
        <f t="shared" si="12"/>
        <v>31</v>
      </c>
      <c r="I70" s="61">
        <f>'Total Number of WNV + Pools'!G9</f>
        <v>4</v>
      </c>
      <c r="J70" s="61">
        <f>'Total Number of WNV + Pools'!H9</f>
        <v>2</v>
      </c>
      <c r="K70" s="61">
        <f>'Total Number of WNV + Pools'!I9</f>
        <v>6</v>
      </c>
      <c r="L70" s="30">
        <f>ZONEINFRATE!C6</f>
        <v>25.1</v>
      </c>
      <c r="M70" s="30">
        <f>ZONEINFRATE!C7</f>
        <v>16.66</v>
      </c>
      <c r="N70" s="21">
        <v>22.256481797265028</v>
      </c>
      <c r="R70" s="31"/>
    </row>
    <row r="71" spans="1:18" ht="24.75" thickBot="1" x14ac:dyDescent="0.3">
      <c r="B71" s="18" t="s">
        <v>56</v>
      </c>
      <c r="C71" s="60">
        <f>'Total Number Ind Examined '!I10</f>
        <v>78</v>
      </c>
      <c r="D71" s="60">
        <f>'Total Number Ind Examined '!J10</f>
        <v>73</v>
      </c>
      <c r="E71" s="60">
        <f t="shared" si="11"/>
        <v>151</v>
      </c>
      <c r="F71" s="61">
        <f>'Total Number of Pools Examined'!H10</f>
        <v>5</v>
      </c>
      <c r="G71" s="61">
        <f>'Total Number of Pools Examined'!I10</f>
        <v>9</v>
      </c>
      <c r="H71" s="61">
        <f t="shared" si="12"/>
        <v>14</v>
      </c>
      <c r="I71" s="61">
        <f>'Total Number of WNV + Pools'!G10</f>
        <v>0</v>
      </c>
      <c r="J71" s="61">
        <f>'Total Number of WNV + Pools'!H10</f>
        <v>0</v>
      </c>
      <c r="K71" s="61">
        <f>'Total Number of WNV + Pools'!I10</f>
        <v>0</v>
      </c>
      <c r="L71" s="30">
        <f>ZONEINFRATE!C8</f>
        <v>0</v>
      </c>
      <c r="M71" s="30">
        <f>ZONEINFRATE!C9</f>
        <v>0</v>
      </c>
      <c r="N71" s="21">
        <v>0</v>
      </c>
      <c r="R71" s="31"/>
    </row>
    <row r="72" spans="1:18" ht="24.75" thickBot="1" x14ac:dyDescent="0.3">
      <c r="B72" s="18" t="s">
        <v>22</v>
      </c>
      <c r="C72" s="60">
        <f>SUM(C68:C71)</f>
        <v>776</v>
      </c>
      <c r="D72" s="60">
        <f>SUM(D68:D71)</f>
        <v>306</v>
      </c>
      <c r="E72" s="60">
        <f t="shared" si="11"/>
        <v>1082</v>
      </c>
      <c r="F72" s="61">
        <f t="shared" ref="F72:K72" si="13">SUM(F68:F71)</f>
        <v>46</v>
      </c>
      <c r="G72" s="61">
        <f t="shared" si="13"/>
        <v>36</v>
      </c>
      <c r="H72" s="61">
        <f t="shared" si="12"/>
        <v>82</v>
      </c>
      <c r="I72" s="61">
        <f t="shared" si="13"/>
        <v>10</v>
      </c>
      <c r="J72" s="61">
        <f t="shared" si="13"/>
        <v>2</v>
      </c>
      <c r="K72" s="61">
        <f t="shared" si="13"/>
        <v>12</v>
      </c>
      <c r="L72" s="30">
        <f>CITYINFRATE!C2</f>
        <v>17.050677477172833</v>
      </c>
      <c r="M72" s="30">
        <f>CITYINFRATE!C3</f>
        <v>6.5643495242034797</v>
      </c>
      <c r="N72" s="21">
        <v>13.567466122110835</v>
      </c>
      <c r="P72" s="31" t="s">
        <v>340</v>
      </c>
    </row>
    <row r="73" spans="1:18" ht="15.75" thickBot="1" x14ac:dyDescent="0.3">
      <c r="B73" s="18"/>
      <c r="C73" s="61"/>
      <c r="D73" s="61"/>
      <c r="E73" s="61"/>
      <c r="F73" s="61"/>
      <c r="G73" s="61"/>
      <c r="H73" s="61"/>
      <c r="I73" s="61"/>
      <c r="J73" s="61"/>
      <c r="K73" s="61"/>
      <c r="L73" s="30"/>
      <c r="M73" s="30"/>
      <c r="N73" s="21"/>
      <c r="P73" s="31"/>
    </row>
    <row r="74" spans="1:18" ht="15.75" thickBot="1" x14ac:dyDescent="0.3">
      <c r="B74" s="18" t="s">
        <v>9</v>
      </c>
      <c r="C74" s="61">
        <f>'Total Number Ind Examined '!I6</f>
        <v>246</v>
      </c>
      <c r="D74" s="61">
        <f>'Total Number Ind Examined '!J6</f>
        <v>153</v>
      </c>
      <c r="E74" s="61">
        <f>C74+D74</f>
        <v>399</v>
      </c>
      <c r="F74" s="61">
        <f>'Total Number of Pools Examined'!H6</f>
        <v>11</v>
      </c>
      <c r="G74" s="61">
        <f>'Total Number of Pools Examined'!I6</f>
        <v>9</v>
      </c>
      <c r="H74" s="61">
        <f>F74+G74</f>
        <v>20</v>
      </c>
      <c r="I74" s="61">
        <f>'Total Number of WNV + Pools'!G11</f>
        <v>3</v>
      </c>
      <c r="J74" s="61">
        <f>'Total Number of WNV + Pools'!H11</f>
        <v>2</v>
      </c>
      <c r="K74" s="61">
        <f>I74+J74</f>
        <v>5</v>
      </c>
      <c r="L74" s="30">
        <f>CITYINFRATE!C4</f>
        <v>16.317642027211935</v>
      </c>
      <c r="M74" s="30">
        <f>CITYINFRATE!C5</f>
        <v>13.536841981498121</v>
      </c>
      <c r="N74" s="21">
        <v>15.919150037896616</v>
      </c>
    </row>
    <row r="75" spans="1:18" ht="15.75" thickBot="1" x14ac:dyDescent="0.3"/>
    <row r="76" spans="1:18" x14ac:dyDescent="0.25">
      <c r="A76" t="s">
        <v>52</v>
      </c>
      <c r="B76" s="16"/>
      <c r="C76" s="90" t="s">
        <v>54</v>
      </c>
      <c r="D76" s="91"/>
      <c r="E76" s="90" t="s">
        <v>55</v>
      </c>
      <c r="F76" s="91"/>
      <c r="G76" s="90" t="s">
        <v>57</v>
      </c>
      <c r="H76" s="91"/>
      <c r="I76" s="90" t="s">
        <v>56</v>
      </c>
      <c r="J76" s="91"/>
      <c r="K76" s="90" t="s">
        <v>22</v>
      </c>
      <c r="L76" s="91"/>
      <c r="M76" s="19"/>
    </row>
    <row r="77" spans="1:18" ht="15.75" thickBot="1" x14ac:dyDescent="0.3">
      <c r="B77" s="17"/>
      <c r="C77" s="92"/>
      <c r="D77" s="93"/>
      <c r="E77" s="92"/>
      <c r="F77" s="93"/>
      <c r="G77" s="92"/>
      <c r="H77" s="93"/>
      <c r="I77" s="92"/>
      <c r="J77" s="93"/>
      <c r="K77" s="92"/>
      <c r="L77" s="93"/>
      <c r="M77" s="20"/>
    </row>
    <row r="78" spans="1:18" ht="26.25" thickBot="1" x14ac:dyDescent="0.3">
      <c r="B78" s="18" t="s">
        <v>8</v>
      </c>
      <c r="C78" s="21" t="s">
        <v>23</v>
      </c>
      <c r="D78" s="21" t="s">
        <v>24</v>
      </c>
      <c r="E78" s="21" t="s">
        <v>23</v>
      </c>
      <c r="F78" s="21" t="s">
        <v>24</v>
      </c>
      <c r="G78" s="21" t="s">
        <v>23</v>
      </c>
      <c r="H78" s="21" t="s">
        <v>24</v>
      </c>
      <c r="I78" s="21" t="s">
        <v>23</v>
      </c>
      <c r="J78" s="21" t="s">
        <v>24</v>
      </c>
      <c r="K78" s="21" t="s">
        <v>23</v>
      </c>
      <c r="L78" s="21" t="s">
        <v>24</v>
      </c>
      <c r="M78" s="21" t="s">
        <v>9</v>
      </c>
    </row>
    <row r="79" spans="1:18" ht="15.75" thickBot="1" x14ac:dyDescent="0.3">
      <c r="B79" s="18">
        <v>24</v>
      </c>
      <c r="C79" s="30"/>
      <c r="D79" s="58">
        <v>0</v>
      </c>
      <c r="E79" s="30"/>
      <c r="F79" s="58">
        <v>0</v>
      </c>
      <c r="G79" s="30"/>
      <c r="H79" s="58">
        <v>1.3719280144795569</v>
      </c>
      <c r="I79" s="30"/>
      <c r="J79" s="58">
        <v>0</v>
      </c>
      <c r="K79" s="30"/>
      <c r="L79" s="58">
        <v>0.52437624183763432</v>
      </c>
      <c r="M79" s="30"/>
    </row>
    <row r="80" spans="1:18" ht="15.75" thickBot="1" x14ac:dyDescent="0.3">
      <c r="B80" s="18">
        <v>25</v>
      </c>
      <c r="C80" s="30"/>
      <c r="D80" s="58">
        <v>0</v>
      </c>
      <c r="E80" s="30"/>
      <c r="F80" s="58">
        <v>0.62229589194158752</v>
      </c>
      <c r="G80" s="30"/>
      <c r="H80" s="58">
        <v>0</v>
      </c>
      <c r="I80" s="30"/>
      <c r="J80" s="58">
        <v>0</v>
      </c>
      <c r="K80" s="30"/>
      <c r="L80" s="58">
        <v>8.1974574125068422E-2</v>
      </c>
      <c r="M80" s="30"/>
    </row>
    <row r="81" spans="2:13" ht="15.75" thickBot="1" x14ac:dyDescent="0.3">
      <c r="B81" s="18">
        <v>26</v>
      </c>
      <c r="C81" s="30"/>
      <c r="D81" s="58">
        <v>0</v>
      </c>
      <c r="E81" s="30"/>
      <c r="F81" s="58">
        <v>0.10800000000000001</v>
      </c>
      <c r="G81" s="30"/>
      <c r="H81" s="58">
        <v>0.47173578978376163</v>
      </c>
      <c r="I81" s="30"/>
      <c r="J81" s="58">
        <v>0.4821267020419211</v>
      </c>
      <c r="K81" s="30"/>
      <c r="L81" s="58">
        <v>0.29303564979440011</v>
      </c>
      <c r="M81" s="30"/>
    </row>
    <row r="82" spans="2:13" ht="15.75" thickBot="1" x14ac:dyDescent="0.3">
      <c r="B82" s="18">
        <v>27</v>
      </c>
      <c r="C82" s="30"/>
      <c r="D82" s="58">
        <v>0</v>
      </c>
      <c r="E82" s="30"/>
      <c r="F82" s="58">
        <v>0.242731298767248</v>
      </c>
      <c r="G82" s="30"/>
      <c r="H82" s="58">
        <v>0.22275287749498812</v>
      </c>
      <c r="I82" s="30"/>
      <c r="J82" s="58">
        <v>0</v>
      </c>
      <c r="K82" s="30"/>
      <c r="L82" s="58">
        <v>0.20642105669107452</v>
      </c>
      <c r="M82" s="30"/>
    </row>
    <row r="83" spans="2:13" ht="15.75" thickBot="1" x14ac:dyDescent="0.3">
      <c r="B83" s="18">
        <v>28</v>
      </c>
      <c r="C83" s="30"/>
      <c r="D83" s="58">
        <v>0</v>
      </c>
      <c r="E83" s="30"/>
      <c r="F83" s="58">
        <v>0.42957398266981961</v>
      </c>
      <c r="G83" s="30"/>
      <c r="H83" s="58">
        <v>0.95691347747366229</v>
      </c>
      <c r="I83" s="30"/>
      <c r="J83" s="58">
        <v>0.43789867201821925</v>
      </c>
      <c r="K83" s="30"/>
      <c r="L83" s="58">
        <v>0.57474506615093801</v>
      </c>
      <c r="M83" s="30"/>
    </row>
    <row r="84" spans="2:13" ht="15.75" thickBot="1" x14ac:dyDescent="0.3">
      <c r="B84" s="18">
        <v>29</v>
      </c>
      <c r="C84" s="48"/>
      <c r="D84" s="58">
        <v>1.6105804838081497</v>
      </c>
      <c r="E84" s="48"/>
      <c r="F84" s="58">
        <v>1.262830343278448</v>
      </c>
      <c r="G84" s="48"/>
      <c r="H84" s="58">
        <v>2.8963178113679904</v>
      </c>
      <c r="I84" s="48"/>
      <c r="J84" s="58">
        <v>1.0510843286062497</v>
      </c>
      <c r="K84" s="48"/>
      <c r="L84" s="58">
        <v>1.8838478811158623</v>
      </c>
      <c r="M84" s="48"/>
    </row>
    <row r="85" spans="2:13" ht="15.75" thickBot="1" x14ac:dyDescent="0.3">
      <c r="B85" s="18">
        <v>30</v>
      </c>
      <c r="C85" s="48"/>
      <c r="D85" s="58">
        <v>2.7854390744040525</v>
      </c>
      <c r="E85" s="48"/>
      <c r="F85" s="58">
        <v>1.9366937947529137</v>
      </c>
      <c r="G85" s="48"/>
      <c r="H85" s="58">
        <v>3.8543684383131107</v>
      </c>
      <c r="I85" s="48"/>
      <c r="J85" s="58">
        <v>3.2386939593409148</v>
      </c>
      <c r="K85" s="48"/>
      <c r="L85" s="58">
        <v>2.8820487602511626</v>
      </c>
      <c r="M85" s="48"/>
    </row>
    <row r="86" spans="2:13" ht="15.75" thickBot="1" x14ac:dyDescent="0.3">
      <c r="B86" s="18">
        <v>31</v>
      </c>
      <c r="C86" s="48"/>
      <c r="D86" s="58">
        <v>3.9603406702893964</v>
      </c>
      <c r="E86" s="48"/>
      <c r="F86" s="58">
        <v>1.6053776120323888</v>
      </c>
      <c r="G86" s="48"/>
      <c r="H86" s="58">
        <v>4.154607454601873</v>
      </c>
      <c r="I86" s="48"/>
      <c r="J86" s="58">
        <v>2.9675473140006599</v>
      </c>
      <c r="K86" s="48"/>
      <c r="L86" s="58">
        <v>2.9621719516231884</v>
      </c>
      <c r="M86" s="48"/>
    </row>
    <row r="87" spans="2:13" ht="15.75" thickBot="1" x14ac:dyDescent="0.3">
      <c r="B87" s="18">
        <v>32</v>
      </c>
      <c r="C87" s="48"/>
      <c r="D87" s="58">
        <v>4.1280062926574672</v>
      </c>
      <c r="E87" s="48"/>
      <c r="F87" s="58">
        <v>6.0572949967821703</v>
      </c>
      <c r="G87" s="48"/>
      <c r="H87" s="58">
        <v>7.6336146347042781</v>
      </c>
      <c r="I87" s="48"/>
      <c r="J87" s="58">
        <v>9.5154931734195909</v>
      </c>
      <c r="K87" s="48"/>
      <c r="L87" s="58">
        <v>5.9712338197476829</v>
      </c>
      <c r="M87" s="48"/>
    </row>
    <row r="88" spans="2:13" ht="15.75" thickBot="1" x14ac:dyDescent="0.3">
      <c r="B88" s="18">
        <v>33</v>
      </c>
      <c r="C88" s="48"/>
      <c r="D88" s="58">
        <v>7.8857803782312628</v>
      </c>
      <c r="E88" s="48"/>
      <c r="F88" s="58">
        <v>6.7783680312540708</v>
      </c>
      <c r="G88" s="48"/>
      <c r="H88" s="58">
        <v>9.778127845819796</v>
      </c>
      <c r="I88" s="48"/>
      <c r="J88" s="58">
        <v>3.8412612515831315</v>
      </c>
      <c r="K88" s="48"/>
      <c r="L88" s="58">
        <v>8.0366071063080113</v>
      </c>
      <c r="M88" s="48"/>
    </row>
    <row r="89" spans="2:13" ht="15.75" thickBot="1" x14ac:dyDescent="0.3">
      <c r="B89" s="18">
        <v>34</v>
      </c>
      <c r="C89" s="48"/>
      <c r="D89" s="58">
        <v>6.9613136599243006</v>
      </c>
      <c r="E89" s="48"/>
      <c r="F89" s="58">
        <v>3.5755338185884478</v>
      </c>
      <c r="G89" s="48"/>
      <c r="H89" s="58">
        <v>11.008235349774395</v>
      </c>
      <c r="I89" s="48"/>
      <c r="J89" s="58">
        <v>11.477528721383241</v>
      </c>
      <c r="K89" s="48"/>
      <c r="L89" s="58">
        <v>7.5178958806054039</v>
      </c>
      <c r="M89" s="48"/>
    </row>
    <row r="90" spans="2:13" ht="15.75" thickBot="1" x14ac:dyDescent="0.3">
      <c r="B90" s="18">
        <v>35</v>
      </c>
      <c r="C90" s="48"/>
      <c r="D90" s="58">
        <v>10.087990557444293</v>
      </c>
      <c r="E90" s="48"/>
      <c r="F90" s="58">
        <v>5.5917272417445476</v>
      </c>
      <c r="G90" s="48"/>
      <c r="H90" s="58">
        <v>14.823468552836312</v>
      </c>
      <c r="I90" s="48"/>
      <c r="J90" s="58">
        <v>50.474499280621231</v>
      </c>
      <c r="K90" s="48"/>
      <c r="L90" s="58">
        <v>10.875692299118176</v>
      </c>
      <c r="M90" s="48"/>
    </row>
    <row r="91" spans="2:13" ht="15.75" thickBot="1" x14ac:dyDescent="0.3">
      <c r="B91" s="18">
        <v>36</v>
      </c>
      <c r="C91" s="49"/>
      <c r="D91" s="59">
        <v>21.92</v>
      </c>
      <c r="E91" s="49"/>
      <c r="F91" s="59">
        <v>4.8600000000000003</v>
      </c>
      <c r="G91" s="49"/>
      <c r="H91" s="59">
        <v>0</v>
      </c>
      <c r="I91" s="49"/>
      <c r="J91" s="59">
        <v>0</v>
      </c>
      <c r="K91" s="49"/>
      <c r="L91" s="59">
        <v>3.36</v>
      </c>
      <c r="M91" s="49"/>
    </row>
    <row r="92" spans="2:13" ht="15.75" thickBot="1" x14ac:dyDescent="0.3">
      <c r="B92" s="18">
        <v>37</v>
      </c>
      <c r="C92" s="21"/>
      <c r="D92" s="57">
        <v>0</v>
      </c>
      <c r="E92" s="21"/>
      <c r="F92" s="57">
        <v>5.04</v>
      </c>
      <c r="G92" s="21"/>
      <c r="H92" s="57">
        <v>3.7</v>
      </c>
      <c r="I92" s="21"/>
      <c r="J92" s="57">
        <v>0</v>
      </c>
      <c r="K92" s="21"/>
      <c r="L92" s="57">
        <v>3.51</v>
      </c>
      <c r="M92" s="21"/>
    </row>
  </sheetData>
  <mergeCells count="41">
    <mergeCell ref="L64:N66"/>
    <mergeCell ref="C76:D77"/>
    <mergeCell ref="E76:F77"/>
    <mergeCell ref="G76:H77"/>
    <mergeCell ref="I76:J77"/>
    <mergeCell ref="K76:L77"/>
    <mergeCell ref="C64:E66"/>
    <mergeCell ref="F64:H66"/>
    <mergeCell ref="I64:K64"/>
    <mergeCell ref="I65:K65"/>
    <mergeCell ref="I66:K66"/>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63" workbookViewId="0">
      <selection activeCell="W27" sqref="W27"/>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78</v>
      </c>
      <c r="C1" s="41" t="s">
        <v>79</v>
      </c>
      <c r="D1" s="41" t="s">
        <v>8</v>
      </c>
      <c r="E1" s="42" t="s">
        <v>0</v>
      </c>
      <c r="F1" s="43" t="s">
        <v>40</v>
      </c>
      <c r="G1" s="43" t="s">
        <v>41</v>
      </c>
      <c r="H1" s="41" t="s">
        <v>80</v>
      </c>
      <c r="I1" s="41" t="s">
        <v>46</v>
      </c>
      <c r="J1" s="41" t="s">
        <v>81</v>
      </c>
      <c r="K1" s="41" t="s">
        <v>42</v>
      </c>
      <c r="L1" s="41" t="s">
        <v>82</v>
      </c>
      <c r="M1" s="41" t="s">
        <v>43</v>
      </c>
      <c r="N1" s="41" t="s">
        <v>83</v>
      </c>
      <c r="O1" s="41" t="s">
        <v>84</v>
      </c>
      <c r="P1" s="41" t="s">
        <v>44</v>
      </c>
      <c r="Q1" s="41" t="s">
        <v>85</v>
      </c>
      <c r="R1" s="41" t="s">
        <v>86</v>
      </c>
      <c r="S1" s="41" t="s">
        <v>45</v>
      </c>
      <c r="T1" s="44" t="s">
        <v>91</v>
      </c>
      <c r="U1" s="44" t="s">
        <v>92</v>
      </c>
    </row>
    <row r="2" spans="1:21" x14ac:dyDescent="0.25">
      <c r="A2" s="39">
        <v>2016</v>
      </c>
      <c r="B2" s="37" t="s">
        <v>103</v>
      </c>
      <c r="C2" s="37">
        <v>19478</v>
      </c>
      <c r="D2" s="37">
        <v>34</v>
      </c>
      <c r="E2" s="38">
        <v>42604</v>
      </c>
      <c r="F2" s="37" t="s">
        <v>104</v>
      </c>
      <c r="G2" s="37" t="s">
        <v>47</v>
      </c>
      <c r="H2" s="37" t="s">
        <v>105</v>
      </c>
      <c r="I2" s="37" t="s">
        <v>61</v>
      </c>
      <c r="J2" s="37" t="s">
        <v>106</v>
      </c>
      <c r="K2" s="37" t="s">
        <v>107</v>
      </c>
      <c r="L2" s="37" t="s">
        <v>6</v>
      </c>
      <c r="M2" s="37" t="s">
        <v>108</v>
      </c>
      <c r="O2" s="37">
        <v>3</v>
      </c>
      <c r="P2" s="37">
        <v>3</v>
      </c>
      <c r="Q2" s="37">
        <v>0</v>
      </c>
      <c r="R2" s="37" t="s">
        <v>109</v>
      </c>
      <c r="T2" s="37" t="s">
        <v>316</v>
      </c>
      <c r="U2" s="37" t="s">
        <v>320</v>
      </c>
    </row>
    <row r="3" spans="1:21" x14ac:dyDescent="0.25">
      <c r="A3" s="39">
        <v>2016</v>
      </c>
      <c r="B3" s="37" t="s">
        <v>110</v>
      </c>
      <c r="C3" s="37">
        <v>19479</v>
      </c>
      <c r="D3" s="37">
        <v>34</v>
      </c>
      <c r="E3" s="38">
        <v>42604</v>
      </c>
      <c r="F3" s="37" t="s">
        <v>104</v>
      </c>
      <c r="G3" s="37" t="s">
        <v>47</v>
      </c>
      <c r="H3" s="37" t="s">
        <v>111</v>
      </c>
      <c r="I3" s="37" t="s">
        <v>61</v>
      </c>
      <c r="J3" s="37" t="s">
        <v>106</v>
      </c>
      <c r="K3" s="37" t="s">
        <v>107</v>
      </c>
      <c r="L3" s="37" t="s">
        <v>6</v>
      </c>
      <c r="M3" s="37" t="s">
        <v>108</v>
      </c>
      <c r="O3" s="37">
        <v>1</v>
      </c>
      <c r="P3" s="37">
        <v>1</v>
      </c>
      <c r="Q3" s="37">
        <v>0</v>
      </c>
      <c r="R3" s="37" t="s">
        <v>109</v>
      </c>
      <c r="T3" s="37" t="s">
        <v>316</v>
      </c>
      <c r="U3" s="37" t="s">
        <v>320</v>
      </c>
    </row>
    <row r="4" spans="1:21" x14ac:dyDescent="0.25">
      <c r="A4" s="39">
        <v>2016</v>
      </c>
      <c r="B4" s="37" t="s">
        <v>112</v>
      </c>
      <c r="C4" s="37">
        <v>19480</v>
      </c>
      <c r="D4" s="37">
        <v>34</v>
      </c>
      <c r="E4" s="38">
        <v>42604</v>
      </c>
      <c r="F4" s="37" t="s">
        <v>104</v>
      </c>
      <c r="G4" s="37" t="s">
        <v>47</v>
      </c>
      <c r="H4" s="37" t="s">
        <v>111</v>
      </c>
      <c r="I4" s="37" t="s">
        <v>61</v>
      </c>
      <c r="J4" s="37" t="s">
        <v>106</v>
      </c>
      <c r="K4" s="37" t="s">
        <v>107</v>
      </c>
      <c r="L4" s="37" t="s">
        <v>5</v>
      </c>
      <c r="M4" s="37" t="s">
        <v>108</v>
      </c>
      <c r="O4" s="37">
        <v>2</v>
      </c>
      <c r="P4" s="37">
        <v>2</v>
      </c>
      <c r="Q4" s="37">
        <v>0</v>
      </c>
      <c r="R4" s="37" t="s">
        <v>109</v>
      </c>
      <c r="T4" s="37" t="s">
        <v>317</v>
      </c>
      <c r="U4" s="37" t="s">
        <v>321</v>
      </c>
    </row>
    <row r="5" spans="1:21" x14ac:dyDescent="0.25">
      <c r="A5" s="39">
        <v>2016</v>
      </c>
      <c r="B5" s="37" t="s">
        <v>113</v>
      </c>
      <c r="C5" s="37">
        <v>19481</v>
      </c>
      <c r="D5" s="37">
        <v>34</v>
      </c>
      <c r="E5" s="38">
        <v>42604</v>
      </c>
      <c r="F5" s="37" t="s">
        <v>104</v>
      </c>
      <c r="G5" s="37" t="s">
        <v>47</v>
      </c>
      <c r="H5" s="37" t="s">
        <v>114</v>
      </c>
      <c r="I5" s="37" t="s">
        <v>61</v>
      </c>
      <c r="J5" s="37" t="s">
        <v>106</v>
      </c>
      <c r="K5" s="37" t="s">
        <v>107</v>
      </c>
      <c r="L5" s="37" t="s">
        <v>6</v>
      </c>
      <c r="M5" s="37" t="s">
        <v>108</v>
      </c>
      <c r="O5" s="37">
        <v>32</v>
      </c>
      <c r="P5" s="37">
        <v>32</v>
      </c>
      <c r="Q5" s="37">
        <v>0</v>
      </c>
      <c r="R5" s="37" t="s">
        <v>109</v>
      </c>
      <c r="T5" s="37" t="s">
        <v>316</v>
      </c>
      <c r="U5" s="37" t="s">
        <v>320</v>
      </c>
    </row>
    <row r="6" spans="1:21" x14ac:dyDescent="0.25">
      <c r="A6" s="39">
        <v>2016</v>
      </c>
      <c r="B6" s="37" t="s">
        <v>115</v>
      </c>
      <c r="C6" s="37">
        <v>19482</v>
      </c>
      <c r="D6" s="37">
        <v>34</v>
      </c>
      <c r="E6" s="38">
        <v>42604</v>
      </c>
      <c r="F6" s="37" t="s">
        <v>104</v>
      </c>
      <c r="G6" s="37" t="s">
        <v>47</v>
      </c>
      <c r="H6" s="37" t="s">
        <v>116</v>
      </c>
      <c r="I6" s="37" t="s">
        <v>61</v>
      </c>
      <c r="J6" s="37" t="s">
        <v>106</v>
      </c>
      <c r="K6" s="37" t="s">
        <v>107</v>
      </c>
      <c r="L6" s="37" t="s">
        <v>6</v>
      </c>
      <c r="M6" s="37" t="s">
        <v>108</v>
      </c>
      <c r="O6" s="37">
        <v>4</v>
      </c>
      <c r="P6" s="37">
        <v>4</v>
      </c>
      <c r="Q6" s="37">
        <v>0</v>
      </c>
      <c r="R6" s="37" t="s">
        <v>109</v>
      </c>
      <c r="T6" s="37" t="s">
        <v>316</v>
      </c>
      <c r="U6" s="37" t="s">
        <v>320</v>
      </c>
    </row>
    <row r="7" spans="1:21" x14ac:dyDescent="0.25">
      <c r="A7" s="39">
        <v>2016</v>
      </c>
      <c r="B7" s="37" t="s">
        <v>117</v>
      </c>
      <c r="C7" s="37">
        <v>19483</v>
      </c>
      <c r="D7" s="37">
        <v>34</v>
      </c>
      <c r="E7" s="38">
        <v>42604</v>
      </c>
      <c r="F7" s="37" t="s">
        <v>104</v>
      </c>
      <c r="G7" s="37" t="s">
        <v>47</v>
      </c>
      <c r="H7" s="37" t="s">
        <v>116</v>
      </c>
      <c r="I7" s="37" t="s">
        <v>61</v>
      </c>
      <c r="J7" s="37" t="s">
        <v>106</v>
      </c>
      <c r="K7" s="37" t="s">
        <v>107</v>
      </c>
      <c r="L7" s="37" t="s">
        <v>5</v>
      </c>
      <c r="M7" s="37" t="s">
        <v>108</v>
      </c>
      <c r="O7" s="37">
        <v>6</v>
      </c>
      <c r="P7" s="37">
        <v>6</v>
      </c>
      <c r="Q7" s="37">
        <v>0</v>
      </c>
      <c r="R7" s="37" t="s">
        <v>109</v>
      </c>
      <c r="T7" s="37" t="s">
        <v>317</v>
      </c>
      <c r="U7" s="37" t="s">
        <v>321</v>
      </c>
    </row>
    <row r="8" spans="1:21" x14ac:dyDescent="0.25">
      <c r="A8" s="39">
        <v>2016</v>
      </c>
      <c r="B8" s="37" t="s">
        <v>118</v>
      </c>
      <c r="C8" s="37">
        <v>19484</v>
      </c>
      <c r="D8" s="37">
        <v>34</v>
      </c>
      <c r="E8" s="38">
        <v>42604</v>
      </c>
      <c r="F8" s="37" t="s">
        <v>104</v>
      </c>
      <c r="G8" s="37" t="s">
        <v>47</v>
      </c>
      <c r="H8" s="37" t="s">
        <v>119</v>
      </c>
      <c r="I8" s="37" t="s">
        <v>61</v>
      </c>
      <c r="J8" s="37" t="s">
        <v>120</v>
      </c>
      <c r="K8" s="37" t="s">
        <v>107</v>
      </c>
      <c r="L8" s="37" t="s">
        <v>5</v>
      </c>
      <c r="M8" s="37" t="s">
        <v>108</v>
      </c>
      <c r="N8" s="37">
        <v>50</v>
      </c>
      <c r="P8" s="37">
        <v>50</v>
      </c>
      <c r="Q8" s="37">
        <v>0</v>
      </c>
      <c r="R8" s="37" t="s">
        <v>109</v>
      </c>
      <c r="T8" s="37" t="s">
        <v>317</v>
      </c>
      <c r="U8" s="37" t="s">
        <v>321</v>
      </c>
    </row>
    <row r="9" spans="1:21" x14ac:dyDescent="0.25">
      <c r="A9" s="39">
        <v>2016</v>
      </c>
      <c r="B9" s="37" t="s">
        <v>121</v>
      </c>
      <c r="C9" s="37">
        <v>19485</v>
      </c>
      <c r="D9" s="37">
        <v>34</v>
      </c>
      <c r="E9" s="38">
        <v>42604</v>
      </c>
      <c r="F9" s="37" t="s">
        <v>104</v>
      </c>
      <c r="G9" s="37" t="s">
        <v>47</v>
      </c>
      <c r="H9" s="37" t="s">
        <v>119</v>
      </c>
      <c r="I9" s="37" t="s">
        <v>61</v>
      </c>
      <c r="J9" s="37" t="s">
        <v>120</v>
      </c>
      <c r="K9" s="37" t="s">
        <v>107</v>
      </c>
      <c r="L9" s="37" t="s">
        <v>5</v>
      </c>
      <c r="M9" s="37" t="s">
        <v>108</v>
      </c>
      <c r="N9" s="37">
        <v>12</v>
      </c>
      <c r="P9" s="37">
        <v>12</v>
      </c>
      <c r="Q9" s="37">
        <v>0</v>
      </c>
      <c r="R9" s="37" t="s">
        <v>109</v>
      </c>
      <c r="T9" s="37" t="s">
        <v>317</v>
      </c>
      <c r="U9" s="37" t="s">
        <v>321</v>
      </c>
    </row>
    <row r="10" spans="1:21" x14ac:dyDescent="0.25">
      <c r="A10" s="39">
        <v>2016</v>
      </c>
      <c r="B10" s="37" t="s">
        <v>122</v>
      </c>
      <c r="C10" s="37">
        <v>19486</v>
      </c>
      <c r="D10" s="37">
        <v>34</v>
      </c>
      <c r="E10" s="38">
        <v>42604</v>
      </c>
      <c r="F10" s="37" t="s">
        <v>104</v>
      </c>
      <c r="G10" s="37" t="s">
        <v>47</v>
      </c>
      <c r="H10" s="37" t="s">
        <v>123</v>
      </c>
      <c r="I10" s="37" t="s">
        <v>61</v>
      </c>
      <c r="J10" s="37" t="s">
        <v>106</v>
      </c>
      <c r="K10" s="37" t="s">
        <v>107</v>
      </c>
      <c r="L10" s="37" t="s">
        <v>6</v>
      </c>
      <c r="M10" s="37" t="s">
        <v>108</v>
      </c>
      <c r="O10" s="37">
        <v>12</v>
      </c>
      <c r="P10" s="37">
        <v>12</v>
      </c>
      <c r="Q10" s="37">
        <v>0</v>
      </c>
      <c r="R10" s="37" t="s">
        <v>109</v>
      </c>
      <c r="T10" s="37" t="s">
        <v>316</v>
      </c>
      <c r="U10" s="37" t="s">
        <v>320</v>
      </c>
    </row>
    <row r="11" spans="1:21" x14ac:dyDescent="0.25">
      <c r="A11" s="39">
        <v>2016</v>
      </c>
      <c r="B11" s="37" t="s">
        <v>124</v>
      </c>
      <c r="C11" s="37">
        <v>19487</v>
      </c>
      <c r="D11" s="37">
        <v>34</v>
      </c>
      <c r="E11" s="38">
        <v>42604</v>
      </c>
      <c r="F11" s="37" t="s">
        <v>104</v>
      </c>
      <c r="G11" s="37" t="s">
        <v>47</v>
      </c>
      <c r="H11" s="37" t="s">
        <v>125</v>
      </c>
      <c r="I11" s="37" t="s">
        <v>61</v>
      </c>
      <c r="J11" s="37" t="s">
        <v>106</v>
      </c>
      <c r="K11" s="37" t="s">
        <v>107</v>
      </c>
      <c r="L11" s="37" t="s">
        <v>6</v>
      </c>
      <c r="M11" s="37" t="s">
        <v>108</v>
      </c>
      <c r="O11" s="37">
        <v>5</v>
      </c>
      <c r="P11" s="37">
        <v>5</v>
      </c>
      <c r="Q11" s="37">
        <v>0</v>
      </c>
      <c r="R11" s="37" t="s">
        <v>109</v>
      </c>
      <c r="T11" s="37" t="s">
        <v>316</v>
      </c>
      <c r="U11" s="37" t="s">
        <v>320</v>
      </c>
    </row>
    <row r="12" spans="1:21" x14ac:dyDescent="0.25">
      <c r="A12" s="39">
        <v>2016</v>
      </c>
      <c r="B12" s="37" t="s">
        <v>126</v>
      </c>
      <c r="C12" s="37">
        <v>19488</v>
      </c>
      <c r="D12" s="37">
        <v>34</v>
      </c>
      <c r="E12" s="38">
        <v>42604</v>
      </c>
      <c r="F12" s="37" t="s">
        <v>104</v>
      </c>
      <c r="G12" s="37" t="s">
        <v>47</v>
      </c>
      <c r="H12" s="37" t="s">
        <v>127</v>
      </c>
      <c r="I12" s="37" t="s">
        <v>60</v>
      </c>
      <c r="J12" s="37" t="s">
        <v>106</v>
      </c>
      <c r="K12" s="37" t="s">
        <v>107</v>
      </c>
      <c r="L12" s="37" t="s">
        <v>6</v>
      </c>
      <c r="M12" s="37" t="s">
        <v>108</v>
      </c>
      <c r="O12" s="37">
        <v>6</v>
      </c>
      <c r="P12" s="37">
        <v>6</v>
      </c>
      <c r="Q12" s="37">
        <v>0</v>
      </c>
      <c r="R12" s="37" t="s">
        <v>109</v>
      </c>
      <c r="T12" s="37" t="s">
        <v>316</v>
      </c>
      <c r="U12" s="37" t="s">
        <v>322</v>
      </c>
    </row>
    <row r="13" spans="1:21" x14ac:dyDescent="0.25">
      <c r="A13" s="39">
        <v>2016</v>
      </c>
      <c r="B13" s="37" t="s">
        <v>128</v>
      </c>
      <c r="C13" s="37">
        <v>19489</v>
      </c>
      <c r="D13" s="37">
        <v>34</v>
      </c>
      <c r="E13" s="38">
        <v>42604</v>
      </c>
      <c r="F13" s="37" t="s">
        <v>104</v>
      </c>
      <c r="G13" s="37" t="s">
        <v>47</v>
      </c>
      <c r="H13" s="37" t="s">
        <v>127</v>
      </c>
      <c r="I13" s="37" t="s">
        <v>60</v>
      </c>
      <c r="J13" s="37" t="s">
        <v>106</v>
      </c>
      <c r="K13" s="37" t="s">
        <v>107</v>
      </c>
      <c r="L13" s="37" t="s">
        <v>5</v>
      </c>
      <c r="M13" s="37" t="s">
        <v>108</v>
      </c>
      <c r="O13" s="37">
        <v>3</v>
      </c>
      <c r="P13" s="37">
        <v>3</v>
      </c>
      <c r="Q13" s="37">
        <v>0</v>
      </c>
      <c r="R13" s="37" t="s">
        <v>109</v>
      </c>
      <c r="T13" s="37" t="s">
        <v>317</v>
      </c>
      <c r="U13" s="37" t="s">
        <v>323</v>
      </c>
    </row>
    <row r="14" spans="1:21" x14ac:dyDescent="0.25">
      <c r="A14" s="39">
        <v>2016</v>
      </c>
      <c r="B14" s="37" t="s">
        <v>129</v>
      </c>
      <c r="C14" s="37">
        <v>19490</v>
      </c>
      <c r="D14" s="37">
        <v>34</v>
      </c>
      <c r="E14" s="38">
        <v>42604</v>
      </c>
      <c r="F14" s="37" t="s">
        <v>104</v>
      </c>
      <c r="G14" s="37" t="s">
        <v>47</v>
      </c>
      <c r="H14" s="37" t="s">
        <v>130</v>
      </c>
      <c r="I14" s="37" t="s">
        <v>61</v>
      </c>
      <c r="J14" s="37" t="s">
        <v>106</v>
      </c>
      <c r="K14" s="37" t="s">
        <v>107</v>
      </c>
      <c r="L14" s="37" t="s">
        <v>6</v>
      </c>
      <c r="M14" s="37" t="s">
        <v>108</v>
      </c>
      <c r="O14" s="37">
        <v>6</v>
      </c>
      <c r="P14" s="37">
        <v>6</v>
      </c>
      <c r="Q14" s="37">
        <v>0</v>
      </c>
      <c r="R14" s="37" t="s">
        <v>109</v>
      </c>
      <c r="T14" s="37" t="s">
        <v>316</v>
      </c>
      <c r="U14" s="37" t="s">
        <v>320</v>
      </c>
    </row>
    <row r="15" spans="1:21" x14ac:dyDescent="0.25">
      <c r="A15" s="63">
        <v>2016</v>
      </c>
      <c r="B15" s="64" t="s">
        <v>131</v>
      </c>
      <c r="C15" s="37">
        <v>19491</v>
      </c>
      <c r="D15" s="64">
        <v>34</v>
      </c>
      <c r="E15" s="65">
        <v>42604</v>
      </c>
      <c r="F15" s="64" t="s">
        <v>104</v>
      </c>
      <c r="G15" s="64" t="s">
        <v>47</v>
      </c>
      <c r="H15" s="64" t="s">
        <v>132</v>
      </c>
      <c r="I15" s="64" t="s">
        <v>60</v>
      </c>
      <c r="J15" s="64" t="s">
        <v>120</v>
      </c>
      <c r="K15" s="64" t="s">
        <v>107</v>
      </c>
      <c r="L15" s="64" t="s">
        <v>5</v>
      </c>
      <c r="M15" s="64" t="s">
        <v>108</v>
      </c>
      <c r="N15" s="64">
        <v>39</v>
      </c>
      <c r="O15" s="64"/>
      <c r="P15" s="64">
        <v>39</v>
      </c>
      <c r="Q15" s="64">
        <v>1</v>
      </c>
      <c r="R15" s="64" t="s">
        <v>133</v>
      </c>
      <c r="T15" s="37" t="s">
        <v>317</v>
      </c>
      <c r="U15" s="37" t="s">
        <v>323</v>
      </c>
    </row>
    <row r="16" spans="1:21" x14ac:dyDescent="0.25">
      <c r="A16" s="39">
        <v>2016</v>
      </c>
      <c r="B16" s="37" t="s">
        <v>134</v>
      </c>
      <c r="C16" s="37">
        <v>19492</v>
      </c>
      <c r="D16" s="37">
        <v>34</v>
      </c>
      <c r="E16" s="38">
        <v>42604</v>
      </c>
      <c r="F16" s="37" t="s">
        <v>104</v>
      </c>
      <c r="G16" s="37" t="s">
        <v>47</v>
      </c>
      <c r="H16" s="37" t="s">
        <v>135</v>
      </c>
      <c r="I16" s="37" t="s">
        <v>60</v>
      </c>
      <c r="J16" s="37" t="s">
        <v>106</v>
      </c>
      <c r="K16" s="37" t="s">
        <v>107</v>
      </c>
      <c r="L16" s="37" t="s">
        <v>6</v>
      </c>
      <c r="M16" s="37" t="s">
        <v>108</v>
      </c>
      <c r="O16" s="37">
        <v>2</v>
      </c>
      <c r="P16" s="37">
        <v>2</v>
      </c>
      <c r="Q16" s="37">
        <v>0</v>
      </c>
      <c r="R16" s="37" t="s">
        <v>109</v>
      </c>
      <c r="T16" s="37" t="s">
        <v>316</v>
      </c>
      <c r="U16" s="37" t="s">
        <v>322</v>
      </c>
    </row>
    <row r="17" spans="1:21" x14ac:dyDescent="0.25">
      <c r="A17" s="39">
        <v>2016</v>
      </c>
      <c r="B17" s="37" t="s">
        <v>136</v>
      </c>
      <c r="C17" s="37">
        <v>19493</v>
      </c>
      <c r="D17" s="37">
        <v>34</v>
      </c>
      <c r="E17" s="38">
        <v>42604</v>
      </c>
      <c r="F17" s="37" t="s">
        <v>104</v>
      </c>
      <c r="G17" s="37" t="s">
        <v>47</v>
      </c>
      <c r="H17" s="37" t="s">
        <v>135</v>
      </c>
      <c r="I17" s="37" t="s">
        <v>60</v>
      </c>
      <c r="J17" s="37" t="s">
        <v>106</v>
      </c>
      <c r="K17" s="37" t="s">
        <v>107</v>
      </c>
      <c r="L17" s="37" t="s">
        <v>5</v>
      </c>
      <c r="M17" s="37" t="s">
        <v>108</v>
      </c>
      <c r="O17" s="37">
        <v>2</v>
      </c>
      <c r="P17" s="37">
        <v>2</v>
      </c>
      <c r="Q17" s="37">
        <v>0</v>
      </c>
      <c r="R17" s="37" t="s">
        <v>109</v>
      </c>
      <c r="T17" s="37" t="s">
        <v>317</v>
      </c>
      <c r="U17" s="37" t="s">
        <v>323</v>
      </c>
    </row>
    <row r="18" spans="1:21" x14ac:dyDescent="0.25">
      <c r="A18" s="39">
        <v>2016</v>
      </c>
      <c r="B18" s="37" t="s">
        <v>137</v>
      </c>
      <c r="C18" s="37">
        <v>19494</v>
      </c>
      <c r="D18" s="37">
        <v>34</v>
      </c>
      <c r="E18" s="38">
        <v>42604</v>
      </c>
      <c r="F18" s="37" t="s">
        <v>104</v>
      </c>
      <c r="G18" s="37" t="s">
        <v>9</v>
      </c>
      <c r="H18" s="37" t="s">
        <v>138</v>
      </c>
      <c r="I18" s="37" t="s">
        <v>9</v>
      </c>
      <c r="J18" s="37" t="s">
        <v>106</v>
      </c>
      <c r="K18" s="37" t="s">
        <v>107</v>
      </c>
      <c r="L18" s="37" t="s">
        <v>6</v>
      </c>
      <c r="M18" s="37" t="s">
        <v>108</v>
      </c>
      <c r="O18" s="37">
        <v>6</v>
      </c>
      <c r="P18" s="37">
        <v>6</v>
      </c>
      <c r="Q18" s="37">
        <v>0</v>
      </c>
      <c r="R18" s="37" t="s">
        <v>109</v>
      </c>
      <c r="T18" s="37" t="s">
        <v>318</v>
      </c>
      <c r="U18" s="37" t="s">
        <v>318</v>
      </c>
    </row>
    <row r="19" spans="1:21" x14ac:dyDescent="0.25">
      <c r="A19" s="39">
        <v>2016</v>
      </c>
      <c r="B19" s="37" t="s">
        <v>139</v>
      </c>
      <c r="C19" s="37">
        <v>19495</v>
      </c>
      <c r="D19" s="37">
        <v>34</v>
      </c>
      <c r="E19" s="38">
        <v>42604</v>
      </c>
      <c r="F19" s="37" t="s">
        <v>104</v>
      </c>
      <c r="G19" s="37" t="s">
        <v>9</v>
      </c>
      <c r="H19" s="37" t="s">
        <v>138</v>
      </c>
      <c r="I19" s="37" t="s">
        <v>9</v>
      </c>
      <c r="J19" s="37" t="s">
        <v>106</v>
      </c>
      <c r="K19" s="37" t="s">
        <v>107</v>
      </c>
      <c r="L19" s="37" t="s">
        <v>5</v>
      </c>
      <c r="M19" s="37" t="s">
        <v>108</v>
      </c>
      <c r="O19" s="37">
        <v>5</v>
      </c>
      <c r="P19" s="37">
        <v>5</v>
      </c>
      <c r="Q19" s="37">
        <v>0</v>
      </c>
      <c r="R19" s="37" t="s">
        <v>109</v>
      </c>
      <c r="T19" s="37" t="s">
        <v>319</v>
      </c>
      <c r="U19" s="37" t="s">
        <v>319</v>
      </c>
    </row>
    <row r="20" spans="1:21" x14ac:dyDescent="0.25">
      <c r="A20" s="63">
        <v>2016</v>
      </c>
      <c r="B20" s="64" t="s">
        <v>140</v>
      </c>
      <c r="C20" s="37">
        <v>19496</v>
      </c>
      <c r="D20" s="64">
        <v>34</v>
      </c>
      <c r="E20" s="65">
        <v>42604</v>
      </c>
      <c r="F20" s="64" t="s">
        <v>104</v>
      </c>
      <c r="G20" s="64" t="s">
        <v>9</v>
      </c>
      <c r="H20" s="64" t="s">
        <v>141</v>
      </c>
      <c r="I20" s="37" t="s">
        <v>9</v>
      </c>
      <c r="J20" s="64" t="s">
        <v>106</v>
      </c>
      <c r="K20" s="64" t="s">
        <v>107</v>
      </c>
      <c r="L20" s="64" t="s">
        <v>6</v>
      </c>
      <c r="M20" s="64" t="s">
        <v>108</v>
      </c>
      <c r="N20" s="64"/>
      <c r="O20" s="64">
        <v>26</v>
      </c>
      <c r="P20" s="64">
        <v>26</v>
      </c>
      <c r="Q20" s="64">
        <v>1</v>
      </c>
      <c r="R20" s="64" t="s">
        <v>133</v>
      </c>
      <c r="T20" s="37" t="s">
        <v>318</v>
      </c>
      <c r="U20" s="37" t="s">
        <v>318</v>
      </c>
    </row>
    <row r="21" spans="1:21" x14ac:dyDescent="0.25">
      <c r="A21" s="39">
        <v>2016</v>
      </c>
      <c r="B21" s="37" t="s">
        <v>142</v>
      </c>
      <c r="C21" s="37">
        <v>19497</v>
      </c>
      <c r="D21" s="37">
        <v>34</v>
      </c>
      <c r="E21" s="38">
        <v>42604</v>
      </c>
      <c r="F21" s="37" t="s">
        <v>104</v>
      </c>
      <c r="G21" s="37" t="s">
        <v>9</v>
      </c>
      <c r="H21" s="37" t="s">
        <v>141</v>
      </c>
      <c r="I21" s="37" t="s">
        <v>9</v>
      </c>
      <c r="J21" s="37" t="s">
        <v>106</v>
      </c>
      <c r="K21" s="37" t="s">
        <v>107</v>
      </c>
      <c r="L21" s="37" t="s">
        <v>5</v>
      </c>
      <c r="M21" s="37" t="s">
        <v>108</v>
      </c>
      <c r="O21" s="37">
        <v>4</v>
      </c>
      <c r="P21" s="37">
        <v>4</v>
      </c>
      <c r="Q21" s="37">
        <v>0</v>
      </c>
      <c r="R21" s="37" t="s">
        <v>109</v>
      </c>
      <c r="T21" s="37" t="s">
        <v>319</v>
      </c>
      <c r="U21" s="37" t="s">
        <v>319</v>
      </c>
    </row>
    <row r="22" spans="1:21" x14ac:dyDescent="0.25">
      <c r="A22" s="39">
        <v>2016</v>
      </c>
      <c r="B22" s="37" t="s">
        <v>143</v>
      </c>
      <c r="C22" s="37">
        <v>19498</v>
      </c>
      <c r="D22" s="37">
        <v>34</v>
      </c>
      <c r="E22" s="38">
        <v>42604</v>
      </c>
      <c r="F22" s="37" t="s">
        <v>104</v>
      </c>
      <c r="G22" s="37" t="s">
        <v>9</v>
      </c>
      <c r="H22" s="37" t="s">
        <v>144</v>
      </c>
      <c r="I22" s="37" t="s">
        <v>9</v>
      </c>
      <c r="J22" s="37" t="s">
        <v>120</v>
      </c>
      <c r="K22" s="37" t="s">
        <v>107</v>
      </c>
      <c r="L22" s="37" t="s">
        <v>5</v>
      </c>
      <c r="M22" s="37" t="s">
        <v>108</v>
      </c>
      <c r="N22" s="37">
        <v>50</v>
      </c>
      <c r="P22" s="37">
        <v>50</v>
      </c>
      <c r="Q22" s="37">
        <v>0</v>
      </c>
      <c r="R22" s="37" t="s">
        <v>109</v>
      </c>
      <c r="T22" s="37" t="s">
        <v>319</v>
      </c>
      <c r="U22" s="37" t="s">
        <v>319</v>
      </c>
    </row>
    <row r="23" spans="1:21" x14ac:dyDescent="0.25">
      <c r="A23" s="63">
        <v>2016</v>
      </c>
      <c r="B23" s="64" t="s">
        <v>145</v>
      </c>
      <c r="C23" s="37">
        <v>19499</v>
      </c>
      <c r="D23" s="64">
        <v>34</v>
      </c>
      <c r="E23" s="65">
        <v>42604</v>
      </c>
      <c r="F23" s="64" t="s">
        <v>104</v>
      </c>
      <c r="G23" s="64" t="s">
        <v>9</v>
      </c>
      <c r="H23" s="64" t="s">
        <v>144</v>
      </c>
      <c r="I23" s="37" t="s">
        <v>9</v>
      </c>
      <c r="J23" s="64" t="s">
        <v>120</v>
      </c>
      <c r="K23" s="64" t="s">
        <v>107</v>
      </c>
      <c r="L23" s="64" t="s">
        <v>5</v>
      </c>
      <c r="M23" s="64" t="s">
        <v>108</v>
      </c>
      <c r="N23" s="64">
        <v>47</v>
      </c>
      <c r="O23" s="64"/>
      <c r="P23" s="64">
        <v>47</v>
      </c>
      <c r="Q23" s="64">
        <v>1</v>
      </c>
      <c r="R23" s="64" t="s">
        <v>133</v>
      </c>
      <c r="T23" s="37" t="s">
        <v>319</v>
      </c>
      <c r="U23" s="37" t="s">
        <v>319</v>
      </c>
    </row>
    <row r="24" spans="1:21" x14ac:dyDescent="0.25">
      <c r="A24" s="39">
        <v>2016</v>
      </c>
      <c r="B24" s="37" t="s">
        <v>146</v>
      </c>
      <c r="C24" s="37">
        <v>19500</v>
      </c>
      <c r="D24" s="37">
        <v>34</v>
      </c>
      <c r="E24" s="38">
        <v>42604</v>
      </c>
      <c r="F24" s="37" t="s">
        <v>104</v>
      </c>
      <c r="G24" s="37" t="s">
        <v>9</v>
      </c>
      <c r="H24" s="37" t="s">
        <v>147</v>
      </c>
      <c r="I24" s="37" t="s">
        <v>9</v>
      </c>
      <c r="J24" s="37" t="s">
        <v>106</v>
      </c>
      <c r="K24" s="37" t="s">
        <v>107</v>
      </c>
      <c r="L24" s="37" t="s">
        <v>6</v>
      </c>
      <c r="M24" s="37" t="s">
        <v>108</v>
      </c>
      <c r="O24" s="37">
        <v>4</v>
      </c>
      <c r="P24" s="37">
        <v>4</v>
      </c>
      <c r="Q24" s="37">
        <v>0</v>
      </c>
      <c r="R24" s="37" t="s">
        <v>109</v>
      </c>
      <c r="T24" s="37" t="s">
        <v>318</v>
      </c>
      <c r="U24" s="37" t="s">
        <v>318</v>
      </c>
    </row>
    <row r="25" spans="1:21" x14ac:dyDescent="0.25">
      <c r="A25" s="63">
        <v>2016</v>
      </c>
      <c r="B25" s="64" t="s">
        <v>148</v>
      </c>
      <c r="C25" s="37">
        <v>19501</v>
      </c>
      <c r="D25" s="64">
        <v>34</v>
      </c>
      <c r="E25" s="65">
        <v>42605</v>
      </c>
      <c r="F25" s="64" t="s">
        <v>104</v>
      </c>
      <c r="G25" s="64" t="s">
        <v>9</v>
      </c>
      <c r="H25" s="64" t="s">
        <v>149</v>
      </c>
      <c r="I25" s="37" t="s">
        <v>9</v>
      </c>
      <c r="J25" s="64" t="s">
        <v>120</v>
      </c>
      <c r="K25" s="64" t="s">
        <v>107</v>
      </c>
      <c r="L25" s="64" t="s">
        <v>5</v>
      </c>
      <c r="M25" s="64" t="s">
        <v>108</v>
      </c>
      <c r="N25" s="64">
        <v>50</v>
      </c>
      <c r="O25" s="64"/>
      <c r="P25" s="64">
        <v>50</v>
      </c>
      <c r="Q25" s="64">
        <v>1</v>
      </c>
      <c r="R25" s="64" t="s">
        <v>133</v>
      </c>
      <c r="T25" s="37" t="s">
        <v>319</v>
      </c>
      <c r="U25" s="37" t="s">
        <v>319</v>
      </c>
    </row>
    <row r="26" spans="1:21" x14ac:dyDescent="0.25">
      <c r="A26" s="63">
        <v>2016</v>
      </c>
      <c r="B26" s="64" t="s">
        <v>150</v>
      </c>
      <c r="C26" s="37">
        <v>19502</v>
      </c>
      <c r="D26" s="64">
        <v>34</v>
      </c>
      <c r="E26" s="65">
        <v>42605</v>
      </c>
      <c r="F26" s="64" t="s">
        <v>104</v>
      </c>
      <c r="G26" s="64" t="s">
        <v>9</v>
      </c>
      <c r="H26" s="64" t="s">
        <v>149</v>
      </c>
      <c r="I26" s="37" t="s">
        <v>9</v>
      </c>
      <c r="J26" s="64" t="s">
        <v>120</v>
      </c>
      <c r="K26" s="64" t="s">
        <v>107</v>
      </c>
      <c r="L26" s="64" t="s">
        <v>5</v>
      </c>
      <c r="M26" s="64" t="s">
        <v>108</v>
      </c>
      <c r="N26" s="64">
        <v>50</v>
      </c>
      <c r="O26" s="64"/>
      <c r="P26" s="64">
        <v>50</v>
      </c>
      <c r="Q26" s="64">
        <v>1</v>
      </c>
      <c r="R26" s="64" t="s">
        <v>133</v>
      </c>
      <c r="T26" s="37" t="s">
        <v>319</v>
      </c>
      <c r="U26" s="37" t="s">
        <v>319</v>
      </c>
    </row>
    <row r="27" spans="1:21" x14ac:dyDescent="0.25">
      <c r="A27" s="39">
        <v>2016</v>
      </c>
      <c r="B27" s="37" t="s">
        <v>151</v>
      </c>
      <c r="C27" s="37">
        <v>19503</v>
      </c>
      <c r="D27" s="37">
        <v>34</v>
      </c>
      <c r="E27" s="38">
        <v>42605</v>
      </c>
      <c r="F27" s="37" t="s">
        <v>104</v>
      </c>
      <c r="G27" s="37" t="s">
        <v>9</v>
      </c>
      <c r="H27" s="37" t="s">
        <v>149</v>
      </c>
      <c r="I27" s="37" t="s">
        <v>9</v>
      </c>
      <c r="J27" s="37" t="s">
        <v>120</v>
      </c>
      <c r="K27" s="37" t="s">
        <v>107</v>
      </c>
      <c r="L27" s="37" t="s">
        <v>5</v>
      </c>
      <c r="M27" s="37" t="s">
        <v>108</v>
      </c>
      <c r="N27" s="37">
        <v>17</v>
      </c>
      <c r="P27" s="37">
        <v>17</v>
      </c>
      <c r="Q27" s="37">
        <v>0</v>
      </c>
      <c r="R27" s="37" t="s">
        <v>109</v>
      </c>
      <c r="T27" s="37" t="s">
        <v>319</v>
      </c>
      <c r="U27" s="37" t="s">
        <v>319</v>
      </c>
    </row>
    <row r="28" spans="1:21" x14ac:dyDescent="0.25">
      <c r="A28" s="63">
        <v>2016</v>
      </c>
      <c r="B28" s="64" t="s">
        <v>152</v>
      </c>
      <c r="C28" s="37">
        <v>19504</v>
      </c>
      <c r="D28" s="64">
        <v>34</v>
      </c>
      <c r="E28" s="65">
        <v>42605</v>
      </c>
      <c r="F28" s="64" t="s">
        <v>104</v>
      </c>
      <c r="G28" s="64" t="s">
        <v>47</v>
      </c>
      <c r="H28" s="64" t="s">
        <v>153</v>
      </c>
      <c r="I28" s="64" t="s">
        <v>60</v>
      </c>
      <c r="J28" s="64" t="s">
        <v>106</v>
      </c>
      <c r="K28" s="64" t="s">
        <v>107</v>
      </c>
      <c r="L28" s="64" t="s">
        <v>6</v>
      </c>
      <c r="M28" s="64" t="s">
        <v>108</v>
      </c>
      <c r="N28" s="64"/>
      <c r="O28" s="64">
        <v>14</v>
      </c>
      <c r="P28" s="64">
        <v>14</v>
      </c>
      <c r="Q28" s="64">
        <v>1</v>
      </c>
      <c r="R28" s="64" t="s">
        <v>133</v>
      </c>
      <c r="T28" s="37" t="s">
        <v>316</v>
      </c>
      <c r="U28" s="37" t="s">
        <v>322</v>
      </c>
    </row>
    <row r="29" spans="1:21" x14ac:dyDescent="0.25">
      <c r="A29" s="39">
        <v>2016</v>
      </c>
      <c r="B29" s="37" t="s">
        <v>154</v>
      </c>
      <c r="C29" s="37">
        <v>19505</v>
      </c>
      <c r="D29" s="37">
        <v>34</v>
      </c>
      <c r="E29" s="38">
        <v>42605</v>
      </c>
      <c r="F29" s="37" t="s">
        <v>104</v>
      </c>
      <c r="G29" s="37" t="s">
        <v>47</v>
      </c>
      <c r="H29" s="37" t="s">
        <v>153</v>
      </c>
      <c r="I29" s="37" t="s">
        <v>60</v>
      </c>
      <c r="J29" s="37" t="s">
        <v>106</v>
      </c>
      <c r="K29" s="37" t="s">
        <v>107</v>
      </c>
      <c r="L29" s="37" t="s">
        <v>5</v>
      </c>
      <c r="M29" s="37" t="s">
        <v>108</v>
      </c>
      <c r="O29" s="37">
        <v>3</v>
      </c>
      <c r="P29" s="37">
        <v>3</v>
      </c>
      <c r="Q29" s="37">
        <v>0</v>
      </c>
      <c r="R29" s="37" t="s">
        <v>109</v>
      </c>
      <c r="T29" s="37" t="s">
        <v>317</v>
      </c>
      <c r="U29" s="37" t="s">
        <v>323</v>
      </c>
    </row>
    <row r="30" spans="1:21" x14ac:dyDescent="0.25">
      <c r="A30" s="39">
        <v>2016</v>
      </c>
      <c r="B30" s="37" t="s">
        <v>155</v>
      </c>
      <c r="C30" s="37">
        <v>19506</v>
      </c>
      <c r="D30" s="37">
        <v>34</v>
      </c>
      <c r="E30" s="38">
        <v>42605</v>
      </c>
      <c r="F30" s="37" t="s">
        <v>104</v>
      </c>
      <c r="G30" s="37" t="s">
        <v>9</v>
      </c>
      <c r="H30" s="37" t="s">
        <v>156</v>
      </c>
      <c r="I30" s="37" t="s">
        <v>9</v>
      </c>
      <c r="J30" s="37" t="s">
        <v>106</v>
      </c>
      <c r="K30" s="37" t="s">
        <v>107</v>
      </c>
      <c r="L30" s="37" t="s">
        <v>6</v>
      </c>
      <c r="M30" s="37" t="s">
        <v>108</v>
      </c>
      <c r="O30" s="37">
        <v>17</v>
      </c>
      <c r="P30" s="37">
        <v>17</v>
      </c>
      <c r="Q30" s="37">
        <v>0</v>
      </c>
      <c r="R30" s="37" t="s">
        <v>109</v>
      </c>
      <c r="T30" s="37" t="s">
        <v>318</v>
      </c>
      <c r="U30" s="37" t="s">
        <v>318</v>
      </c>
    </row>
    <row r="31" spans="1:21" x14ac:dyDescent="0.25">
      <c r="A31" s="39">
        <v>2016</v>
      </c>
      <c r="B31" s="37" t="s">
        <v>157</v>
      </c>
      <c r="C31" s="37">
        <v>19507</v>
      </c>
      <c r="D31" s="37">
        <v>34</v>
      </c>
      <c r="E31" s="38">
        <v>42605</v>
      </c>
      <c r="F31" s="37" t="s">
        <v>104</v>
      </c>
      <c r="G31" s="37" t="s">
        <v>9</v>
      </c>
      <c r="H31" s="37" t="s">
        <v>156</v>
      </c>
      <c r="I31" s="37" t="s">
        <v>9</v>
      </c>
      <c r="J31" s="37" t="s">
        <v>106</v>
      </c>
      <c r="K31" s="37" t="s">
        <v>107</v>
      </c>
      <c r="L31" s="37" t="s">
        <v>5</v>
      </c>
      <c r="M31" s="37" t="s">
        <v>108</v>
      </c>
      <c r="O31" s="37">
        <v>4</v>
      </c>
      <c r="P31" s="37">
        <v>4</v>
      </c>
      <c r="Q31" s="37">
        <v>0</v>
      </c>
      <c r="R31" s="37" t="s">
        <v>109</v>
      </c>
      <c r="T31" s="37" t="s">
        <v>319</v>
      </c>
      <c r="U31" s="37" t="s">
        <v>319</v>
      </c>
    </row>
    <row r="32" spans="1:21" x14ac:dyDescent="0.25">
      <c r="A32" s="63">
        <v>2016</v>
      </c>
      <c r="B32" s="64" t="s">
        <v>158</v>
      </c>
      <c r="C32" s="37">
        <v>19508</v>
      </c>
      <c r="D32" s="64">
        <v>34</v>
      </c>
      <c r="E32" s="65">
        <v>42605</v>
      </c>
      <c r="F32" s="64" t="s">
        <v>104</v>
      </c>
      <c r="G32" s="64" t="s">
        <v>47</v>
      </c>
      <c r="H32" s="64" t="s">
        <v>159</v>
      </c>
      <c r="I32" s="64" t="s">
        <v>60</v>
      </c>
      <c r="J32" s="64" t="s">
        <v>106</v>
      </c>
      <c r="K32" s="64" t="s">
        <v>107</v>
      </c>
      <c r="L32" s="64" t="s">
        <v>6</v>
      </c>
      <c r="M32" s="64" t="s">
        <v>108</v>
      </c>
      <c r="N32" s="64"/>
      <c r="O32" s="64">
        <v>8</v>
      </c>
      <c r="P32" s="64">
        <v>8</v>
      </c>
      <c r="Q32" s="64">
        <v>1</v>
      </c>
      <c r="R32" s="64" t="s">
        <v>133</v>
      </c>
      <c r="T32" s="37" t="s">
        <v>316</v>
      </c>
      <c r="U32" s="37" t="s">
        <v>322</v>
      </c>
    </row>
    <row r="33" spans="1:21" x14ac:dyDescent="0.25">
      <c r="A33" s="39">
        <v>2016</v>
      </c>
      <c r="B33" s="37" t="s">
        <v>160</v>
      </c>
      <c r="C33" s="37">
        <v>19509</v>
      </c>
      <c r="D33" s="37">
        <v>34</v>
      </c>
      <c r="E33" s="38">
        <v>42605</v>
      </c>
      <c r="F33" s="37" t="s">
        <v>104</v>
      </c>
      <c r="G33" s="37" t="s">
        <v>47</v>
      </c>
      <c r="H33" s="37" t="s">
        <v>159</v>
      </c>
      <c r="I33" s="37" t="s">
        <v>60</v>
      </c>
      <c r="J33" s="37" t="s">
        <v>106</v>
      </c>
      <c r="K33" s="37" t="s">
        <v>107</v>
      </c>
      <c r="L33" s="37" t="s">
        <v>5</v>
      </c>
      <c r="M33" s="37" t="s">
        <v>108</v>
      </c>
      <c r="O33" s="37">
        <v>5</v>
      </c>
      <c r="P33" s="37">
        <v>5</v>
      </c>
      <c r="Q33" s="37">
        <v>0</v>
      </c>
      <c r="R33" s="37" t="s">
        <v>109</v>
      </c>
      <c r="T33" s="37" t="s">
        <v>317</v>
      </c>
      <c r="U33" s="37" t="s">
        <v>323</v>
      </c>
    </row>
    <row r="34" spans="1:21" x14ac:dyDescent="0.25">
      <c r="A34" s="39">
        <v>2016</v>
      </c>
      <c r="B34" s="37" t="s">
        <v>161</v>
      </c>
      <c r="C34" s="37">
        <v>19510</v>
      </c>
      <c r="D34" s="37">
        <v>34</v>
      </c>
      <c r="E34" s="38">
        <v>42605</v>
      </c>
      <c r="F34" s="37" t="s">
        <v>104</v>
      </c>
      <c r="G34" s="37" t="s">
        <v>9</v>
      </c>
      <c r="H34" s="37" t="s">
        <v>162</v>
      </c>
      <c r="I34" s="37" t="s">
        <v>9</v>
      </c>
      <c r="J34" s="37" t="s">
        <v>106</v>
      </c>
      <c r="K34" s="37" t="s">
        <v>107</v>
      </c>
      <c r="L34" s="37" t="s">
        <v>6</v>
      </c>
      <c r="M34" s="37" t="s">
        <v>108</v>
      </c>
      <c r="O34" s="37">
        <v>22</v>
      </c>
      <c r="P34" s="37">
        <v>22</v>
      </c>
      <c r="Q34" s="37">
        <v>0</v>
      </c>
      <c r="R34" s="37" t="s">
        <v>109</v>
      </c>
      <c r="T34" s="37" t="s">
        <v>318</v>
      </c>
      <c r="U34" s="37" t="s">
        <v>318</v>
      </c>
    </row>
    <row r="35" spans="1:21" x14ac:dyDescent="0.25">
      <c r="A35" s="39">
        <v>2016</v>
      </c>
      <c r="B35" s="37" t="s">
        <v>163</v>
      </c>
      <c r="C35" s="37">
        <v>19511</v>
      </c>
      <c r="D35" s="37">
        <v>34</v>
      </c>
      <c r="E35" s="38">
        <v>42605</v>
      </c>
      <c r="F35" s="37" t="s">
        <v>104</v>
      </c>
      <c r="G35" s="37" t="s">
        <v>9</v>
      </c>
      <c r="H35" s="37" t="s">
        <v>162</v>
      </c>
      <c r="I35" s="37" t="s">
        <v>9</v>
      </c>
      <c r="J35" s="37" t="s">
        <v>106</v>
      </c>
      <c r="K35" s="37" t="s">
        <v>107</v>
      </c>
      <c r="L35" s="37" t="s">
        <v>5</v>
      </c>
      <c r="M35" s="37" t="s">
        <v>108</v>
      </c>
      <c r="O35" s="37">
        <v>3</v>
      </c>
      <c r="P35" s="37">
        <v>3</v>
      </c>
      <c r="Q35" s="37">
        <v>0</v>
      </c>
      <c r="R35" s="37" t="s">
        <v>109</v>
      </c>
      <c r="T35" s="37" t="s">
        <v>319</v>
      </c>
      <c r="U35" s="37" t="s">
        <v>319</v>
      </c>
    </row>
    <row r="36" spans="1:21" x14ac:dyDescent="0.25">
      <c r="A36" s="39">
        <v>2016</v>
      </c>
      <c r="B36" s="37" t="s">
        <v>164</v>
      </c>
      <c r="C36" s="37">
        <v>19512</v>
      </c>
      <c r="D36" s="37">
        <v>34</v>
      </c>
      <c r="E36" s="38">
        <v>42605</v>
      </c>
      <c r="F36" s="37" t="s">
        <v>104</v>
      </c>
      <c r="G36" s="37" t="s">
        <v>47</v>
      </c>
      <c r="H36" s="37" t="s">
        <v>165</v>
      </c>
      <c r="I36" s="37" t="s">
        <v>60</v>
      </c>
      <c r="J36" s="37" t="s">
        <v>106</v>
      </c>
      <c r="K36" s="37" t="s">
        <v>107</v>
      </c>
      <c r="L36" s="37" t="s">
        <v>6</v>
      </c>
      <c r="M36" s="37" t="s">
        <v>108</v>
      </c>
      <c r="O36" s="37">
        <v>9</v>
      </c>
      <c r="P36" s="37">
        <v>9</v>
      </c>
      <c r="Q36" s="37">
        <v>0</v>
      </c>
      <c r="R36" s="37" t="s">
        <v>109</v>
      </c>
      <c r="T36" s="37" t="s">
        <v>316</v>
      </c>
      <c r="U36" s="37" t="s">
        <v>322</v>
      </c>
    </row>
    <row r="37" spans="1:21" x14ac:dyDescent="0.25">
      <c r="A37" s="39">
        <v>2016</v>
      </c>
      <c r="B37" s="37" t="s">
        <v>166</v>
      </c>
      <c r="C37" s="37">
        <v>19513</v>
      </c>
      <c r="D37" s="37">
        <v>34</v>
      </c>
      <c r="E37" s="38">
        <v>42605</v>
      </c>
      <c r="F37" s="37" t="s">
        <v>104</v>
      </c>
      <c r="G37" s="37" t="s">
        <v>47</v>
      </c>
      <c r="H37" s="37" t="s">
        <v>165</v>
      </c>
      <c r="I37" s="37" t="s">
        <v>60</v>
      </c>
      <c r="J37" s="37" t="s">
        <v>106</v>
      </c>
      <c r="K37" s="37" t="s">
        <v>107</v>
      </c>
      <c r="L37" s="37" t="s">
        <v>5</v>
      </c>
      <c r="M37" s="37" t="s">
        <v>108</v>
      </c>
      <c r="O37" s="37">
        <v>4</v>
      </c>
      <c r="P37" s="37">
        <v>4</v>
      </c>
      <c r="Q37" s="37">
        <v>0</v>
      </c>
      <c r="R37" s="37" t="s">
        <v>109</v>
      </c>
      <c r="T37" s="37" t="s">
        <v>317</v>
      </c>
      <c r="U37" s="37" t="s">
        <v>323</v>
      </c>
    </row>
    <row r="38" spans="1:21" x14ac:dyDescent="0.25">
      <c r="A38" s="39">
        <v>2016</v>
      </c>
      <c r="B38" s="37" t="s">
        <v>167</v>
      </c>
      <c r="C38" s="37">
        <v>19514</v>
      </c>
      <c r="D38" s="37">
        <v>34</v>
      </c>
      <c r="E38" s="38">
        <v>42605</v>
      </c>
      <c r="F38" s="37" t="s">
        <v>104</v>
      </c>
      <c r="G38" s="37" t="s">
        <v>9</v>
      </c>
      <c r="H38" s="37" t="s">
        <v>168</v>
      </c>
      <c r="I38" s="37" t="s">
        <v>9</v>
      </c>
      <c r="J38" s="37" t="s">
        <v>106</v>
      </c>
      <c r="K38" s="37" t="s">
        <v>107</v>
      </c>
      <c r="L38" s="37" t="s">
        <v>6</v>
      </c>
      <c r="M38" s="37" t="s">
        <v>108</v>
      </c>
      <c r="O38" s="37">
        <v>50</v>
      </c>
      <c r="P38" s="37">
        <v>50</v>
      </c>
      <c r="Q38" s="37">
        <v>0</v>
      </c>
      <c r="R38" s="37" t="s">
        <v>109</v>
      </c>
      <c r="T38" s="37" t="s">
        <v>318</v>
      </c>
      <c r="U38" s="37" t="s">
        <v>318</v>
      </c>
    </row>
    <row r="39" spans="1:21" x14ac:dyDescent="0.25">
      <c r="A39" s="39">
        <v>2016</v>
      </c>
      <c r="B39" s="37" t="s">
        <v>169</v>
      </c>
      <c r="C39" s="37">
        <v>19515</v>
      </c>
      <c r="D39" s="37">
        <v>34</v>
      </c>
      <c r="E39" s="38">
        <v>42605</v>
      </c>
      <c r="F39" s="37" t="s">
        <v>104</v>
      </c>
      <c r="G39" s="37" t="s">
        <v>9</v>
      </c>
      <c r="H39" s="37" t="s">
        <v>168</v>
      </c>
      <c r="I39" s="37" t="s">
        <v>9</v>
      </c>
      <c r="J39" s="37" t="s">
        <v>106</v>
      </c>
      <c r="K39" s="37" t="s">
        <v>107</v>
      </c>
      <c r="L39" s="37" t="s">
        <v>6</v>
      </c>
      <c r="M39" s="37" t="s">
        <v>108</v>
      </c>
      <c r="O39" s="37">
        <v>9</v>
      </c>
      <c r="P39" s="37">
        <v>9</v>
      </c>
      <c r="Q39" s="37">
        <v>0</v>
      </c>
      <c r="R39" s="37" t="s">
        <v>109</v>
      </c>
      <c r="T39" s="37" t="s">
        <v>318</v>
      </c>
      <c r="U39" s="37" t="s">
        <v>318</v>
      </c>
    </row>
    <row r="40" spans="1:21" x14ac:dyDescent="0.25">
      <c r="A40" s="39">
        <v>2016</v>
      </c>
      <c r="B40" s="37" t="s">
        <v>170</v>
      </c>
      <c r="C40" s="37">
        <v>19516</v>
      </c>
      <c r="D40" s="37">
        <v>34</v>
      </c>
      <c r="E40" s="38">
        <v>42605</v>
      </c>
      <c r="F40" s="37" t="s">
        <v>104</v>
      </c>
      <c r="G40" s="37" t="s">
        <v>9</v>
      </c>
      <c r="H40" s="37" t="s">
        <v>168</v>
      </c>
      <c r="I40" s="37" t="s">
        <v>9</v>
      </c>
      <c r="J40" s="37" t="s">
        <v>106</v>
      </c>
      <c r="K40" s="37" t="s">
        <v>107</v>
      </c>
      <c r="L40" s="37" t="s">
        <v>5</v>
      </c>
      <c r="M40" s="37" t="s">
        <v>108</v>
      </c>
      <c r="O40" s="37">
        <v>12</v>
      </c>
      <c r="P40" s="37">
        <v>12</v>
      </c>
      <c r="Q40" s="37">
        <v>0</v>
      </c>
      <c r="R40" s="37" t="s">
        <v>109</v>
      </c>
      <c r="T40" s="37" t="s">
        <v>319</v>
      </c>
      <c r="U40" s="37" t="s">
        <v>319</v>
      </c>
    </row>
    <row r="41" spans="1:21" x14ac:dyDescent="0.25">
      <c r="A41" s="39">
        <v>2016</v>
      </c>
      <c r="B41" s="37" t="s">
        <v>171</v>
      </c>
      <c r="C41" s="37">
        <v>19517</v>
      </c>
      <c r="D41" s="37">
        <v>34</v>
      </c>
      <c r="E41" s="38">
        <v>42605</v>
      </c>
      <c r="F41" s="37" t="s">
        <v>104</v>
      </c>
      <c r="G41" s="37" t="s">
        <v>47</v>
      </c>
      <c r="H41" s="37" t="s">
        <v>172</v>
      </c>
      <c r="I41" s="37" t="s">
        <v>60</v>
      </c>
      <c r="J41" s="37" t="s">
        <v>106</v>
      </c>
      <c r="K41" s="37" t="s">
        <v>107</v>
      </c>
      <c r="L41" s="37" t="s">
        <v>6</v>
      </c>
      <c r="M41" s="37" t="s">
        <v>108</v>
      </c>
      <c r="O41" s="37">
        <v>12</v>
      </c>
      <c r="P41" s="37">
        <v>12</v>
      </c>
      <c r="Q41" s="37">
        <v>0</v>
      </c>
      <c r="R41" s="37" t="s">
        <v>109</v>
      </c>
      <c r="T41" s="37" t="s">
        <v>316</v>
      </c>
      <c r="U41" s="37" t="s">
        <v>322</v>
      </c>
    </row>
    <row r="42" spans="1:21" x14ac:dyDescent="0.25">
      <c r="A42" s="39">
        <v>2016</v>
      </c>
      <c r="B42" s="37" t="s">
        <v>173</v>
      </c>
      <c r="C42" s="37">
        <v>19518</v>
      </c>
      <c r="D42" s="37">
        <v>34</v>
      </c>
      <c r="E42" s="38">
        <v>42605</v>
      </c>
      <c r="F42" s="37" t="s">
        <v>104</v>
      </c>
      <c r="G42" s="37" t="s">
        <v>47</v>
      </c>
      <c r="H42" s="37" t="s">
        <v>172</v>
      </c>
      <c r="I42" s="37" t="s">
        <v>60</v>
      </c>
      <c r="J42" s="37" t="s">
        <v>106</v>
      </c>
      <c r="K42" s="37" t="s">
        <v>107</v>
      </c>
      <c r="L42" s="37" t="s">
        <v>5</v>
      </c>
      <c r="M42" s="37" t="s">
        <v>108</v>
      </c>
      <c r="O42" s="37">
        <v>8</v>
      </c>
      <c r="P42" s="37">
        <v>8</v>
      </c>
      <c r="Q42" s="37">
        <v>0</v>
      </c>
      <c r="R42" s="37" t="s">
        <v>109</v>
      </c>
      <c r="T42" s="37" t="s">
        <v>317</v>
      </c>
      <c r="U42" s="37" t="s">
        <v>323</v>
      </c>
    </row>
    <row r="43" spans="1:21" x14ac:dyDescent="0.25">
      <c r="A43" s="39">
        <v>2016</v>
      </c>
      <c r="B43" s="37" t="s">
        <v>174</v>
      </c>
      <c r="C43" s="37">
        <v>19519</v>
      </c>
      <c r="D43" s="37">
        <v>34</v>
      </c>
      <c r="E43" s="38">
        <v>42605</v>
      </c>
      <c r="F43" s="37" t="s">
        <v>104</v>
      </c>
      <c r="G43" s="37" t="s">
        <v>47</v>
      </c>
      <c r="H43" s="37" t="s">
        <v>175</v>
      </c>
      <c r="I43" s="37" t="s">
        <v>60</v>
      </c>
      <c r="J43" s="37" t="s">
        <v>106</v>
      </c>
      <c r="K43" s="37" t="s">
        <v>107</v>
      </c>
      <c r="L43" s="37" t="s">
        <v>6</v>
      </c>
      <c r="M43" s="37" t="s">
        <v>108</v>
      </c>
      <c r="O43" s="37">
        <v>5</v>
      </c>
      <c r="P43" s="37">
        <v>5</v>
      </c>
      <c r="Q43" s="37">
        <v>0</v>
      </c>
      <c r="R43" s="37" t="s">
        <v>109</v>
      </c>
      <c r="T43" s="37" t="s">
        <v>316</v>
      </c>
      <c r="U43" s="37" t="s">
        <v>322</v>
      </c>
    </row>
    <row r="44" spans="1:21" x14ac:dyDescent="0.25">
      <c r="A44" s="39">
        <v>2016</v>
      </c>
      <c r="B44" s="37" t="s">
        <v>176</v>
      </c>
      <c r="C44" s="37">
        <v>19520</v>
      </c>
      <c r="D44" s="37">
        <v>34</v>
      </c>
      <c r="E44" s="38">
        <v>42605</v>
      </c>
      <c r="F44" s="37" t="s">
        <v>104</v>
      </c>
      <c r="G44" s="37" t="s">
        <v>9</v>
      </c>
      <c r="H44" s="37" t="s">
        <v>177</v>
      </c>
      <c r="I44" s="37" t="s">
        <v>9</v>
      </c>
      <c r="J44" s="37" t="s">
        <v>106</v>
      </c>
      <c r="K44" s="37" t="s">
        <v>107</v>
      </c>
      <c r="L44" s="37" t="s">
        <v>6</v>
      </c>
      <c r="M44" s="37" t="s">
        <v>108</v>
      </c>
      <c r="O44" s="37">
        <v>5</v>
      </c>
      <c r="P44" s="37">
        <v>5</v>
      </c>
      <c r="Q44" s="37">
        <v>0</v>
      </c>
      <c r="R44" s="37" t="s">
        <v>109</v>
      </c>
      <c r="T44" s="37" t="s">
        <v>318</v>
      </c>
      <c r="U44" s="37" t="s">
        <v>318</v>
      </c>
    </row>
    <row r="45" spans="1:21" x14ac:dyDescent="0.25">
      <c r="A45" s="39">
        <v>2016</v>
      </c>
      <c r="B45" s="37" t="s">
        <v>178</v>
      </c>
      <c r="C45" s="37">
        <v>19521</v>
      </c>
      <c r="D45" s="37">
        <v>34</v>
      </c>
      <c r="E45" s="38">
        <v>42605</v>
      </c>
      <c r="F45" s="37" t="s">
        <v>104</v>
      </c>
      <c r="G45" s="37" t="s">
        <v>9</v>
      </c>
      <c r="H45" s="37" t="s">
        <v>177</v>
      </c>
      <c r="I45" s="37" t="s">
        <v>9</v>
      </c>
      <c r="J45" s="37" t="s">
        <v>106</v>
      </c>
      <c r="K45" s="37" t="s">
        <v>107</v>
      </c>
      <c r="L45" s="37" t="s">
        <v>5</v>
      </c>
      <c r="M45" s="37" t="s">
        <v>108</v>
      </c>
      <c r="O45" s="37">
        <v>4</v>
      </c>
      <c r="P45" s="37">
        <v>4</v>
      </c>
      <c r="Q45" s="37">
        <v>0</v>
      </c>
      <c r="R45" s="37" t="s">
        <v>109</v>
      </c>
      <c r="T45" s="37" t="s">
        <v>319</v>
      </c>
      <c r="U45" s="37" t="s">
        <v>319</v>
      </c>
    </row>
    <row r="46" spans="1:21" x14ac:dyDescent="0.25">
      <c r="A46" s="39">
        <v>2016</v>
      </c>
      <c r="B46" s="37" t="s">
        <v>179</v>
      </c>
      <c r="C46" s="37">
        <v>19522</v>
      </c>
      <c r="D46" s="37">
        <v>34</v>
      </c>
      <c r="E46" s="38">
        <v>42605</v>
      </c>
      <c r="F46" s="37" t="s">
        <v>104</v>
      </c>
      <c r="G46" s="37" t="s">
        <v>47</v>
      </c>
      <c r="H46" s="37" t="s">
        <v>180</v>
      </c>
      <c r="I46" s="37" t="s">
        <v>60</v>
      </c>
      <c r="J46" s="37" t="s">
        <v>106</v>
      </c>
      <c r="K46" s="37" t="s">
        <v>107</v>
      </c>
      <c r="L46" s="37" t="s">
        <v>6</v>
      </c>
      <c r="M46" s="37" t="s">
        <v>108</v>
      </c>
      <c r="O46" s="37">
        <v>3</v>
      </c>
      <c r="P46" s="37">
        <v>3</v>
      </c>
      <c r="Q46" s="37">
        <v>0</v>
      </c>
      <c r="R46" s="37" t="s">
        <v>109</v>
      </c>
      <c r="T46" s="37" t="s">
        <v>316</v>
      </c>
      <c r="U46" s="37" t="s">
        <v>322</v>
      </c>
    </row>
    <row r="47" spans="1:21" x14ac:dyDescent="0.25">
      <c r="A47" s="63">
        <v>2016</v>
      </c>
      <c r="B47" s="64" t="s">
        <v>181</v>
      </c>
      <c r="C47" s="37">
        <v>19523</v>
      </c>
      <c r="D47" s="64">
        <v>34</v>
      </c>
      <c r="E47" s="65">
        <v>42605</v>
      </c>
      <c r="F47" s="64" t="s">
        <v>104</v>
      </c>
      <c r="G47" s="64" t="s">
        <v>47</v>
      </c>
      <c r="H47" s="64" t="s">
        <v>180</v>
      </c>
      <c r="I47" s="64" t="s">
        <v>60</v>
      </c>
      <c r="J47" s="64" t="s">
        <v>106</v>
      </c>
      <c r="K47" s="64" t="s">
        <v>107</v>
      </c>
      <c r="L47" s="64" t="s">
        <v>5</v>
      </c>
      <c r="M47" s="64" t="s">
        <v>108</v>
      </c>
      <c r="N47" s="64"/>
      <c r="O47" s="64">
        <v>9</v>
      </c>
      <c r="P47" s="64">
        <v>9</v>
      </c>
      <c r="Q47" s="64">
        <v>1</v>
      </c>
      <c r="R47" s="64" t="s">
        <v>133</v>
      </c>
      <c r="T47" s="37" t="s">
        <v>317</v>
      </c>
      <c r="U47" s="37" t="s">
        <v>323</v>
      </c>
    </row>
    <row r="48" spans="1:21" x14ac:dyDescent="0.25">
      <c r="A48" s="39">
        <v>2016</v>
      </c>
      <c r="B48" s="37" t="s">
        <v>182</v>
      </c>
      <c r="C48" s="37">
        <v>19524</v>
      </c>
      <c r="D48" s="37">
        <v>34</v>
      </c>
      <c r="E48" s="38">
        <v>42605</v>
      </c>
      <c r="F48" s="37" t="s">
        <v>104</v>
      </c>
      <c r="G48" s="37" t="s">
        <v>47</v>
      </c>
      <c r="H48" s="37" t="s">
        <v>183</v>
      </c>
      <c r="I48" s="37" t="s">
        <v>60</v>
      </c>
      <c r="J48" s="37" t="s">
        <v>106</v>
      </c>
      <c r="K48" s="37" t="s">
        <v>107</v>
      </c>
      <c r="L48" s="37" t="s">
        <v>6</v>
      </c>
      <c r="M48" s="37" t="s">
        <v>108</v>
      </c>
      <c r="O48" s="37">
        <v>2</v>
      </c>
      <c r="P48" s="37">
        <v>2</v>
      </c>
      <c r="Q48" s="37">
        <v>0</v>
      </c>
      <c r="R48" s="37" t="s">
        <v>109</v>
      </c>
      <c r="T48" s="37" t="s">
        <v>316</v>
      </c>
      <c r="U48" s="37" t="s">
        <v>322</v>
      </c>
    </row>
    <row r="49" spans="1:21" x14ac:dyDescent="0.25">
      <c r="A49" s="39">
        <v>2016</v>
      </c>
      <c r="B49" s="37" t="s">
        <v>184</v>
      </c>
      <c r="C49" s="37">
        <v>19525</v>
      </c>
      <c r="D49" s="37">
        <v>34</v>
      </c>
      <c r="E49" s="38">
        <v>42605</v>
      </c>
      <c r="F49" s="37" t="s">
        <v>104</v>
      </c>
      <c r="G49" s="37" t="s">
        <v>47</v>
      </c>
      <c r="H49" s="37" t="s">
        <v>183</v>
      </c>
      <c r="I49" s="37" t="s">
        <v>60</v>
      </c>
      <c r="J49" s="37" t="s">
        <v>106</v>
      </c>
      <c r="K49" s="37" t="s">
        <v>107</v>
      </c>
      <c r="L49" s="37" t="s">
        <v>5</v>
      </c>
      <c r="M49" s="37" t="s">
        <v>108</v>
      </c>
      <c r="O49" s="37">
        <v>3</v>
      </c>
      <c r="P49" s="37">
        <v>3</v>
      </c>
      <c r="Q49" s="37">
        <v>0</v>
      </c>
      <c r="R49" s="37" t="s">
        <v>109</v>
      </c>
      <c r="T49" s="37" t="s">
        <v>317</v>
      </c>
      <c r="U49" s="37" t="s">
        <v>323</v>
      </c>
    </row>
    <row r="50" spans="1:21" x14ac:dyDescent="0.25">
      <c r="A50" s="39">
        <v>2016</v>
      </c>
      <c r="B50" s="37" t="s">
        <v>185</v>
      </c>
      <c r="C50" s="37">
        <v>19526</v>
      </c>
      <c r="D50" s="37">
        <v>34</v>
      </c>
      <c r="E50" s="38">
        <v>42605</v>
      </c>
      <c r="F50" s="37" t="s">
        <v>104</v>
      </c>
      <c r="G50" s="37" t="s">
        <v>47</v>
      </c>
      <c r="H50" s="37" t="s">
        <v>186</v>
      </c>
      <c r="I50" s="37" t="s">
        <v>60</v>
      </c>
      <c r="J50" s="37" t="s">
        <v>106</v>
      </c>
      <c r="K50" s="37" t="s">
        <v>107</v>
      </c>
      <c r="L50" s="37" t="s">
        <v>6</v>
      </c>
      <c r="M50" s="37" t="s">
        <v>108</v>
      </c>
      <c r="O50" s="37">
        <v>2</v>
      </c>
      <c r="P50" s="37">
        <v>2</v>
      </c>
      <c r="Q50" s="37">
        <v>0</v>
      </c>
      <c r="R50" s="37" t="s">
        <v>109</v>
      </c>
      <c r="T50" s="37" t="s">
        <v>316</v>
      </c>
      <c r="U50" s="37" t="s">
        <v>322</v>
      </c>
    </row>
    <row r="51" spans="1:21" x14ac:dyDescent="0.25">
      <c r="A51" s="39">
        <v>2016</v>
      </c>
      <c r="B51" s="37" t="s">
        <v>187</v>
      </c>
      <c r="C51" s="37">
        <v>19527</v>
      </c>
      <c r="D51" s="37">
        <v>34</v>
      </c>
      <c r="E51" s="38">
        <v>42605</v>
      </c>
      <c r="F51" s="37" t="s">
        <v>104</v>
      </c>
      <c r="G51" s="37" t="s">
        <v>47</v>
      </c>
      <c r="H51" s="37" t="s">
        <v>186</v>
      </c>
      <c r="I51" s="37" t="s">
        <v>60</v>
      </c>
      <c r="J51" s="37" t="s">
        <v>106</v>
      </c>
      <c r="K51" s="37" t="s">
        <v>107</v>
      </c>
      <c r="L51" s="37" t="s">
        <v>5</v>
      </c>
      <c r="M51" s="37" t="s">
        <v>108</v>
      </c>
      <c r="O51" s="37">
        <v>1</v>
      </c>
      <c r="P51" s="37">
        <v>1</v>
      </c>
      <c r="Q51" s="37">
        <v>0</v>
      </c>
      <c r="R51" s="37" t="s">
        <v>109</v>
      </c>
      <c r="T51" s="37" t="s">
        <v>317</v>
      </c>
      <c r="U51" s="37" t="s">
        <v>323</v>
      </c>
    </row>
    <row r="52" spans="1:21" x14ac:dyDescent="0.25">
      <c r="A52" s="63">
        <v>2016</v>
      </c>
      <c r="B52" s="64" t="s">
        <v>188</v>
      </c>
      <c r="C52" s="37">
        <v>19528</v>
      </c>
      <c r="D52" s="64">
        <v>34</v>
      </c>
      <c r="E52" s="65">
        <v>42605</v>
      </c>
      <c r="F52" s="64" t="s">
        <v>104</v>
      </c>
      <c r="G52" s="64" t="s">
        <v>47</v>
      </c>
      <c r="H52" s="64" t="s">
        <v>189</v>
      </c>
      <c r="I52" s="64" t="s">
        <v>60</v>
      </c>
      <c r="J52" s="64" t="s">
        <v>120</v>
      </c>
      <c r="K52" s="64" t="s">
        <v>107</v>
      </c>
      <c r="L52" s="64" t="s">
        <v>5</v>
      </c>
      <c r="M52" s="64" t="s">
        <v>108</v>
      </c>
      <c r="N52" s="64">
        <v>35</v>
      </c>
      <c r="O52" s="64"/>
      <c r="P52" s="64">
        <v>35</v>
      </c>
      <c r="Q52" s="64">
        <v>1</v>
      </c>
      <c r="R52" s="64" t="s">
        <v>133</v>
      </c>
      <c r="T52" s="37" t="s">
        <v>317</v>
      </c>
      <c r="U52" s="37" t="s">
        <v>323</v>
      </c>
    </row>
    <row r="53" spans="1:21" x14ac:dyDescent="0.25">
      <c r="A53" s="39">
        <v>2016</v>
      </c>
      <c r="B53" s="37" t="s">
        <v>190</v>
      </c>
      <c r="C53" s="37">
        <v>19529</v>
      </c>
      <c r="D53" s="37">
        <v>34</v>
      </c>
      <c r="E53" s="38">
        <v>42605</v>
      </c>
      <c r="F53" s="37" t="s">
        <v>104</v>
      </c>
      <c r="G53" s="37" t="s">
        <v>47</v>
      </c>
      <c r="H53" s="37" t="s">
        <v>191</v>
      </c>
      <c r="I53" s="37" t="s">
        <v>60</v>
      </c>
      <c r="J53" s="37" t="s">
        <v>106</v>
      </c>
      <c r="K53" s="37" t="s">
        <v>107</v>
      </c>
      <c r="L53" s="37" t="s">
        <v>6</v>
      </c>
      <c r="M53" s="37" t="s">
        <v>108</v>
      </c>
      <c r="O53" s="37">
        <v>2</v>
      </c>
      <c r="P53" s="37">
        <v>2</v>
      </c>
      <c r="Q53" s="37">
        <v>0</v>
      </c>
      <c r="R53" s="37" t="s">
        <v>109</v>
      </c>
      <c r="T53" s="37" t="s">
        <v>316</v>
      </c>
      <c r="U53" s="37" t="s">
        <v>322</v>
      </c>
    </row>
    <row r="54" spans="1:21" x14ac:dyDescent="0.25">
      <c r="A54" s="39">
        <v>2016</v>
      </c>
      <c r="B54" s="37" t="s">
        <v>192</v>
      </c>
      <c r="C54" s="37">
        <v>19530</v>
      </c>
      <c r="D54" s="37">
        <v>34</v>
      </c>
      <c r="E54" s="38">
        <v>42605</v>
      </c>
      <c r="F54" s="37" t="s">
        <v>104</v>
      </c>
      <c r="G54" s="37" t="s">
        <v>47</v>
      </c>
      <c r="H54" s="37" t="s">
        <v>191</v>
      </c>
      <c r="I54" s="37" t="s">
        <v>60</v>
      </c>
      <c r="J54" s="37" t="s">
        <v>106</v>
      </c>
      <c r="K54" s="37" t="s">
        <v>107</v>
      </c>
      <c r="L54" s="37" t="s">
        <v>5</v>
      </c>
      <c r="M54" s="37" t="s">
        <v>108</v>
      </c>
      <c r="O54" s="37">
        <v>1</v>
      </c>
      <c r="P54" s="37">
        <v>1</v>
      </c>
      <c r="Q54" s="37">
        <v>0</v>
      </c>
      <c r="R54" s="37" t="s">
        <v>109</v>
      </c>
      <c r="T54" s="37" t="s">
        <v>317</v>
      </c>
      <c r="U54" s="37" t="s">
        <v>323</v>
      </c>
    </row>
    <row r="55" spans="1:21" x14ac:dyDescent="0.25">
      <c r="A55" s="63">
        <v>2016</v>
      </c>
      <c r="B55" s="64" t="s">
        <v>193</v>
      </c>
      <c r="C55" s="37">
        <v>19531</v>
      </c>
      <c r="D55" s="64">
        <v>34</v>
      </c>
      <c r="E55" s="65">
        <v>42605</v>
      </c>
      <c r="F55" s="64" t="s">
        <v>104</v>
      </c>
      <c r="G55" s="64" t="s">
        <v>47</v>
      </c>
      <c r="H55" s="64" t="s">
        <v>194</v>
      </c>
      <c r="I55" s="64" t="s">
        <v>60</v>
      </c>
      <c r="J55" s="64" t="s">
        <v>120</v>
      </c>
      <c r="K55" s="64" t="s">
        <v>107</v>
      </c>
      <c r="L55" s="64" t="s">
        <v>5</v>
      </c>
      <c r="M55" s="64" t="s">
        <v>108</v>
      </c>
      <c r="N55" s="64">
        <v>50</v>
      </c>
      <c r="O55" s="64"/>
      <c r="P55" s="64">
        <v>50</v>
      </c>
      <c r="Q55" s="64">
        <v>1</v>
      </c>
      <c r="R55" s="64" t="s">
        <v>133</v>
      </c>
      <c r="T55" s="37" t="s">
        <v>317</v>
      </c>
      <c r="U55" s="37" t="s">
        <v>323</v>
      </c>
    </row>
    <row r="56" spans="1:21" x14ac:dyDescent="0.25">
      <c r="A56" s="39">
        <v>2016</v>
      </c>
      <c r="B56" s="37" t="s">
        <v>195</v>
      </c>
      <c r="C56" s="37">
        <v>19532</v>
      </c>
      <c r="D56" s="37">
        <v>34</v>
      </c>
      <c r="E56" s="38">
        <v>42605</v>
      </c>
      <c r="F56" s="37" t="s">
        <v>104</v>
      </c>
      <c r="G56" s="37" t="s">
        <v>47</v>
      </c>
      <c r="H56" s="37" t="s">
        <v>194</v>
      </c>
      <c r="I56" s="37" t="s">
        <v>60</v>
      </c>
      <c r="J56" s="37" t="s">
        <v>120</v>
      </c>
      <c r="K56" s="37" t="s">
        <v>107</v>
      </c>
      <c r="L56" s="37" t="s">
        <v>5</v>
      </c>
      <c r="M56" s="37" t="s">
        <v>108</v>
      </c>
      <c r="N56" s="37">
        <v>46</v>
      </c>
      <c r="P56" s="37">
        <v>46</v>
      </c>
      <c r="Q56" s="37">
        <v>0</v>
      </c>
      <c r="R56" s="37" t="s">
        <v>109</v>
      </c>
      <c r="T56" s="37" t="s">
        <v>317</v>
      </c>
      <c r="U56" s="37" t="s">
        <v>323</v>
      </c>
    </row>
    <row r="57" spans="1:21" x14ac:dyDescent="0.25">
      <c r="A57" s="39">
        <v>2016</v>
      </c>
      <c r="B57" s="37" t="s">
        <v>196</v>
      </c>
      <c r="C57" s="37">
        <v>19533</v>
      </c>
      <c r="D57" s="37">
        <v>34</v>
      </c>
      <c r="E57" s="38">
        <v>42605</v>
      </c>
      <c r="F57" s="37" t="s">
        <v>104</v>
      </c>
      <c r="G57" s="37" t="s">
        <v>47</v>
      </c>
      <c r="H57" s="37" t="s">
        <v>197</v>
      </c>
      <c r="I57" s="37" t="s">
        <v>60</v>
      </c>
      <c r="J57" s="37" t="s">
        <v>106</v>
      </c>
      <c r="K57" s="37" t="s">
        <v>107</v>
      </c>
      <c r="L57" s="37" t="s">
        <v>6</v>
      </c>
      <c r="M57" s="37" t="s">
        <v>108</v>
      </c>
      <c r="O57" s="37">
        <v>25</v>
      </c>
      <c r="P57" s="37">
        <v>25</v>
      </c>
      <c r="Q57" s="37">
        <v>0</v>
      </c>
      <c r="R57" s="37" t="s">
        <v>109</v>
      </c>
      <c r="T57" s="37" t="s">
        <v>316</v>
      </c>
      <c r="U57" s="37" t="s">
        <v>322</v>
      </c>
    </row>
    <row r="58" spans="1:21" x14ac:dyDescent="0.25">
      <c r="A58" s="39">
        <v>2016</v>
      </c>
      <c r="B58" s="37" t="s">
        <v>198</v>
      </c>
      <c r="C58" s="37">
        <v>19534</v>
      </c>
      <c r="D58" s="37">
        <v>34</v>
      </c>
      <c r="E58" s="38">
        <v>42605</v>
      </c>
      <c r="F58" s="37" t="s">
        <v>104</v>
      </c>
      <c r="G58" s="37" t="s">
        <v>47</v>
      </c>
      <c r="H58" s="37" t="s">
        <v>197</v>
      </c>
      <c r="I58" s="37" t="s">
        <v>60</v>
      </c>
      <c r="J58" s="37" t="s">
        <v>106</v>
      </c>
      <c r="K58" s="37" t="s">
        <v>107</v>
      </c>
      <c r="L58" s="37" t="s">
        <v>5</v>
      </c>
      <c r="M58" s="37" t="s">
        <v>108</v>
      </c>
      <c r="O58" s="37">
        <v>5</v>
      </c>
      <c r="P58" s="37">
        <v>5</v>
      </c>
      <c r="Q58" s="37">
        <v>0</v>
      </c>
      <c r="R58" s="37" t="s">
        <v>109</v>
      </c>
      <c r="T58" s="37" t="s">
        <v>317</v>
      </c>
      <c r="U58" s="37" t="s">
        <v>323</v>
      </c>
    </row>
    <row r="59" spans="1:21" x14ac:dyDescent="0.25">
      <c r="A59" s="39">
        <v>2016</v>
      </c>
      <c r="B59" s="37" t="s">
        <v>199</v>
      </c>
      <c r="C59" s="37">
        <v>19535</v>
      </c>
      <c r="D59" s="37">
        <v>34</v>
      </c>
      <c r="E59" s="38">
        <v>42605</v>
      </c>
      <c r="F59" s="37" t="s">
        <v>104</v>
      </c>
      <c r="G59" s="37" t="s">
        <v>47</v>
      </c>
      <c r="H59" s="37" t="s">
        <v>200</v>
      </c>
      <c r="I59" s="37" t="s">
        <v>60</v>
      </c>
      <c r="J59" s="37" t="s">
        <v>106</v>
      </c>
      <c r="K59" s="37" t="s">
        <v>107</v>
      </c>
      <c r="L59" s="37" t="s">
        <v>6</v>
      </c>
      <c r="M59" s="37" t="s">
        <v>108</v>
      </c>
      <c r="O59" s="37">
        <v>5</v>
      </c>
      <c r="P59" s="37">
        <v>5</v>
      </c>
      <c r="Q59" s="37">
        <v>0</v>
      </c>
      <c r="R59" s="37" t="s">
        <v>109</v>
      </c>
      <c r="T59" s="37" t="s">
        <v>316</v>
      </c>
      <c r="U59" s="37" t="s">
        <v>322</v>
      </c>
    </row>
    <row r="60" spans="1:21" x14ac:dyDescent="0.25">
      <c r="A60" s="39">
        <v>2016</v>
      </c>
      <c r="B60" s="37" t="s">
        <v>201</v>
      </c>
      <c r="C60" s="37">
        <v>19536</v>
      </c>
      <c r="D60" s="37">
        <v>34</v>
      </c>
      <c r="E60" s="38">
        <v>42605</v>
      </c>
      <c r="F60" s="37" t="s">
        <v>104</v>
      </c>
      <c r="G60" s="37" t="s">
        <v>47</v>
      </c>
      <c r="H60" s="37" t="s">
        <v>202</v>
      </c>
      <c r="I60" s="37" t="s">
        <v>60</v>
      </c>
      <c r="J60" s="37" t="s">
        <v>106</v>
      </c>
      <c r="K60" s="37" t="s">
        <v>107</v>
      </c>
      <c r="L60" s="37" t="s">
        <v>6</v>
      </c>
      <c r="M60" s="37" t="s">
        <v>108</v>
      </c>
      <c r="O60" s="37">
        <v>11</v>
      </c>
      <c r="P60" s="37">
        <v>11</v>
      </c>
      <c r="Q60" s="37">
        <v>0</v>
      </c>
      <c r="R60" s="37" t="s">
        <v>109</v>
      </c>
      <c r="T60" s="37" t="s">
        <v>316</v>
      </c>
      <c r="U60" s="37" t="s">
        <v>322</v>
      </c>
    </row>
    <row r="61" spans="1:21" x14ac:dyDescent="0.25">
      <c r="A61" s="39">
        <v>2016</v>
      </c>
      <c r="B61" s="37" t="s">
        <v>203</v>
      </c>
      <c r="C61" s="37">
        <v>19537</v>
      </c>
      <c r="D61" s="37">
        <v>34</v>
      </c>
      <c r="E61" s="38">
        <v>42605</v>
      </c>
      <c r="F61" s="37" t="s">
        <v>104</v>
      </c>
      <c r="G61" s="37" t="s">
        <v>47</v>
      </c>
      <c r="H61" s="37" t="s">
        <v>202</v>
      </c>
      <c r="I61" s="37" t="s">
        <v>60</v>
      </c>
      <c r="J61" s="37" t="s">
        <v>106</v>
      </c>
      <c r="K61" s="37" t="s">
        <v>107</v>
      </c>
      <c r="L61" s="37" t="s">
        <v>5</v>
      </c>
      <c r="M61" s="37" t="s">
        <v>108</v>
      </c>
      <c r="O61" s="37">
        <v>5</v>
      </c>
      <c r="P61" s="37">
        <v>5</v>
      </c>
      <c r="Q61" s="37">
        <v>0</v>
      </c>
      <c r="R61" s="37" t="s">
        <v>109</v>
      </c>
      <c r="T61" s="37" t="s">
        <v>317</v>
      </c>
      <c r="U61" s="37" t="s">
        <v>323</v>
      </c>
    </row>
    <row r="62" spans="1:21" x14ac:dyDescent="0.25">
      <c r="A62" s="63">
        <v>2016</v>
      </c>
      <c r="B62" s="64" t="s">
        <v>204</v>
      </c>
      <c r="C62" s="37">
        <v>19538</v>
      </c>
      <c r="D62" s="64">
        <v>34</v>
      </c>
      <c r="E62" s="65">
        <v>42606</v>
      </c>
      <c r="F62" s="64" t="s">
        <v>104</v>
      </c>
      <c r="G62" s="64" t="s">
        <v>9</v>
      </c>
      <c r="H62" s="64" t="s">
        <v>205</v>
      </c>
      <c r="I62" s="37" t="s">
        <v>9</v>
      </c>
      <c r="J62" s="64" t="s">
        <v>106</v>
      </c>
      <c r="K62" s="64" t="s">
        <v>107</v>
      </c>
      <c r="L62" s="64" t="s">
        <v>6</v>
      </c>
      <c r="M62" s="64" t="s">
        <v>108</v>
      </c>
      <c r="N62" s="64"/>
      <c r="O62" s="64">
        <v>14</v>
      </c>
      <c r="P62" s="64">
        <v>14</v>
      </c>
      <c r="Q62" s="64">
        <v>1</v>
      </c>
      <c r="R62" s="64" t="s">
        <v>133</v>
      </c>
      <c r="T62" s="37" t="s">
        <v>318</v>
      </c>
      <c r="U62" s="37" t="s">
        <v>318</v>
      </c>
    </row>
    <row r="63" spans="1:21" x14ac:dyDescent="0.25">
      <c r="A63" s="39">
        <v>2016</v>
      </c>
      <c r="B63" s="37" t="s">
        <v>206</v>
      </c>
      <c r="C63" s="37">
        <v>19539</v>
      </c>
      <c r="D63" s="37">
        <v>34</v>
      </c>
      <c r="E63" s="38">
        <v>42606</v>
      </c>
      <c r="F63" s="37" t="s">
        <v>104</v>
      </c>
      <c r="G63" s="37" t="s">
        <v>47</v>
      </c>
      <c r="H63" s="37" t="s">
        <v>207</v>
      </c>
      <c r="I63" s="37" t="s">
        <v>58</v>
      </c>
      <c r="J63" s="37" t="s">
        <v>106</v>
      </c>
      <c r="K63" s="37" t="s">
        <v>107</v>
      </c>
      <c r="L63" s="37" t="s">
        <v>5</v>
      </c>
      <c r="M63" s="37" t="s">
        <v>108</v>
      </c>
      <c r="O63" s="37">
        <v>2</v>
      </c>
      <c r="P63" s="37">
        <v>2</v>
      </c>
      <c r="Q63" s="37">
        <v>0</v>
      </c>
      <c r="R63" s="37" t="s">
        <v>109</v>
      </c>
      <c r="T63" s="37" t="s">
        <v>317</v>
      </c>
      <c r="U63" s="37" t="s">
        <v>324</v>
      </c>
    </row>
    <row r="64" spans="1:21" x14ac:dyDescent="0.25">
      <c r="A64" s="39">
        <v>2016</v>
      </c>
      <c r="B64" s="37" t="s">
        <v>208</v>
      </c>
      <c r="C64" s="37">
        <v>19540</v>
      </c>
      <c r="D64" s="37">
        <v>34</v>
      </c>
      <c r="E64" s="38">
        <v>42606</v>
      </c>
      <c r="F64" s="37" t="s">
        <v>104</v>
      </c>
      <c r="G64" s="37" t="s">
        <v>47</v>
      </c>
      <c r="H64" s="37" t="s">
        <v>209</v>
      </c>
      <c r="I64" s="37" t="s">
        <v>58</v>
      </c>
      <c r="J64" s="37" t="s">
        <v>106</v>
      </c>
      <c r="K64" s="37" t="s">
        <v>107</v>
      </c>
      <c r="L64" s="37" t="s">
        <v>6</v>
      </c>
      <c r="M64" s="37" t="s">
        <v>108</v>
      </c>
      <c r="O64" s="37">
        <v>9</v>
      </c>
      <c r="P64" s="37">
        <v>9</v>
      </c>
      <c r="Q64" s="37">
        <v>0</v>
      </c>
      <c r="R64" s="37" t="s">
        <v>109</v>
      </c>
      <c r="T64" s="37" t="s">
        <v>316</v>
      </c>
      <c r="U64" s="37" t="s">
        <v>325</v>
      </c>
    </row>
    <row r="65" spans="1:21" x14ac:dyDescent="0.25">
      <c r="A65" s="39">
        <v>2016</v>
      </c>
      <c r="B65" s="37" t="s">
        <v>210</v>
      </c>
      <c r="C65" s="37">
        <v>19541</v>
      </c>
      <c r="D65" s="37">
        <v>34</v>
      </c>
      <c r="E65" s="38">
        <v>42606</v>
      </c>
      <c r="F65" s="37" t="s">
        <v>104</v>
      </c>
      <c r="G65" s="37" t="s">
        <v>47</v>
      </c>
      <c r="H65" s="37" t="s">
        <v>211</v>
      </c>
      <c r="I65" s="37" t="s">
        <v>60</v>
      </c>
      <c r="J65" s="37" t="s">
        <v>106</v>
      </c>
      <c r="K65" s="37" t="s">
        <v>107</v>
      </c>
      <c r="L65" s="37" t="s">
        <v>6</v>
      </c>
      <c r="M65" s="37" t="s">
        <v>108</v>
      </c>
      <c r="O65" s="37">
        <v>18</v>
      </c>
      <c r="P65" s="37">
        <v>18</v>
      </c>
      <c r="Q65" s="37">
        <v>0</v>
      </c>
      <c r="R65" s="37" t="s">
        <v>109</v>
      </c>
      <c r="T65" s="37" t="s">
        <v>316</v>
      </c>
      <c r="U65" s="37" t="s">
        <v>322</v>
      </c>
    </row>
    <row r="66" spans="1:21" x14ac:dyDescent="0.25">
      <c r="A66" s="39">
        <v>2016</v>
      </c>
      <c r="B66" s="37" t="s">
        <v>212</v>
      </c>
      <c r="C66" s="37">
        <v>19542</v>
      </c>
      <c r="D66" s="37">
        <v>34</v>
      </c>
      <c r="E66" s="38">
        <v>42606</v>
      </c>
      <c r="F66" s="37" t="s">
        <v>104</v>
      </c>
      <c r="G66" s="37" t="s">
        <v>47</v>
      </c>
      <c r="H66" s="37" t="s">
        <v>213</v>
      </c>
      <c r="I66" s="37" t="s">
        <v>58</v>
      </c>
      <c r="J66" s="37" t="s">
        <v>106</v>
      </c>
      <c r="K66" s="37" t="s">
        <v>107</v>
      </c>
      <c r="L66" s="37" t="s">
        <v>6</v>
      </c>
      <c r="M66" s="37" t="s">
        <v>108</v>
      </c>
      <c r="O66" s="37">
        <v>23</v>
      </c>
      <c r="P66" s="37">
        <v>23</v>
      </c>
      <c r="Q66" s="37">
        <v>0</v>
      </c>
      <c r="R66" s="37" t="s">
        <v>109</v>
      </c>
      <c r="T66" s="37" t="s">
        <v>316</v>
      </c>
      <c r="U66" s="37" t="s">
        <v>325</v>
      </c>
    </row>
    <row r="67" spans="1:21" x14ac:dyDescent="0.25">
      <c r="A67" s="39">
        <v>2016</v>
      </c>
      <c r="B67" s="37" t="s">
        <v>214</v>
      </c>
      <c r="C67" s="37">
        <v>19543</v>
      </c>
      <c r="D67" s="37">
        <v>34</v>
      </c>
      <c r="E67" s="38">
        <v>42606</v>
      </c>
      <c r="F67" s="37" t="s">
        <v>104</v>
      </c>
      <c r="G67" s="37" t="s">
        <v>47</v>
      </c>
      <c r="H67" s="37" t="s">
        <v>213</v>
      </c>
      <c r="I67" s="37" t="s">
        <v>58</v>
      </c>
      <c r="J67" s="37" t="s">
        <v>106</v>
      </c>
      <c r="K67" s="37" t="s">
        <v>107</v>
      </c>
      <c r="L67" s="37" t="s">
        <v>5</v>
      </c>
      <c r="M67" s="37" t="s">
        <v>108</v>
      </c>
      <c r="O67" s="37">
        <v>7</v>
      </c>
      <c r="P67" s="37">
        <v>7</v>
      </c>
      <c r="Q67" s="37">
        <v>0</v>
      </c>
      <c r="R67" s="37" t="s">
        <v>109</v>
      </c>
      <c r="T67" s="37" t="s">
        <v>317</v>
      </c>
      <c r="U67" s="37" t="s">
        <v>324</v>
      </c>
    </row>
    <row r="68" spans="1:21" x14ac:dyDescent="0.25">
      <c r="A68" s="39">
        <v>2016</v>
      </c>
      <c r="B68" s="37" t="s">
        <v>215</v>
      </c>
      <c r="C68" s="37">
        <v>19544</v>
      </c>
      <c r="D68" s="37">
        <v>34</v>
      </c>
      <c r="E68" s="38">
        <v>42606</v>
      </c>
      <c r="F68" s="37" t="s">
        <v>104</v>
      </c>
      <c r="G68" s="37" t="s">
        <v>47</v>
      </c>
      <c r="H68" s="37" t="s">
        <v>216</v>
      </c>
      <c r="I68" s="37" t="s">
        <v>58</v>
      </c>
      <c r="J68" s="37" t="s">
        <v>106</v>
      </c>
      <c r="K68" s="37" t="s">
        <v>107</v>
      </c>
      <c r="L68" s="37" t="s">
        <v>6</v>
      </c>
      <c r="M68" s="37" t="s">
        <v>108</v>
      </c>
      <c r="O68" s="37">
        <v>43</v>
      </c>
      <c r="P68" s="37">
        <v>43</v>
      </c>
      <c r="Q68" s="37">
        <v>0</v>
      </c>
      <c r="R68" s="37" t="s">
        <v>109</v>
      </c>
      <c r="T68" s="37" t="s">
        <v>316</v>
      </c>
      <c r="U68" s="37" t="s">
        <v>325</v>
      </c>
    </row>
    <row r="69" spans="1:21" x14ac:dyDescent="0.25">
      <c r="A69" s="39">
        <v>2016</v>
      </c>
      <c r="B69" s="37" t="s">
        <v>217</v>
      </c>
      <c r="C69" s="37">
        <v>19545</v>
      </c>
      <c r="D69" s="37">
        <v>34</v>
      </c>
      <c r="E69" s="38">
        <v>42606</v>
      </c>
      <c r="F69" s="37" t="s">
        <v>104</v>
      </c>
      <c r="G69" s="37" t="s">
        <v>47</v>
      </c>
      <c r="H69" s="37" t="s">
        <v>216</v>
      </c>
      <c r="I69" s="37" t="s">
        <v>58</v>
      </c>
      <c r="J69" s="37" t="s">
        <v>106</v>
      </c>
      <c r="K69" s="37" t="s">
        <v>107</v>
      </c>
      <c r="L69" s="37" t="s">
        <v>5</v>
      </c>
      <c r="M69" s="37" t="s">
        <v>108</v>
      </c>
      <c r="O69" s="37">
        <v>20</v>
      </c>
      <c r="P69" s="37">
        <v>20</v>
      </c>
      <c r="Q69" s="37">
        <v>0</v>
      </c>
      <c r="R69" s="37" t="s">
        <v>109</v>
      </c>
      <c r="T69" s="37" t="s">
        <v>317</v>
      </c>
      <c r="U69" s="37" t="s">
        <v>324</v>
      </c>
    </row>
    <row r="70" spans="1:21" x14ac:dyDescent="0.25">
      <c r="A70" s="63">
        <v>2016</v>
      </c>
      <c r="B70" s="64" t="s">
        <v>218</v>
      </c>
      <c r="C70" s="37">
        <v>19546</v>
      </c>
      <c r="D70" s="64">
        <v>34</v>
      </c>
      <c r="E70" s="65">
        <v>42606</v>
      </c>
      <c r="F70" s="64" t="s">
        <v>104</v>
      </c>
      <c r="G70" s="64" t="s">
        <v>47</v>
      </c>
      <c r="H70" s="64" t="s">
        <v>219</v>
      </c>
      <c r="I70" s="64" t="s">
        <v>58</v>
      </c>
      <c r="J70" s="64" t="s">
        <v>120</v>
      </c>
      <c r="K70" s="64" t="s">
        <v>107</v>
      </c>
      <c r="L70" s="64" t="s">
        <v>5</v>
      </c>
      <c r="M70" s="64" t="s">
        <v>108</v>
      </c>
      <c r="N70" s="64">
        <v>50</v>
      </c>
      <c r="O70" s="64"/>
      <c r="P70" s="64">
        <v>50</v>
      </c>
      <c r="Q70" s="64">
        <v>1</v>
      </c>
      <c r="R70" s="64" t="s">
        <v>133</v>
      </c>
      <c r="T70" s="37" t="s">
        <v>317</v>
      </c>
      <c r="U70" s="37" t="s">
        <v>324</v>
      </c>
    </row>
    <row r="71" spans="1:21" x14ac:dyDescent="0.25">
      <c r="A71" s="64">
        <v>2016</v>
      </c>
      <c r="B71" s="64" t="s">
        <v>220</v>
      </c>
      <c r="C71" s="37">
        <v>19547</v>
      </c>
      <c r="D71" s="64">
        <v>34</v>
      </c>
      <c r="E71" s="64">
        <v>42606</v>
      </c>
      <c r="F71" s="64" t="s">
        <v>104</v>
      </c>
      <c r="G71" s="64" t="s">
        <v>47</v>
      </c>
      <c r="H71" s="64" t="s">
        <v>219</v>
      </c>
      <c r="I71" s="64" t="s">
        <v>58</v>
      </c>
      <c r="J71" s="64" t="s">
        <v>120</v>
      </c>
      <c r="K71" s="64" t="s">
        <v>107</v>
      </c>
      <c r="L71" s="64" t="s">
        <v>5</v>
      </c>
      <c r="M71" s="64" t="s">
        <v>108</v>
      </c>
      <c r="N71" s="64">
        <v>50</v>
      </c>
      <c r="O71" s="64"/>
      <c r="P71" s="64">
        <v>50</v>
      </c>
      <c r="Q71" s="64">
        <v>1</v>
      </c>
      <c r="R71" s="64" t="s">
        <v>133</v>
      </c>
      <c r="T71" s="37" t="s">
        <v>317</v>
      </c>
      <c r="U71" s="37" t="s">
        <v>324</v>
      </c>
    </row>
    <row r="72" spans="1:21" x14ac:dyDescent="0.25">
      <c r="A72" s="64">
        <v>2016</v>
      </c>
      <c r="B72" s="64" t="s">
        <v>221</v>
      </c>
      <c r="C72" s="37">
        <v>19548</v>
      </c>
      <c r="D72" s="64">
        <v>34</v>
      </c>
      <c r="E72" s="64">
        <v>42606</v>
      </c>
      <c r="F72" s="64" t="s">
        <v>104</v>
      </c>
      <c r="G72" s="64" t="s">
        <v>47</v>
      </c>
      <c r="H72" s="64" t="s">
        <v>219</v>
      </c>
      <c r="I72" s="64" t="s">
        <v>58</v>
      </c>
      <c r="J72" s="64" t="s">
        <v>120</v>
      </c>
      <c r="K72" s="64" t="s">
        <v>107</v>
      </c>
      <c r="L72" s="64" t="s">
        <v>5</v>
      </c>
      <c r="M72" s="64" t="s">
        <v>108</v>
      </c>
      <c r="N72" s="64">
        <v>50</v>
      </c>
      <c r="O72" s="64"/>
      <c r="P72" s="64">
        <v>50</v>
      </c>
      <c r="Q72" s="64">
        <v>1</v>
      </c>
      <c r="R72" s="64" t="s">
        <v>133</v>
      </c>
      <c r="T72" s="37" t="s">
        <v>317</v>
      </c>
      <c r="U72" s="37" t="s">
        <v>324</v>
      </c>
    </row>
    <row r="73" spans="1:21" x14ac:dyDescent="0.25">
      <c r="A73" s="37">
        <v>2016</v>
      </c>
      <c r="B73" s="37" t="s">
        <v>222</v>
      </c>
      <c r="C73" s="37">
        <v>19549</v>
      </c>
      <c r="D73" s="37">
        <v>34</v>
      </c>
      <c r="E73" s="37">
        <v>42606</v>
      </c>
      <c r="F73" s="37" t="s">
        <v>104</v>
      </c>
      <c r="G73" s="37" t="s">
        <v>47</v>
      </c>
      <c r="H73" s="37" t="s">
        <v>219</v>
      </c>
      <c r="I73" s="37" t="s">
        <v>58</v>
      </c>
      <c r="J73" s="37" t="s">
        <v>120</v>
      </c>
      <c r="K73" s="37" t="s">
        <v>107</v>
      </c>
      <c r="L73" s="37" t="s">
        <v>5</v>
      </c>
      <c r="M73" s="37" t="s">
        <v>108</v>
      </c>
      <c r="N73" s="37">
        <v>13</v>
      </c>
      <c r="P73" s="37">
        <v>13</v>
      </c>
      <c r="Q73" s="37">
        <v>0</v>
      </c>
      <c r="R73" s="37" t="s">
        <v>109</v>
      </c>
      <c r="T73" s="37" t="s">
        <v>317</v>
      </c>
      <c r="U73" s="37" t="s">
        <v>324</v>
      </c>
    </row>
    <row r="74" spans="1:21" x14ac:dyDescent="0.25">
      <c r="A74" s="37">
        <v>2016</v>
      </c>
      <c r="B74" s="37" t="s">
        <v>223</v>
      </c>
      <c r="C74" s="37">
        <v>19550</v>
      </c>
      <c r="D74" s="37">
        <v>34</v>
      </c>
      <c r="E74" s="37">
        <v>42606</v>
      </c>
      <c r="F74" s="37" t="s">
        <v>104</v>
      </c>
      <c r="G74" s="37" t="s">
        <v>47</v>
      </c>
      <c r="H74" s="37" t="s">
        <v>224</v>
      </c>
      <c r="I74" s="37" t="s">
        <v>58</v>
      </c>
      <c r="J74" s="37" t="s">
        <v>106</v>
      </c>
      <c r="K74" s="37" t="s">
        <v>107</v>
      </c>
      <c r="L74" s="37" t="s">
        <v>5</v>
      </c>
      <c r="M74" s="37" t="s">
        <v>108</v>
      </c>
      <c r="O74" s="37">
        <v>1</v>
      </c>
      <c r="P74" s="37">
        <v>1</v>
      </c>
      <c r="Q74" s="37">
        <v>0</v>
      </c>
      <c r="R74" s="37" t="s">
        <v>109</v>
      </c>
      <c r="T74" s="37" t="s">
        <v>317</v>
      </c>
      <c r="U74" s="37" t="s">
        <v>324</v>
      </c>
    </row>
    <row r="75" spans="1:21" x14ac:dyDescent="0.25">
      <c r="A75" s="37">
        <v>2016</v>
      </c>
      <c r="B75" s="37" t="s">
        <v>225</v>
      </c>
      <c r="C75" s="37">
        <v>19551</v>
      </c>
      <c r="D75" s="37">
        <v>34</v>
      </c>
      <c r="E75" s="37">
        <v>42606</v>
      </c>
      <c r="F75" s="37" t="s">
        <v>104</v>
      </c>
      <c r="G75" s="37" t="s">
        <v>47</v>
      </c>
      <c r="H75" s="37" t="s">
        <v>226</v>
      </c>
      <c r="I75" s="37" t="s">
        <v>58</v>
      </c>
      <c r="J75" s="37" t="s">
        <v>106</v>
      </c>
      <c r="K75" s="37" t="s">
        <v>107</v>
      </c>
      <c r="L75" s="37" t="s">
        <v>5</v>
      </c>
      <c r="M75" s="37" t="s">
        <v>108</v>
      </c>
      <c r="O75" s="37">
        <v>21</v>
      </c>
      <c r="P75" s="37">
        <v>21</v>
      </c>
      <c r="Q75" s="37">
        <v>0</v>
      </c>
      <c r="R75" s="37" t="s">
        <v>109</v>
      </c>
      <c r="T75" s="37" t="s">
        <v>317</v>
      </c>
      <c r="U75" s="37" t="s">
        <v>324</v>
      </c>
    </row>
    <row r="76" spans="1:21" x14ac:dyDescent="0.25">
      <c r="A76" s="37">
        <v>2016</v>
      </c>
      <c r="B76" s="37" t="s">
        <v>227</v>
      </c>
      <c r="C76" s="37">
        <v>19552</v>
      </c>
      <c r="D76" s="37">
        <v>34</v>
      </c>
      <c r="E76" s="37">
        <v>42606</v>
      </c>
      <c r="F76" s="37" t="s">
        <v>104</v>
      </c>
      <c r="G76" s="37" t="s">
        <v>47</v>
      </c>
      <c r="H76" s="37" t="s">
        <v>228</v>
      </c>
      <c r="I76" s="37" t="s">
        <v>58</v>
      </c>
      <c r="J76" s="37" t="s">
        <v>106</v>
      </c>
      <c r="K76" s="37" t="s">
        <v>107</v>
      </c>
      <c r="L76" s="37" t="s">
        <v>6</v>
      </c>
      <c r="M76" s="37" t="s">
        <v>108</v>
      </c>
      <c r="O76" s="37">
        <v>2</v>
      </c>
      <c r="P76" s="37">
        <v>2</v>
      </c>
      <c r="Q76" s="37">
        <v>0</v>
      </c>
      <c r="R76" s="37" t="s">
        <v>109</v>
      </c>
      <c r="T76" s="37" t="s">
        <v>316</v>
      </c>
      <c r="U76" s="37" t="s">
        <v>325</v>
      </c>
    </row>
    <row r="77" spans="1:21" x14ac:dyDescent="0.25">
      <c r="A77" s="64">
        <v>2016</v>
      </c>
      <c r="B77" s="64" t="s">
        <v>229</v>
      </c>
      <c r="C77" s="37">
        <v>19553</v>
      </c>
      <c r="D77" s="64">
        <v>34</v>
      </c>
      <c r="E77" s="64">
        <v>42606</v>
      </c>
      <c r="F77" s="64" t="s">
        <v>104</v>
      </c>
      <c r="G77" s="64" t="s">
        <v>47</v>
      </c>
      <c r="H77" s="64" t="s">
        <v>230</v>
      </c>
      <c r="I77" s="64" t="s">
        <v>58</v>
      </c>
      <c r="J77" s="64" t="s">
        <v>120</v>
      </c>
      <c r="K77" s="64" t="s">
        <v>107</v>
      </c>
      <c r="L77" s="64" t="s">
        <v>5</v>
      </c>
      <c r="M77" s="64" t="s">
        <v>108</v>
      </c>
      <c r="N77" s="64">
        <v>50</v>
      </c>
      <c r="O77" s="64"/>
      <c r="P77" s="64">
        <v>50</v>
      </c>
      <c r="Q77" s="64">
        <v>1</v>
      </c>
      <c r="R77" s="64" t="s">
        <v>133</v>
      </c>
      <c r="T77" s="37" t="s">
        <v>317</v>
      </c>
      <c r="U77" s="37" t="s">
        <v>324</v>
      </c>
    </row>
    <row r="78" spans="1:21" x14ac:dyDescent="0.25">
      <c r="A78" s="37">
        <v>2016</v>
      </c>
      <c r="B78" s="37" t="s">
        <v>231</v>
      </c>
      <c r="C78" s="37">
        <v>19554</v>
      </c>
      <c r="D78" s="37">
        <v>34</v>
      </c>
      <c r="E78" s="37">
        <v>42606</v>
      </c>
      <c r="F78" s="37" t="s">
        <v>104</v>
      </c>
      <c r="G78" s="37" t="s">
        <v>47</v>
      </c>
      <c r="H78" s="37" t="s">
        <v>230</v>
      </c>
      <c r="I78" s="37" t="s">
        <v>58</v>
      </c>
      <c r="J78" s="37" t="s">
        <v>120</v>
      </c>
      <c r="K78" s="37" t="s">
        <v>107</v>
      </c>
      <c r="L78" s="37" t="s">
        <v>5</v>
      </c>
      <c r="M78" s="37" t="s">
        <v>108</v>
      </c>
      <c r="N78" s="37">
        <v>49</v>
      </c>
      <c r="P78" s="37">
        <v>49</v>
      </c>
      <c r="Q78" s="37">
        <v>0</v>
      </c>
      <c r="R78" s="37" t="s">
        <v>109</v>
      </c>
      <c r="T78" s="37" t="s">
        <v>317</v>
      </c>
      <c r="U78" s="37" t="s">
        <v>324</v>
      </c>
    </row>
    <row r="79" spans="1:21" x14ac:dyDescent="0.25">
      <c r="A79" s="37">
        <v>2016</v>
      </c>
      <c r="B79" s="37" t="s">
        <v>232</v>
      </c>
      <c r="C79" s="37">
        <v>19555</v>
      </c>
      <c r="D79" s="37">
        <v>34</v>
      </c>
      <c r="E79" s="37">
        <v>42606</v>
      </c>
      <c r="F79" s="37" t="s">
        <v>104</v>
      </c>
      <c r="G79" s="37" t="s">
        <v>47</v>
      </c>
      <c r="H79" s="37" t="s">
        <v>233</v>
      </c>
      <c r="I79" s="37" t="s">
        <v>58</v>
      </c>
      <c r="J79" s="37" t="s">
        <v>106</v>
      </c>
      <c r="K79" s="37" t="s">
        <v>107</v>
      </c>
      <c r="L79" s="37" t="s">
        <v>6</v>
      </c>
      <c r="M79" s="37" t="s">
        <v>108</v>
      </c>
      <c r="O79" s="37">
        <v>2</v>
      </c>
      <c r="P79" s="37">
        <v>2</v>
      </c>
      <c r="Q79" s="37">
        <v>0</v>
      </c>
      <c r="R79" s="37" t="s">
        <v>109</v>
      </c>
      <c r="T79" s="37" t="s">
        <v>316</v>
      </c>
      <c r="U79" s="37" t="s">
        <v>325</v>
      </c>
    </row>
    <row r="80" spans="1:21" x14ac:dyDescent="0.25">
      <c r="A80" s="37">
        <v>2016</v>
      </c>
      <c r="B80" s="37" t="s">
        <v>234</v>
      </c>
      <c r="C80" s="37">
        <v>19556</v>
      </c>
      <c r="D80" s="37">
        <v>34</v>
      </c>
      <c r="E80" s="37">
        <v>42606</v>
      </c>
      <c r="F80" s="37" t="s">
        <v>104</v>
      </c>
      <c r="G80" s="37" t="s">
        <v>47</v>
      </c>
      <c r="H80" s="37" t="s">
        <v>235</v>
      </c>
      <c r="I80" s="37" t="s">
        <v>61</v>
      </c>
      <c r="J80" s="37" t="s">
        <v>106</v>
      </c>
      <c r="K80" s="37" t="s">
        <v>107</v>
      </c>
      <c r="L80" s="37" t="s">
        <v>6</v>
      </c>
      <c r="M80" s="37" t="s">
        <v>108</v>
      </c>
      <c r="O80" s="37">
        <v>5</v>
      </c>
      <c r="P80" s="37">
        <v>5</v>
      </c>
      <c r="Q80" s="37">
        <v>0</v>
      </c>
      <c r="R80" s="37" t="s">
        <v>109</v>
      </c>
      <c r="T80" s="37" t="s">
        <v>316</v>
      </c>
      <c r="U80" s="37" t="s">
        <v>320</v>
      </c>
    </row>
    <row r="81" spans="1:21" x14ac:dyDescent="0.25">
      <c r="A81" s="37">
        <v>2016</v>
      </c>
      <c r="B81" s="37" t="s">
        <v>236</v>
      </c>
      <c r="C81" s="37">
        <v>19557</v>
      </c>
      <c r="D81" s="37">
        <v>34</v>
      </c>
      <c r="E81" s="37">
        <v>42606</v>
      </c>
      <c r="F81" s="37" t="s">
        <v>104</v>
      </c>
      <c r="G81" s="37" t="s">
        <v>47</v>
      </c>
      <c r="H81" s="37" t="s">
        <v>237</v>
      </c>
      <c r="I81" s="37" t="s">
        <v>61</v>
      </c>
      <c r="J81" s="37" t="s">
        <v>106</v>
      </c>
      <c r="K81" s="37" t="s">
        <v>107</v>
      </c>
      <c r="L81" s="37" t="s">
        <v>6</v>
      </c>
      <c r="M81" s="37" t="s">
        <v>108</v>
      </c>
      <c r="O81" s="37">
        <v>5</v>
      </c>
      <c r="P81" s="37">
        <v>5</v>
      </c>
      <c r="Q81" s="37">
        <v>0</v>
      </c>
      <c r="R81" s="37" t="s">
        <v>109</v>
      </c>
      <c r="T81" s="37" t="s">
        <v>316</v>
      </c>
      <c r="U81" s="37" t="s">
        <v>320</v>
      </c>
    </row>
    <row r="82" spans="1:21" x14ac:dyDescent="0.25">
      <c r="A82" s="37">
        <v>2016</v>
      </c>
      <c r="B82" s="37" t="s">
        <v>238</v>
      </c>
      <c r="C82" s="37">
        <v>19558</v>
      </c>
      <c r="D82" s="37">
        <v>34</v>
      </c>
      <c r="E82" s="37">
        <v>42606</v>
      </c>
      <c r="F82" s="37" t="s">
        <v>104</v>
      </c>
      <c r="G82" s="37" t="s">
        <v>47</v>
      </c>
      <c r="H82" s="37" t="s">
        <v>237</v>
      </c>
      <c r="I82" s="37" t="s">
        <v>61</v>
      </c>
      <c r="J82" s="37" t="s">
        <v>106</v>
      </c>
      <c r="K82" s="37" t="s">
        <v>107</v>
      </c>
      <c r="L82" s="37" t="s">
        <v>5</v>
      </c>
      <c r="M82" s="37" t="s">
        <v>108</v>
      </c>
      <c r="O82" s="37">
        <v>8</v>
      </c>
      <c r="P82" s="37">
        <v>8</v>
      </c>
      <c r="Q82" s="37">
        <v>0</v>
      </c>
      <c r="R82" s="37" t="s">
        <v>109</v>
      </c>
      <c r="T82" s="37" t="s">
        <v>317</v>
      </c>
      <c r="U82" s="37" t="s">
        <v>321</v>
      </c>
    </row>
    <row r="83" spans="1:21" x14ac:dyDescent="0.25">
      <c r="A83" s="37">
        <v>2016</v>
      </c>
      <c r="B83" s="37" t="s">
        <v>239</v>
      </c>
      <c r="C83" s="37">
        <v>19559</v>
      </c>
      <c r="D83" s="37">
        <v>34</v>
      </c>
      <c r="E83" s="37">
        <v>42607</v>
      </c>
      <c r="F83" s="37" t="s">
        <v>104</v>
      </c>
      <c r="G83" s="37" t="s">
        <v>47</v>
      </c>
      <c r="H83" s="37" t="s">
        <v>240</v>
      </c>
      <c r="I83" s="37" t="s">
        <v>59</v>
      </c>
      <c r="J83" s="37" t="s">
        <v>120</v>
      </c>
      <c r="K83" s="37" t="s">
        <v>107</v>
      </c>
      <c r="L83" s="37" t="s">
        <v>5</v>
      </c>
      <c r="M83" s="37" t="s">
        <v>108</v>
      </c>
      <c r="N83" s="37">
        <v>50</v>
      </c>
      <c r="P83" s="37">
        <v>50</v>
      </c>
      <c r="Q83" s="37">
        <v>0</v>
      </c>
      <c r="R83" s="37" t="s">
        <v>109</v>
      </c>
      <c r="T83" s="37" t="s">
        <v>317</v>
      </c>
      <c r="U83" s="37" t="s">
        <v>326</v>
      </c>
    </row>
    <row r="84" spans="1:21" x14ac:dyDescent="0.25">
      <c r="A84" s="37">
        <v>2016</v>
      </c>
      <c r="B84" s="37" t="s">
        <v>241</v>
      </c>
      <c r="C84" s="37">
        <v>19560</v>
      </c>
      <c r="D84" s="37">
        <v>34</v>
      </c>
      <c r="E84" s="37">
        <v>42607</v>
      </c>
      <c r="F84" s="37" t="s">
        <v>104</v>
      </c>
      <c r="G84" s="37" t="s">
        <v>47</v>
      </c>
      <c r="H84" s="37" t="s">
        <v>240</v>
      </c>
      <c r="I84" s="37" t="s">
        <v>59</v>
      </c>
      <c r="J84" s="37" t="s">
        <v>120</v>
      </c>
      <c r="K84" s="37" t="s">
        <v>107</v>
      </c>
      <c r="L84" s="37" t="s">
        <v>5</v>
      </c>
      <c r="M84" s="37" t="s">
        <v>108</v>
      </c>
      <c r="N84" s="37">
        <v>10</v>
      </c>
      <c r="P84" s="37">
        <v>10</v>
      </c>
      <c r="Q84" s="37">
        <v>0</v>
      </c>
      <c r="R84" s="37" t="s">
        <v>109</v>
      </c>
      <c r="T84" s="37" t="s">
        <v>317</v>
      </c>
      <c r="U84" s="37" t="s">
        <v>326</v>
      </c>
    </row>
    <row r="85" spans="1:21" x14ac:dyDescent="0.25">
      <c r="A85" s="37">
        <v>2016</v>
      </c>
      <c r="B85" s="37" t="s">
        <v>242</v>
      </c>
      <c r="C85" s="37">
        <v>19561</v>
      </c>
      <c r="D85" s="37">
        <v>34</v>
      </c>
      <c r="E85" s="37">
        <v>42607</v>
      </c>
      <c r="F85" s="37" t="s">
        <v>104</v>
      </c>
      <c r="G85" s="37" t="s">
        <v>47</v>
      </c>
      <c r="H85" s="37" t="s">
        <v>243</v>
      </c>
      <c r="I85" s="37" t="s">
        <v>59</v>
      </c>
      <c r="J85" s="37" t="s">
        <v>106</v>
      </c>
      <c r="K85" s="37" t="s">
        <v>107</v>
      </c>
      <c r="L85" s="37" t="s">
        <v>6</v>
      </c>
      <c r="M85" s="37" t="s">
        <v>108</v>
      </c>
      <c r="O85" s="37">
        <v>5</v>
      </c>
      <c r="P85" s="37">
        <v>5</v>
      </c>
      <c r="Q85" s="37">
        <v>0</v>
      </c>
      <c r="R85" s="37" t="s">
        <v>109</v>
      </c>
      <c r="T85" s="37" t="s">
        <v>316</v>
      </c>
      <c r="U85" s="37" t="s">
        <v>327</v>
      </c>
    </row>
    <row r="86" spans="1:21" x14ac:dyDescent="0.25">
      <c r="A86" s="37">
        <v>2016</v>
      </c>
      <c r="B86" s="37" t="s">
        <v>244</v>
      </c>
      <c r="C86" s="37">
        <v>19562</v>
      </c>
      <c r="D86" s="37">
        <v>34</v>
      </c>
      <c r="E86" s="37">
        <v>42607</v>
      </c>
      <c r="F86" s="37" t="s">
        <v>104</v>
      </c>
      <c r="G86" s="37" t="s">
        <v>47</v>
      </c>
      <c r="H86" s="37" t="s">
        <v>243</v>
      </c>
      <c r="I86" s="37" t="s">
        <v>59</v>
      </c>
      <c r="J86" s="37" t="s">
        <v>106</v>
      </c>
      <c r="K86" s="37" t="s">
        <v>107</v>
      </c>
      <c r="L86" s="37" t="s">
        <v>5</v>
      </c>
      <c r="M86" s="37" t="s">
        <v>108</v>
      </c>
      <c r="O86" s="37">
        <v>6</v>
      </c>
      <c r="P86" s="37">
        <v>6</v>
      </c>
      <c r="Q86" s="37">
        <v>0</v>
      </c>
      <c r="R86" s="37" t="s">
        <v>109</v>
      </c>
      <c r="T86" s="37" t="s">
        <v>317</v>
      </c>
      <c r="U86" s="37" t="s">
        <v>326</v>
      </c>
    </row>
    <row r="87" spans="1:21" x14ac:dyDescent="0.25">
      <c r="A87" s="37">
        <v>2016</v>
      </c>
      <c r="B87" s="37" t="s">
        <v>245</v>
      </c>
      <c r="C87" s="37">
        <v>19563</v>
      </c>
      <c r="D87" s="37">
        <v>34</v>
      </c>
      <c r="E87" s="37">
        <v>42607</v>
      </c>
      <c r="F87" s="37" t="s">
        <v>104</v>
      </c>
      <c r="G87" s="37" t="s">
        <v>47</v>
      </c>
      <c r="H87" s="37" t="s">
        <v>246</v>
      </c>
      <c r="I87" s="37" t="s">
        <v>59</v>
      </c>
      <c r="J87" s="37" t="s">
        <v>106</v>
      </c>
      <c r="K87" s="37" t="s">
        <v>107</v>
      </c>
      <c r="L87" s="37" t="s">
        <v>5</v>
      </c>
      <c r="M87" s="37" t="s">
        <v>108</v>
      </c>
      <c r="O87" s="37">
        <v>3</v>
      </c>
      <c r="P87" s="37">
        <v>3</v>
      </c>
      <c r="Q87" s="37">
        <v>0</v>
      </c>
      <c r="R87" s="37" t="s">
        <v>109</v>
      </c>
      <c r="T87" s="37" t="s">
        <v>317</v>
      </c>
      <c r="U87" s="37" t="s">
        <v>326</v>
      </c>
    </row>
    <row r="88" spans="1:21" x14ac:dyDescent="0.25">
      <c r="A88" s="37">
        <v>2016</v>
      </c>
      <c r="B88" s="37" t="s">
        <v>247</v>
      </c>
      <c r="C88" s="37">
        <v>19564</v>
      </c>
      <c r="D88" s="37">
        <v>34</v>
      </c>
      <c r="E88" s="37">
        <v>42607</v>
      </c>
      <c r="F88" s="37" t="s">
        <v>104</v>
      </c>
      <c r="G88" s="37" t="s">
        <v>47</v>
      </c>
      <c r="H88" s="37" t="s">
        <v>248</v>
      </c>
      <c r="I88" s="37" t="s">
        <v>59</v>
      </c>
      <c r="J88" s="37" t="s">
        <v>120</v>
      </c>
      <c r="K88" s="37" t="s">
        <v>107</v>
      </c>
      <c r="L88" s="37" t="s">
        <v>5</v>
      </c>
      <c r="M88" s="37" t="s">
        <v>108</v>
      </c>
      <c r="N88" s="37">
        <v>3</v>
      </c>
      <c r="P88" s="37">
        <v>3</v>
      </c>
      <c r="Q88" s="37">
        <v>0</v>
      </c>
      <c r="R88" s="37" t="s">
        <v>109</v>
      </c>
      <c r="T88" s="37" t="s">
        <v>317</v>
      </c>
      <c r="U88" s="37" t="s">
        <v>326</v>
      </c>
    </row>
    <row r="89" spans="1:21" x14ac:dyDescent="0.25">
      <c r="A89" s="37">
        <v>2016</v>
      </c>
      <c r="B89" s="37" t="s">
        <v>249</v>
      </c>
      <c r="C89" s="37">
        <v>19565</v>
      </c>
      <c r="D89" s="37">
        <v>34</v>
      </c>
      <c r="E89" s="37">
        <v>42607</v>
      </c>
      <c r="F89" s="37" t="s">
        <v>104</v>
      </c>
      <c r="G89" s="37" t="s">
        <v>47</v>
      </c>
      <c r="H89" s="37" t="s">
        <v>250</v>
      </c>
      <c r="I89" s="37" t="s">
        <v>59</v>
      </c>
      <c r="J89" s="37" t="s">
        <v>106</v>
      </c>
      <c r="K89" s="37" t="s">
        <v>107</v>
      </c>
      <c r="L89" s="37" t="s">
        <v>6</v>
      </c>
      <c r="M89" s="37" t="s">
        <v>108</v>
      </c>
      <c r="O89" s="37">
        <v>10</v>
      </c>
      <c r="P89" s="37">
        <v>10</v>
      </c>
      <c r="Q89" s="37">
        <v>0</v>
      </c>
      <c r="R89" s="37" t="s">
        <v>109</v>
      </c>
      <c r="T89" s="37" t="s">
        <v>316</v>
      </c>
      <c r="U89" s="37" t="s">
        <v>327</v>
      </c>
    </row>
    <row r="90" spans="1:21" x14ac:dyDescent="0.25">
      <c r="A90" s="37">
        <v>2016</v>
      </c>
      <c r="B90" s="37" t="s">
        <v>251</v>
      </c>
      <c r="C90" s="37">
        <v>19566</v>
      </c>
      <c r="D90" s="37">
        <v>34</v>
      </c>
      <c r="E90" s="37">
        <v>42607</v>
      </c>
      <c r="F90" s="37" t="s">
        <v>104</v>
      </c>
      <c r="G90" s="37" t="s">
        <v>47</v>
      </c>
      <c r="H90" s="37" t="s">
        <v>250</v>
      </c>
      <c r="I90" s="37" t="s">
        <v>59</v>
      </c>
      <c r="J90" s="37" t="s">
        <v>106</v>
      </c>
      <c r="K90" s="37" t="s">
        <v>107</v>
      </c>
      <c r="L90" s="37" t="s">
        <v>5</v>
      </c>
      <c r="M90" s="37" t="s">
        <v>108</v>
      </c>
      <c r="O90" s="37">
        <v>6</v>
      </c>
      <c r="P90" s="37">
        <v>6</v>
      </c>
      <c r="Q90" s="37">
        <v>0</v>
      </c>
      <c r="R90" s="37" t="s">
        <v>109</v>
      </c>
      <c r="T90" s="37" t="s">
        <v>317</v>
      </c>
      <c r="U90" s="37" t="s">
        <v>326</v>
      </c>
    </row>
    <row r="91" spans="1:21" x14ac:dyDescent="0.25">
      <c r="A91" s="37">
        <v>2016</v>
      </c>
      <c r="B91" s="37" t="s">
        <v>252</v>
      </c>
      <c r="C91" s="37">
        <v>19567</v>
      </c>
      <c r="D91" s="37">
        <v>34</v>
      </c>
      <c r="E91" s="37">
        <v>42607</v>
      </c>
      <c r="F91" s="37" t="s">
        <v>104</v>
      </c>
      <c r="G91" s="37" t="s">
        <v>47</v>
      </c>
      <c r="H91" s="37" t="s">
        <v>253</v>
      </c>
      <c r="I91" s="37" t="s">
        <v>59</v>
      </c>
      <c r="J91" s="37" t="s">
        <v>120</v>
      </c>
      <c r="K91" s="37" t="s">
        <v>107</v>
      </c>
      <c r="L91" s="37" t="s">
        <v>5</v>
      </c>
      <c r="M91" s="37" t="s">
        <v>108</v>
      </c>
      <c r="N91" s="37">
        <v>4</v>
      </c>
      <c r="P91" s="37">
        <v>4</v>
      </c>
      <c r="Q91" s="37">
        <v>0</v>
      </c>
      <c r="R91" s="37" t="s">
        <v>109</v>
      </c>
      <c r="T91" s="37" t="s">
        <v>317</v>
      </c>
      <c r="U91" s="37" t="s">
        <v>326</v>
      </c>
    </row>
    <row r="92" spans="1:21" x14ac:dyDescent="0.25">
      <c r="A92" s="37">
        <v>2016</v>
      </c>
      <c r="B92" s="37" t="s">
        <v>254</v>
      </c>
      <c r="C92" s="37">
        <v>19568</v>
      </c>
      <c r="D92" s="37">
        <v>34</v>
      </c>
      <c r="E92" s="37">
        <v>42607</v>
      </c>
      <c r="F92" s="37" t="s">
        <v>104</v>
      </c>
      <c r="G92" s="37" t="s">
        <v>47</v>
      </c>
      <c r="H92" s="37" t="s">
        <v>255</v>
      </c>
      <c r="I92" s="37" t="s">
        <v>58</v>
      </c>
      <c r="J92" s="37" t="s">
        <v>106</v>
      </c>
      <c r="K92" s="37" t="s">
        <v>107</v>
      </c>
      <c r="L92" s="37" t="s">
        <v>6</v>
      </c>
      <c r="M92" s="37" t="s">
        <v>108</v>
      </c>
      <c r="O92" s="37">
        <v>3</v>
      </c>
      <c r="P92" s="37">
        <v>3</v>
      </c>
      <c r="Q92" s="37">
        <v>0</v>
      </c>
      <c r="R92" s="37" t="s">
        <v>109</v>
      </c>
      <c r="T92" s="37" t="s">
        <v>316</v>
      </c>
      <c r="U92" s="37" t="s">
        <v>325</v>
      </c>
    </row>
    <row r="93" spans="1:21" x14ac:dyDescent="0.25">
      <c r="A93" s="37">
        <v>2016</v>
      </c>
      <c r="B93" s="37" t="s">
        <v>256</v>
      </c>
      <c r="C93" s="37">
        <v>19569</v>
      </c>
      <c r="D93" s="37">
        <v>34</v>
      </c>
      <c r="E93" s="37">
        <v>42607</v>
      </c>
      <c r="F93" s="37" t="s">
        <v>104</v>
      </c>
      <c r="G93" s="37" t="s">
        <v>47</v>
      </c>
      <c r="H93" s="37" t="s">
        <v>255</v>
      </c>
      <c r="I93" s="37" t="s">
        <v>58</v>
      </c>
      <c r="J93" s="37" t="s">
        <v>106</v>
      </c>
      <c r="K93" s="37" t="s">
        <v>107</v>
      </c>
      <c r="L93" s="37" t="s">
        <v>5</v>
      </c>
      <c r="M93" s="37" t="s">
        <v>108</v>
      </c>
      <c r="O93" s="37">
        <v>2</v>
      </c>
      <c r="P93" s="37">
        <v>2</v>
      </c>
      <c r="Q93" s="37">
        <v>0</v>
      </c>
      <c r="R93" s="37" t="s">
        <v>109</v>
      </c>
      <c r="T93" s="37" t="s">
        <v>317</v>
      </c>
      <c r="U93" s="37" t="s">
        <v>324</v>
      </c>
    </row>
    <row r="94" spans="1:21" x14ac:dyDescent="0.25">
      <c r="A94" s="37">
        <v>2016</v>
      </c>
      <c r="B94" s="37" t="s">
        <v>257</v>
      </c>
      <c r="C94" s="37">
        <v>19570</v>
      </c>
      <c r="D94" s="37">
        <v>34</v>
      </c>
      <c r="E94" s="37">
        <v>42607</v>
      </c>
      <c r="F94" s="37" t="s">
        <v>104</v>
      </c>
      <c r="G94" s="37" t="s">
        <v>47</v>
      </c>
      <c r="H94" s="37" t="s">
        <v>258</v>
      </c>
      <c r="I94" s="37" t="s">
        <v>59</v>
      </c>
      <c r="J94" s="37" t="s">
        <v>106</v>
      </c>
      <c r="K94" s="37" t="s">
        <v>107</v>
      </c>
      <c r="L94" s="37" t="s">
        <v>6</v>
      </c>
      <c r="M94" s="37" t="s">
        <v>108</v>
      </c>
      <c r="O94" s="37">
        <v>3</v>
      </c>
      <c r="P94" s="37">
        <v>3</v>
      </c>
      <c r="Q94" s="37">
        <v>0</v>
      </c>
      <c r="R94" s="37" t="s">
        <v>109</v>
      </c>
      <c r="T94" s="37" t="s">
        <v>316</v>
      </c>
      <c r="U94" s="37" t="s">
        <v>327</v>
      </c>
    </row>
    <row r="95" spans="1:21" x14ac:dyDescent="0.25">
      <c r="A95" s="64">
        <v>2016</v>
      </c>
      <c r="B95" s="64" t="s">
        <v>259</v>
      </c>
      <c r="C95" s="37">
        <v>19571</v>
      </c>
      <c r="D95" s="64">
        <v>34</v>
      </c>
      <c r="E95" s="64">
        <v>42607</v>
      </c>
      <c r="F95" s="64" t="s">
        <v>104</v>
      </c>
      <c r="G95" s="64" t="s">
        <v>47</v>
      </c>
      <c r="H95" s="64" t="s">
        <v>258</v>
      </c>
      <c r="I95" s="64" t="s">
        <v>59</v>
      </c>
      <c r="J95" s="64" t="s">
        <v>106</v>
      </c>
      <c r="K95" s="64" t="s">
        <v>107</v>
      </c>
      <c r="L95" s="64" t="s">
        <v>5</v>
      </c>
      <c r="M95" s="64" t="s">
        <v>108</v>
      </c>
      <c r="N95" s="64"/>
      <c r="O95" s="64">
        <v>13</v>
      </c>
      <c r="P95" s="64">
        <v>13</v>
      </c>
      <c r="Q95" s="64">
        <v>1</v>
      </c>
      <c r="R95" s="64" t="s">
        <v>133</v>
      </c>
      <c r="T95" s="37" t="s">
        <v>317</v>
      </c>
      <c r="U95" s="37" t="s">
        <v>326</v>
      </c>
    </row>
    <row r="96" spans="1:21" x14ac:dyDescent="0.25">
      <c r="A96" s="37">
        <v>2016</v>
      </c>
      <c r="B96" s="37" t="s">
        <v>260</v>
      </c>
      <c r="C96" s="37">
        <v>19572</v>
      </c>
      <c r="D96" s="37">
        <v>34</v>
      </c>
      <c r="E96" s="37">
        <v>42607</v>
      </c>
      <c r="F96" s="37" t="s">
        <v>104</v>
      </c>
      <c r="G96" s="37" t="s">
        <v>47</v>
      </c>
      <c r="H96" s="37" t="s">
        <v>261</v>
      </c>
      <c r="I96" s="37" t="s">
        <v>59</v>
      </c>
      <c r="J96" s="37" t="s">
        <v>106</v>
      </c>
      <c r="K96" s="37" t="s">
        <v>107</v>
      </c>
      <c r="L96" s="37" t="s">
        <v>6</v>
      </c>
      <c r="M96" s="37" t="s">
        <v>108</v>
      </c>
      <c r="O96" s="37">
        <v>3</v>
      </c>
      <c r="P96" s="37">
        <v>3</v>
      </c>
      <c r="Q96" s="37">
        <v>0</v>
      </c>
      <c r="R96" s="37" t="s">
        <v>109</v>
      </c>
      <c r="T96" s="37" t="s">
        <v>316</v>
      </c>
      <c r="U96" s="37" t="s">
        <v>327</v>
      </c>
    </row>
    <row r="97" spans="1:21" x14ac:dyDescent="0.25">
      <c r="A97" s="37">
        <v>2016</v>
      </c>
      <c r="B97" s="37" t="s">
        <v>262</v>
      </c>
      <c r="C97" s="37">
        <v>19573</v>
      </c>
      <c r="D97" s="37">
        <v>34</v>
      </c>
      <c r="E97" s="37">
        <v>42607</v>
      </c>
      <c r="F97" s="37" t="s">
        <v>104</v>
      </c>
      <c r="G97" s="37" t="s">
        <v>47</v>
      </c>
      <c r="H97" s="37" t="s">
        <v>261</v>
      </c>
      <c r="I97" s="37" t="s">
        <v>59</v>
      </c>
      <c r="J97" s="37" t="s">
        <v>106</v>
      </c>
      <c r="K97" s="37" t="s">
        <v>107</v>
      </c>
      <c r="L97" s="37" t="s">
        <v>5</v>
      </c>
      <c r="M97" s="37" t="s">
        <v>108</v>
      </c>
      <c r="O97" s="37">
        <v>22</v>
      </c>
      <c r="P97" s="37">
        <v>22</v>
      </c>
      <c r="Q97" s="37">
        <v>0</v>
      </c>
      <c r="R97" s="37" t="s">
        <v>109</v>
      </c>
      <c r="T97" s="37" t="s">
        <v>317</v>
      </c>
      <c r="U97" s="37" t="s">
        <v>326</v>
      </c>
    </row>
    <row r="98" spans="1:21" x14ac:dyDescent="0.25">
      <c r="A98" s="64">
        <v>2016</v>
      </c>
      <c r="B98" s="64" t="s">
        <v>263</v>
      </c>
      <c r="C98" s="37">
        <v>19574</v>
      </c>
      <c r="D98" s="64">
        <v>34</v>
      </c>
      <c r="E98" s="64">
        <v>42607</v>
      </c>
      <c r="F98" s="64" t="s">
        <v>104</v>
      </c>
      <c r="G98" s="64" t="s">
        <v>47</v>
      </c>
      <c r="H98" s="64" t="s">
        <v>264</v>
      </c>
      <c r="I98" s="64" t="s">
        <v>59</v>
      </c>
      <c r="J98" s="64" t="s">
        <v>120</v>
      </c>
      <c r="K98" s="64" t="s">
        <v>107</v>
      </c>
      <c r="L98" s="64" t="s">
        <v>5</v>
      </c>
      <c r="M98" s="64" t="s">
        <v>108</v>
      </c>
      <c r="N98" s="64">
        <v>29</v>
      </c>
      <c r="O98" s="64"/>
      <c r="P98" s="64">
        <v>29</v>
      </c>
      <c r="Q98" s="64">
        <v>1</v>
      </c>
      <c r="R98" s="64" t="s">
        <v>133</v>
      </c>
      <c r="T98" s="37" t="s">
        <v>317</v>
      </c>
      <c r="U98" s="37" t="s">
        <v>326</v>
      </c>
    </row>
    <row r="99" spans="1:21" x14ac:dyDescent="0.25">
      <c r="A99" s="37">
        <v>2016</v>
      </c>
      <c r="B99" s="37" t="s">
        <v>265</v>
      </c>
      <c r="C99" s="37">
        <v>19575</v>
      </c>
      <c r="D99" s="37">
        <v>34</v>
      </c>
      <c r="E99" s="37">
        <v>42607</v>
      </c>
      <c r="F99" s="37" t="s">
        <v>104</v>
      </c>
      <c r="G99" s="37" t="s">
        <v>47</v>
      </c>
      <c r="H99" s="37" t="s">
        <v>266</v>
      </c>
      <c r="I99" s="37" t="s">
        <v>59</v>
      </c>
      <c r="J99" s="37" t="s">
        <v>106</v>
      </c>
      <c r="K99" s="37" t="s">
        <v>107</v>
      </c>
      <c r="L99" s="37" t="s">
        <v>6</v>
      </c>
      <c r="M99" s="37" t="s">
        <v>108</v>
      </c>
      <c r="O99" s="37">
        <v>3</v>
      </c>
      <c r="P99" s="37">
        <v>3</v>
      </c>
      <c r="Q99" s="37">
        <v>0</v>
      </c>
      <c r="R99" s="37" t="s">
        <v>109</v>
      </c>
      <c r="T99" s="37" t="s">
        <v>316</v>
      </c>
      <c r="U99" s="37" t="s">
        <v>327</v>
      </c>
    </row>
    <row r="100" spans="1:21" x14ac:dyDescent="0.25">
      <c r="A100" s="37">
        <v>2016</v>
      </c>
      <c r="B100" s="37" t="s">
        <v>267</v>
      </c>
      <c r="C100" s="37">
        <v>19576</v>
      </c>
      <c r="D100" s="37">
        <v>34</v>
      </c>
      <c r="E100" s="37">
        <v>42607</v>
      </c>
      <c r="F100" s="37" t="s">
        <v>104</v>
      </c>
      <c r="G100" s="37" t="s">
        <v>47</v>
      </c>
      <c r="H100" s="37" t="s">
        <v>266</v>
      </c>
      <c r="I100" s="37" t="s">
        <v>59</v>
      </c>
      <c r="J100" s="37" t="s">
        <v>106</v>
      </c>
      <c r="K100" s="37" t="s">
        <v>107</v>
      </c>
      <c r="L100" s="37" t="s">
        <v>5</v>
      </c>
      <c r="M100" s="37" t="s">
        <v>108</v>
      </c>
      <c r="O100" s="37">
        <v>3</v>
      </c>
      <c r="P100" s="37">
        <v>3</v>
      </c>
      <c r="Q100" s="37">
        <v>0</v>
      </c>
      <c r="R100" s="37" t="s">
        <v>109</v>
      </c>
      <c r="T100" s="37" t="s">
        <v>317</v>
      </c>
      <c r="U100" s="37" t="s">
        <v>326</v>
      </c>
    </row>
    <row r="101" spans="1:21" x14ac:dyDescent="0.25">
      <c r="A101" s="37">
        <v>2016</v>
      </c>
      <c r="B101" s="37" t="s">
        <v>268</v>
      </c>
      <c r="C101" s="37">
        <v>19577</v>
      </c>
      <c r="D101" s="37">
        <v>34</v>
      </c>
      <c r="E101" s="37">
        <v>42607</v>
      </c>
      <c r="F101" s="37" t="s">
        <v>104</v>
      </c>
      <c r="G101" s="37" t="s">
        <v>47</v>
      </c>
      <c r="H101" s="37" t="s">
        <v>269</v>
      </c>
      <c r="I101" s="37" t="s">
        <v>59</v>
      </c>
      <c r="J101" s="37" t="s">
        <v>106</v>
      </c>
      <c r="K101" s="37" t="s">
        <v>107</v>
      </c>
      <c r="L101" s="37" t="s">
        <v>5</v>
      </c>
      <c r="M101" s="37" t="s">
        <v>108</v>
      </c>
      <c r="O101" s="37">
        <v>3</v>
      </c>
      <c r="P101" s="37">
        <v>3</v>
      </c>
      <c r="Q101" s="37">
        <v>0</v>
      </c>
      <c r="R101" s="37" t="s">
        <v>109</v>
      </c>
      <c r="T101" s="37" t="s">
        <v>317</v>
      </c>
      <c r="U101" s="37" t="s">
        <v>326</v>
      </c>
    </row>
    <row r="102" spans="1:21" x14ac:dyDescent="0.25">
      <c r="A102" s="37">
        <v>2016</v>
      </c>
      <c r="B102" s="37" t="s">
        <v>270</v>
      </c>
      <c r="C102" s="37">
        <v>19578</v>
      </c>
      <c r="D102" s="37">
        <v>34</v>
      </c>
      <c r="E102" s="37">
        <v>42607</v>
      </c>
      <c r="F102" s="37" t="s">
        <v>104</v>
      </c>
      <c r="G102" s="37" t="s">
        <v>47</v>
      </c>
      <c r="H102" s="37" t="s">
        <v>271</v>
      </c>
      <c r="I102" s="37" t="s">
        <v>59</v>
      </c>
      <c r="J102" s="37" t="s">
        <v>106</v>
      </c>
      <c r="K102" s="37" t="s">
        <v>107</v>
      </c>
      <c r="L102" s="37" t="s">
        <v>6</v>
      </c>
      <c r="M102" s="37" t="s">
        <v>108</v>
      </c>
      <c r="O102" s="37">
        <v>3</v>
      </c>
      <c r="P102" s="37">
        <v>3</v>
      </c>
      <c r="Q102" s="37">
        <v>0</v>
      </c>
      <c r="R102" s="37" t="s">
        <v>109</v>
      </c>
      <c r="T102" s="37" t="s">
        <v>316</v>
      </c>
      <c r="U102" s="37" t="s">
        <v>327</v>
      </c>
    </row>
    <row r="103" spans="1:21" x14ac:dyDescent="0.25">
      <c r="A103" s="37">
        <v>2016</v>
      </c>
      <c r="B103" s="37" t="s">
        <v>272</v>
      </c>
      <c r="C103" s="37">
        <v>19579</v>
      </c>
      <c r="D103" s="37">
        <v>34</v>
      </c>
      <c r="E103" s="37">
        <v>42607</v>
      </c>
      <c r="F103" s="37" t="s">
        <v>104</v>
      </c>
      <c r="G103" s="37" t="s">
        <v>47</v>
      </c>
      <c r="H103" s="37" t="s">
        <v>271</v>
      </c>
      <c r="I103" s="37" t="s">
        <v>59</v>
      </c>
      <c r="J103" s="37" t="s">
        <v>106</v>
      </c>
      <c r="K103" s="37" t="s">
        <v>107</v>
      </c>
      <c r="L103" s="37" t="s">
        <v>5</v>
      </c>
      <c r="M103" s="37" t="s">
        <v>108</v>
      </c>
      <c r="O103" s="37">
        <v>12</v>
      </c>
      <c r="P103" s="37">
        <v>12</v>
      </c>
      <c r="Q103" s="37">
        <v>0</v>
      </c>
      <c r="R103" s="37" t="s">
        <v>109</v>
      </c>
      <c r="T103" s="37" t="s">
        <v>317</v>
      </c>
      <c r="U103" s="37" t="s">
        <v>326</v>
      </c>
    </row>
    <row r="104" spans="1:21" x14ac:dyDescent="0.25">
      <c r="A104" s="37"/>
      <c r="E104" s="37"/>
    </row>
    <row r="105" spans="1:21" x14ac:dyDescent="0.25">
      <c r="A105" s="37"/>
      <c r="E105" s="37"/>
    </row>
    <row r="106" spans="1:21" x14ac:dyDescent="0.25">
      <c r="A106" s="37"/>
      <c r="E106" s="37"/>
    </row>
    <row r="107" spans="1:21" x14ac:dyDescent="0.25">
      <c r="A107" s="37"/>
      <c r="E107" s="37"/>
    </row>
    <row r="108" spans="1:21" x14ac:dyDescent="0.25">
      <c r="A108" s="37"/>
      <c r="E108" s="37"/>
    </row>
    <row r="109" spans="1:21" x14ac:dyDescent="0.25">
      <c r="A109" s="37"/>
      <c r="E109" s="37"/>
    </row>
    <row r="110" spans="1:21" x14ac:dyDescent="0.25">
      <c r="A110" s="37"/>
      <c r="E110" s="37"/>
    </row>
    <row r="111" spans="1:21" x14ac:dyDescent="0.25">
      <c r="A111" s="37"/>
      <c r="E111" s="37"/>
    </row>
    <row r="112" spans="1:21"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103">
    <sortCondition ref="C2:C1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B2: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41</v>
      </c>
      <c r="B1" s="69" t="s">
        <v>328</v>
      </c>
      <c r="C1" s="69" t="s">
        <v>329</v>
      </c>
      <c r="D1" s="69" t="s">
        <v>330</v>
      </c>
      <c r="E1" s="68" t="s">
        <v>331</v>
      </c>
      <c r="F1" s="68" t="s">
        <v>332</v>
      </c>
      <c r="G1" s="68" t="s">
        <v>333</v>
      </c>
      <c r="H1" s="68" t="s">
        <v>334</v>
      </c>
      <c r="I1" s="68" t="s">
        <v>335</v>
      </c>
      <c r="J1" s="68" t="s">
        <v>336</v>
      </c>
    </row>
    <row r="2" spans="1:10" x14ac:dyDescent="0.25">
      <c r="A2" t="s">
        <v>47</v>
      </c>
      <c r="B2" s="31">
        <v>13.567466122110835</v>
      </c>
      <c r="C2" s="31">
        <v>7.3607175417570669</v>
      </c>
      <c r="D2" s="31">
        <v>23.449289148666594</v>
      </c>
      <c r="E2" s="66">
        <v>1000</v>
      </c>
      <c r="F2" s="67" t="s">
        <v>337</v>
      </c>
      <c r="G2" s="67" t="s">
        <v>338</v>
      </c>
      <c r="H2">
        <v>82</v>
      </c>
      <c r="I2">
        <v>12</v>
      </c>
      <c r="J2">
        <v>1082</v>
      </c>
    </row>
    <row r="3" spans="1:10" x14ac:dyDescent="0.25">
      <c r="A3" t="s">
        <v>9</v>
      </c>
      <c r="B3" s="31">
        <v>15.919150037896616</v>
      </c>
      <c r="C3" s="31">
        <v>5.975147987326042</v>
      </c>
      <c r="D3" s="31">
        <v>36.96435290746075</v>
      </c>
      <c r="E3" s="66">
        <v>1000</v>
      </c>
      <c r="F3" s="67" t="s">
        <v>337</v>
      </c>
      <c r="G3" s="67" t="s">
        <v>338</v>
      </c>
      <c r="H3">
        <v>20</v>
      </c>
      <c r="I3">
        <v>5</v>
      </c>
      <c r="J3">
        <v>399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3" sqref="A3: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46</v>
      </c>
      <c r="B1" s="69" t="s">
        <v>328</v>
      </c>
      <c r="C1" s="69" t="s">
        <v>329</v>
      </c>
      <c r="D1" s="69" t="s">
        <v>330</v>
      </c>
      <c r="E1" s="68" t="s">
        <v>331</v>
      </c>
      <c r="F1" s="68" t="s">
        <v>332</v>
      </c>
      <c r="G1" s="68" t="s">
        <v>333</v>
      </c>
      <c r="H1" s="68" t="s">
        <v>334</v>
      </c>
      <c r="I1" s="68" t="s">
        <v>335</v>
      </c>
      <c r="J1" s="68" t="s">
        <v>336</v>
      </c>
    </row>
    <row r="2" spans="1:10" x14ac:dyDescent="0.25">
      <c r="A2" t="s">
        <v>9</v>
      </c>
      <c r="B2" s="31">
        <v>15.919150037896616</v>
      </c>
      <c r="C2" s="31">
        <v>5.975147987326042</v>
      </c>
      <c r="D2" s="31">
        <v>36.96435290746075</v>
      </c>
      <c r="E2" s="66">
        <v>1000</v>
      </c>
      <c r="F2" s="67" t="s">
        <v>337</v>
      </c>
      <c r="G2" s="67" t="s">
        <v>338</v>
      </c>
      <c r="H2">
        <v>20</v>
      </c>
      <c r="I2">
        <v>5</v>
      </c>
      <c r="J2">
        <v>399</v>
      </c>
    </row>
    <row r="3" spans="1:10" x14ac:dyDescent="0.25">
      <c r="A3" t="s">
        <v>59</v>
      </c>
      <c r="B3" s="31">
        <v>11.032737481449766</v>
      </c>
      <c r="C3" s="31">
        <v>2.0490529641496456</v>
      </c>
      <c r="D3" s="31">
        <v>36.414119561975902</v>
      </c>
      <c r="E3" s="66">
        <v>1000</v>
      </c>
      <c r="F3" s="67" t="s">
        <v>337</v>
      </c>
      <c r="G3" s="67" t="s">
        <v>338</v>
      </c>
      <c r="H3">
        <v>19</v>
      </c>
      <c r="I3">
        <v>2</v>
      </c>
      <c r="J3">
        <v>191</v>
      </c>
    </row>
    <row r="4" spans="1:10" x14ac:dyDescent="0.25">
      <c r="A4" t="s">
        <v>58</v>
      </c>
      <c r="B4" s="31">
        <v>13.048183147866625</v>
      </c>
      <c r="C4" s="31">
        <v>4.1637446420343815</v>
      </c>
      <c r="D4" s="31">
        <v>34.120789614184751</v>
      </c>
      <c r="E4" s="66">
        <v>1000</v>
      </c>
      <c r="F4" s="67" t="s">
        <v>337</v>
      </c>
      <c r="G4" s="67" t="s">
        <v>338</v>
      </c>
      <c r="H4">
        <v>18</v>
      </c>
      <c r="I4">
        <v>4</v>
      </c>
      <c r="J4">
        <v>397</v>
      </c>
    </row>
    <row r="5" spans="1:10" x14ac:dyDescent="0.25">
      <c r="A5" t="s">
        <v>60</v>
      </c>
      <c r="B5" s="31">
        <v>22.256481797265028</v>
      </c>
      <c r="C5" s="31">
        <v>9.1996468379747007</v>
      </c>
      <c r="D5" s="31">
        <v>47.848084174047266</v>
      </c>
      <c r="E5" s="66">
        <v>1000</v>
      </c>
      <c r="F5" s="67" t="s">
        <v>337</v>
      </c>
      <c r="G5" s="67" t="s">
        <v>338</v>
      </c>
      <c r="H5">
        <v>31</v>
      </c>
      <c r="I5">
        <v>6</v>
      </c>
      <c r="J5">
        <v>343</v>
      </c>
    </row>
    <row r="6" spans="1:10" x14ac:dyDescent="0.25">
      <c r="A6" t="s">
        <v>61</v>
      </c>
      <c r="B6" s="31">
        <v>0</v>
      </c>
      <c r="C6" s="31">
        <v>0</v>
      </c>
      <c r="D6" s="31">
        <v>19.419954548981117</v>
      </c>
      <c r="E6" s="66">
        <v>1000</v>
      </c>
      <c r="F6" s="67" t="s">
        <v>62</v>
      </c>
      <c r="G6" s="67" t="s">
        <v>339</v>
      </c>
      <c r="H6">
        <v>14</v>
      </c>
      <c r="I6">
        <v>0</v>
      </c>
      <c r="J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2" sqref="A2: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92</v>
      </c>
      <c r="B1" s="69" t="s">
        <v>328</v>
      </c>
      <c r="C1" s="69" t="s">
        <v>329</v>
      </c>
      <c r="D1" s="69" t="s">
        <v>330</v>
      </c>
      <c r="E1" s="68" t="s">
        <v>331</v>
      </c>
      <c r="F1" s="68" t="s">
        <v>332</v>
      </c>
      <c r="G1" s="68" t="s">
        <v>333</v>
      </c>
      <c r="H1" s="68" t="s">
        <v>334</v>
      </c>
      <c r="I1" s="68" t="s">
        <v>335</v>
      </c>
      <c r="J1" s="68" t="s">
        <v>336</v>
      </c>
    </row>
    <row r="2" spans="1:10" x14ac:dyDescent="0.25">
      <c r="A2" t="s">
        <v>319</v>
      </c>
      <c r="B2" s="31">
        <v>16.317642027211935</v>
      </c>
      <c r="C2" s="31">
        <v>4.269743634763608</v>
      </c>
      <c r="D2" s="31">
        <v>50.771849222822219</v>
      </c>
      <c r="E2" s="66">
        <v>1000</v>
      </c>
      <c r="F2" s="67" t="s">
        <v>337</v>
      </c>
      <c r="G2" s="67" t="s">
        <v>338</v>
      </c>
      <c r="H2">
        <v>11</v>
      </c>
      <c r="I2">
        <v>3</v>
      </c>
      <c r="J2">
        <v>246</v>
      </c>
    </row>
    <row r="3" spans="1:10" x14ac:dyDescent="0.25">
      <c r="A3" t="s">
        <v>318</v>
      </c>
      <c r="B3" s="31">
        <v>13.536841981498121</v>
      </c>
      <c r="C3" s="31">
        <v>2.6510612175675079</v>
      </c>
      <c r="D3" s="31">
        <v>44.829432710120749</v>
      </c>
      <c r="E3" s="66">
        <v>1000</v>
      </c>
      <c r="F3" s="67" t="s">
        <v>337</v>
      </c>
      <c r="G3" s="67" t="s">
        <v>338</v>
      </c>
      <c r="H3">
        <v>9</v>
      </c>
      <c r="I3">
        <v>2</v>
      </c>
      <c r="J3">
        <v>153</v>
      </c>
    </row>
    <row r="4" spans="1:10" x14ac:dyDescent="0.25">
      <c r="A4" t="s">
        <v>326</v>
      </c>
      <c r="B4" s="31">
        <v>12.808669194880974</v>
      </c>
      <c r="C4" s="31">
        <v>2.4461758858157561</v>
      </c>
      <c r="D4" s="31">
        <v>42.379444323695225</v>
      </c>
      <c r="E4" s="66">
        <v>1000</v>
      </c>
      <c r="F4" s="67" t="s">
        <v>337</v>
      </c>
      <c r="G4" s="67" t="s">
        <v>338</v>
      </c>
      <c r="H4">
        <v>13</v>
      </c>
      <c r="I4">
        <v>2</v>
      </c>
      <c r="J4">
        <v>164</v>
      </c>
    </row>
    <row r="5" spans="1:10" x14ac:dyDescent="0.25">
      <c r="A5" t="s">
        <v>327</v>
      </c>
      <c r="B5" s="31">
        <v>0</v>
      </c>
      <c r="C5" s="31">
        <v>0</v>
      </c>
      <c r="D5" s="31">
        <v>98.726265707276241</v>
      </c>
      <c r="E5" s="66">
        <v>1000</v>
      </c>
      <c r="F5" s="67" t="s">
        <v>62</v>
      </c>
      <c r="G5" s="67" t="s">
        <v>339</v>
      </c>
      <c r="H5">
        <v>6</v>
      </c>
      <c r="I5">
        <v>0</v>
      </c>
      <c r="J5">
        <v>27</v>
      </c>
    </row>
    <row r="6" spans="1:10" x14ac:dyDescent="0.25">
      <c r="A6" t="s">
        <v>324</v>
      </c>
      <c r="B6" s="31">
        <v>18.014997138011665</v>
      </c>
      <c r="C6" s="31">
        <v>5.758459057375469</v>
      </c>
      <c r="D6" s="31">
        <v>49.676384630938266</v>
      </c>
      <c r="E6" s="66">
        <v>1000</v>
      </c>
      <c r="F6" s="67" t="s">
        <v>337</v>
      </c>
      <c r="G6" s="67" t="s">
        <v>338</v>
      </c>
      <c r="H6">
        <v>12</v>
      </c>
      <c r="I6">
        <v>4</v>
      </c>
      <c r="J6">
        <v>315</v>
      </c>
    </row>
    <row r="7" spans="1:10" x14ac:dyDescent="0.25">
      <c r="A7" t="s">
        <v>325</v>
      </c>
      <c r="B7" s="31">
        <v>0</v>
      </c>
      <c r="C7" s="31">
        <v>0</v>
      </c>
      <c r="D7" s="31">
        <v>29.217951539329174</v>
      </c>
      <c r="E7" s="66">
        <v>1000</v>
      </c>
      <c r="F7" s="67" t="s">
        <v>62</v>
      </c>
      <c r="G7" s="67" t="s">
        <v>339</v>
      </c>
      <c r="H7">
        <v>6</v>
      </c>
      <c r="I7">
        <v>0</v>
      </c>
      <c r="J7">
        <v>82</v>
      </c>
    </row>
    <row r="8" spans="1:10" x14ac:dyDescent="0.25">
      <c r="A8" t="s">
        <v>323</v>
      </c>
      <c r="B8" s="31">
        <v>25.095598659797659</v>
      </c>
      <c r="C8" s="31">
        <v>8.3830158196802298</v>
      </c>
      <c r="D8" s="31">
        <v>66.504497635040892</v>
      </c>
      <c r="E8" s="66">
        <v>1000</v>
      </c>
      <c r="F8" s="67" t="s">
        <v>337</v>
      </c>
      <c r="G8" s="67" t="s">
        <v>338</v>
      </c>
      <c r="H8">
        <v>16</v>
      </c>
      <c r="I8">
        <v>4</v>
      </c>
      <c r="J8">
        <v>219</v>
      </c>
    </row>
    <row r="9" spans="1:10" x14ac:dyDescent="0.25">
      <c r="A9" t="s">
        <v>322</v>
      </c>
      <c r="B9" s="31">
        <v>16.655195755555248</v>
      </c>
      <c r="C9" s="31">
        <v>3.1056487421915189</v>
      </c>
      <c r="D9" s="31">
        <v>54.266056927711112</v>
      </c>
      <c r="E9" s="66">
        <v>1000</v>
      </c>
      <c r="F9" s="67" t="s">
        <v>337</v>
      </c>
      <c r="G9" s="67" t="s">
        <v>338</v>
      </c>
      <c r="H9">
        <v>15</v>
      </c>
      <c r="I9">
        <v>2</v>
      </c>
      <c r="J9">
        <v>124</v>
      </c>
    </row>
    <row r="10" spans="1:10" x14ac:dyDescent="0.25">
      <c r="A10" t="s">
        <v>321</v>
      </c>
      <c r="B10" s="31">
        <v>0</v>
      </c>
      <c r="C10" s="31">
        <v>0</v>
      </c>
      <c r="D10" s="31">
        <v>28.93683668459007</v>
      </c>
      <c r="E10" s="66">
        <v>1000</v>
      </c>
      <c r="F10" s="67" t="s">
        <v>62</v>
      </c>
      <c r="G10" s="67" t="s">
        <v>339</v>
      </c>
      <c r="H10">
        <v>5</v>
      </c>
      <c r="I10">
        <v>0</v>
      </c>
      <c r="J10">
        <v>78</v>
      </c>
    </row>
    <row r="11" spans="1:10" x14ac:dyDescent="0.25">
      <c r="A11" t="s">
        <v>320</v>
      </c>
      <c r="B11" s="31">
        <v>0</v>
      </c>
      <c r="C11" s="31">
        <v>0</v>
      </c>
      <c r="D11" s="31">
        <v>37.091409763355529</v>
      </c>
      <c r="E11" s="66">
        <v>1000</v>
      </c>
      <c r="F11" s="67" t="s">
        <v>62</v>
      </c>
      <c r="G11" s="67" t="s">
        <v>339</v>
      </c>
      <c r="H11">
        <v>9</v>
      </c>
      <c r="I11">
        <v>0</v>
      </c>
      <c r="J11">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2" sqref="A2: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91</v>
      </c>
      <c r="B1" s="69" t="s">
        <v>328</v>
      </c>
      <c r="C1" s="69" t="s">
        <v>329</v>
      </c>
      <c r="D1" s="69" t="s">
        <v>330</v>
      </c>
      <c r="E1" s="68" t="s">
        <v>331</v>
      </c>
      <c r="F1" s="68" t="s">
        <v>332</v>
      </c>
      <c r="G1" s="68" t="s">
        <v>333</v>
      </c>
      <c r="H1" s="68" t="s">
        <v>334</v>
      </c>
      <c r="I1" s="68" t="s">
        <v>335</v>
      </c>
      <c r="J1" s="68" t="s">
        <v>336</v>
      </c>
    </row>
    <row r="2" spans="1:10" x14ac:dyDescent="0.25">
      <c r="A2" t="s">
        <v>317</v>
      </c>
      <c r="B2" s="31">
        <v>17.050677477172833</v>
      </c>
      <c r="C2" s="31">
        <v>8.6879654594773168</v>
      </c>
      <c r="D2" s="31">
        <v>31.344839728081297</v>
      </c>
      <c r="E2" s="66">
        <v>1000</v>
      </c>
      <c r="F2" s="67" t="s">
        <v>337</v>
      </c>
      <c r="G2" s="67" t="s">
        <v>338</v>
      </c>
      <c r="H2">
        <v>46</v>
      </c>
      <c r="I2">
        <v>10</v>
      </c>
      <c r="J2">
        <v>776</v>
      </c>
    </row>
    <row r="3" spans="1:10" x14ac:dyDescent="0.25">
      <c r="A3" t="s">
        <v>316</v>
      </c>
      <c r="B3" s="31">
        <v>6.5643495242034797</v>
      </c>
      <c r="C3" s="31">
        <v>1.208107276706869</v>
      </c>
      <c r="D3" s="31">
        <v>21.248957206817536</v>
      </c>
      <c r="E3" s="66">
        <v>1000</v>
      </c>
      <c r="F3" s="67" t="s">
        <v>337</v>
      </c>
      <c r="G3" s="67" t="s">
        <v>338</v>
      </c>
      <c r="H3">
        <v>36</v>
      </c>
      <c r="I3">
        <v>2</v>
      </c>
      <c r="J3">
        <v>306</v>
      </c>
    </row>
    <row r="4" spans="1:10" x14ac:dyDescent="0.25">
      <c r="A4" t="s">
        <v>319</v>
      </c>
      <c r="B4" s="31">
        <v>16.317642027211935</v>
      </c>
      <c r="C4" s="31">
        <v>4.269743634763608</v>
      </c>
      <c r="D4" s="31">
        <v>50.771849222822219</v>
      </c>
      <c r="E4" s="66">
        <v>1000</v>
      </c>
      <c r="F4" s="67" t="s">
        <v>337</v>
      </c>
      <c r="G4" s="67" t="s">
        <v>338</v>
      </c>
      <c r="H4">
        <v>11</v>
      </c>
      <c r="I4">
        <v>3</v>
      </c>
      <c r="J4">
        <v>246</v>
      </c>
    </row>
    <row r="5" spans="1:10" x14ac:dyDescent="0.25">
      <c r="A5" t="s">
        <v>318</v>
      </c>
      <c r="B5" s="31">
        <v>13.536841981498121</v>
      </c>
      <c r="C5" s="31">
        <v>2.6510612175675079</v>
      </c>
      <c r="D5" s="31">
        <v>44.829432710120749</v>
      </c>
      <c r="E5" s="66">
        <v>1000</v>
      </c>
      <c r="F5" s="67" t="s">
        <v>337</v>
      </c>
      <c r="G5" s="67" t="s">
        <v>338</v>
      </c>
      <c r="H5">
        <v>9</v>
      </c>
      <c r="I5">
        <v>2</v>
      </c>
      <c r="J5">
        <v>153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opLeftCell="A13" zoomScale="85" zoomScaleNormal="85" workbookViewId="0">
      <selection activeCell="M39" sqref="M39"/>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5" t="s">
        <v>8</v>
      </c>
      <c r="B1" s="45" t="s">
        <v>0</v>
      </c>
      <c r="C1" s="45" t="s">
        <v>66</v>
      </c>
      <c r="D1" s="45" t="s">
        <v>46</v>
      </c>
      <c r="E1" s="45" t="s">
        <v>67</v>
      </c>
      <c r="F1" s="45" t="s">
        <v>68</v>
      </c>
      <c r="G1" s="45" t="s">
        <v>69</v>
      </c>
      <c r="H1" s="45" t="s">
        <v>70</v>
      </c>
      <c r="I1" s="45" t="s">
        <v>71</v>
      </c>
      <c r="J1" s="45" t="s">
        <v>72</v>
      </c>
      <c r="K1" s="45" t="s">
        <v>73</v>
      </c>
      <c r="L1" s="45" t="s">
        <v>45</v>
      </c>
    </row>
    <row r="2" spans="1:12" x14ac:dyDescent="0.25">
      <c r="A2" s="108">
        <v>35</v>
      </c>
      <c r="B2" s="109" t="s">
        <v>347</v>
      </c>
      <c r="C2" s="110" t="s">
        <v>261</v>
      </c>
      <c r="D2" s="110" t="s">
        <v>59</v>
      </c>
      <c r="E2" s="110" t="s">
        <v>275</v>
      </c>
      <c r="F2" s="110" t="s">
        <v>273</v>
      </c>
      <c r="G2" s="110" t="s">
        <v>274</v>
      </c>
      <c r="H2" s="110">
        <v>9</v>
      </c>
      <c r="I2" s="110">
        <v>10</v>
      </c>
      <c r="J2" s="110">
        <v>19</v>
      </c>
      <c r="K2" s="110">
        <v>29</v>
      </c>
      <c r="L2" s="110">
        <v>10</v>
      </c>
    </row>
    <row r="3" spans="1:12" x14ac:dyDescent="0.25">
      <c r="A3" s="108">
        <v>35</v>
      </c>
      <c r="B3" s="109" t="s">
        <v>347</v>
      </c>
      <c r="C3" s="110" t="s">
        <v>269</v>
      </c>
      <c r="D3" s="110" t="s">
        <v>59</v>
      </c>
      <c r="E3" s="110" t="s">
        <v>276</v>
      </c>
      <c r="F3" s="110" t="s">
        <v>273</v>
      </c>
      <c r="G3" s="110" t="s">
        <v>274</v>
      </c>
      <c r="H3" s="110">
        <v>10</v>
      </c>
      <c r="I3" s="110">
        <v>21</v>
      </c>
      <c r="J3" s="110">
        <v>31</v>
      </c>
      <c r="K3" s="110">
        <v>54</v>
      </c>
    </row>
    <row r="4" spans="1:12" x14ac:dyDescent="0.25">
      <c r="A4" s="108">
        <v>35</v>
      </c>
      <c r="B4" s="109" t="s">
        <v>347</v>
      </c>
      <c r="C4" s="110" t="s">
        <v>246</v>
      </c>
      <c r="D4" s="110" t="s">
        <v>59</v>
      </c>
      <c r="E4" s="110" t="s">
        <v>277</v>
      </c>
      <c r="F4" s="110" t="s">
        <v>273</v>
      </c>
      <c r="G4" s="110" t="s">
        <v>274</v>
      </c>
      <c r="H4" s="110">
        <v>20</v>
      </c>
      <c r="I4" s="110">
        <v>11</v>
      </c>
      <c r="J4" s="110">
        <v>31</v>
      </c>
      <c r="K4" s="110">
        <v>32</v>
      </c>
    </row>
    <row r="5" spans="1:12" x14ac:dyDescent="0.25">
      <c r="A5" s="108">
        <v>35</v>
      </c>
      <c r="B5" s="109" t="s">
        <v>347</v>
      </c>
      <c r="C5" s="110" t="s">
        <v>278</v>
      </c>
      <c r="D5" s="110" t="s">
        <v>59</v>
      </c>
      <c r="E5" s="110" t="s">
        <v>279</v>
      </c>
      <c r="F5" s="110" t="s">
        <v>273</v>
      </c>
      <c r="G5" s="110" t="s">
        <v>274</v>
      </c>
      <c r="H5" s="110">
        <v>23</v>
      </c>
      <c r="I5" s="110">
        <v>2</v>
      </c>
      <c r="J5" s="110">
        <v>25</v>
      </c>
      <c r="K5" s="110">
        <v>31</v>
      </c>
    </row>
    <row r="6" spans="1:12" x14ac:dyDescent="0.25">
      <c r="A6" s="108">
        <v>35</v>
      </c>
      <c r="B6" s="109" t="s">
        <v>347</v>
      </c>
      <c r="C6" s="110" t="s">
        <v>271</v>
      </c>
      <c r="D6" s="110" t="s">
        <v>59</v>
      </c>
      <c r="E6" s="110" t="s">
        <v>280</v>
      </c>
      <c r="F6" s="110" t="s">
        <v>273</v>
      </c>
      <c r="G6" s="110" t="s">
        <v>274</v>
      </c>
      <c r="H6" s="110">
        <v>44</v>
      </c>
      <c r="I6" s="110">
        <v>18</v>
      </c>
      <c r="J6" s="110">
        <v>62</v>
      </c>
      <c r="K6" s="110">
        <v>119</v>
      </c>
    </row>
    <row r="7" spans="1:12" x14ac:dyDescent="0.25">
      <c r="A7" s="108">
        <v>35</v>
      </c>
      <c r="B7" s="109" t="s">
        <v>347</v>
      </c>
      <c r="C7" s="110" t="s">
        <v>258</v>
      </c>
      <c r="D7" s="110" t="s">
        <v>59</v>
      </c>
      <c r="E7" s="110" t="s">
        <v>281</v>
      </c>
      <c r="F7" s="110" t="s">
        <v>273</v>
      </c>
      <c r="G7" s="110" t="s">
        <v>274</v>
      </c>
      <c r="H7" s="110">
        <v>2</v>
      </c>
      <c r="I7" s="110">
        <v>14</v>
      </c>
      <c r="J7" s="110">
        <v>16</v>
      </c>
      <c r="K7" s="110">
        <v>25</v>
      </c>
    </row>
    <row r="8" spans="1:12" x14ac:dyDescent="0.25">
      <c r="A8" s="108">
        <v>35</v>
      </c>
      <c r="B8" s="109" t="s">
        <v>347</v>
      </c>
      <c r="C8" s="110" t="s">
        <v>243</v>
      </c>
      <c r="D8" s="110" t="s">
        <v>59</v>
      </c>
      <c r="E8" s="110" t="s">
        <v>282</v>
      </c>
      <c r="F8" s="110" t="s">
        <v>273</v>
      </c>
      <c r="G8" s="110" t="s">
        <v>274</v>
      </c>
      <c r="H8" s="110">
        <v>10</v>
      </c>
      <c r="I8" s="110">
        <v>67</v>
      </c>
      <c r="J8" s="110">
        <v>77</v>
      </c>
      <c r="K8" s="110">
        <v>345</v>
      </c>
    </row>
    <row r="9" spans="1:12" x14ac:dyDescent="0.25">
      <c r="A9" s="108">
        <v>35</v>
      </c>
      <c r="B9" s="109" t="s">
        <v>347</v>
      </c>
      <c r="C9" s="110" t="s">
        <v>250</v>
      </c>
      <c r="D9" s="110" t="s">
        <v>59</v>
      </c>
      <c r="E9" s="110" t="s">
        <v>283</v>
      </c>
      <c r="F9" s="110" t="s">
        <v>273</v>
      </c>
      <c r="G9" s="110" t="s">
        <v>274</v>
      </c>
      <c r="H9" s="110">
        <v>65</v>
      </c>
      <c r="I9" s="110">
        <v>11</v>
      </c>
      <c r="J9" s="110">
        <v>76</v>
      </c>
      <c r="K9" s="110">
        <v>133</v>
      </c>
    </row>
    <row r="10" spans="1:12" x14ac:dyDescent="0.25">
      <c r="A10" s="108">
        <v>35</v>
      </c>
      <c r="B10" s="109" t="s">
        <v>347</v>
      </c>
      <c r="C10" s="110" t="s">
        <v>266</v>
      </c>
      <c r="D10" s="110" t="s">
        <v>59</v>
      </c>
      <c r="E10" s="110" t="s">
        <v>284</v>
      </c>
      <c r="F10" s="110" t="s">
        <v>273</v>
      </c>
      <c r="G10" s="110" t="s">
        <v>274</v>
      </c>
      <c r="H10" s="110">
        <v>14</v>
      </c>
      <c r="I10" s="110">
        <v>5</v>
      </c>
      <c r="J10" s="110">
        <v>19</v>
      </c>
      <c r="K10" s="110">
        <v>28</v>
      </c>
    </row>
    <row r="11" spans="1:12" x14ac:dyDescent="0.25">
      <c r="A11" s="108">
        <v>35</v>
      </c>
      <c r="B11" s="109" t="s">
        <v>347</v>
      </c>
      <c r="C11" s="110" t="s">
        <v>344</v>
      </c>
      <c r="D11" s="110" t="s">
        <v>59</v>
      </c>
      <c r="E11" s="110" t="s">
        <v>345</v>
      </c>
      <c r="F11" s="110" t="s">
        <v>273</v>
      </c>
      <c r="G11" s="110" t="s">
        <v>274</v>
      </c>
      <c r="H11" s="110">
        <v>27</v>
      </c>
      <c r="I11" s="110">
        <v>6</v>
      </c>
      <c r="J11" s="110">
        <v>33</v>
      </c>
      <c r="K11" s="110">
        <v>36</v>
      </c>
    </row>
    <row r="12" spans="1:12" x14ac:dyDescent="0.25">
      <c r="A12" s="108">
        <v>35</v>
      </c>
      <c r="B12" s="109" t="s">
        <v>348</v>
      </c>
      <c r="C12" s="110" t="s">
        <v>226</v>
      </c>
      <c r="D12" s="110" t="s">
        <v>58</v>
      </c>
      <c r="E12" s="110" t="s">
        <v>285</v>
      </c>
      <c r="F12" s="110" t="s">
        <v>273</v>
      </c>
      <c r="G12" s="110" t="s">
        <v>274</v>
      </c>
      <c r="H12" s="110">
        <v>1</v>
      </c>
      <c r="I12" s="110">
        <v>5</v>
      </c>
      <c r="J12" s="110">
        <v>6</v>
      </c>
      <c r="K12" s="110">
        <v>7</v>
      </c>
      <c r="L12" s="110">
        <v>9</v>
      </c>
    </row>
    <row r="13" spans="1:12" x14ac:dyDescent="0.25">
      <c r="A13" s="108">
        <v>35</v>
      </c>
      <c r="B13" s="109" t="s">
        <v>348</v>
      </c>
      <c r="C13" s="110" t="s">
        <v>233</v>
      </c>
      <c r="D13" s="110" t="s">
        <v>58</v>
      </c>
      <c r="E13" s="110" t="s">
        <v>286</v>
      </c>
      <c r="F13" s="110" t="s">
        <v>273</v>
      </c>
      <c r="G13" s="110" t="s">
        <v>274</v>
      </c>
      <c r="H13" s="110">
        <v>3</v>
      </c>
      <c r="I13" s="110">
        <v>1</v>
      </c>
      <c r="J13" s="110">
        <v>4</v>
      </c>
      <c r="K13" s="110">
        <v>4</v>
      </c>
    </row>
    <row r="14" spans="1:12" x14ac:dyDescent="0.25">
      <c r="A14" s="108">
        <v>35</v>
      </c>
      <c r="B14" s="109" t="s">
        <v>347</v>
      </c>
      <c r="C14" s="110" t="s">
        <v>255</v>
      </c>
      <c r="D14" s="110" t="s">
        <v>58</v>
      </c>
      <c r="E14" s="110" t="s">
        <v>287</v>
      </c>
      <c r="F14" s="110" t="s">
        <v>273</v>
      </c>
      <c r="G14" s="110" t="s">
        <v>274</v>
      </c>
      <c r="H14" s="110">
        <v>22</v>
      </c>
      <c r="I14" s="110">
        <v>11</v>
      </c>
      <c r="J14" s="110">
        <v>33</v>
      </c>
      <c r="K14" s="110">
        <v>39</v>
      </c>
    </row>
    <row r="15" spans="1:12" x14ac:dyDescent="0.25">
      <c r="A15" s="108">
        <v>35</v>
      </c>
      <c r="B15" s="109" t="s">
        <v>348</v>
      </c>
      <c r="C15" s="110" t="s">
        <v>216</v>
      </c>
      <c r="D15" s="110" t="s">
        <v>58</v>
      </c>
      <c r="E15" s="110" t="s">
        <v>288</v>
      </c>
      <c r="F15" s="110" t="s">
        <v>273</v>
      </c>
      <c r="G15" s="110" t="s">
        <v>274</v>
      </c>
      <c r="H15" s="110">
        <v>13</v>
      </c>
      <c r="I15" s="110">
        <v>16</v>
      </c>
      <c r="J15" s="110">
        <v>29</v>
      </c>
      <c r="K15" s="110">
        <v>32</v>
      </c>
    </row>
    <row r="16" spans="1:12" x14ac:dyDescent="0.25">
      <c r="A16" s="108">
        <v>35</v>
      </c>
      <c r="B16" s="109" t="s">
        <v>348</v>
      </c>
      <c r="C16" s="110" t="s">
        <v>209</v>
      </c>
      <c r="D16" s="110" t="s">
        <v>58</v>
      </c>
      <c r="E16" s="110" t="s">
        <v>289</v>
      </c>
      <c r="F16" s="110" t="s">
        <v>273</v>
      </c>
      <c r="G16" s="110" t="s">
        <v>274</v>
      </c>
      <c r="H16" s="110">
        <v>6</v>
      </c>
      <c r="I16" s="110">
        <v>0</v>
      </c>
      <c r="J16" s="110">
        <v>6</v>
      </c>
      <c r="K16" s="110">
        <v>8</v>
      </c>
    </row>
    <row r="17" spans="1:12" x14ac:dyDescent="0.25">
      <c r="A17" s="108">
        <v>35</v>
      </c>
      <c r="B17" s="109" t="s">
        <v>348</v>
      </c>
      <c r="C17" s="110" t="s">
        <v>224</v>
      </c>
      <c r="D17" s="110" t="s">
        <v>58</v>
      </c>
      <c r="E17" s="110" t="s">
        <v>290</v>
      </c>
      <c r="F17" s="110" t="s">
        <v>273</v>
      </c>
      <c r="G17" s="110" t="s">
        <v>274</v>
      </c>
      <c r="H17" s="110">
        <v>1</v>
      </c>
      <c r="I17" s="110">
        <v>1</v>
      </c>
      <c r="J17" s="110">
        <v>2</v>
      </c>
      <c r="K17" s="110">
        <v>4</v>
      </c>
    </row>
    <row r="18" spans="1:12" x14ac:dyDescent="0.25">
      <c r="A18" s="108">
        <v>35</v>
      </c>
      <c r="B18" s="109" t="s">
        <v>348</v>
      </c>
      <c r="C18" s="110" t="s">
        <v>207</v>
      </c>
      <c r="D18" s="110" t="s">
        <v>58</v>
      </c>
      <c r="E18" s="110" t="s">
        <v>291</v>
      </c>
      <c r="F18" s="110" t="s">
        <v>273</v>
      </c>
      <c r="G18" s="110" t="s">
        <v>274</v>
      </c>
      <c r="H18" s="110">
        <v>5</v>
      </c>
      <c r="I18" s="110">
        <v>13</v>
      </c>
      <c r="J18" s="110">
        <v>18</v>
      </c>
      <c r="K18" s="110">
        <v>19</v>
      </c>
    </row>
    <row r="19" spans="1:12" x14ac:dyDescent="0.25">
      <c r="A19" s="108">
        <v>35</v>
      </c>
      <c r="B19" s="109" t="s">
        <v>348</v>
      </c>
      <c r="C19" s="110" t="s">
        <v>228</v>
      </c>
      <c r="D19" s="110" t="s">
        <v>58</v>
      </c>
      <c r="E19" s="110" t="s">
        <v>292</v>
      </c>
      <c r="F19" s="110" t="s">
        <v>273</v>
      </c>
      <c r="G19" s="110" t="s">
        <v>274</v>
      </c>
      <c r="H19" s="110">
        <v>3</v>
      </c>
      <c r="I19" s="110">
        <v>1</v>
      </c>
      <c r="J19" s="110">
        <v>4</v>
      </c>
      <c r="K19" s="110">
        <v>7</v>
      </c>
      <c r="L19" s="110"/>
    </row>
    <row r="20" spans="1:12" x14ac:dyDescent="0.25">
      <c r="A20" s="108">
        <v>35</v>
      </c>
      <c r="B20" s="109" t="s">
        <v>348</v>
      </c>
      <c r="C20" s="110" t="s">
        <v>213</v>
      </c>
      <c r="D20" s="110" t="s">
        <v>58</v>
      </c>
      <c r="E20" s="110" t="s">
        <v>293</v>
      </c>
      <c r="F20" s="110" t="s">
        <v>273</v>
      </c>
      <c r="G20" s="110" t="s">
        <v>274</v>
      </c>
      <c r="H20" s="110">
        <v>4</v>
      </c>
      <c r="I20" s="110">
        <v>1</v>
      </c>
      <c r="J20" s="110">
        <v>5</v>
      </c>
      <c r="K20" s="110">
        <v>7</v>
      </c>
    </row>
    <row r="21" spans="1:12" x14ac:dyDescent="0.25">
      <c r="A21" s="108">
        <v>35</v>
      </c>
      <c r="B21" s="109" t="s">
        <v>349</v>
      </c>
      <c r="C21" s="110" t="s">
        <v>186</v>
      </c>
      <c r="D21" s="110" t="s">
        <v>60</v>
      </c>
      <c r="E21" s="110" t="s">
        <v>294</v>
      </c>
      <c r="F21" s="110" t="s">
        <v>273</v>
      </c>
      <c r="G21" s="110" t="s">
        <v>274</v>
      </c>
      <c r="H21" s="110">
        <v>8</v>
      </c>
      <c r="I21" s="110">
        <v>7</v>
      </c>
      <c r="J21" s="110">
        <v>15</v>
      </c>
      <c r="K21" s="110">
        <v>22</v>
      </c>
      <c r="L21" s="110">
        <v>14</v>
      </c>
    </row>
    <row r="22" spans="1:12" x14ac:dyDescent="0.25">
      <c r="A22" s="108">
        <v>35</v>
      </c>
      <c r="B22" s="109" t="s">
        <v>349</v>
      </c>
      <c r="C22" s="110" t="s">
        <v>175</v>
      </c>
      <c r="D22" s="110" t="s">
        <v>60</v>
      </c>
      <c r="E22" s="110" t="s">
        <v>295</v>
      </c>
      <c r="F22" s="110" t="s">
        <v>273</v>
      </c>
      <c r="G22" s="110" t="s">
        <v>274</v>
      </c>
      <c r="H22" s="110">
        <v>0</v>
      </c>
      <c r="I22" s="110">
        <v>0</v>
      </c>
      <c r="J22" s="110">
        <v>0</v>
      </c>
      <c r="K22" s="110">
        <v>2</v>
      </c>
    </row>
    <row r="23" spans="1:12" x14ac:dyDescent="0.25">
      <c r="A23" s="108">
        <v>35</v>
      </c>
      <c r="B23" s="109" t="s">
        <v>349</v>
      </c>
      <c r="C23" s="110" t="s">
        <v>183</v>
      </c>
      <c r="D23" s="110" t="s">
        <v>60</v>
      </c>
      <c r="E23" s="110" t="s">
        <v>296</v>
      </c>
      <c r="F23" s="110" t="s">
        <v>273</v>
      </c>
      <c r="G23" s="110" t="s">
        <v>274</v>
      </c>
      <c r="H23" s="110">
        <v>9</v>
      </c>
      <c r="I23" s="110">
        <v>6</v>
      </c>
      <c r="J23" s="110">
        <v>15</v>
      </c>
      <c r="K23" s="110">
        <v>16</v>
      </c>
    </row>
    <row r="24" spans="1:12" x14ac:dyDescent="0.25">
      <c r="A24" s="108">
        <v>35</v>
      </c>
      <c r="B24" s="109" t="s">
        <v>350</v>
      </c>
      <c r="C24" s="110" t="s">
        <v>127</v>
      </c>
      <c r="D24" s="110" t="s">
        <v>60</v>
      </c>
      <c r="E24" s="110" t="s">
        <v>297</v>
      </c>
      <c r="F24" s="110" t="s">
        <v>273</v>
      </c>
      <c r="G24" s="110" t="s">
        <v>274</v>
      </c>
      <c r="H24" s="110">
        <v>7</v>
      </c>
      <c r="I24" s="110">
        <v>0</v>
      </c>
      <c r="J24" s="110">
        <v>7</v>
      </c>
      <c r="K24" s="110">
        <v>7</v>
      </c>
    </row>
    <row r="25" spans="1:12" x14ac:dyDescent="0.25">
      <c r="A25" s="108">
        <v>35</v>
      </c>
      <c r="B25" s="109" t="s">
        <v>349</v>
      </c>
      <c r="C25" s="110" t="s">
        <v>153</v>
      </c>
      <c r="D25" s="110" t="s">
        <v>60</v>
      </c>
      <c r="E25" s="110" t="s">
        <v>298</v>
      </c>
      <c r="F25" s="110" t="s">
        <v>273</v>
      </c>
      <c r="G25" s="110" t="s">
        <v>274</v>
      </c>
      <c r="H25" s="110">
        <v>7</v>
      </c>
      <c r="I25" s="110">
        <v>0</v>
      </c>
      <c r="J25" s="110">
        <v>7</v>
      </c>
      <c r="K25" s="110">
        <v>12</v>
      </c>
    </row>
    <row r="26" spans="1:12" x14ac:dyDescent="0.25">
      <c r="A26" s="108">
        <v>35</v>
      </c>
      <c r="B26" s="109" t="s">
        <v>349</v>
      </c>
      <c r="C26" s="110" t="s">
        <v>200</v>
      </c>
      <c r="D26" s="110" t="s">
        <v>60</v>
      </c>
      <c r="E26" s="110" t="s">
        <v>299</v>
      </c>
      <c r="F26" s="110" t="s">
        <v>273</v>
      </c>
      <c r="G26" s="110" t="s">
        <v>274</v>
      </c>
      <c r="H26" s="110">
        <v>3</v>
      </c>
      <c r="I26" s="110">
        <v>0</v>
      </c>
      <c r="J26" s="110">
        <v>3</v>
      </c>
      <c r="K26" s="110">
        <v>43</v>
      </c>
    </row>
    <row r="27" spans="1:12" x14ac:dyDescent="0.25">
      <c r="A27" s="108">
        <v>35</v>
      </c>
      <c r="B27" s="109" t="s">
        <v>349</v>
      </c>
      <c r="C27" s="110" t="s">
        <v>165</v>
      </c>
      <c r="D27" s="110" t="s">
        <v>60</v>
      </c>
      <c r="E27" s="110" t="s">
        <v>300</v>
      </c>
      <c r="F27" s="110" t="s">
        <v>273</v>
      </c>
      <c r="G27" s="110" t="s">
        <v>274</v>
      </c>
      <c r="H27" s="110">
        <v>12</v>
      </c>
      <c r="I27" s="110">
        <v>0</v>
      </c>
      <c r="J27" s="110">
        <v>12</v>
      </c>
      <c r="K27" s="110">
        <v>17</v>
      </c>
    </row>
    <row r="28" spans="1:12" x14ac:dyDescent="0.25">
      <c r="A28" s="108">
        <v>35</v>
      </c>
      <c r="B28" s="109" t="s">
        <v>349</v>
      </c>
      <c r="C28" s="110" t="s">
        <v>159</v>
      </c>
      <c r="D28" s="110" t="s">
        <v>60</v>
      </c>
      <c r="E28" s="110" t="s">
        <v>301</v>
      </c>
      <c r="F28" s="110" t="s">
        <v>273</v>
      </c>
      <c r="G28" s="110" t="s">
        <v>274</v>
      </c>
      <c r="H28" s="110">
        <v>0</v>
      </c>
      <c r="I28" s="110">
        <v>7</v>
      </c>
      <c r="J28" s="110">
        <v>7</v>
      </c>
      <c r="K28" s="110">
        <v>8</v>
      </c>
    </row>
    <row r="29" spans="1:12" x14ac:dyDescent="0.25">
      <c r="A29" s="108">
        <v>35</v>
      </c>
      <c r="B29" s="109" t="s">
        <v>349</v>
      </c>
      <c r="C29" s="110" t="s">
        <v>172</v>
      </c>
      <c r="D29" s="110" t="s">
        <v>60</v>
      </c>
      <c r="E29" s="110" t="s">
        <v>302</v>
      </c>
      <c r="F29" s="110" t="s">
        <v>273</v>
      </c>
      <c r="G29" s="110" t="s">
        <v>274</v>
      </c>
      <c r="H29" s="110">
        <v>26</v>
      </c>
      <c r="I29" s="110">
        <v>9</v>
      </c>
      <c r="J29" s="110">
        <v>35</v>
      </c>
      <c r="K29" s="110">
        <v>37</v>
      </c>
    </row>
    <row r="30" spans="1:12" x14ac:dyDescent="0.25">
      <c r="A30" s="108">
        <v>35</v>
      </c>
      <c r="B30" s="109" t="s">
        <v>349</v>
      </c>
      <c r="C30" s="110" t="s">
        <v>197</v>
      </c>
      <c r="D30" s="110" t="s">
        <v>60</v>
      </c>
      <c r="E30" s="110" t="s">
        <v>303</v>
      </c>
      <c r="F30" s="110" t="s">
        <v>273</v>
      </c>
      <c r="G30" s="110" t="s">
        <v>274</v>
      </c>
      <c r="H30" s="110">
        <v>13</v>
      </c>
      <c r="I30" s="110">
        <v>0</v>
      </c>
      <c r="J30" s="110">
        <v>13</v>
      </c>
      <c r="K30" s="110">
        <v>20</v>
      </c>
    </row>
    <row r="31" spans="1:12" x14ac:dyDescent="0.25">
      <c r="A31" s="108">
        <v>35</v>
      </c>
      <c r="B31" s="109" t="s">
        <v>350</v>
      </c>
      <c r="C31" s="110" t="s">
        <v>135</v>
      </c>
      <c r="D31" s="110" t="s">
        <v>60</v>
      </c>
      <c r="E31" s="110" t="s">
        <v>304</v>
      </c>
      <c r="F31" s="110" t="s">
        <v>273</v>
      </c>
      <c r="G31" s="110" t="s">
        <v>274</v>
      </c>
      <c r="H31" s="110">
        <v>2</v>
      </c>
      <c r="I31" s="110">
        <v>0</v>
      </c>
      <c r="J31" s="110">
        <v>2</v>
      </c>
      <c r="K31" s="110">
        <v>3</v>
      </c>
    </row>
    <row r="32" spans="1:12" x14ac:dyDescent="0.25">
      <c r="A32" s="108">
        <v>35</v>
      </c>
      <c r="B32" s="109" t="s">
        <v>349</v>
      </c>
      <c r="C32" s="110" t="s">
        <v>180</v>
      </c>
      <c r="D32" s="110" t="s">
        <v>60</v>
      </c>
      <c r="E32" s="110" t="s">
        <v>305</v>
      </c>
      <c r="F32" s="110" t="s">
        <v>273</v>
      </c>
      <c r="G32" s="110" t="s">
        <v>274</v>
      </c>
      <c r="H32" s="110">
        <v>21</v>
      </c>
      <c r="I32" s="110">
        <v>12</v>
      </c>
      <c r="J32" s="110">
        <v>33</v>
      </c>
      <c r="K32" s="110">
        <v>39</v>
      </c>
    </row>
    <row r="33" spans="1:12" x14ac:dyDescent="0.25">
      <c r="A33" s="108">
        <v>35</v>
      </c>
      <c r="B33" s="109" t="s">
        <v>349</v>
      </c>
      <c r="C33" s="110" t="s">
        <v>202</v>
      </c>
      <c r="D33" s="110" t="s">
        <v>60</v>
      </c>
      <c r="E33" s="110" t="s">
        <v>306</v>
      </c>
      <c r="F33" s="110" t="s">
        <v>273</v>
      </c>
      <c r="G33" s="110" t="s">
        <v>274</v>
      </c>
      <c r="H33" s="110">
        <v>0</v>
      </c>
      <c r="I33" s="110">
        <v>0</v>
      </c>
      <c r="J33" s="110">
        <v>0</v>
      </c>
      <c r="K33" s="110">
        <v>2</v>
      </c>
      <c r="L33" s="110"/>
    </row>
    <row r="34" spans="1:12" x14ac:dyDescent="0.25">
      <c r="A34" s="108">
        <v>35</v>
      </c>
      <c r="B34" s="109" t="s">
        <v>349</v>
      </c>
      <c r="C34" s="110" t="s">
        <v>211</v>
      </c>
      <c r="D34" s="110" t="s">
        <v>60</v>
      </c>
      <c r="E34" s="110" t="s">
        <v>307</v>
      </c>
      <c r="F34" s="110" t="s">
        <v>273</v>
      </c>
      <c r="G34" s="110" t="s">
        <v>274</v>
      </c>
      <c r="H34" s="110">
        <v>48</v>
      </c>
      <c r="I34" s="110">
        <v>17</v>
      </c>
      <c r="J34" s="110">
        <v>65</v>
      </c>
      <c r="K34" s="110">
        <v>82</v>
      </c>
    </row>
    <row r="35" spans="1:12" x14ac:dyDescent="0.25">
      <c r="A35" s="108">
        <v>35</v>
      </c>
      <c r="B35" s="109" t="s">
        <v>350</v>
      </c>
      <c r="C35" s="110" t="s">
        <v>130</v>
      </c>
      <c r="D35" s="110" t="s">
        <v>61</v>
      </c>
      <c r="E35" s="110" t="s">
        <v>308</v>
      </c>
      <c r="F35" s="110" t="s">
        <v>273</v>
      </c>
      <c r="G35" s="110" t="s">
        <v>274</v>
      </c>
      <c r="H35" s="110">
        <v>0</v>
      </c>
      <c r="I35" s="110">
        <v>0</v>
      </c>
      <c r="J35" s="110">
        <v>0</v>
      </c>
      <c r="K35" s="110">
        <v>0</v>
      </c>
      <c r="L35" s="110">
        <v>9</v>
      </c>
    </row>
    <row r="36" spans="1:12" x14ac:dyDescent="0.25">
      <c r="A36" s="108">
        <v>35</v>
      </c>
      <c r="B36" s="109" t="s">
        <v>350</v>
      </c>
      <c r="C36" s="110" t="s">
        <v>114</v>
      </c>
      <c r="D36" s="110" t="s">
        <v>61</v>
      </c>
      <c r="E36" s="110" t="s">
        <v>309</v>
      </c>
      <c r="F36" s="110" t="s">
        <v>273</v>
      </c>
      <c r="G36" s="110" t="s">
        <v>274</v>
      </c>
      <c r="H36" s="110">
        <v>2</v>
      </c>
      <c r="I36" s="110">
        <v>0</v>
      </c>
      <c r="J36" s="110">
        <v>2</v>
      </c>
      <c r="K36" s="110">
        <v>3</v>
      </c>
    </row>
    <row r="37" spans="1:12" x14ac:dyDescent="0.25">
      <c r="A37" s="108">
        <v>35</v>
      </c>
      <c r="B37" s="109" t="s">
        <v>348</v>
      </c>
      <c r="C37" s="110" t="s">
        <v>237</v>
      </c>
      <c r="D37" s="110" t="s">
        <v>61</v>
      </c>
      <c r="E37" s="110" t="s">
        <v>310</v>
      </c>
      <c r="F37" s="110" t="s">
        <v>273</v>
      </c>
      <c r="G37" s="110" t="s">
        <v>274</v>
      </c>
      <c r="H37" s="110">
        <v>5</v>
      </c>
      <c r="I37" s="110">
        <v>12</v>
      </c>
      <c r="J37" s="110">
        <v>17</v>
      </c>
      <c r="K37" s="110">
        <v>19</v>
      </c>
    </row>
    <row r="38" spans="1:12" x14ac:dyDescent="0.25">
      <c r="A38" s="108">
        <v>35</v>
      </c>
      <c r="B38" s="109" t="s">
        <v>350</v>
      </c>
      <c r="C38" s="110" t="s">
        <v>105</v>
      </c>
      <c r="D38" s="110" t="s">
        <v>61</v>
      </c>
      <c r="E38" s="110" t="s">
        <v>311</v>
      </c>
      <c r="F38" s="110" t="s">
        <v>273</v>
      </c>
      <c r="G38" s="110" t="s">
        <v>274</v>
      </c>
      <c r="H38" s="110">
        <v>0</v>
      </c>
      <c r="I38" s="110">
        <v>0</v>
      </c>
      <c r="J38" s="110">
        <v>0</v>
      </c>
      <c r="K38" s="110">
        <v>0</v>
      </c>
    </row>
    <row r="39" spans="1:12" x14ac:dyDescent="0.25">
      <c r="A39" s="108">
        <v>35</v>
      </c>
      <c r="B39" s="109" t="s">
        <v>348</v>
      </c>
      <c r="C39" s="110" t="s">
        <v>235</v>
      </c>
      <c r="D39" s="110" t="s">
        <v>61</v>
      </c>
      <c r="E39" s="110" t="s">
        <v>312</v>
      </c>
      <c r="F39" s="110" t="s">
        <v>273</v>
      </c>
      <c r="G39" s="110" t="s">
        <v>274</v>
      </c>
      <c r="H39" s="110">
        <v>2</v>
      </c>
      <c r="I39" s="110">
        <v>0</v>
      </c>
      <c r="J39" s="110">
        <v>2</v>
      </c>
      <c r="K39" s="110">
        <v>3</v>
      </c>
    </row>
    <row r="40" spans="1:12" x14ac:dyDescent="0.25">
      <c r="A40" s="108">
        <v>35</v>
      </c>
      <c r="B40" s="109" t="s">
        <v>350</v>
      </c>
      <c r="C40" s="110" t="s">
        <v>116</v>
      </c>
      <c r="D40" s="110" t="s">
        <v>61</v>
      </c>
      <c r="E40" s="110" t="s">
        <v>313</v>
      </c>
      <c r="F40" s="110" t="s">
        <v>273</v>
      </c>
      <c r="G40" s="110" t="s">
        <v>274</v>
      </c>
      <c r="H40" s="110">
        <v>2</v>
      </c>
      <c r="I40" s="110">
        <v>2</v>
      </c>
      <c r="J40" s="110">
        <v>4</v>
      </c>
      <c r="K40" s="110">
        <v>4</v>
      </c>
    </row>
    <row r="41" spans="1:12" x14ac:dyDescent="0.25">
      <c r="A41" s="108">
        <v>35</v>
      </c>
      <c r="B41" s="109" t="s">
        <v>350</v>
      </c>
      <c r="C41" s="110" t="s">
        <v>125</v>
      </c>
      <c r="D41" s="110" t="s">
        <v>61</v>
      </c>
      <c r="E41" s="110" t="s">
        <v>346</v>
      </c>
      <c r="F41" s="110" t="s">
        <v>273</v>
      </c>
      <c r="G41" s="110" t="s">
        <v>274</v>
      </c>
      <c r="H41" s="110">
        <v>1</v>
      </c>
      <c r="I41" s="110">
        <v>0</v>
      </c>
      <c r="J41" s="110">
        <v>1</v>
      </c>
      <c r="K41" s="110">
        <v>2</v>
      </c>
    </row>
    <row r="42" spans="1:12" x14ac:dyDescent="0.25">
      <c r="A42" s="108">
        <v>35</v>
      </c>
      <c r="B42" s="109" t="s">
        <v>350</v>
      </c>
      <c r="C42" s="110" t="s">
        <v>111</v>
      </c>
      <c r="D42" s="110" t="s">
        <v>61</v>
      </c>
      <c r="E42" s="110" t="s">
        <v>314</v>
      </c>
      <c r="F42" s="110" t="s">
        <v>273</v>
      </c>
      <c r="G42" s="110" t="s">
        <v>274</v>
      </c>
      <c r="H42" s="110">
        <v>1</v>
      </c>
      <c r="I42" s="110">
        <v>0</v>
      </c>
      <c r="J42" s="110">
        <v>1</v>
      </c>
      <c r="K42" s="110">
        <v>2</v>
      </c>
    </row>
    <row r="43" spans="1:12" x14ac:dyDescent="0.25">
      <c r="A43" s="108">
        <v>35</v>
      </c>
      <c r="B43" s="109" t="s">
        <v>350</v>
      </c>
      <c r="C43" s="110" t="s">
        <v>123</v>
      </c>
      <c r="D43" s="110" t="s">
        <v>61</v>
      </c>
      <c r="E43" s="110" t="s">
        <v>315</v>
      </c>
      <c r="F43" s="110" t="s">
        <v>273</v>
      </c>
      <c r="G43" s="110" t="s">
        <v>274</v>
      </c>
      <c r="H43" s="110">
        <v>2</v>
      </c>
      <c r="I43" s="110">
        <v>5</v>
      </c>
      <c r="J43" s="110">
        <v>7</v>
      </c>
      <c r="K43" s="110">
        <v>12</v>
      </c>
    </row>
    <row r="44" spans="1:12" x14ac:dyDescent="0.25">
      <c r="A44" s="46"/>
      <c r="B44" s="46"/>
      <c r="C44" s="46"/>
      <c r="D44" s="46"/>
      <c r="E44" s="46"/>
      <c r="F44" s="46"/>
      <c r="G44" s="46"/>
      <c r="H44" s="46"/>
      <c r="I44" s="46"/>
      <c r="J44" s="46"/>
      <c r="K44" s="46"/>
    </row>
    <row r="45" spans="1:12" x14ac:dyDescent="0.25">
      <c r="A45" s="46"/>
      <c r="B45" s="46"/>
      <c r="C45" s="46"/>
      <c r="D45" s="46"/>
      <c r="E45" s="46"/>
      <c r="F45" s="46"/>
      <c r="G45" s="46"/>
      <c r="H45" s="46"/>
      <c r="I45" s="46"/>
      <c r="J45" s="46"/>
      <c r="K45" s="46"/>
    </row>
    <row r="46" spans="1:12" x14ac:dyDescent="0.25">
      <c r="A46" s="46"/>
      <c r="B46" s="46"/>
      <c r="C46" s="46"/>
      <c r="D46" s="46"/>
      <c r="E46" s="46"/>
      <c r="F46" s="46"/>
      <c r="G46" s="46"/>
      <c r="H46" s="46"/>
      <c r="I46" s="46"/>
      <c r="J46" s="46"/>
      <c r="K46" s="46"/>
    </row>
    <row r="47" spans="1:12" x14ac:dyDescent="0.25">
      <c r="A47" s="46"/>
      <c r="B47" s="46"/>
      <c r="C47" s="46"/>
      <c r="D47" s="46"/>
      <c r="E47" s="46"/>
      <c r="F47" s="46"/>
      <c r="G47" s="46"/>
      <c r="H47" s="46"/>
      <c r="I47" s="46"/>
      <c r="J47" s="46"/>
      <c r="K47" s="46"/>
    </row>
    <row r="48" spans="1:12" x14ac:dyDescent="0.25">
      <c r="D48" s="46"/>
      <c r="K48" s="46"/>
    </row>
    <row r="49" spans="1:11" x14ac:dyDescent="0.25">
      <c r="D49" s="46"/>
      <c r="K49" s="46"/>
    </row>
    <row r="50" spans="1:11" x14ac:dyDescent="0.25">
      <c r="A50" s="46"/>
      <c r="B50" s="46"/>
      <c r="C50" s="46"/>
      <c r="D50" s="46"/>
      <c r="E50" s="46"/>
      <c r="F50" s="46"/>
      <c r="G50" s="46"/>
      <c r="H50" s="46"/>
      <c r="I50" s="46"/>
      <c r="J50" s="46"/>
      <c r="K50" s="46"/>
    </row>
    <row r="51" spans="1:11" x14ac:dyDescent="0.25">
      <c r="A51" s="46"/>
      <c r="B51" s="46"/>
      <c r="C51" s="46"/>
      <c r="D51" s="46"/>
      <c r="E51" s="46"/>
      <c r="F51" s="46"/>
      <c r="G51" s="46"/>
      <c r="H51" s="46"/>
      <c r="I51" s="46"/>
      <c r="J51" s="46"/>
      <c r="K51" s="46"/>
    </row>
    <row r="52" spans="1:11" x14ac:dyDescent="0.25">
      <c r="A52" s="46"/>
      <c r="B52" s="46"/>
      <c r="C52" s="46"/>
      <c r="D52" s="46"/>
      <c r="E52" s="46"/>
      <c r="F52" s="46"/>
      <c r="G52" s="46"/>
      <c r="H52" s="46"/>
      <c r="I52" s="46"/>
      <c r="J52" s="46"/>
      <c r="K52" s="46"/>
    </row>
    <row r="53" spans="1:11" x14ac:dyDescent="0.25">
      <c r="K53" s="46"/>
    </row>
    <row r="54" spans="1:11" x14ac:dyDescent="0.25">
      <c r="K54" s="46"/>
    </row>
    <row r="55" spans="1:11" x14ac:dyDescent="0.25">
      <c r="K55" s="46"/>
    </row>
    <row r="56" spans="1:11" x14ac:dyDescent="0.25">
      <c r="A56" s="46"/>
      <c r="B56" s="46"/>
      <c r="C56" s="46"/>
      <c r="D56" s="46"/>
      <c r="E56" s="46"/>
      <c r="F56" s="46"/>
      <c r="G56" s="46"/>
      <c r="H56" s="46"/>
      <c r="I56" s="46"/>
      <c r="J56" s="46"/>
      <c r="K56" s="46"/>
    </row>
    <row r="57" spans="1:11" x14ac:dyDescent="0.25">
      <c r="A57" s="46"/>
      <c r="B57" s="46"/>
      <c r="C57" s="46"/>
      <c r="D57" s="46"/>
      <c r="E57" s="46"/>
      <c r="F57" s="46"/>
      <c r="G57" s="46"/>
      <c r="H57" s="46"/>
      <c r="I57" s="46"/>
      <c r="J57" s="46"/>
      <c r="K57" s="46"/>
    </row>
    <row r="58" spans="1:11" x14ac:dyDescent="0.25">
      <c r="A58" s="46"/>
      <c r="B58" s="46"/>
      <c r="C58" s="46"/>
      <c r="D58" s="46"/>
      <c r="E58" s="46"/>
      <c r="F58" s="46"/>
      <c r="G58" s="46"/>
      <c r="H58" s="46"/>
      <c r="I58" s="46"/>
      <c r="J58" s="46"/>
      <c r="K58" s="46"/>
    </row>
    <row r="59" spans="1:11" x14ac:dyDescent="0.25">
      <c r="A59" s="46"/>
      <c r="B59" s="46"/>
      <c r="C59" s="46"/>
      <c r="D59" s="46"/>
      <c r="E59" s="46"/>
      <c r="F59" s="46"/>
      <c r="G59" s="46"/>
      <c r="H59" s="46"/>
      <c r="I59" s="46"/>
      <c r="J59" s="46"/>
      <c r="K59" s="46"/>
    </row>
    <row r="60" spans="1:11" x14ac:dyDescent="0.25">
      <c r="A60" s="46"/>
      <c r="B60" s="46"/>
      <c r="C60" s="46"/>
      <c r="D60" s="46"/>
      <c r="E60" s="46"/>
      <c r="F60" s="46"/>
      <c r="G60" s="46"/>
      <c r="H60" s="46"/>
      <c r="I60" s="46"/>
      <c r="J60" s="46"/>
      <c r="K60" s="46"/>
    </row>
    <row r="61" spans="1:11" x14ac:dyDescent="0.25">
      <c r="A61" s="46"/>
      <c r="B61" s="46"/>
      <c r="C61" s="46"/>
      <c r="D61" s="46"/>
      <c r="E61" s="46"/>
      <c r="F61" s="46"/>
      <c r="G61" s="46"/>
      <c r="H61" s="46"/>
      <c r="I61" s="46"/>
      <c r="J61" s="46"/>
      <c r="K61" s="46"/>
    </row>
    <row r="62" spans="1:11" x14ac:dyDescent="0.25">
      <c r="K62" s="46"/>
    </row>
    <row r="63" spans="1:11" x14ac:dyDescent="0.25">
      <c r="A63" s="46"/>
      <c r="B63" s="46"/>
      <c r="C63" s="46"/>
      <c r="D63" s="46"/>
      <c r="E63" s="46"/>
      <c r="F63" s="46"/>
      <c r="G63" s="46"/>
      <c r="H63" s="46"/>
      <c r="I63" s="46"/>
      <c r="J63" s="46"/>
      <c r="K63" s="46"/>
    </row>
    <row r="64" spans="1:11" x14ac:dyDescent="0.25">
      <c r="A64" s="46"/>
      <c r="B64" s="46"/>
      <c r="C64" s="46"/>
      <c r="D64" s="46"/>
      <c r="E64" s="46"/>
      <c r="F64" s="46"/>
      <c r="G64" s="46"/>
      <c r="H64" s="46"/>
      <c r="I64" s="46"/>
      <c r="J64" s="46"/>
      <c r="K64" s="46"/>
    </row>
    <row r="65" spans="1:11" x14ac:dyDescent="0.25">
      <c r="A65" s="46"/>
      <c r="B65" s="46"/>
      <c r="C65" s="46"/>
      <c r="D65" s="46"/>
      <c r="E65" s="46"/>
      <c r="F65" s="46"/>
      <c r="G65" s="46"/>
      <c r="H65" s="46"/>
      <c r="I65" s="46"/>
      <c r="J65" s="46"/>
      <c r="K65" s="46"/>
    </row>
    <row r="66" spans="1:11" x14ac:dyDescent="0.25">
      <c r="K66" s="46"/>
    </row>
    <row r="67" spans="1:11" x14ac:dyDescent="0.25">
      <c r="K67" s="46"/>
    </row>
    <row r="68" spans="1:11" x14ac:dyDescent="0.25">
      <c r="K68" s="46"/>
    </row>
    <row r="69" spans="1:11" x14ac:dyDescent="0.25">
      <c r="A69" s="46"/>
      <c r="B69" s="46"/>
      <c r="C69" s="46"/>
      <c r="D69" s="46"/>
      <c r="E69" s="46"/>
      <c r="F69" s="46"/>
      <c r="G69" s="46"/>
      <c r="H69" s="46"/>
      <c r="I69" s="46"/>
      <c r="J69" s="46"/>
      <c r="K69" s="46"/>
    </row>
    <row r="70" spans="1:11" x14ac:dyDescent="0.25">
      <c r="K70" s="46"/>
    </row>
    <row r="71" spans="1:11" x14ac:dyDescent="0.25">
      <c r="A71" s="46"/>
      <c r="B71" s="46"/>
      <c r="C71" s="46"/>
      <c r="D71" s="46"/>
      <c r="E71" s="46"/>
      <c r="F71" s="46"/>
      <c r="G71" s="46"/>
      <c r="H71" s="46"/>
      <c r="I71" s="46"/>
      <c r="J71" s="46"/>
      <c r="K71" s="46"/>
    </row>
    <row r="72" spans="1:11" x14ac:dyDescent="0.25">
      <c r="A72" s="46"/>
      <c r="B72" s="46"/>
      <c r="C72" s="46"/>
      <c r="D72" s="46"/>
      <c r="E72" s="46"/>
      <c r="F72" s="46"/>
      <c r="G72" s="46"/>
      <c r="H72" s="46"/>
      <c r="I72" s="46"/>
      <c r="J72" s="46"/>
      <c r="K72" s="46"/>
    </row>
    <row r="73" spans="1:11" x14ac:dyDescent="0.25">
      <c r="A73" s="46"/>
      <c r="B73" s="46"/>
      <c r="C73" s="46"/>
      <c r="D73" s="46"/>
      <c r="E73" s="46"/>
      <c r="F73" s="46"/>
      <c r="G73" s="46"/>
      <c r="H73" s="46"/>
      <c r="I73" s="46"/>
      <c r="J73" s="46"/>
      <c r="K73" s="46"/>
    </row>
    <row r="74" spans="1:11" x14ac:dyDescent="0.25">
      <c r="A74" s="46"/>
      <c r="B74" s="46"/>
      <c r="C74" s="46"/>
      <c r="D74" s="46"/>
      <c r="E74" s="46"/>
      <c r="F74" s="46"/>
      <c r="G74" s="46"/>
      <c r="H74" s="46"/>
      <c r="I74" s="46"/>
      <c r="J74" s="46"/>
      <c r="K74" s="46"/>
    </row>
    <row r="75" spans="1:11" x14ac:dyDescent="0.25">
      <c r="K75" s="46"/>
    </row>
    <row r="76" spans="1:11" x14ac:dyDescent="0.25">
      <c r="A76" s="46"/>
      <c r="B76" s="46"/>
      <c r="C76" s="46"/>
      <c r="D76" s="46"/>
      <c r="E76" s="46"/>
      <c r="F76" s="46"/>
      <c r="G76" s="46"/>
      <c r="H76" s="46"/>
      <c r="I76" s="46"/>
      <c r="J76" s="46"/>
      <c r="K76" s="46"/>
    </row>
    <row r="77" spans="1:11" x14ac:dyDescent="0.25">
      <c r="A77" s="46"/>
      <c r="B77" s="46"/>
      <c r="C77" s="46"/>
      <c r="D77" s="46"/>
      <c r="E77" s="46"/>
      <c r="F77" s="46"/>
      <c r="G77" s="46"/>
      <c r="H77" s="46"/>
      <c r="I77" s="46"/>
      <c r="J77" s="46"/>
      <c r="K77" s="46"/>
    </row>
    <row r="78" spans="1:11" x14ac:dyDescent="0.25">
      <c r="A78" s="46"/>
      <c r="B78" s="46"/>
      <c r="C78" s="46"/>
      <c r="D78" s="46"/>
      <c r="E78" s="46"/>
      <c r="F78" s="46"/>
      <c r="G78" s="46"/>
      <c r="H78" s="46"/>
      <c r="I78" s="46"/>
      <c r="J78" s="46"/>
      <c r="K78" s="46"/>
    </row>
    <row r="79" spans="1:11" x14ac:dyDescent="0.25">
      <c r="A79" s="46"/>
      <c r="B79" s="46"/>
      <c r="C79" s="46"/>
      <c r="D79" s="46"/>
      <c r="E79" s="46"/>
      <c r="F79" s="46"/>
      <c r="G79" s="46"/>
      <c r="H79" s="46"/>
      <c r="I79" s="46"/>
      <c r="J79" s="46"/>
      <c r="K79" s="46"/>
    </row>
    <row r="80" spans="1:11" x14ac:dyDescent="0.25">
      <c r="K80" s="46"/>
    </row>
    <row r="81" spans="1:10" x14ac:dyDescent="0.25">
      <c r="A81" s="46"/>
      <c r="B81" s="46"/>
      <c r="C81" s="46"/>
      <c r="D81" s="46"/>
      <c r="E81" s="46"/>
      <c r="F81" s="46"/>
      <c r="G81" s="46"/>
      <c r="H81" s="46"/>
      <c r="I81" s="46"/>
      <c r="J81" s="46"/>
    </row>
    <row r="82" spans="1:10" x14ac:dyDescent="0.25">
      <c r="A82" s="46"/>
      <c r="B82" s="46"/>
      <c r="C82" s="46"/>
      <c r="D82" s="46"/>
      <c r="E82" s="46"/>
      <c r="F82" s="46"/>
      <c r="G82" s="46"/>
      <c r="H82" s="46"/>
      <c r="I82" s="46"/>
      <c r="J82" s="46"/>
    </row>
    <row r="84" spans="1:10" x14ac:dyDescent="0.25">
      <c r="A84" s="46"/>
      <c r="B84" s="46"/>
      <c r="C84" s="46"/>
      <c r="D84" s="46"/>
      <c r="E84" s="46"/>
      <c r="F84" s="46"/>
      <c r="G84" s="46"/>
      <c r="H84" s="46"/>
      <c r="I84" s="46"/>
      <c r="J84" s="46"/>
    </row>
    <row r="85" spans="1:10" x14ac:dyDescent="0.25">
      <c r="A85" s="46"/>
      <c r="B85" s="46"/>
      <c r="C85" s="46"/>
      <c r="D85" s="46"/>
      <c r="E85" s="46"/>
      <c r="F85" s="46"/>
      <c r="G85" s="46"/>
      <c r="H85" s="46"/>
      <c r="I85" s="46"/>
      <c r="J85" s="46"/>
    </row>
    <row r="86" spans="1:10" x14ac:dyDescent="0.25">
      <c r="A86" s="46"/>
      <c r="B86" s="46"/>
      <c r="C86" s="46"/>
      <c r="D86" s="46"/>
      <c r="E86" s="46"/>
      <c r="F86" s="46"/>
      <c r="G86" s="46"/>
      <c r="H86" s="46"/>
      <c r="I86" s="46"/>
      <c r="J86" s="46"/>
    </row>
    <row r="87" spans="1:10" x14ac:dyDescent="0.25">
      <c r="A87" s="46"/>
      <c r="B87" s="46"/>
      <c r="C87" s="46"/>
      <c r="D87" s="46"/>
      <c r="E87" s="46"/>
      <c r="F87" s="46"/>
      <c r="G87" s="46"/>
      <c r="H87" s="46"/>
      <c r="I87" s="46"/>
      <c r="J87" s="46"/>
    </row>
    <row r="89" spans="1:10" x14ac:dyDescent="0.25">
      <c r="A89" s="46"/>
      <c r="B89" s="46"/>
      <c r="C89" s="46"/>
      <c r="D89" s="46"/>
      <c r="E89" s="46"/>
      <c r="F89" s="46"/>
      <c r="G89" s="46"/>
      <c r="H89" s="46"/>
      <c r="I89" s="46"/>
      <c r="J89" s="46"/>
    </row>
    <row r="90" spans="1:10" x14ac:dyDescent="0.25">
      <c r="A90" s="46"/>
      <c r="B90" s="46"/>
      <c r="C90" s="46"/>
      <c r="D90" s="46"/>
      <c r="E90" s="46"/>
      <c r="F90" s="46"/>
      <c r="G90" s="46"/>
      <c r="H90" s="46"/>
      <c r="I90" s="46"/>
      <c r="J90" s="46"/>
    </row>
    <row r="91" spans="1:10" x14ac:dyDescent="0.25">
      <c r="A91" s="46"/>
      <c r="B91" s="46"/>
      <c r="C91" s="46"/>
      <c r="D91" s="46"/>
      <c r="E91" s="46"/>
      <c r="F91" s="46"/>
      <c r="G91" s="46"/>
      <c r="H91" s="46"/>
      <c r="I91" s="46"/>
      <c r="J91" s="46"/>
    </row>
    <row r="93" spans="1:10" x14ac:dyDescent="0.25">
      <c r="A93" s="46"/>
      <c r="B93" s="46"/>
      <c r="C93" s="46"/>
      <c r="D93" s="46"/>
      <c r="E93" s="46"/>
      <c r="F93" s="46"/>
      <c r="G93" s="46"/>
      <c r="H93" s="46"/>
      <c r="I93" s="46"/>
      <c r="J93" s="4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59</v>
      </c>
      <c r="B5" s="2">
        <v>165</v>
      </c>
      <c r="C5" s="2">
        <v>224</v>
      </c>
      <c r="D5" s="2">
        <v>389</v>
      </c>
      <c r="G5" s="1" t="s">
        <v>9</v>
      </c>
      <c r="H5" s="2" t="e">
        <f>GETPIVOTDATA("Sum of Cx pipiens",$A$4,"Zone","LV")</f>
        <v>#REF!</v>
      </c>
      <c r="I5" s="2" t="e">
        <f>GETPIVOTDATA("Sum of Cx tarsalis",$A$4,"Zone","LV")</f>
        <v>#REF!</v>
      </c>
      <c r="J5" s="2" t="e">
        <f>GETPIVOTDATA("Sum of Total CX",$A$4,"Zone","LV")</f>
        <v>#REF!</v>
      </c>
    </row>
    <row r="6" spans="1:10" x14ac:dyDescent="0.25">
      <c r="A6" s="1" t="s">
        <v>58</v>
      </c>
      <c r="B6" s="2">
        <v>49</v>
      </c>
      <c r="C6" s="2">
        <v>58</v>
      </c>
      <c r="D6" s="2">
        <v>107</v>
      </c>
      <c r="G6" s="1" t="s">
        <v>59</v>
      </c>
      <c r="H6" s="2">
        <f>GETPIVOTDATA("Sum of Cx pipiens",$A$4,"Zone","NE")</f>
        <v>165</v>
      </c>
      <c r="I6" s="2">
        <f>GETPIVOTDATA("Sum of Cx tarsalis",$A$4,"Zone","NE")</f>
        <v>224</v>
      </c>
      <c r="J6" s="2">
        <f>GETPIVOTDATA("Sum of Total CX",$A$4,"Zone","NE")</f>
        <v>389</v>
      </c>
    </row>
    <row r="7" spans="1:10" x14ac:dyDescent="0.25">
      <c r="A7" s="1" t="s">
        <v>60</v>
      </c>
      <c r="B7" s="2">
        <v>58</v>
      </c>
      <c r="C7" s="2">
        <v>156</v>
      </c>
      <c r="D7" s="2">
        <v>214</v>
      </c>
      <c r="G7" s="1" t="s">
        <v>58</v>
      </c>
      <c r="H7" s="2">
        <f>GETPIVOTDATA("Sum of Cx pipiens",$A$4,"Zone","NW")</f>
        <v>49</v>
      </c>
      <c r="I7" s="2">
        <f>GETPIVOTDATA("Sum of Cx tarsalis",$A$4,"Zone","NW")</f>
        <v>58</v>
      </c>
      <c r="J7" s="2">
        <f>GETPIVOTDATA("Sum of Total CX",$A$4,"Zone","NW")</f>
        <v>107</v>
      </c>
    </row>
    <row r="8" spans="1:10" x14ac:dyDescent="0.25">
      <c r="A8" s="1" t="s">
        <v>61</v>
      </c>
      <c r="B8" s="2">
        <v>19</v>
      </c>
      <c r="C8" s="2">
        <v>15</v>
      </c>
      <c r="D8" s="2">
        <v>34</v>
      </c>
      <c r="G8" s="1" t="s">
        <v>60</v>
      </c>
      <c r="H8" s="2">
        <f>GETPIVOTDATA("Sum of Cx pipiens",$A$4,"Zone","SE")</f>
        <v>58</v>
      </c>
      <c r="I8" s="2">
        <f>GETPIVOTDATA("Sum of Cx tarsalis",$A$4,"Zone","SE")</f>
        <v>156</v>
      </c>
      <c r="J8" s="2">
        <f>GETPIVOTDATA("Sum of Total CX",$A$4,"Zone","SE")</f>
        <v>214</v>
      </c>
    </row>
    <row r="9" spans="1:10" x14ac:dyDescent="0.25">
      <c r="A9" s="1" t="s">
        <v>7</v>
      </c>
      <c r="B9" s="2">
        <v>291</v>
      </c>
      <c r="C9" s="2">
        <v>453</v>
      </c>
      <c r="D9" s="2">
        <v>744</v>
      </c>
      <c r="G9" s="1" t="s">
        <v>61</v>
      </c>
      <c r="H9" s="2">
        <f>GETPIVOTDATA("Sum of Cx pipiens",$A$4,"Zone","SW")</f>
        <v>19</v>
      </c>
      <c r="I9" s="2">
        <f>GETPIVOTDATA("Sum of Cx tarsalis",$A$4,"Zone","SW")</f>
        <v>15</v>
      </c>
      <c r="J9" s="2">
        <f>GETPIVOTDATA("Sum of Total CX",$A$4,"Zone","SW")</f>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0" t="s">
        <v>77</v>
      </c>
      <c r="B1" s="70"/>
      <c r="H1" s="70" t="s">
        <v>53</v>
      </c>
      <c r="I1" s="70"/>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246</v>
      </c>
      <c r="C6" s="2">
        <v>153</v>
      </c>
      <c r="D6" s="2">
        <v>399</v>
      </c>
      <c r="H6" s="1" t="s">
        <v>9</v>
      </c>
      <c r="I6" s="2">
        <f>GETPIVOTDATA("Total",$A$4,"Zone","LV","Spp","pipiens")</f>
        <v>246</v>
      </c>
      <c r="J6" s="2">
        <f>GETPIVOTDATA("Total",$A$4,"Zone","LV","Spp","tarsalis")</f>
        <v>153</v>
      </c>
      <c r="K6" s="2">
        <f>GETPIVOTDATA("Total",$A$4,"Zone","LV")</f>
        <v>399</v>
      </c>
    </row>
    <row r="7" spans="1:11" x14ac:dyDescent="0.25">
      <c r="A7" s="1" t="s">
        <v>59</v>
      </c>
      <c r="B7" s="2">
        <v>164</v>
      </c>
      <c r="C7" s="2">
        <v>27</v>
      </c>
      <c r="D7" s="2">
        <v>191</v>
      </c>
      <c r="H7" s="1" t="s">
        <v>59</v>
      </c>
      <c r="I7" s="2">
        <f>GETPIVOTDATA("Total",$A$4,"Zone","NE","Spp","pipiens")</f>
        <v>164</v>
      </c>
      <c r="J7" s="2">
        <f>GETPIVOTDATA("Total",$A$4,"Zone","NE","Spp","tarsalis")</f>
        <v>27</v>
      </c>
      <c r="K7" s="2">
        <f>GETPIVOTDATA("Total",$A$4,"Zone","NE")</f>
        <v>191</v>
      </c>
    </row>
    <row r="8" spans="1:11" x14ac:dyDescent="0.25">
      <c r="A8" s="1" t="s">
        <v>58</v>
      </c>
      <c r="B8" s="2">
        <v>315</v>
      </c>
      <c r="C8" s="2">
        <v>82</v>
      </c>
      <c r="D8" s="2">
        <v>397</v>
      </c>
      <c r="H8" s="1" t="s">
        <v>58</v>
      </c>
      <c r="I8" s="2">
        <f>GETPIVOTDATA("Total",$A$4,"Zone","NW","Spp","pipiens")</f>
        <v>315</v>
      </c>
      <c r="J8" s="2">
        <f>GETPIVOTDATA("Total",$A$4,"Zone","NW","Spp","tarsalis")</f>
        <v>82</v>
      </c>
      <c r="K8" s="2">
        <f>GETPIVOTDATA("Total",$A$4,"Zone","NW")</f>
        <v>397</v>
      </c>
    </row>
    <row r="9" spans="1:11" x14ac:dyDescent="0.25">
      <c r="A9" s="1" t="s">
        <v>60</v>
      </c>
      <c r="B9" s="2">
        <v>219</v>
      </c>
      <c r="C9" s="2">
        <v>124</v>
      </c>
      <c r="D9" s="2">
        <v>343</v>
      </c>
      <c r="H9" s="1" t="s">
        <v>60</v>
      </c>
      <c r="I9" s="2">
        <f>GETPIVOTDATA("Total",$A$4,"Zone","SE","Spp","pipiens")</f>
        <v>219</v>
      </c>
      <c r="J9" s="2">
        <f>GETPIVOTDATA("Total",$A$4,"Zone","SE","Spp","tarsalis")</f>
        <v>124</v>
      </c>
      <c r="K9" s="2">
        <f>GETPIVOTDATA("Total",$A$4,"Zone","SE")</f>
        <v>343</v>
      </c>
    </row>
    <row r="10" spans="1:11" x14ac:dyDescent="0.25">
      <c r="A10" s="1" t="s">
        <v>61</v>
      </c>
      <c r="B10" s="2">
        <v>78</v>
      </c>
      <c r="C10" s="2">
        <v>73</v>
      </c>
      <c r="D10" s="2">
        <v>151</v>
      </c>
      <c r="H10" s="1" t="s">
        <v>61</v>
      </c>
      <c r="I10" s="2">
        <f>GETPIVOTDATA("Total",$A$4,"Zone","SW","Spp","pipiens")</f>
        <v>78</v>
      </c>
      <c r="J10" s="2">
        <f>GETPIVOTDATA("Total",$A$4,"Zone","SW","Spp","tarsalis")</f>
        <v>73</v>
      </c>
      <c r="K10" s="2">
        <f>GETPIVOTDATA("Total",$A$4,"Zone","SW")</f>
        <v>151</v>
      </c>
    </row>
    <row r="11" spans="1:11" x14ac:dyDescent="0.25">
      <c r="A11" s="1" t="s">
        <v>7</v>
      </c>
      <c r="B11" s="2">
        <v>1022</v>
      </c>
      <c r="C11" s="2">
        <v>459</v>
      </c>
      <c r="D11" s="2">
        <v>1481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FD4D258-5A58-4B88-8175-2767C24073F5}"/>
</file>

<file path=customXml/itemProps2.xml><?xml version="1.0" encoding="utf-8"?>
<ds:datastoreItem xmlns:ds="http://schemas.openxmlformats.org/officeDocument/2006/customXml" ds:itemID="{5889B448-8216-49EB-B4D1-0F40A659C683}"/>
</file>

<file path=customXml/itemProps3.xml><?xml version="1.0" encoding="utf-8"?>
<ds:datastoreItem xmlns:ds="http://schemas.openxmlformats.org/officeDocument/2006/customXml" ds:itemID="{2E3259B7-234D-4867-B6E7-5DE7ED6A12A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2017-06-19T16:27:59Z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1210400</vt:r8>
  </property>
</Properties>
</file>