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440" windowHeight="15525" tabRatio="905" firstSheet="7" activeTab="13"/>
  </bookViews>
  <sheets>
    <sheet name="READ ME" sheetId="65" r:id="rId1"/>
    <sheet name="Weekly Data Input" sheetId="2" r:id="rId2"/>
    <sheet name="InfRateTotal" sheetId="75" r:id="rId3"/>
    <sheet name="InfRateZone" sheetId="73" r:id="rId4"/>
    <sheet name="InfRateZO" sheetId="71"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workbook>
</file>

<file path=xl/calcChain.xml><?xml version="1.0" encoding="utf-8"?>
<calcChain xmlns="http://schemas.openxmlformats.org/spreadsheetml/2006/main">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H9" i="64"/>
  <c r="J10" i="64"/>
  <c r="J9" i="64"/>
  <c r="H7" i="64"/>
  <c r="I6" i="64"/>
  <c r="H6" i="64"/>
  <c r="J6" i="64"/>
  <c r="I9" i="64"/>
  <c r="H10" i="64"/>
  <c r="I10" i="64"/>
  <c r="I8" i="64"/>
  <c r="J8" i="64"/>
  <c r="H8" i="64"/>
  <c r="J7" i="64"/>
  <c r="I7" i="64"/>
  <c r="H11" i="6"/>
  <c r="G8" i="6"/>
  <c r="H10" i="6"/>
  <c r="G7" i="6"/>
  <c r="G9" i="6"/>
  <c r="I10" i="6"/>
  <c r="H7" i="6"/>
  <c r="G11" i="6"/>
  <c r="I11" i="6"/>
  <c r="G10" i="6"/>
  <c r="I8" i="6"/>
  <c r="H9" i="6"/>
  <c r="I9" i="6"/>
  <c r="H8" i="6"/>
  <c r="I7" i="6"/>
  <c r="K8" i="61"/>
  <c r="I7" i="61"/>
  <c r="I10" i="61"/>
  <c r="J9" i="61"/>
  <c r="K7" i="61"/>
  <c r="K6" i="61"/>
  <c r="J7" i="61"/>
  <c r="K10" i="61"/>
  <c r="K9" i="61"/>
  <c r="J10" i="61"/>
  <c r="I6" i="61"/>
  <c r="I9" i="61"/>
  <c r="J6" i="61"/>
  <c r="J8" i="61"/>
  <c r="I8" i="61"/>
  <c r="I5" i="63"/>
  <c r="J7" i="63"/>
  <c r="J8" i="63"/>
  <c r="H5" i="63"/>
  <c r="J9" i="63"/>
  <c r="J6" i="63"/>
  <c r="I6" i="63"/>
  <c r="H9" i="63"/>
  <c r="I8" i="63"/>
  <c r="J5" i="63"/>
  <c r="I9" i="63"/>
  <c r="H8" i="63"/>
  <c r="H6" i="63"/>
  <c r="I7" i="63"/>
  <c r="H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<sst xmlns="http://schemas.openxmlformats.org/spreadsheetml/2006/main" count="2179" uniqueCount="442">
  <si>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</si>
  <si>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</si>
  <si>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</si>
  <si>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</si>
  <si>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</si>
  <si>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</si>
  <si>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</si>
  <si>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</si>
  <si>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</si>
  <si>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</si>
  <si>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</si>
  <si>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</si>
  <si>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</si>
  <si>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</si>
  <si>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</si>
  <si>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</si>
  <si>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</si>
  <si>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</si>
  <si>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</si>
  <si>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</si>
  <si>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</si>
  <si>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</si>
  <si>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</si>
  <si>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</si>
  <si>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</si>
  <si>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</si>
  <si>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</si>
  <si>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</si>
  <si>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</si>
  <si>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</si>
  <si>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</si>
  <si>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</si>
  <si>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</si>
  <si>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</si>
  <si>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</si>
  <si>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</si>
  <si>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</si>
  <si>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</si>
  <si>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</si>
  <si>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</si>
  <si>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</si>
  <si>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</si>
  <si>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</si>
  <si>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</si>
  <si>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</si>
  <si>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</si>
  <si>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</si>
  <si>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</si>
  <si>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</si>
  <si>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</si>
  <si>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</si>
  <si>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</si>
  <si>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</si>
  <si>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</si>
  <si>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</si>
  <si>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</si>
  <si>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</si>
  <si>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</si>
  <si>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</si>
  <si>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</si>
  <si>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</si>
  <si>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</si>
  <si>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</si>
  <si>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</si>
  <si>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</si>
  <si>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</si>
  <si>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</si>
  <si>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</si>
  <si>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</si>
  <si>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</si>
  <si>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</si>
  <si>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</si>
  <si>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</si>
  <si>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</si>
  <si>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</si>
  <si>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</si>
  <si>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</si>
  <si>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</si>
  <si>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</si>
  <si>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</si>
  <si>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</si>
  <si>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</si>
  <si>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</si>
  <si>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</si>
  <si>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</si>
  <si>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</si>
  <si>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</si>
  <si>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</si>
  <si>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</si>
  <si>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</si>
  <si>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</si>
  <si>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</si>
  <si>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</si>
  <si>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</si>
  <si>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</si>
  <si>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</si>
  <si>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</si>
  <si>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</si>
  <si>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</si>
  <si>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</si>
  <si>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</si>
  <si>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</si>
  <si>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</si>
  <si>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CSU-9931</t>
  </si>
  <si>
    <t>LC</t>
  </si>
  <si>
    <t>FC-057</t>
  </si>
  <si>
    <t>L</t>
  </si>
  <si>
    <t>Cx.</t>
  </si>
  <si>
    <t>F</t>
  </si>
  <si>
    <t>Negative</t>
  </si>
  <si>
    <t>CSU-9932</t>
  </si>
  <si>
    <t>FC-071</t>
  </si>
  <si>
    <t>CSU-9933</t>
  </si>
  <si>
    <t>CSU-9934</t>
  </si>
  <si>
    <t>FC-037</t>
  </si>
  <si>
    <t>CSU-9935</t>
  </si>
  <si>
    <t>FC-062</t>
  </si>
  <si>
    <t>CSU-9936</t>
  </si>
  <si>
    <t>CSU-9937</t>
  </si>
  <si>
    <t>FC-089gr</t>
  </si>
  <si>
    <t>G</t>
  </si>
  <si>
    <t>CSU-9938</t>
  </si>
  <si>
    <t>CSU-9939</t>
  </si>
  <si>
    <t>FC-093</t>
  </si>
  <si>
    <t>CSU-9940</t>
  </si>
  <si>
    <t>FC-068</t>
  </si>
  <si>
    <t>CSU-9941</t>
  </si>
  <si>
    <t>FC-029</t>
  </si>
  <si>
    <t>CSU-9942</t>
  </si>
  <si>
    <t>CSU-9943</t>
  </si>
  <si>
    <t>FC-001</t>
  </si>
  <si>
    <t>CSU-9944</t>
  </si>
  <si>
    <t>FC-029gr</t>
  </si>
  <si>
    <t>Positive</t>
  </si>
  <si>
    <t>CSU-9945</t>
  </si>
  <si>
    <t>FC-054</t>
  </si>
  <si>
    <t>CSU-9946</t>
  </si>
  <si>
    <t>CSU-9947</t>
  </si>
  <si>
    <t>LV-078</t>
  </si>
  <si>
    <t>CSU-9948</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</si>
  <si>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</si>
  <si>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</si>
  <si>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</si>
  <si>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</si>
  <si>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</si>
  <si>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</si>
  <si>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</si>
  <si>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</si>
  <si>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</si>
  <si>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</si>
  <si>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</si>
  <si>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</si>
  <si>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</si>
  <si>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</si>
  <si>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</si>
  <si>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</si>
  <si>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</si>
  <si>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</si>
  <si>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</si>
  <si>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</si>
  <si>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</si>
  <si>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</si>
  <si>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</si>
  <si>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</si>
  <si>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</si>
  <si>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</si>
  <si>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</si>
  <si>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</si>
  <si>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</si>
  <si>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</si>
  <si>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</si>
  <si>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</si>
  <si>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</si>
  <si>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</si>
  <si>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</si>
  <si>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</si>
  <si>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</si>
  <si>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</si>
  <si>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</si>
  <si>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</si>
  <si>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</si>
  <si>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</si>
  <si>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</si>
  <si>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</si>
  <si>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</si>
  <si>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</si>
  <si>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</si>
  <si>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</si>
  <si>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</si>
  <si>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</si>
  <si>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</si>
  <si>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</si>
  <si>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</si>
  <si>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</si>
  <si>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</si>
  <si>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</si>
  <si>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</si>
  <si>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</si>
  <si>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</si>
  <si>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</si>
  <si>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</si>
  <si>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</si>
  <si>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</si>
  <si>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</si>
  <si>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</si>
  <si>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</si>
  <si>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</si>
  <si>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</si>
  <si>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CSU-9993</t>
  </si>
  <si>
    <t>FC-052</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</si>
  <si>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</si>
  <si>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</si>
  <si>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</si>
  <si>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</si>
  <si>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</si>
  <si>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</si>
  <si>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</si>
  <si>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</si>
  <si>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</si>
  <si>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</si>
  <si>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</si>
  <si>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</si>
  <si>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</si>
  <si>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</si>
  <si>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</si>
  <si>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</si>
  <si>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</si>
  <si>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</si>
  <si>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</si>
  <si>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</si>
  <si>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</si>
  <si>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</si>
  <si>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</si>
  <si>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</si>
  <si>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</si>
  <si>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</si>
  <si>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</si>
  <si>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</si>
  <si>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</si>
  <si>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</si>
  <si>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</si>
  <si>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CSU-10013</t>
  </si>
  <si>
    <t>CSU-10014</t>
  </si>
  <si>
    <t>FC-066</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</si>
  <si>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</si>
  <si>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</si>
  <si>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</si>
  <si>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</si>
  <si>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</si>
  <si>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</si>
  <si>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</si>
  <si>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</si>
  <si>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</si>
  <si>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</si>
  <si>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</si>
  <si>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</si>
  <si>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</si>
  <si>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</si>
  <si>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</si>
  <si>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</si>
  <si>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</si>
  <si>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</si>
  <si>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</si>
  <si>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</si>
  <si>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</si>
  <si>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</si>
  <si>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</si>
  <si>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</si>
  <si>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</si>
  <si>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</si>
  <si>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</si>
  <si>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</si>
  <si>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</si>
  <si>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08/24/2016</t>
  </si>
  <si>
    <t>LC-001</t>
  </si>
  <si>
    <t>Berthoud</t>
  </si>
  <si>
    <t>LIGHT</t>
  </si>
  <si>
    <t>NO</t>
  </si>
  <si>
    <t>08/23/2016</t>
  </si>
  <si>
    <t>LC-010</t>
  </si>
  <si>
    <t>Timnath-Downtown</t>
  </si>
  <si>
    <t>LC-017</t>
  </si>
  <si>
    <t>Bonnell West 2</t>
  </si>
  <si>
    <t>LC-022</t>
  </si>
  <si>
    <t>Timnath-Golf Course</t>
  </si>
  <si>
    <t>08/22/2016</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</si>
  <si>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</si>
  <si>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</si>
  <si>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</si>
  <si>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</si>
  <si>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</si>
  <si>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</si>
  <si>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</si>
  <si>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</si>
  <si>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</si>
  <si>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</si>
  <si>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</si>
  <si>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</si>
  <si>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</si>
  <si>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</si>
  <si>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</si>
  <si>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</si>
  <si>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</si>
  <si>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</si>
  <si>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</si>
  <si>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</si>
  <si>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</si>
  <si>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</si>
  <si>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</si>
  <si>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</si>
  <si>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</si>
  <si>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</si>
  <si>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</si>
  <si>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</si>
  <si>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</si>
  <si>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</si>
  <si>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</si>
  <si>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</si>
  <si>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</si>
  <si>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</si>
  <si>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</si>
  <si>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</si>
  <si>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</si>
  <si>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</si>
  <si>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</si>
  <si>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</si>
  <si>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</si>
  <si>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</si>
  <si>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</si>
  <si>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</si>
  <si>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</si>
  <si>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</si>
  <si>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</si>
  <si>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</si>
  <si>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</si>
  <si>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</si>
  <si>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</si>
  <si>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</si>
  <si>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</si>
  <si>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</si>
  <si>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</si>
  <si>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</si>
  <si>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</si>
  <si>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</si>
  <si>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</si>
  <si>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</si>
  <si>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</si>
  <si>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</si>
  <si>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</si>
  <si>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</si>
  <si>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</si>
  <si>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</si>
  <si>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</si>
  <si>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</si>
  <si>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</si>
  <si>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</si>
  <si>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</si>
  <si>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</si>
  <si>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</si>
  <si>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</si>
  <si>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</si>
  <si>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</si>
  <si>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</si>
  <si>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</si>
  <si>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</si>
  <si>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</si>
  <si>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</si>
  <si>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</si>
  <si>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</si>
  <si>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</si>
  <si>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08/25/2016</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</si>
  <si>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</si>
  <si>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</si>
  <si>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</si>
  <si>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</si>
  <si>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</si>
  <si>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</si>
  <si>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</si>
  <si>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</si>
  <si>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</si>
  <si>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</si>
  <si>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</si>
  <si>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</si>
  <si>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</si>
  <si>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</si>
  <si>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</si>
  <si>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</si>
  <si>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</si>
  <si>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</si>
  <si>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</si>
  <si>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</si>
  <si>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</si>
  <si>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</si>
  <si>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</si>
  <si>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</si>
  <si>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</si>
  <si>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</si>
  <si>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</si>
  <si>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</si>
  <si>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</si>
  <si>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</si>
  <si>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</si>
  <si>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</si>
  <si>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</si>
  <si>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</si>
  <si>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</si>
  <si>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</si>
  <si>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</si>
  <si>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</si>
  <si>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</si>
  <si>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</si>
  <si>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</si>
  <si>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</si>
  <si>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</si>
  <si>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</si>
  <si>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</si>
  <si>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</si>
  <si>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</si>
  <si>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</si>
  <si>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</si>
  <si>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</si>
  <si>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</si>
  <si>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</si>
  <si>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</si>
  <si>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</si>
  <si>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</si>
  <si>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</si>
  <si>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</si>
  <si>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</si>
  <si>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</si>
  <si>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</si>
  <si>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</si>
  <si>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</si>
  <si>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</si>
  <si>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</si>
  <si>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Bias Corrected MLE</t>
  </si>
  <si>
    <t>Corrected Score</t>
  </si>
  <si>
    <t>Score</t>
  </si>
  <si>
    <t>InfTotal</t>
  </si>
  <si>
    <t>InfZone</t>
  </si>
  <si>
    <t>GRAPH 1A</t>
  </si>
  <si>
    <t>Graph 1B</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</si>
</sst>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0" fontId="8" fillId="0" borderId="8" xfId="0"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167" fontId="16" fillId="0" borderId="3" xfId="0" applyNumberFormat="1" applyFont="1" applyBorder="1" applyAlignment="1">
      <alignment horizontal="right" vertical="center" wrapText="1"/>
    </xf>
    <xf numFmtId="167" fontId="16" fillId="0" borderId="8" xfId="0" applyNumberFormat="1" applyFont="1" applyBorder="1" applyAlignment="1">
      <alignment horizontal="right" vertical="center" wrapText="1"/>
    </xf>
    <xf numFmtId="167" fontId="8" fillId="0" borderId="8" xfId="0" applyNumberFormat="1" applyFont="1" applyBorder="1" applyAlignment="1">
      <alignment horizontal="right"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874.707744097221" createdVersion="4" refreshedVersion="4" minRefreshableVersion="3" recordCount="92">
  <cacheSource type="worksheet">
    <worksheetSource ref="A1:L93" sheet="Weekly 009 input (- Grav, Mal)"/>
  </cacheSource>
  <cacheFields count="12">
    <cacheField name="Week" numFmtId="0">
      <sharedItems containsSemiMixedTypes="0" containsString="0" containsNumber="1" containsInteger="1" minValue="34" maxValue="34" count="1">
        <n v="34"/>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9"/>
    </cacheField>
    <cacheField name="Cx pipiens" numFmtId="0">
      <sharedItems containsSemiMixedTypes="0" containsString="0" containsNumber="1" containsInteger="1" minValue="0" maxValue="23"/>
    </cacheField>
    <cacheField name="Total CX" numFmtId="0">
      <sharedItems containsSemiMixedTypes="0" containsString="0" containsNumber="1" containsInteger="1" minValue="0" maxValue="71"/>
    </cacheField>
    <cacheField name="Total Females" numFmtId="0">
      <sharedItems containsNonDate="0" containsString="0" containsBlank="1"/>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874.726535069443" createdVersion="4" refreshedVersion="4" minRefreshableVersion="3" recordCount="102">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0">
      <sharedItems containsSemiMixedTypes="0" containsDate="1" containsString="0" containsMixedTypes="1" minDate="2016-08-22T00:00:00" maxDate="1900-01-08T16:49:04" count="5">
        <d v="2016-08-22T00:00:00"/>
        <d v="2016-08-23T00:00:00"/>
        <d v="2016-08-24T00:00:00"/>
        <n v="42606"/>
        <n v="42607"/>
      </sharedItems>
    </cacheField>
    <cacheField name="County" numFmtId="0">
      <sharedItems/>
    </cacheField>
    <cacheField name="Account" numFmtId="0">
      <sharedItems/>
    </cacheField>
    <cacheField name="Collection Site (Trap ID)" numFmtId="0">
      <sharedItems/>
    </cacheField>
    <cacheField name="Zone" numFmtId="0">
      <sharedItems count="5">
        <s v="SW"/>
        <s v="SE"/>
        <s v="LV"/>
        <s v="NW"/>
        <s v="N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8/24/2016"/>
    <s v="LC-001"/>
    <x v="0"/>
    <s v="Berthoud"/>
    <s v="LIGHT"/>
    <s v="NO"/>
    <n v="7"/>
    <n v="2"/>
    <n v="9"/>
    <m/>
    <m/>
  </r>
  <r>
    <x v="0"/>
    <s v="08/23/2016"/>
    <s v="LC-010"/>
    <x v="0"/>
    <s v="Timnath-Downtown"/>
    <s v="LIGHT"/>
    <s v="NO"/>
    <n v="4"/>
    <n v="0"/>
    <n v="4"/>
    <m/>
    <m/>
  </r>
  <r>
    <x v="0"/>
    <s v="08/24/2016"/>
    <s v="LC-017"/>
    <x v="0"/>
    <s v="Bonnell West 2"/>
    <s v="LIGHT"/>
    <s v="NO"/>
    <n v="5"/>
    <n v="1"/>
    <n v="6"/>
    <m/>
    <m/>
  </r>
  <r>
    <x v="0"/>
    <s v="08/23/2016"/>
    <s v="LC-022"/>
    <x v="0"/>
    <s v="Timnath-Golf Course"/>
    <s v="LIGHT"/>
    <s v="NO"/>
    <n v="20"/>
    <n v="0"/>
    <n v="20"/>
    <m/>
    <m/>
  </r>
  <r>
    <x v="0"/>
    <s v="08/22/2016"/>
    <s v="LC-032"/>
    <x v="0"/>
    <s v="River Lakes Estates/Paradise Acres"/>
    <s v="LIGHT"/>
    <s v="NO"/>
    <n v="7"/>
    <n v="2"/>
    <n v="9"/>
    <m/>
    <m/>
  </r>
  <r>
    <x v="0"/>
    <s v="08/22/2016"/>
    <s v="LC-038"/>
    <x v="0"/>
    <s v="Turman Bruns HOA"/>
    <s v="LIGHT"/>
    <s v="NO"/>
    <n v="10"/>
    <n v="0"/>
    <n v="10"/>
    <m/>
    <m/>
  </r>
  <r>
    <x v="0"/>
    <s v="08/22/2016"/>
    <s v="LC-046"/>
    <x v="0"/>
    <s v="Eagle Ranch Estates"/>
    <s v="LIGHT"/>
    <s v="NO"/>
    <n v="12"/>
    <n v="0"/>
    <n v="12"/>
    <m/>
    <m/>
  </r>
  <r>
    <x v="0"/>
    <s v="08/23/2016"/>
    <s v="LC-048"/>
    <x v="0"/>
    <s v="Timnath-Summerfields"/>
    <s v="LIGHT"/>
    <s v="NO"/>
    <n v="5"/>
    <n v="0"/>
    <n v="5"/>
    <m/>
    <m/>
  </r>
  <r>
    <x v="0"/>
    <s v="08/24/2016"/>
    <s v="LC-049"/>
    <x v="0"/>
    <s v="Berthoud North of Bunyan"/>
    <s v="LIGHT"/>
    <s v="NO"/>
    <n v="1"/>
    <n v="0"/>
    <n v="1"/>
    <m/>
    <m/>
  </r>
  <r>
    <x v="0"/>
    <s v="08/22/2016"/>
    <s v="LC-050"/>
    <x v="0"/>
    <s v="Timnath-Wildwing"/>
    <s v="LIGHT"/>
    <s v="NO"/>
    <n v="9"/>
    <n v="22"/>
    <n v="31"/>
    <m/>
    <m/>
  </r>
  <r>
    <x v="0"/>
    <s v="08/22/2016"/>
    <s v="LC-051"/>
    <x v="0"/>
    <s v="Timnath-Saratoga Falls"/>
    <s v="LIGHT"/>
    <s v="NO"/>
    <n v="22"/>
    <n v="5"/>
    <n v="27"/>
    <m/>
    <m/>
  </r>
  <r>
    <x v="0"/>
    <s v="08/23/2016"/>
    <s v="LC-052"/>
    <x v="0"/>
    <s v="Walmart East at Poudre River"/>
    <s v="LIGHT"/>
    <s v="NO"/>
    <n v="41"/>
    <n v="0"/>
    <n v="41"/>
    <m/>
    <m/>
  </r>
  <r>
    <x v="0"/>
    <s v="08/24/2016"/>
    <s v="LC-053"/>
    <x v="0"/>
    <s v="Berthoud West"/>
    <s v="LIGHT"/>
    <s v="NO"/>
    <n v="5"/>
    <n v="0"/>
    <n v="5"/>
    <m/>
    <m/>
  </r>
  <r>
    <x v="0"/>
    <s v="08/22/2016"/>
    <s v="LV-004"/>
    <x v="1"/>
    <s v="29th and Madison"/>
    <s v="LIGHT"/>
    <s v="NO"/>
    <n v="19"/>
    <n v="1"/>
    <n v="20"/>
    <m/>
    <m/>
  </r>
  <r>
    <x v="0"/>
    <s v="08/24/2016"/>
    <s v="LV-014"/>
    <x v="1"/>
    <s v="Estrella Park"/>
    <s v="LIGHT"/>
    <s v="NO"/>
    <n v="1"/>
    <n v="0"/>
    <n v="1"/>
    <m/>
    <m/>
  </r>
  <r>
    <x v="0"/>
    <s v="08/24/2016"/>
    <s v="LV-019"/>
    <x v="1"/>
    <s v="Jocelyn and Eagle"/>
    <s v="LIGHT"/>
    <s v="NO"/>
    <n v="9"/>
    <n v="0"/>
    <n v="9"/>
    <m/>
    <m/>
  </r>
  <r>
    <x v="0"/>
    <s v="08/24/2016"/>
    <s v="LV-020"/>
    <x v="1"/>
    <s v="Cattail Pond"/>
    <s v="LIGHT"/>
    <s v="NO"/>
    <n v="14"/>
    <n v="0"/>
    <n v="14"/>
    <m/>
    <m/>
  </r>
  <r>
    <x v="0"/>
    <s v="08/24/2016"/>
    <s v="LV-021"/>
    <x v="1"/>
    <s v="Linda and 26th Street SW"/>
    <s v="LIGHT"/>
    <s v="NO"/>
    <n v="2"/>
    <n v="0"/>
    <n v="2"/>
    <m/>
    <m/>
  </r>
  <r>
    <x v="0"/>
    <s v="08/24/2016"/>
    <s v="LV-042"/>
    <x v="1"/>
    <s v="2001 South Douglas"/>
    <s v="LIGHT"/>
    <s v="NO"/>
    <n v="10"/>
    <n v="0"/>
    <n v="10"/>
    <m/>
    <m/>
  </r>
  <r>
    <x v="0"/>
    <s v="08/22/2016"/>
    <s v="LV-066"/>
    <x v="1"/>
    <s v="Outlet Mall Apartments"/>
    <s v="LIGHT"/>
    <s v="NO"/>
    <n v="22"/>
    <n v="0"/>
    <n v="22"/>
    <m/>
    <m/>
  </r>
  <r>
    <x v="0"/>
    <s v="08/24/2016"/>
    <s v="LV-067"/>
    <x v="1"/>
    <s v="Del Norte Private Park"/>
    <s v="LIGHT"/>
    <s v="NO"/>
    <n v="9"/>
    <n v="1"/>
    <n v="10"/>
    <m/>
    <m/>
  </r>
  <r>
    <x v="0"/>
    <s v="08/22/2016"/>
    <s v="LV-069"/>
    <x v="1"/>
    <s v="Horseshoe Peninsula"/>
    <s v="LIGHT"/>
    <s v="NO"/>
    <n v="26"/>
    <n v="4"/>
    <n v="30"/>
    <m/>
    <m/>
  </r>
  <r>
    <x v="0"/>
    <s v="08/23/2016"/>
    <s v="LV-074"/>
    <x v="1"/>
    <s v="Jefferson and 11th"/>
    <s v="LIGHT"/>
    <s v="NO"/>
    <n v="22"/>
    <n v="3"/>
    <n v="25"/>
    <m/>
    <m/>
  </r>
  <r>
    <x v="0"/>
    <s v="08/23/2016"/>
    <s v="LV-077"/>
    <x v="1"/>
    <s v="1105 East First Street"/>
    <s v="LIGHT"/>
    <s v="NO"/>
    <n v="8"/>
    <n v="0"/>
    <n v="8"/>
    <m/>
    <m/>
  </r>
  <r>
    <x v="0"/>
    <s v="08/22/2016"/>
    <s v="LV-078"/>
    <x v="1"/>
    <s v="Seven Lakes Park"/>
    <s v="LIGHT"/>
    <s v="NO"/>
    <n v="6"/>
    <n v="5"/>
    <n v="11"/>
    <m/>
    <m/>
  </r>
  <r>
    <x v="0"/>
    <s v="08/22/2016"/>
    <s v="LV-080"/>
    <x v="1"/>
    <s v="Harding and Reagan North"/>
    <s v="LIGHT"/>
    <s v="NO"/>
    <n v="25"/>
    <n v="23"/>
    <n v="48"/>
    <m/>
    <m/>
  </r>
  <r>
    <x v="0"/>
    <s v="08/24/2016"/>
    <s v="LV-087"/>
    <x v="1"/>
    <s v="2444 Derby Hill Road"/>
    <s v="LIGHT"/>
    <s v="NO"/>
    <n v="5"/>
    <n v="0"/>
    <n v="5"/>
    <m/>
    <m/>
  </r>
  <r>
    <x v="0"/>
    <s v="08/22/2016"/>
    <s v="LV-088"/>
    <x v="1"/>
    <s v="2229 Arikaree Court"/>
    <s v="LIGHT"/>
    <s v="NO"/>
    <n v="15"/>
    <n v="5"/>
    <n v="20"/>
    <m/>
    <m/>
  </r>
  <r>
    <x v="0"/>
    <s v="08/23/2016"/>
    <s v="LV-089"/>
    <x v="1"/>
    <s v="9th and Des Moines"/>
    <s v="LIGHT"/>
    <s v="NO"/>
    <n v="59"/>
    <n v="12"/>
    <n v="71"/>
    <m/>
    <m/>
  </r>
  <r>
    <x v="0"/>
    <s v="08/22/2016"/>
    <s v="LV-093"/>
    <x v="1"/>
    <s v="Pond at Silver Lake"/>
    <s v="LIGHT"/>
    <s v="NO"/>
    <n v="19"/>
    <n v="16"/>
    <n v="35"/>
    <m/>
    <m/>
  </r>
  <r>
    <x v="0"/>
    <s v="08/22/2016"/>
    <s v="LV-095"/>
    <x v="1"/>
    <s v="Waterfront at Boyd Lake"/>
    <s v="LIGHT"/>
    <s v="NO"/>
    <n v="4"/>
    <n v="0"/>
    <n v="4"/>
    <m/>
    <m/>
  </r>
  <r>
    <x v="0"/>
    <s v="08/24/2016"/>
    <s v="LV-097"/>
    <x v="1"/>
    <s v="Farisita at Rist Benson Drainage"/>
    <s v="LIGHT"/>
    <s v="NO"/>
    <n v="4"/>
    <n v="0"/>
    <n v="4"/>
    <m/>
    <m/>
  </r>
  <r>
    <x v="0"/>
    <s v="08/24/2016"/>
    <s v="LV-098"/>
    <x v="1"/>
    <s v="Benson Park"/>
    <s v="LIGHT"/>
    <s v="NO"/>
    <n v="10"/>
    <n v="2"/>
    <n v="12"/>
    <m/>
    <m/>
  </r>
  <r>
    <x v="0"/>
    <s v="08/24/2016"/>
    <s v="LV-099"/>
    <x v="1"/>
    <s v="Cattails Golf Course"/>
    <s v="LIGHT"/>
    <s v="NO"/>
    <n v="2"/>
    <n v="1"/>
    <n v="3"/>
    <m/>
    <m/>
  </r>
  <r>
    <x v="0"/>
    <s v="08/23/2016"/>
    <s v="LV-100"/>
    <x v="1"/>
    <s v="Lynx Runoff @ Blue Tree Real Estate"/>
    <s v="LIGHT"/>
    <s v="NO"/>
    <n v="3"/>
    <n v="3"/>
    <n v="6"/>
    <m/>
    <m/>
  </r>
  <r>
    <x v="0"/>
    <s v="08/24/2016"/>
    <s v="LV-102"/>
    <x v="1"/>
    <s v="Glen Isle Ditch and Pond"/>
    <s v="LIGHT"/>
    <s v="NO"/>
    <n v="8"/>
    <n v="4"/>
    <n v="12"/>
    <m/>
    <m/>
  </r>
  <r>
    <x v="0"/>
    <s v="08/23/2016"/>
    <s v="LV-104"/>
    <x v="1"/>
    <s v="County Road 20C and County Road 9"/>
    <s v="LIGHT"/>
    <s v="NO"/>
    <n v="17"/>
    <n v="4"/>
    <n v="21"/>
    <m/>
    <m/>
  </r>
  <r>
    <x v="0"/>
    <s v="08/24/2016"/>
    <s v="LV-105"/>
    <x v="1"/>
    <s v="West 43rd RR"/>
    <s v="LIGHT"/>
    <s v="NO"/>
    <n v="10"/>
    <n v="3"/>
    <n v="13"/>
    <m/>
    <m/>
  </r>
  <r>
    <x v="0"/>
    <s v="08/23/2016"/>
    <s v="LV-110"/>
    <x v="1"/>
    <s v="Big Thompson Natural Area"/>
    <s v="LIGHT"/>
    <s v="NO"/>
    <n v="5"/>
    <n v="4"/>
    <n v="9"/>
    <m/>
    <m/>
  </r>
  <r>
    <x v="0"/>
    <s v="08/22/2016"/>
    <s v="LV-112"/>
    <x v="1"/>
    <s v="915 South Boise"/>
    <s v="LIGHT"/>
    <s v="NO"/>
    <n v="10"/>
    <n v="7"/>
    <n v="17"/>
    <m/>
    <m/>
  </r>
  <r>
    <x v="0"/>
    <s v="08/23/2016"/>
    <s v="LV-113"/>
    <x v="1"/>
    <s v="The Springs at Marianna"/>
    <s v="LIGHT"/>
    <s v="NO"/>
    <n v="2"/>
    <n v="0"/>
    <n v="2"/>
    <m/>
    <m/>
  </r>
  <r>
    <x v="0"/>
    <s v="08/24/2016"/>
    <s v="LV-114"/>
    <x v="1"/>
    <s v="The Ponds at Jill Drive"/>
    <s v="LIGHT"/>
    <s v="NO"/>
    <n v="3"/>
    <n v="0"/>
    <n v="3"/>
    <m/>
    <m/>
  </r>
  <r>
    <x v="0"/>
    <s v="08/22/2016"/>
    <s v="LV-116"/>
    <x v="1"/>
    <s v="Sundisk and 13E"/>
    <s v="LIGHT"/>
    <s v="NO"/>
    <n v="41"/>
    <n v="4"/>
    <n v="45"/>
    <m/>
    <m/>
  </r>
  <r>
    <x v="0"/>
    <s v="08/22/2016"/>
    <s v="LV-117"/>
    <x v="1"/>
    <s v="Centerra"/>
    <s v="LIGHT"/>
    <s v="NO"/>
    <n v="11"/>
    <n v="4"/>
    <n v="15"/>
    <m/>
    <m/>
  </r>
  <r>
    <x v="0"/>
    <s v="08/23/2016"/>
    <s v="LV-118"/>
    <x v="1"/>
    <s v="Golf Vista at Golf Course Pond"/>
    <s v="LIGHT"/>
    <s v="NO"/>
    <n v="5"/>
    <n v="0"/>
    <n v="5"/>
    <m/>
    <m/>
  </r>
  <r>
    <x v="0"/>
    <s v="08/24/2016"/>
    <s v="LV-120"/>
    <x v="1"/>
    <s v="End of City Limits North"/>
    <s v="LIGHT"/>
    <s v="NO"/>
    <n v="19"/>
    <n v="0"/>
    <n v="19"/>
    <m/>
    <m/>
  </r>
  <r>
    <x v="0"/>
    <s v="08/24/2016"/>
    <s v="LV-121"/>
    <x v="1"/>
    <s v="Bayfield and Windsor"/>
    <s v="LIGHT"/>
    <s v="NO"/>
    <n v="0"/>
    <n v="0"/>
    <n v="0"/>
    <m/>
    <m/>
  </r>
  <r>
    <x v="0"/>
    <s v="08/24/2016"/>
    <s v="LV-122"/>
    <x v="1"/>
    <s v="Fallgold"/>
    <s v="LIGHT"/>
    <s v="NO"/>
    <n v="2"/>
    <n v="0"/>
    <n v="2"/>
    <m/>
    <m/>
  </r>
  <r>
    <x v="0"/>
    <s v="08/23/2016"/>
    <s v="LV-124"/>
    <x v="1"/>
    <s v="Storage Yards 2nd St. South West"/>
    <s v="LIGHT"/>
    <s v="NO"/>
    <n v="12"/>
    <n v="1"/>
    <n v="13"/>
    <m/>
    <m/>
  </r>
  <r>
    <x v="0"/>
    <s v="08/23/2016"/>
    <s v="LV-125"/>
    <x v="1"/>
    <s v="8th St. No Name"/>
    <s v="LIGHT"/>
    <s v="NO"/>
    <n v="48"/>
    <n v="21"/>
    <n v="69"/>
    <m/>
    <m/>
  </r>
  <r>
    <x v="0"/>
    <s v="08/25/2016"/>
    <s v="FC-006"/>
    <x v="2"/>
    <s v="North Linden"/>
    <s v="LIGHT"/>
    <s v="NO"/>
    <n v="3"/>
    <n v="22"/>
    <n v="25"/>
    <m/>
    <m/>
  </r>
  <r>
    <x v="0"/>
    <s v="08/25/2016"/>
    <s v="FC-014"/>
    <x v="2"/>
    <s v="Fort Collins Vistors Center"/>
    <s v="LIGHT"/>
    <s v="NO"/>
    <n v="0"/>
    <n v="3"/>
    <n v="3"/>
    <m/>
    <m/>
  </r>
  <r>
    <x v="0"/>
    <s v="08/25/2016"/>
    <s v="FC-019"/>
    <x v="2"/>
    <s v="Edora Park"/>
    <s v="LIGHT"/>
    <s v="NO"/>
    <n v="0"/>
    <n v="3"/>
    <n v="3"/>
    <m/>
    <m/>
  </r>
  <r>
    <x v="0"/>
    <s v="08/25/2016"/>
    <s v="FC-034"/>
    <x v="2"/>
    <s v="Country Club"/>
    <s v="LIGHT"/>
    <s v="NO"/>
    <n v="0"/>
    <n v="0"/>
    <n v="0"/>
    <m/>
    <m/>
  </r>
  <r>
    <x v="0"/>
    <s v="08/25/2016"/>
    <s v="FC-038"/>
    <x v="2"/>
    <s v="Lochside Lane"/>
    <s v="LIGHT"/>
    <s v="NO"/>
    <n v="3"/>
    <n v="12"/>
    <n v="15"/>
    <m/>
    <m/>
  </r>
  <r>
    <x v="0"/>
    <s v="08/25/2016"/>
    <s v="FC-040"/>
    <x v="2"/>
    <s v="Redwood"/>
    <s v="LIGHT"/>
    <s v="NO"/>
    <n v="3"/>
    <n v="13"/>
    <n v="16"/>
    <m/>
    <m/>
  </r>
  <r>
    <x v="0"/>
    <s v="08/25/2016"/>
    <s v="FC-066"/>
    <x v="2"/>
    <s v="Prospect Ponds @ Drake Water"/>
    <s v="LIGHT"/>
    <s v="NO"/>
    <n v="5"/>
    <n v="6"/>
    <n v="11"/>
    <m/>
    <m/>
  </r>
  <r>
    <x v="0"/>
    <s v="08/25/2016"/>
    <s v="FC-067"/>
    <x v="2"/>
    <s v="Poudre River Drive at bike trail"/>
    <s v="LIGHT"/>
    <s v="NO"/>
    <n v="10"/>
    <n v="6"/>
    <n v="16"/>
    <m/>
    <m/>
  </r>
  <r>
    <x v="0"/>
    <s v="08/25/2016"/>
    <s v="FC-069"/>
    <x v="2"/>
    <s v="Linden Lake Rd"/>
    <s v="LIGHT"/>
    <s v="NO"/>
    <n v="3"/>
    <n v="3"/>
    <n v="6"/>
    <m/>
    <m/>
  </r>
  <r>
    <x v="0"/>
    <s v="08/24/2016"/>
    <s v="FC-011"/>
    <x v="3"/>
    <s v="Golden Currant"/>
    <s v="LIGHT"/>
    <s v="NO"/>
    <n v="0"/>
    <n v="21"/>
    <n v="21"/>
    <m/>
    <m/>
  </r>
  <r>
    <x v="0"/>
    <s v="08/24/2016"/>
    <s v="FC-015"/>
    <x v="3"/>
    <s v="Stuart and Dorset"/>
    <s v="LIGHT"/>
    <s v="NO"/>
    <n v="2"/>
    <n v="0"/>
    <n v="2"/>
    <m/>
    <m/>
  </r>
  <r>
    <x v="0"/>
    <s v="08/25/2016"/>
    <s v="FC-036"/>
    <x v="3"/>
    <s v="Hemlock"/>
    <s v="LIGHT"/>
    <s v="NO"/>
    <n v="3"/>
    <n v="2"/>
    <n v="5"/>
    <m/>
    <m/>
  </r>
  <r>
    <x v="0"/>
    <s v="08/24/2016"/>
    <s v="FC-041"/>
    <x v="3"/>
    <s v="Fishback"/>
    <s v="LIGHT"/>
    <s v="NO"/>
    <n v="43"/>
    <n v="20"/>
    <n v="63"/>
    <m/>
    <m/>
  </r>
  <r>
    <x v="0"/>
    <s v="08/24/2016"/>
    <s v="FC-052"/>
    <x v="3"/>
    <s v="603 Gilgalad Way"/>
    <s v="LIGHT"/>
    <s v="NO"/>
    <n v="9"/>
    <n v="0"/>
    <n v="9"/>
    <m/>
    <m/>
  </r>
  <r>
    <x v="0"/>
    <s v="08/24/2016"/>
    <s v="FC-060"/>
    <x v="3"/>
    <s v="808 Pondersosa"/>
    <s v="LIGHT"/>
    <s v="NO"/>
    <n v="0"/>
    <n v="1"/>
    <n v="1"/>
    <m/>
    <m/>
  </r>
  <r>
    <x v="0"/>
    <s v="08/24/2016"/>
    <s v="FC-061"/>
    <x v="3"/>
    <s v="Holley Environ. Plant Research Ctr"/>
    <s v="LIGHT"/>
    <s v="NO"/>
    <n v="0"/>
    <n v="2"/>
    <n v="2"/>
    <m/>
    <m/>
  </r>
  <r>
    <x v="0"/>
    <s v="08/24/2016"/>
    <s v="FC-063"/>
    <x v="3"/>
    <s v="Red Fox Meadows FCNA"/>
    <s v="LIGHT"/>
    <s v="NO"/>
    <n v="2"/>
    <n v="0"/>
    <n v="2"/>
    <m/>
    <m/>
  </r>
  <r>
    <x v="0"/>
    <s v="08/24/2016"/>
    <s v="FC-073"/>
    <x v="3"/>
    <s v="118 Grant"/>
    <s v="LIGHT"/>
    <s v="NO"/>
    <n v="23"/>
    <n v="7"/>
    <n v="30"/>
    <m/>
    <m/>
  </r>
  <r>
    <x v="0"/>
    <s v="08/23/2016"/>
    <s v="FC-004"/>
    <x v="4"/>
    <s v="Bighorn Drive"/>
    <s v="LIGHT"/>
    <s v="NO"/>
    <n v="2"/>
    <n v="1"/>
    <n v="3"/>
    <m/>
    <m/>
  </r>
  <r>
    <x v="0"/>
    <s v="08/23/2016"/>
    <s v="FC-023"/>
    <x v="4"/>
    <s v="Boltz"/>
    <s v="LIGHT"/>
    <s v="NO"/>
    <n v="5"/>
    <n v="0"/>
    <n v="5"/>
    <m/>
    <m/>
  </r>
  <r>
    <x v="0"/>
    <s v="08/23/2016"/>
    <s v="FC-027"/>
    <x v="4"/>
    <s v="San Luis"/>
    <s v="LIGHT"/>
    <s v="NO"/>
    <n v="2"/>
    <n v="3"/>
    <n v="5"/>
    <m/>
    <m/>
  </r>
  <r>
    <x v="0"/>
    <s v="08/22/2016"/>
    <s v="FC-029"/>
    <x v="4"/>
    <s v="Bens Park"/>
    <s v="LIGHT"/>
    <s v="NO"/>
    <n v="6"/>
    <n v="3"/>
    <n v="9"/>
    <m/>
    <m/>
  </r>
  <r>
    <x v="0"/>
    <s v="08/23/2016"/>
    <s v="FC-031"/>
    <x v="4"/>
    <s v="Willow Springs"/>
    <s v="LIGHT"/>
    <s v="NO"/>
    <n v="14"/>
    <n v="3"/>
    <n v="17"/>
    <m/>
    <m/>
  </r>
  <r>
    <x v="0"/>
    <s v="08/23/2016"/>
    <s v="FC-039"/>
    <x v="4"/>
    <s v="Fossil Creek South (Greenstone)"/>
    <s v="LIGHT"/>
    <s v="NO"/>
    <n v="5"/>
    <n v="0"/>
    <n v="5"/>
    <m/>
    <m/>
  </r>
  <r>
    <x v="0"/>
    <s v="08/23/2016"/>
    <s v="FC-046"/>
    <x v="4"/>
    <s v="725 Westshore Court"/>
    <s v="LIGHT"/>
    <s v="NO"/>
    <n v="9"/>
    <n v="4"/>
    <n v="13"/>
    <m/>
    <m/>
  </r>
  <r>
    <x v="0"/>
    <s v="08/23/2016"/>
    <s v="FC-047"/>
    <x v="4"/>
    <s v="Keenland &amp; Twin Oak"/>
    <s v="LIGHT"/>
    <s v="NO"/>
    <n v="8"/>
    <n v="5"/>
    <n v="13"/>
    <m/>
    <m/>
  </r>
  <r>
    <x v="0"/>
    <s v="08/23/2016"/>
    <s v="FC-050"/>
    <x v="4"/>
    <s v="Golden Meadows Ditch"/>
    <s v="LIGHT"/>
    <s v="NO"/>
    <n v="12"/>
    <n v="8"/>
    <n v="20"/>
    <m/>
    <m/>
  </r>
  <r>
    <x v="0"/>
    <s v="08/23/2016"/>
    <s v="FC-053"/>
    <x v="4"/>
    <s v="Egret and Rookery"/>
    <s v="LIGHT"/>
    <s v="NO"/>
    <n v="25"/>
    <n v="5"/>
    <n v="30"/>
    <m/>
    <m/>
  </r>
  <r>
    <x v="0"/>
    <s v="08/22/2016"/>
    <s v="FC-054"/>
    <x v="4"/>
    <s v="737 Parliament Court"/>
    <s v="LIGHT"/>
    <s v="NO"/>
    <n v="2"/>
    <n v="2"/>
    <n v="4"/>
    <m/>
    <m/>
  </r>
  <r>
    <x v="0"/>
    <s v="08/23/2016"/>
    <s v="FC-059"/>
    <x v="4"/>
    <s v="Springwood and Lockwood"/>
    <s v="LIGHT"/>
    <s v="NO"/>
    <n v="3"/>
    <n v="9"/>
    <n v="12"/>
    <m/>
    <m/>
  </r>
  <r>
    <x v="0"/>
    <s v="08/23/2016"/>
    <s v="FC-064"/>
    <x v="4"/>
    <s v="West Chase @ Kechter Farm"/>
    <s v="LIGHT"/>
    <s v="NO"/>
    <n v="11"/>
    <n v="5"/>
    <n v="16"/>
    <m/>
    <m/>
  </r>
  <r>
    <x v="0"/>
    <s v="08/23/2016"/>
    <s v="FC-074"/>
    <x v="4"/>
    <s v="Rockcreek"/>
    <s v="LIGHT"/>
    <s v="NO"/>
    <n v="2"/>
    <n v="1"/>
    <n v="3"/>
    <m/>
    <m/>
  </r>
  <r>
    <x v="0"/>
    <s v="08/24/2016"/>
    <s v="FC-075"/>
    <x v="4"/>
    <s v="North Sage Creek"/>
    <s v="LIGHT"/>
    <s v="NO"/>
    <n v="18"/>
    <n v="0"/>
    <n v="18"/>
    <m/>
    <m/>
  </r>
  <r>
    <x v="0"/>
    <s v="08/22/2016"/>
    <s v="FC-001"/>
    <x v="5"/>
    <s v="Magic Carpet"/>
    <s v="LIGHT"/>
    <s v="NO"/>
    <n v="6"/>
    <n v="0"/>
    <n v="6"/>
    <m/>
    <m/>
  </r>
  <r>
    <x v="0"/>
    <s v="08/22/2016"/>
    <s v="FC-037"/>
    <x v="5"/>
    <s v="Chelsea Ridge"/>
    <s v="LIGHT"/>
    <s v="NO"/>
    <n v="32"/>
    <n v="0"/>
    <n v="32"/>
    <m/>
    <m/>
  </r>
  <r>
    <x v="0"/>
    <s v="08/24/2016"/>
    <s v="FC-049"/>
    <x v="5"/>
    <s v="Casa Grande and Downing"/>
    <s v="LIGHT"/>
    <s v="NO"/>
    <n v="5"/>
    <n v="8"/>
    <n v="13"/>
    <m/>
    <m/>
  </r>
  <r>
    <x v="0"/>
    <s v="08/22/2016"/>
    <s v="FC-057"/>
    <x v="5"/>
    <s v="Registry Ridge- End of Ranger Dr"/>
    <s v="LIGHT"/>
    <s v="NO"/>
    <n v="3"/>
    <n v="0"/>
    <n v="3"/>
    <m/>
    <m/>
  </r>
  <r>
    <x v="0"/>
    <s v="08/24/2016"/>
    <s v="FC-058"/>
    <x v="5"/>
    <s v="Spring Creek Trail @ Michener Dr"/>
    <s v="LIGHT"/>
    <s v="NO"/>
    <n v="5"/>
    <n v="0"/>
    <n v="5"/>
    <m/>
    <m/>
  </r>
  <r>
    <x v="0"/>
    <s v="08/22/2016"/>
    <s v="FC-062"/>
    <x v="5"/>
    <s v="Waters Edge at Blue Mesa"/>
    <s v="LIGHT"/>
    <s v="NO"/>
    <n v="4"/>
    <n v="6"/>
    <n v="10"/>
    <m/>
    <m/>
  </r>
  <r>
    <x v="0"/>
    <s v="08/22/2016"/>
    <s v="FC-068"/>
    <x v="5"/>
    <s v="502 Crest Drive"/>
    <s v="LIGHT"/>
    <s v="NO"/>
    <n v="5"/>
    <n v="0"/>
    <n v="5"/>
    <m/>
    <m/>
  </r>
  <r>
    <x v="0"/>
    <s v="08/22/2016"/>
    <s v="FC-071"/>
    <x v="5"/>
    <s v="Silvergate Road"/>
    <s v="LIGHT"/>
    <s v="NO"/>
    <n v="1"/>
    <n v="2"/>
    <n v="3"/>
    <m/>
    <m/>
  </r>
  <r>
    <x v="0"/>
    <s v="08/22/2016"/>
    <s v="FC-093"/>
    <x v="5"/>
    <s v="Lopez Elementary School"/>
    <s v="LIGHT"/>
    <s v="NO"/>
    <n v="12"/>
    <n v="0"/>
    <n v="12"/>
    <m/>
    <m/>
  </r>
</pivotCacheRecords>
</file>

<file path=xl/pivotCache/pivotCacheRecords2.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1"/>
    <s v="Posi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3"/>
    <s v="LC"/>
    <s v="FC"/>
    <s v="FC-090gr"/>
    <x v="3"/>
    <s v="G"/>
    <s v="Cx."/>
    <x v="1"/>
    <s v="F"/>
    <n v="50"/>
    <m/>
    <n v="50"/>
    <n v="1"/>
    <s v="Positive"/>
  </r>
  <r>
    <n v="2016"/>
    <s v="CSU-10001"/>
    <n v="19548"/>
    <x v="0"/>
    <x v="3"/>
    <s v="LC"/>
    <s v="FC"/>
    <s v="FC-090gr"/>
    <x v="3"/>
    <s v="G"/>
    <s v="Cx."/>
    <x v="1"/>
    <s v="F"/>
    <n v="50"/>
    <m/>
    <n v="50"/>
    <n v="1"/>
    <s v="Positive"/>
  </r>
  <r>
    <n v="2016"/>
    <s v="CSU-10002"/>
    <n v="19549"/>
    <x v="0"/>
    <x v="3"/>
    <s v="LC"/>
    <s v="FC"/>
    <s v="FC-090gr"/>
    <x v="3"/>
    <s v="G"/>
    <s v="Cx."/>
    <x v="1"/>
    <s v="F"/>
    <n v="13"/>
    <m/>
    <n v="13"/>
    <n v="0"/>
    <s v="Negative"/>
  </r>
  <r>
    <n v="2016"/>
    <s v="CSU-10003"/>
    <n v="19550"/>
    <x v="0"/>
    <x v="3"/>
    <s v="LC"/>
    <s v="FC"/>
    <s v="FC-060"/>
    <x v="3"/>
    <s v="L"/>
    <s v="Cx."/>
    <x v="1"/>
    <s v="F"/>
    <m/>
    <n v="1"/>
    <n v="1"/>
    <n v="0"/>
    <s v="Negative"/>
  </r>
  <r>
    <n v="2016"/>
    <s v="CSU-10004"/>
    <n v="19551"/>
    <x v="0"/>
    <x v="3"/>
    <s v="LC"/>
    <s v="FC"/>
    <s v="FC-011"/>
    <x v="3"/>
    <s v="L"/>
    <s v="Cx."/>
    <x v="1"/>
    <s v="F"/>
    <m/>
    <n v="21"/>
    <n v="21"/>
    <n v="0"/>
    <s v="Negative"/>
  </r>
  <r>
    <n v="2016"/>
    <s v="CSU-10005"/>
    <n v="19552"/>
    <x v="0"/>
    <x v="3"/>
    <s v="LC"/>
    <s v="FC"/>
    <s v="FC-063"/>
    <x v="3"/>
    <s v="L"/>
    <s v="Cx."/>
    <x v="0"/>
    <s v="F"/>
    <m/>
    <n v="2"/>
    <n v="2"/>
    <n v="0"/>
    <s v="Negative"/>
  </r>
  <r>
    <n v="2016"/>
    <s v="CSU-10006"/>
    <n v="19553"/>
    <x v="0"/>
    <x v="3"/>
    <s v="LC"/>
    <s v="FC"/>
    <s v="FC-063gr"/>
    <x v="3"/>
    <s v="G"/>
    <s v="Cx."/>
    <x v="1"/>
    <s v="F"/>
    <n v="50"/>
    <m/>
    <n v="50"/>
    <n v="1"/>
    <s v="Positive"/>
  </r>
  <r>
    <n v="2016"/>
    <s v="CSU-10007"/>
    <n v="19554"/>
    <x v="0"/>
    <x v="3"/>
    <s v="LC"/>
    <s v="FC"/>
    <s v="FC-063gr"/>
    <x v="3"/>
    <s v="G"/>
    <s v="Cx."/>
    <x v="1"/>
    <s v="F"/>
    <n v="49"/>
    <m/>
    <n v="49"/>
    <n v="0"/>
    <s v="Negative"/>
  </r>
  <r>
    <n v="2016"/>
    <s v="CSU-10008"/>
    <n v="19555"/>
    <x v="0"/>
    <x v="3"/>
    <s v="LC"/>
    <s v="FC"/>
    <s v="FC-015"/>
    <x v="3"/>
    <s v="L"/>
    <s v="Cx."/>
    <x v="0"/>
    <s v="F"/>
    <m/>
    <n v="2"/>
    <n v="2"/>
    <n v="0"/>
    <s v="Negative"/>
  </r>
  <r>
    <n v="2016"/>
    <s v="CSU-10009"/>
    <n v="19556"/>
    <x v="0"/>
    <x v="3"/>
    <s v="LC"/>
    <s v="FC"/>
    <s v="FC-058"/>
    <x v="0"/>
    <s v="L"/>
    <s v="Cx."/>
    <x v="0"/>
    <s v="F"/>
    <m/>
    <n v="5"/>
    <n v="5"/>
    <n v="0"/>
    <s v="Negative"/>
  </r>
  <r>
    <n v="2016"/>
    <s v="CSU-10010"/>
    <n v="19557"/>
    <x v="0"/>
    <x v="3"/>
    <s v="LC"/>
    <s v="FC"/>
    <s v="FC-049"/>
    <x v="0"/>
    <s v="L"/>
    <s v="Cx."/>
    <x v="0"/>
    <s v="F"/>
    <m/>
    <n v="5"/>
    <n v="5"/>
    <n v="0"/>
    <s v="Negative"/>
  </r>
  <r>
    <n v="2016"/>
    <s v="CSU-10011"/>
    <n v="19558"/>
    <x v="0"/>
    <x v="3"/>
    <s v="LC"/>
    <s v="FC"/>
    <s v="FC-049"/>
    <x v="0"/>
    <s v="L"/>
    <s v="Cx."/>
    <x v="1"/>
    <s v="F"/>
    <m/>
    <n v="8"/>
    <n v="8"/>
    <n v="0"/>
    <s v="Negative"/>
  </r>
  <r>
    <n v="2016"/>
    <s v="CSU-10012"/>
    <n v="19559"/>
    <x v="0"/>
    <x v="4"/>
    <s v="LC"/>
    <s v="FC"/>
    <s v="FC-066gr"/>
    <x v="4"/>
    <s v="G"/>
    <s v="Cx."/>
    <x v="1"/>
    <s v="F"/>
    <n v="50"/>
    <m/>
    <n v="50"/>
    <n v="0"/>
    <s v="Negative"/>
  </r>
  <r>
    <n v="2016"/>
    <s v="CSU-10013"/>
    <n v="19560"/>
    <x v="0"/>
    <x v="4"/>
    <s v="LC"/>
    <s v="FC"/>
    <s v="FC-066gr"/>
    <x v="4"/>
    <s v="G"/>
    <s v="Cx."/>
    <x v="1"/>
    <s v="F"/>
    <n v="10"/>
    <m/>
    <n v="10"/>
    <n v="0"/>
    <s v="Negative"/>
  </r>
  <r>
    <n v="2016"/>
    <s v="CSU-10014"/>
    <n v="19561"/>
    <x v="0"/>
    <x v="4"/>
    <s v="LC"/>
    <s v="FC"/>
    <s v="FC-066"/>
    <x v="4"/>
    <s v="L"/>
    <s v="Cx."/>
    <x v="0"/>
    <s v="F"/>
    <m/>
    <n v="5"/>
    <n v="5"/>
    <n v="0"/>
    <s v="Negative"/>
  </r>
  <r>
    <n v="2016"/>
    <s v="CSU-10015"/>
    <n v="19562"/>
    <x v="0"/>
    <x v="4"/>
    <s v="LC"/>
    <s v="FC"/>
    <s v="FC-066"/>
    <x v="4"/>
    <s v="L"/>
    <s v="Cx."/>
    <x v="1"/>
    <s v="F"/>
    <m/>
    <n v="6"/>
    <n v="6"/>
    <n v="0"/>
    <s v="Negative"/>
  </r>
  <r>
    <n v="2016"/>
    <s v="CSU-10016"/>
    <n v="19563"/>
    <x v="0"/>
    <x v="4"/>
    <s v="LC"/>
    <s v="FC"/>
    <s v="FC-019"/>
    <x v="4"/>
    <s v="L"/>
    <s v="Cx."/>
    <x v="1"/>
    <s v="F"/>
    <m/>
    <n v="3"/>
    <n v="3"/>
    <n v="0"/>
    <s v="Negative"/>
  </r>
  <r>
    <n v="2016"/>
    <s v="CSU-10017"/>
    <n v="19564"/>
    <x v="0"/>
    <x v="4"/>
    <s v="LC"/>
    <s v="FC"/>
    <s v="FC-091gr"/>
    <x v="4"/>
    <s v="G"/>
    <s v="Cx."/>
    <x v="1"/>
    <s v="F"/>
    <n v="3"/>
    <m/>
    <n v="3"/>
    <n v="0"/>
    <s v="Negative"/>
  </r>
  <r>
    <n v="2016"/>
    <s v="CSU-10018"/>
    <n v="19565"/>
    <x v="0"/>
    <x v="4"/>
    <s v="LC"/>
    <s v="FC"/>
    <s v="FC-067"/>
    <x v="4"/>
    <s v="L"/>
    <s v="Cx."/>
    <x v="0"/>
    <s v="F"/>
    <m/>
    <n v="10"/>
    <n v="10"/>
    <n v="0"/>
    <s v="Negative"/>
  </r>
  <r>
    <n v="2016"/>
    <s v="CSU-10019"/>
    <n v="19566"/>
    <x v="0"/>
    <x v="4"/>
    <s v="LC"/>
    <s v="FC"/>
    <s v="FC-067"/>
    <x v="4"/>
    <s v="L"/>
    <s v="Cx."/>
    <x v="1"/>
    <s v="F"/>
    <m/>
    <n v="6"/>
    <n v="6"/>
    <n v="0"/>
    <s v="Negative"/>
  </r>
  <r>
    <n v="2016"/>
    <s v="CSU-10020"/>
    <n v="19567"/>
    <x v="0"/>
    <x v="4"/>
    <s v="LC"/>
    <s v="FC"/>
    <s v="FC-092gr"/>
    <x v="4"/>
    <s v="G"/>
    <s v="Cx."/>
    <x v="1"/>
    <s v="F"/>
    <n v="4"/>
    <m/>
    <n v="4"/>
    <n v="0"/>
    <s v="Negative"/>
  </r>
  <r>
    <n v="2016"/>
    <s v="CSU-10021"/>
    <n v="19568"/>
    <x v="0"/>
    <x v="4"/>
    <s v="LC"/>
    <s v="FC"/>
    <s v="FC-036"/>
    <x v="3"/>
    <s v="L"/>
    <s v="Cx."/>
    <x v="0"/>
    <s v="F"/>
    <m/>
    <n v="3"/>
    <n v="3"/>
    <n v="0"/>
    <s v="Negative"/>
  </r>
  <r>
    <n v="2016"/>
    <s v="CSU-10022"/>
    <n v="19569"/>
    <x v="0"/>
    <x v="4"/>
    <s v="LC"/>
    <s v="FC"/>
    <s v="FC-036"/>
    <x v="3"/>
    <s v="L"/>
    <s v="Cx."/>
    <x v="1"/>
    <s v="F"/>
    <m/>
    <n v="2"/>
    <n v="2"/>
    <n v="0"/>
    <s v="Negative"/>
  </r>
  <r>
    <n v="2016"/>
    <s v="CSU-10023"/>
    <n v="19570"/>
    <x v="0"/>
    <x v="4"/>
    <s v="LC"/>
    <s v="FC"/>
    <s v="FC-040"/>
    <x v="4"/>
    <s v="L"/>
    <s v="Cx."/>
    <x v="0"/>
    <s v="F"/>
    <m/>
    <n v="3"/>
    <n v="3"/>
    <n v="0"/>
    <s v="Negative"/>
  </r>
  <r>
    <n v="2016"/>
    <s v="CSU-10024"/>
    <n v="19571"/>
    <x v="0"/>
    <x v="4"/>
    <s v="LC"/>
    <s v="FC"/>
    <s v="FC-040"/>
    <x v="4"/>
    <s v="L"/>
    <s v="Cx."/>
    <x v="1"/>
    <s v="F"/>
    <m/>
    <n v="13"/>
    <n v="13"/>
    <n v="1"/>
    <s v="Positive"/>
  </r>
  <r>
    <n v="2016"/>
    <s v="CSU-10025"/>
    <n v="19572"/>
    <x v="0"/>
    <x v="4"/>
    <s v="LC"/>
    <s v="FC"/>
    <s v="FC-006"/>
    <x v="4"/>
    <s v="L"/>
    <s v="Cx."/>
    <x v="0"/>
    <s v="F"/>
    <m/>
    <n v="3"/>
    <n v="3"/>
    <n v="0"/>
    <s v="Negative"/>
  </r>
  <r>
    <n v="2016"/>
    <s v="CSU-10026"/>
    <n v="19573"/>
    <x v="0"/>
    <x v="4"/>
    <s v="LC"/>
    <s v="FC"/>
    <s v="FC-006"/>
    <x v="4"/>
    <s v="L"/>
    <s v="Cx."/>
    <x v="1"/>
    <s v="F"/>
    <m/>
    <n v="22"/>
    <n v="22"/>
    <n v="0"/>
    <s v="Negative"/>
  </r>
  <r>
    <n v="2016"/>
    <s v="CSU-10027"/>
    <n v="19574"/>
    <x v="0"/>
    <x v="4"/>
    <s v="LC"/>
    <s v="FC"/>
    <s v="FC-040gr"/>
    <x v="4"/>
    <s v="G"/>
    <s v="Cx."/>
    <x v="1"/>
    <s v="F"/>
    <n v="29"/>
    <m/>
    <n v="29"/>
    <n v="1"/>
    <s v="Positive"/>
  </r>
  <r>
    <n v="2016"/>
    <s v="CSU-10028"/>
    <n v="19575"/>
    <x v="0"/>
    <x v="4"/>
    <s v="LC"/>
    <s v="FC"/>
    <s v="FC-069"/>
    <x v="4"/>
    <s v="L"/>
    <s v="Cx."/>
    <x v="0"/>
    <s v="F"/>
    <m/>
    <n v="3"/>
    <n v="3"/>
    <n v="0"/>
    <s v="Negative"/>
  </r>
  <r>
    <n v="2016"/>
    <s v="CSU-10029"/>
    <n v="19576"/>
    <x v="0"/>
    <x v="4"/>
    <s v="LC"/>
    <s v="FC"/>
    <s v="FC-069"/>
    <x v="4"/>
    <s v="L"/>
    <s v="Cx."/>
    <x v="1"/>
    <s v="F"/>
    <m/>
    <n v="3"/>
    <n v="3"/>
    <n v="0"/>
    <s v="Negative"/>
  </r>
  <r>
    <n v="2016"/>
    <s v="CSU-10030"/>
    <n v="19577"/>
    <x v="0"/>
    <x v="4"/>
    <s v="LC"/>
    <s v="FC"/>
    <s v="FC-014"/>
    <x v="4"/>
    <s v="L"/>
    <s v="Cx."/>
    <x v="1"/>
    <s v="F"/>
    <m/>
    <n v="3"/>
    <n v="3"/>
    <n v="0"/>
    <s v="Negative"/>
  </r>
  <r>
    <n v="2016"/>
    <s v="CSU-10031"/>
    <n v="19578"/>
    <x v="0"/>
    <x v="4"/>
    <s v="LC"/>
    <s v="FC"/>
    <s v="FC-038"/>
    <x v="4"/>
    <s v="L"/>
    <s v="Cx."/>
    <x v="0"/>
    <s v="F"/>
    <m/>
    <n v="3"/>
    <n v="3"/>
    <n v="0"/>
    <s v="Negative"/>
  </r>
  <r>
    <n v="2016"/>
    <s v="CSU-10032"/>
    <n v="19579"/>
    <x v="0"/>
    <x v="4"/>
    <s v="LC"/>
    <s v="FC"/>
    <s v="FC-038"/>
    <x v="4"/>
    <s v="L"/>
    <s v="Cx."/>
    <x v="1"/>
    <s v="F"/>
    <m/>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0" firstDataRow="1" firstDataCol="1" rowPageCount="1" colPageCount="1"/>
  <pivotFields count="12">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4"/>
        <item x="3"/>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4"/>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4"/>
        <item x="1"/>
        <item x="0"/>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C1" workbookViewId="0">
      <selection activeCell="B9" sqref="B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70" t="s">
        <v>53</v>
      </c>
      <c r="H1" s="70"/>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11</v>
      </c>
      <c r="C6" s="2">
        <v>9</v>
      </c>
      <c r="D6" s="2">
        <v>20</v>
      </c>
      <c r="G6" s="1" t="s">
        <v>9</v>
      </c>
      <c r="H6" s="2">
        <f>GETPIVOTDATA("CSU Pool Number     (CMC enters)",$A$4,"Zone","LV","Spp","pipiens")</f>
        <v>11</v>
      </c>
      <c r="I6" s="2">
        <f>GETPIVOTDATA("CSU Pool Number     (CMC enters)",$A$4,"Zone","LV","Spp","tarsalis")</f>
        <v>9</v>
      </c>
      <c r="J6" s="2">
        <f>GETPIVOTDATA("CSU Pool Number     (CMC enters)",$A$4,"Zone","LV")</f>
        <v>20</v>
      </c>
    </row>
    <row r="7" spans="1:10" x14ac:dyDescent="0.25">
      <c r="A7" s="1" t="s">
        <v>59</v>
      </c>
      <c r="B7" s="2">
        <v>13</v>
      </c>
      <c r="C7" s="2">
        <v>6</v>
      </c>
      <c r="D7" s="2">
        <v>19</v>
      </c>
      <c r="G7" s="1" t="s">
        <v>59</v>
      </c>
      <c r="H7" s="2">
        <f>GETPIVOTDATA("CSU Pool Number     (CMC enters)",$A$4,"Zone","NE","Spp","pipiens")</f>
        <v>13</v>
      </c>
      <c r="I7" s="2">
        <f>GETPIVOTDATA("CSU Pool Number     (CMC enters)",$A$4,"Zone","NE","Spp","tarsalis")</f>
        <v>6</v>
      </c>
      <c r="J7" s="2">
        <f>GETPIVOTDATA("CSU Pool Number     (CMC enters)",$A$4,"Zone","NE")</f>
        <v>19</v>
      </c>
    </row>
    <row r="8" spans="1:10" x14ac:dyDescent="0.25">
      <c r="A8" s="1" t="s">
        <v>58</v>
      </c>
      <c r="B8" s="2">
        <v>12</v>
      </c>
      <c r="C8" s="2">
        <v>6</v>
      </c>
      <c r="D8" s="2">
        <v>18</v>
      </c>
      <c r="G8" s="1" t="s">
        <v>58</v>
      </c>
      <c r="H8" s="2">
        <f>GETPIVOTDATA("CSU Pool Number     (CMC enters)",$A$4,"Zone","NW","Spp","pipiens")</f>
        <v>12</v>
      </c>
      <c r="I8" s="2">
        <f>GETPIVOTDATA("CSU Pool Number     (CMC enters)",$A$4,"Zone","NW","Spp","tarsalis")</f>
        <v>6</v>
      </c>
      <c r="J8" s="2">
        <f>GETPIVOTDATA("CSU Pool Number     (CMC enters)",$A$4,"Zone","NW")</f>
        <v>18</v>
      </c>
    </row>
    <row r="9" spans="1:10" x14ac:dyDescent="0.25">
      <c r="A9" s="1" t="s">
        <v>60</v>
      </c>
      <c r="B9" s="2">
        <v>16</v>
      </c>
      <c r="C9" s="2">
        <v>15</v>
      </c>
      <c r="D9" s="2">
        <v>31</v>
      </c>
      <c r="G9" s="1" t="s">
        <v>60</v>
      </c>
      <c r="H9" s="2">
        <f>GETPIVOTDATA("CSU Pool Number     (CMC enters)",$A$4,"Zone","SE","Spp","pipiens")</f>
        <v>16</v>
      </c>
      <c r="I9" s="2">
        <f>GETPIVOTDATA("CSU Pool Number     (CMC enters)",$A$4,"Zone","SE","Spp","tarsalis")</f>
        <v>15</v>
      </c>
      <c r="J9" s="2">
        <f>GETPIVOTDATA("CSU Pool Number     (CMC enters)",$A$4,"Zone","SE")</f>
        <v>31</v>
      </c>
    </row>
    <row r="10" spans="1:10" x14ac:dyDescent="0.25">
      <c r="A10" s="1" t="s">
        <v>61</v>
      </c>
      <c r="B10" s="2">
        <v>5</v>
      </c>
      <c r="C10" s="2">
        <v>9</v>
      </c>
      <c r="D10" s="2">
        <v>14</v>
      </c>
      <c r="G10" s="1" t="s">
        <v>61</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57</v>
      </c>
      <c r="C11" s="2">
        <v>45</v>
      </c>
      <c r="D11" s="2">
        <v>102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0" t="s">
        <v>77</v>
      </c>
      <c r="B1" s="70"/>
      <c r="C1" s="7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4</v>
      </c>
      <c r="C7" s="2">
        <v>0</v>
      </c>
      <c r="D7" s="2">
        <v>4</v>
      </c>
      <c r="F7" s="1" t="s">
        <v>58</v>
      </c>
      <c r="G7" s="2">
        <f>GETPIVOTDATA("Test code (CSU enters)",$A$5,"Zone","NW","Spp","pipiens")</f>
        <v>4</v>
      </c>
      <c r="H7" s="2">
        <f>GETPIVOTDATA("Test code (CSU enters)",$A$5,"Zone","NW","Spp","tarsalis")</f>
        <v>0</v>
      </c>
      <c r="I7" s="2">
        <f>GETPIVOTDATA("Test code (CSU enters)",$A$5,"Zone","NW")</f>
        <v>4</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4</v>
      </c>
      <c r="C9" s="2">
        <v>2</v>
      </c>
      <c r="D9" s="2">
        <v>6</v>
      </c>
      <c r="F9" s="1" t="s">
        <v>60</v>
      </c>
      <c r="G9" s="2">
        <f>GETPIVOTDATA("Test code (CSU enters)",$A$5,"Zone","SE","Spp","pipiens")</f>
        <v>4</v>
      </c>
      <c r="H9" s="2">
        <f>GETPIVOTDATA("Test code (CSU enters)",$A$5,"Zone","SE","Spp","tarsalis")</f>
        <v>2</v>
      </c>
      <c r="I9" s="2">
        <f>GETPIVOTDATA("Test code (CSU enters)",$A$5,"Zone","SE")</f>
        <v>6</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3</v>
      </c>
      <c r="C11" s="2">
        <v>2</v>
      </c>
      <c r="D11" s="2">
        <v>5</v>
      </c>
      <c r="F11" s="1" t="s">
        <v>9</v>
      </c>
      <c r="G11" s="2">
        <f>GETPIVOTDATA("Test code (CSU enters)",$A$5,"Zone","LV","Spp","pipiens")</f>
        <v>3</v>
      </c>
      <c r="H11" s="2">
        <f>GETPIVOTDATA("Test code (CSU enters)",$A$5,"Zone","LV","Spp","tarsalis")</f>
        <v>2</v>
      </c>
      <c r="I11" s="2">
        <f>GETPIVOTDATA("Test code (CSU enters)",$A$5,"Zone","LV")</f>
        <v>5</v>
      </c>
    </row>
    <row r="12" spans="1:9" x14ac:dyDescent="0.25">
      <c r="A12" s="1" t="s">
        <v>7</v>
      </c>
      <c r="B12" s="2">
        <v>13</v>
      </c>
      <c r="C12" s="2">
        <v>4</v>
      </c>
      <c r="D12" s="2">
        <v>17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G11" sqref="G11"/>
    </sheetView>
  </sheetViews>
  <sheetFormatPr defaultRowHeight="15" x14ac:dyDescent="0.25"/>
  <cols>
    <col min="1" max="1" width="15.85546875" customWidth="1"/>
    <col min="2" max="2" width="12.140625" customWidth="1"/>
    <col min="3" max="3" width="14.42578125" customWidth="1"/>
  </cols>
  <sheetData>
    <row r="1" spans="1:6" x14ac:dyDescent="0.25">
      <c r="A1" s="34" t="s">
        <v>63</v>
      </c>
      <c r="B1" s="34" t="s">
        <v>64</v>
      </c>
      <c r="C1" s="34" t="s">
        <v>62</v>
      </c>
    </row>
    <row r="2" spans="1:6" x14ac:dyDescent="0.25">
      <c r="A2" t="s">
        <v>47</v>
      </c>
      <c r="B2" t="s">
        <v>15</v>
      </c>
      <c r="C2" s="31">
        <v>17.050677477172833</v>
      </c>
    </row>
    <row r="3" spans="1:6" x14ac:dyDescent="0.25">
      <c r="A3" t="s">
        <v>47</v>
      </c>
      <c r="B3" t="s">
        <v>16</v>
      </c>
      <c r="C3" s="31">
        <v>6.5643495242034797</v>
      </c>
    </row>
    <row r="4" spans="1:6" x14ac:dyDescent="0.25">
      <c r="A4" t="s">
        <v>9</v>
      </c>
      <c r="B4" t="s">
        <v>15</v>
      </c>
      <c r="C4" s="31">
        <v>16.317642027211935</v>
      </c>
    </row>
    <row r="5" spans="1:6" x14ac:dyDescent="0.25">
      <c r="A5" t="s">
        <v>9</v>
      </c>
      <c r="B5" t="s">
        <v>16</v>
      </c>
      <c r="C5" s="31">
        <v>13.536841981498121</v>
      </c>
    </row>
    <row r="9" spans="1:6" x14ac:dyDescent="0.25">
      <c r="F9" s="31"/>
    </row>
    <row r="10" spans="1:6" x14ac:dyDescent="0.25">
      <c r="F10" s="31"/>
    </row>
    <row r="11" spans="1:6" x14ac:dyDescent="0.25">
      <c r="F11" s="31"/>
    </row>
    <row r="12" spans="1:6" x14ac:dyDescent="0.25">
      <c r="F1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9" sqref="G9:H16"/>
    </sheetView>
  </sheetViews>
  <sheetFormatPr defaultRowHeight="15" x14ac:dyDescent="0.25"/>
  <cols>
    <col min="2" max="2" width="15.7109375" customWidth="1"/>
    <col min="3" max="3" width="13.140625" customWidth="1"/>
  </cols>
  <sheetData>
    <row r="1" spans="1:8" x14ac:dyDescent="0.25">
      <c r="A1" s="34" t="s">
        <v>65</v>
      </c>
      <c r="B1" s="34" t="s">
        <v>64</v>
      </c>
      <c r="C1" s="34" t="s">
        <v>62</v>
      </c>
    </row>
    <row r="2" spans="1:8" x14ac:dyDescent="0.25">
      <c r="A2" t="s">
        <v>58</v>
      </c>
      <c r="B2" t="s">
        <v>15</v>
      </c>
      <c r="C2" s="31">
        <v>18.010000000000002</v>
      </c>
    </row>
    <row r="3" spans="1:8" x14ac:dyDescent="0.25">
      <c r="A3" t="s">
        <v>58</v>
      </c>
      <c r="B3" t="s">
        <v>16</v>
      </c>
      <c r="C3" s="31">
        <v>0</v>
      </c>
    </row>
    <row r="4" spans="1:8" x14ac:dyDescent="0.25">
      <c r="A4" t="s">
        <v>59</v>
      </c>
      <c r="B4" t="s">
        <v>15</v>
      </c>
      <c r="C4" s="31">
        <v>12.81</v>
      </c>
    </row>
    <row r="5" spans="1:8" x14ac:dyDescent="0.25">
      <c r="A5" t="s">
        <v>59</v>
      </c>
      <c r="B5" t="s">
        <v>16</v>
      </c>
      <c r="C5" s="31">
        <v>0</v>
      </c>
    </row>
    <row r="6" spans="1:8" x14ac:dyDescent="0.25">
      <c r="A6" t="s">
        <v>60</v>
      </c>
      <c r="B6" t="s">
        <v>15</v>
      </c>
      <c r="C6" s="31">
        <v>25.1</v>
      </c>
    </row>
    <row r="7" spans="1:8" x14ac:dyDescent="0.25">
      <c r="A7" t="s">
        <v>60</v>
      </c>
      <c r="B7" t="s">
        <v>16</v>
      </c>
      <c r="C7" s="31">
        <v>16.66</v>
      </c>
      <c r="H7" s="31"/>
    </row>
    <row r="8" spans="1:8" x14ac:dyDescent="0.25">
      <c r="A8" t="s">
        <v>61</v>
      </c>
      <c r="B8" t="s">
        <v>15</v>
      </c>
      <c r="C8" s="31">
        <v>0</v>
      </c>
      <c r="H8" s="31"/>
    </row>
    <row r="9" spans="1:8" x14ac:dyDescent="0.25">
      <c r="A9" t="s">
        <v>61</v>
      </c>
      <c r="B9" t="s">
        <v>16</v>
      </c>
      <c r="C9" s="31">
        <v>0</v>
      </c>
      <c r="H9" s="31"/>
    </row>
    <row r="10" spans="1:8" x14ac:dyDescent="0.25">
      <c r="H10" s="31"/>
    </row>
    <row r="11" spans="1:8" x14ac:dyDescent="0.25">
      <c r="H11" s="31"/>
    </row>
    <row r="12" spans="1:8" x14ac:dyDescent="0.25">
      <c r="B12" s="31"/>
      <c r="H12" s="31"/>
    </row>
    <row r="13" spans="1:8" x14ac:dyDescent="0.25">
      <c r="B13" s="31"/>
      <c r="H13" s="31"/>
    </row>
    <row r="14" spans="1:8" x14ac:dyDescent="0.25">
      <c r="B14" s="31"/>
      <c r="H14" s="31"/>
    </row>
    <row r="15" spans="1:8" x14ac:dyDescent="0.25">
      <c r="B15" s="31"/>
      <c r="H15" s="31"/>
    </row>
    <row r="16" spans="1:8" x14ac:dyDescent="0.25">
      <c r="B16" s="31"/>
      <c r="H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1"/>
  <sheetViews>
    <sheetView tabSelected="1" topLeftCell="A31" zoomScale="80" zoomScaleNormal="80" workbookViewId="0">
      <selection activeCell="B43" sqref="B4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440</v>
      </c>
      <c r="B1" s="4"/>
      <c r="C1" s="84" t="s">
        <v>11</v>
      </c>
      <c r="D1" s="86"/>
      <c r="E1" s="84" t="s">
        <v>12</v>
      </c>
      <c r="F1" s="86"/>
      <c r="G1" s="102"/>
      <c r="H1" s="103"/>
      <c r="I1" s="104"/>
    </row>
    <row r="2" spans="1:13" ht="27" customHeight="1" x14ac:dyDescent="0.25">
      <c r="B2" s="5"/>
      <c r="C2" s="87"/>
      <c r="D2" s="89"/>
      <c r="E2" s="87" t="s">
        <v>13</v>
      </c>
      <c r="F2" s="89"/>
      <c r="G2" s="105" t="s">
        <v>14</v>
      </c>
      <c r="H2" s="106"/>
      <c r="I2" s="107"/>
    </row>
    <row r="3" spans="1:13" ht="15.75" thickBot="1" x14ac:dyDescent="0.3">
      <c r="B3" s="5"/>
      <c r="C3" s="91"/>
      <c r="D3" s="93"/>
      <c r="E3" s="81"/>
      <c r="F3" s="83"/>
      <c r="G3" s="81"/>
      <c r="H3" s="82"/>
      <c r="I3" s="83"/>
    </row>
    <row r="4" spans="1:13" ht="15.75" customHeight="1" x14ac:dyDescent="0.25">
      <c r="B4" s="5" t="s">
        <v>10</v>
      </c>
      <c r="C4" s="94" t="s">
        <v>15</v>
      </c>
      <c r="D4" s="94" t="s">
        <v>16</v>
      </c>
      <c r="E4" s="7" t="s">
        <v>17</v>
      </c>
      <c r="F4" s="7" t="s">
        <v>17</v>
      </c>
      <c r="G4" s="100" t="s">
        <v>18</v>
      </c>
      <c r="H4" s="100" t="s">
        <v>19</v>
      </c>
      <c r="I4" s="9" t="s">
        <v>20</v>
      </c>
    </row>
    <row r="5" spans="1:13" ht="15.75" thickBot="1" x14ac:dyDescent="0.3">
      <c r="B5" s="6"/>
      <c r="C5" s="95"/>
      <c r="D5" s="95"/>
      <c r="E5" s="8" t="s">
        <v>5</v>
      </c>
      <c r="F5" s="8" t="s">
        <v>6</v>
      </c>
      <c r="G5" s="101"/>
      <c r="H5" s="101"/>
      <c r="I5" s="10" t="s">
        <v>21</v>
      </c>
    </row>
    <row r="6" spans="1:13" ht="26.25" thickBot="1" x14ac:dyDescent="0.3">
      <c r="B6" s="11" t="s">
        <v>54</v>
      </c>
      <c r="C6" s="26">
        <f>G37</f>
        <v>5.8888888888888893</v>
      </c>
      <c r="D6" s="26">
        <f>H37</f>
        <v>9.1111111111111107</v>
      </c>
      <c r="E6" s="47">
        <f>L67/1000</f>
        <v>1.8010000000000002E-2</v>
      </c>
      <c r="F6" s="47">
        <f>M67/1000</f>
        <v>0</v>
      </c>
      <c r="G6" s="32">
        <f>C6*E6</f>
        <v>0.10605888888888891</v>
      </c>
      <c r="H6" s="32">
        <f>D6*F6</f>
        <v>0</v>
      </c>
      <c r="I6" s="32">
        <f>G6+H6</f>
        <v>0.10605888888888891</v>
      </c>
    </row>
    <row r="7" spans="1:13" ht="26.25" thickBot="1" x14ac:dyDescent="0.3">
      <c r="B7" s="11" t="s">
        <v>55</v>
      </c>
      <c r="C7" s="26">
        <f t="shared" ref="C7:C10" si="0">G38</f>
        <v>7.5555555555555554</v>
      </c>
      <c r="D7" s="26">
        <f t="shared" ref="D7:D10" si="1">H38</f>
        <v>3</v>
      </c>
      <c r="E7" s="47">
        <f t="shared" ref="E7:E10" si="2">L68/1000</f>
        <v>1.281E-2</v>
      </c>
      <c r="F7" s="47">
        <f t="shared" ref="F7:F10" si="3">M68/1000</f>
        <v>0</v>
      </c>
      <c r="G7" s="32">
        <f t="shared" ref="G7:G9" si="4">C7*E7</f>
        <v>9.678666666666666E-2</v>
      </c>
      <c r="H7" s="32">
        <f t="shared" ref="H7:H9" si="5">D7*F7</f>
        <v>0</v>
      </c>
      <c r="I7" s="32">
        <f t="shared" ref="I7:I10" si="6">G7+H7</f>
        <v>9.678666666666666E-2</v>
      </c>
    </row>
    <row r="8" spans="1:13" ht="26.25" thickBot="1" x14ac:dyDescent="0.3">
      <c r="B8" s="11" t="s">
        <v>57</v>
      </c>
      <c r="C8" s="26">
        <f t="shared" si="0"/>
        <v>3.2666666666666666</v>
      </c>
      <c r="D8" s="26">
        <f t="shared" si="1"/>
        <v>8.2666666666666675</v>
      </c>
      <c r="E8" s="47">
        <f t="shared" si="2"/>
        <v>2.5100000000000001E-2</v>
      </c>
      <c r="F8" s="47">
        <f t="shared" si="3"/>
        <v>1.6660000000000001E-2</v>
      </c>
      <c r="G8" s="32">
        <f t="shared" si="4"/>
        <v>8.1993333333333335E-2</v>
      </c>
      <c r="H8" s="32">
        <f t="shared" si="5"/>
        <v>0.13772266666666669</v>
      </c>
      <c r="I8" s="32">
        <f t="shared" si="6"/>
        <v>0.21971600000000002</v>
      </c>
    </row>
    <row r="9" spans="1:13" ht="26.25" thickBot="1" x14ac:dyDescent="0.3">
      <c r="B9" s="11" t="s">
        <v>56</v>
      </c>
      <c r="C9" s="26">
        <f t="shared" si="0"/>
        <v>1.7777777777777777</v>
      </c>
      <c r="D9" s="26">
        <f t="shared" si="1"/>
        <v>8.1111111111111107</v>
      </c>
      <c r="E9" s="47">
        <f t="shared" si="2"/>
        <v>0</v>
      </c>
      <c r="F9" s="47">
        <f t="shared" si="3"/>
        <v>0</v>
      </c>
      <c r="G9" s="32">
        <f t="shared" si="4"/>
        <v>0</v>
      </c>
      <c r="H9" s="32">
        <f t="shared" si="5"/>
        <v>0</v>
      </c>
      <c r="I9" s="32">
        <f t="shared" si="6"/>
        <v>0</v>
      </c>
    </row>
    <row r="10" spans="1:13" ht="26.25" thickBot="1" x14ac:dyDescent="0.3">
      <c r="B10" s="11" t="s">
        <v>22</v>
      </c>
      <c r="C10" s="26">
        <f t="shared" si="0"/>
        <v>4.4285714285714288</v>
      </c>
      <c r="D10" s="26">
        <f t="shared" si="1"/>
        <v>7.2857142857142856</v>
      </c>
      <c r="E10" s="47">
        <f t="shared" si="2"/>
        <v>1.7050677477172833E-2</v>
      </c>
      <c r="F10" s="47">
        <f t="shared" si="3"/>
        <v>6.5643495242034798E-3</v>
      </c>
      <c r="G10" s="32">
        <f>C10*E10</f>
        <v>7.5510143113193984E-2</v>
      </c>
      <c r="H10" s="32">
        <f>D10*F10</f>
        <v>4.7825975104911066E-2</v>
      </c>
      <c r="I10" s="32">
        <f t="shared" si="6"/>
        <v>0.12333611821810506</v>
      </c>
    </row>
    <row r="11" spans="1:13" ht="15.75" thickBot="1" x14ac:dyDescent="0.3">
      <c r="B11" s="11"/>
      <c r="C11" s="12"/>
      <c r="D11" s="12"/>
      <c r="E11" s="47"/>
      <c r="F11" s="47"/>
      <c r="G11" s="32"/>
      <c r="H11" s="32"/>
      <c r="I11" s="32"/>
    </row>
    <row r="12" spans="1:13" ht="15.75" thickBot="1" x14ac:dyDescent="0.3">
      <c r="B12" s="11" t="s">
        <v>9</v>
      </c>
      <c r="C12" s="29">
        <f>G43</f>
        <v>3.4594594594594597</v>
      </c>
      <c r="D12" s="29">
        <f>H43</f>
        <v>13.162162162162161</v>
      </c>
      <c r="E12" s="47">
        <f>L73/1000</f>
        <v>1.6317642027211934E-2</v>
      </c>
      <c r="F12" s="47">
        <f>M73/1000</f>
        <v>1.3536841981498121E-2</v>
      </c>
      <c r="G12" s="32">
        <f>C12*E12</f>
        <v>5.6450221067111561E-2</v>
      </c>
      <c r="H12" s="32">
        <f>D12*F12</f>
        <v>0.17817410932404285</v>
      </c>
      <c r="I12" s="32">
        <f>G12+H12</f>
        <v>0.23462433039115441</v>
      </c>
    </row>
    <row r="13" spans="1:13" ht="15.75" thickBot="1" x14ac:dyDescent="0.3"/>
    <row r="14" spans="1:13" ht="15" customHeight="1" x14ac:dyDescent="0.25">
      <c r="A14" t="s">
        <v>441</v>
      </c>
      <c r="B14" s="16"/>
      <c r="C14" s="71" t="s">
        <v>54</v>
      </c>
      <c r="D14" s="73"/>
      <c r="E14" s="71" t="s">
        <v>55</v>
      </c>
      <c r="F14" s="73"/>
      <c r="G14" s="71" t="s">
        <v>57</v>
      </c>
      <c r="H14" s="73"/>
      <c r="I14" s="71" t="s">
        <v>56</v>
      </c>
      <c r="J14" s="73"/>
      <c r="K14" s="71" t="s">
        <v>22</v>
      </c>
      <c r="L14" s="73"/>
      <c r="M14" s="19"/>
    </row>
    <row r="15" spans="1:13" ht="15.75" thickBot="1" x14ac:dyDescent="0.3">
      <c r="B15" s="17"/>
      <c r="C15" s="77"/>
      <c r="D15" s="79"/>
      <c r="E15" s="77"/>
      <c r="F15" s="79"/>
      <c r="G15" s="77"/>
      <c r="H15" s="79"/>
      <c r="I15" s="77"/>
      <c r="J15" s="79"/>
      <c r="K15" s="77"/>
      <c r="L15" s="79"/>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2"/>
      <c r="D17" s="67">
        <v>0</v>
      </c>
      <c r="E17" s="52"/>
      <c r="F17" s="67">
        <v>0</v>
      </c>
      <c r="G17" s="52"/>
      <c r="H17" s="67">
        <v>5.7929090909090908E-3</v>
      </c>
      <c r="I17" s="52"/>
      <c r="J17" s="67">
        <v>0</v>
      </c>
      <c r="K17" s="52"/>
      <c r="L17" s="67">
        <v>2.100793049842883E-3</v>
      </c>
      <c r="M17" s="52"/>
    </row>
    <row r="18" spans="1:13" ht="15.75" thickBot="1" x14ac:dyDescent="0.3">
      <c r="B18" s="50">
        <v>25</v>
      </c>
      <c r="C18" s="52"/>
      <c r="D18" s="67">
        <v>0</v>
      </c>
      <c r="E18" s="52"/>
      <c r="F18" s="67">
        <v>1.7067545454545453E-2</v>
      </c>
      <c r="G18" s="52"/>
      <c r="H18" s="67">
        <v>0</v>
      </c>
      <c r="I18" s="52"/>
      <c r="J18" s="67">
        <v>0</v>
      </c>
      <c r="K18" s="52"/>
      <c r="L18" s="67">
        <v>3.425539134730678E-3</v>
      </c>
      <c r="M18" s="52"/>
    </row>
    <row r="19" spans="1:13" ht="15.75" thickBot="1" x14ac:dyDescent="0.3">
      <c r="B19" s="50">
        <v>26</v>
      </c>
      <c r="C19" s="52"/>
      <c r="D19" s="67">
        <v>0</v>
      </c>
      <c r="E19" s="52"/>
      <c r="F19" s="67">
        <v>8.8887272727272721E-3</v>
      </c>
      <c r="G19" s="52"/>
      <c r="H19" s="67">
        <v>1.6819727272727271E-2</v>
      </c>
      <c r="I19" s="52"/>
      <c r="J19" s="67">
        <v>1.0571363636363636E-2</v>
      </c>
      <c r="K19" s="52"/>
      <c r="L19" s="67">
        <v>1.042549830727062E-2</v>
      </c>
      <c r="M19" s="52"/>
    </row>
    <row r="20" spans="1:13" ht="15.75" thickBot="1" x14ac:dyDescent="0.3">
      <c r="B20" s="50">
        <v>27</v>
      </c>
      <c r="C20" s="53"/>
      <c r="D20" s="67">
        <v>0</v>
      </c>
      <c r="E20" s="53"/>
      <c r="F20" s="67">
        <v>3.6952320848865454E-2</v>
      </c>
      <c r="G20" s="52"/>
      <c r="H20" s="67">
        <v>1.674720183407373E-2</v>
      </c>
      <c r="I20" s="52"/>
      <c r="J20" s="67">
        <v>0</v>
      </c>
      <c r="K20" s="52"/>
      <c r="L20" s="67">
        <v>1.5494269028456114E-2</v>
      </c>
      <c r="M20" s="52"/>
    </row>
    <row r="21" spans="1:13" ht="15.75" thickBot="1" x14ac:dyDescent="0.3">
      <c r="B21" s="50">
        <v>28</v>
      </c>
      <c r="C21" s="52"/>
      <c r="D21" s="67">
        <v>0</v>
      </c>
      <c r="E21" s="52"/>
      <c r="F21" s="67">
        <v>4.1505891714470604E-2</v>
      </c>
      <c r="G21" s="52"/>
      <c r="H21" s="67">
        <v>0.10862553541853309</v>
      </c>
      <c r="I21" s="52"/>
      <c r="J21" s="67">
        <v>1.0008727272727273E-2</v>
      </c>
      <c r="K21" s="52"/>
      <c r="L21" s="67">
        <v>4.6556968064292416E-2</v>
      </c>
      <c r="M21" s="52"/>
    </row>
    <row r="22" spans="1:13" ht="15.75" thickBot="1" x14ac:dyDescent="0.3">
      <c r="B22" s="50">
        <v>29</v>
      </c>
      <c r="C22" s="51"/>
      <c r="D22" s="67">
        <v>0.11395730739110398</v>
      </c>
      <c r="E22" s="51"/>
      <c r="F22" s="67">
        <v>0.1452889565187768</v>
      </c>
      <c r="G22" s="51"/>
      <c r="H22" s="67">
        <v>0.32459368575312425</v>
      </c>
      <c r="I22" s="51"/>
      <c r="J22" s="67">
        <v>3.3497909090909092E-2</v>
      </c>
      <c r="K22" s="51"/>
      <c r="L22" s="67">
        <v>0.17058423674891257</v>
      </c>
      <c r="M22" s="51"/>
    </row>
    <row r="23" spans="1:13" ht="15.75" thickBot="1" x14ac:dyDescent="0.3">
      <c r="B23" s="50">
        <v>30</v>
      </c>
      <c r="C23" s="51"/>
      <c r="D23" s="67">
        <v>0.11669779378976623</v>
      </c>
      <c r="E23" s="51"/>
      <c r="F23" s="67">
        <v>0.16916957982490655</v>
      </c>
      <c r="G23" s="51"/>
      <c r="H23" s="67">
        <v>0.32570781928008102</v>
      </c>
      <c r="I23" s="51"/>
      <c r="J23" s="67">
        <v>8.471118181818181E-2</v>
      </c>
      <c r="K23" s="51"/>
      <c r="L23" s="67">
        <v>0.19003109896348488</v>
      </c>
      <c r="M23" s="51"/>
    </row>
    <row r="24" spans="1:13" ht="15.75" thickBot="1" x14ac:dyDescent="0.3">
      <c r="B24" s="50">
        <v>31</v>
      </c>
      <c r="C24" s="51"/>
      <c r="D24" s="67">
        <v>0.20111726592579454</v>
      </c>
      <c r="E24" s="51"/>
      <c r="F24" s="67">
        <v>0.20687539723018417</v>
      </c>
      <c r="G24" s="51"/>
      <c r="H24" s="67">
        <v>0.22361204650177652</v>
      </c>
      <c r="I24" s="51"/>
      <c r="J24" s="67">
        <v>8.7961372960925197E-2</v>
      </c>
      <c r="K24" s="51"/>
      <c r="L24" s="67">
        <v>0.20540601099307301</v>
      </c>
      <c r="M24" s="51"/>
    </row>
    <row r="25" spans="1:13" ht="15.75" thickBot="1" x14ac:dyDescent="0.3">
      <c r="B25" s="50">
        <v>32</v>
      </c>
      <c r="C25" s="51"/>
      <c r="D25" s="67">
        <v>0.16419582370107011</v>
      </c>
      <c r="E25" s="51"/>
      <c r="F25" s="67">
        <v>0.3392002907861878</v>
      </c>
      <c r="G25" s="51"/>
      <c r="H25" s="67">
        <v>0.38501867996340516</v>
      </c>
      <c r="I25" s="51"/>
      <c r="J25" s="67">
        <v>0.10833288252121927</v>
      </c>
      <c r="K25" s="51"/>
      <c r="L25" s="67">
        <v>0.27324610630010632</v>
      </c>
      <c r="M25" s="51"/>
    </row>
    <row r="26" spans="1:13" ht="15.75" thickBot="1" x14ac:dyDescent="0.3">
      <c r="B26" s="50">
        <v>33</v>
      </c>
      <c r="C26" s="51"/>
      <c r="D26" s="67">
        <v>0.18870169887062208</v>
      </c>
      <c r="E26" s="51"/>
      <c r="F26" s="67">
        <v>0.41065233450506566</v>
      </c>
      <c r="G26" s="51"/>
      <c r="H26" s="67">
        <v>0.27401277989355188</v>
      </c>
      <c r="I26" s="51"/>
      <c r="J26" s="67">
        <v>7.3000955770680748E-2</v>
      </c>
      <c r="K26" s="51"/>
      <c r="L26" s="67">
        <v>0.24745312771149272</v>
      </c>
      <c r="M26" s="51"/>
    </row>
    <row r="27" spans="1:13" ht="15.75" thickBot="1" x14ac:dyDescent="0.3">
      <c r="B27" s="50">
        <v>34</v>
      </c>
      <c r="C27" s="51"/>
      <c r="D27" s="67">
        <v>0.13692864276036304</v>
      </c>
      <c r="E27" s="51"/>
      <c r="F27" s="67">
        <v>0.15169533961757323</v>
      </c>
      <c r="G27" s="51"/>
      <c r="H27" s="67">
        <v>0.31404464669536269</v>
      </c>
      <c r="I27" s="51"/>
      <c r="J27" s="67">
        <v>4.6096243556262927E-2</v>
      </c>
      <c r="K27" s="51"/>
      <c r="L27" s="67">
        <v>0.17986247001610783</v>
      </c>
      <c r="M27" s="51"/>
    </row>
    <row r="28" spans="1:13" ht="15.75" thickBot="1" x14ac:dyDescent="0.3">
      <c r="B28" s="50">
        <v>35</v>
      </c>
      <c r="C28" s="51"/>
      <c r="D28" s="67">
        <v>4.7080788104326782E-2</v>
      </c>
      <c r="E28" s="51"/>
      <c r="F28" s="67">
        <v>0.14215558173023635</v>
      </c>
      <c r="G28" s="51"/>
      <c r="H28" s="67">
        <v>0.20826161691130313</v>
      </c>
      <c r="I28" s="51"/>
      <c r="J28" s="67">
        <v>0.13320948692011367</v>
      </c>
      <c r="K28" s="51"/>
      <c r="L28" s="67">
        <v>0.1445229721667462</v>
      </c>
      <c r="M28" s="51"/>
    </row>
    <row r="29" spans="1:13" ht="15.75" thickBot="1" x14ac:dyDescent="0.3">
      <c r="B29" s="50">
        <v>36</v>
      </c>
      <c r="C29" s="51"/>
      <c r="D29" s="68">
        <v>2.5861518752717968E-2</v>
      </c>
      <c r="E29" s="51"/>
      <c r="F29" s="68">
        <v>4.1776588079272772E-2</v>
      </c>
      <c r="G29" s="51"/>
      <c r="H29" s="68">
        <v>0</v>
      </c>
      <c r="I29" s="51"/>
      <c r="J29" s="68">
        <v>0</v>
      </c>
      <c r="K29" s="51"/>
      <c r="L29" s="68">
        <v>1.7958192604180613E-2</v>
      </c>
      <c r="M29" s="51"/>
    </row>
    <row r="30" spans="1:13" ht="15.75" thickBot="1" x14ac:dyDescent="0.3">
      <c r="B30" s="50">
        <v>37</v>
      </c>
      <c r="C30" s="51"/>
      <c r="D30" s="69">
        <v>4.6546275256811681E-2</v>
      </c>
      <c r="E30" s="51"/>
      <c r="F30" s="69">
        <v>2.5208000000000001E-2</v>
      </c>
      <c r="G30" s="51"/>
      <c r="H30" s="69">
        <v>1.35E-2</v>
      </c>
      <c r="I30" s="51"/>
      <c r="J30" s="69">
        <v>0</v>
      </c>
      <c r="K30" s="51"/>
      <c r="L30" s="69">
        <v>2.0049168233544599E-2</v>
      </c>
      <c r="M30" s="51"/>
    </row>
    <row r="31" spans="1:13" ht="15.75" thickBot="1" x14ac:dyDescent="0.3"/>
    <row r="32" spans="1:13" x14ac:dyDescent="0.25">
      <c r="A32" t="s">
        <v>49</v>
      </c>
      <c r="B32" s="4"/>
      <c r="C32" s="84" t="s">
        <v>25</v>
      </c>
      <c r="D32" s="85"/>
      <c r="E32" s="86"/>
      <c r="F32" s="15"/>
      <c r="G32" s="84" t="s">
        <v>28</v>
      </c>
      <c r="H32" s="85"/>
      <c r="I32" s="86"/>
    </row>
    <row r="33" spans="1:13" ht="38.25" x14ac:dyDescent="0.25">
      <c r="B33" s="5"/>
      <c r="C33" s="87" t="s">
        <v>26</v>
      </c>
      <c r="D33" s="88"/>
      <c r="E33" s="89"/>
      <c r="F33" s="14" t="s">
        <v>27</v>
      </c>
      <c r="G33" s="87"/>
      <c r="H33" s="90"/>
      <c r="I33" s="89"/>
    </row>
    <row r="34" spans="1:13" ht="15.75" thickBot="1" x14ac:dyDescent="0.3">
      <c r="B34" s="5"/>
      <c r="C34" s="81"/>
      <c r="D34" s="82"/>
      <c r="E34" s="83"/>
      <c r="F34" s="22"/>
      <c r="G34" s="91"/>
      <c r="H34" s="92"/>
      <c r="I34" s="93"/>
    </row>
    <row r="35" spans="1:13" x14ac:dyDescent="0.25">
      <c r="B35" s="5" t="s">
        <v>10</v>
      </c>
      <c r="C35" s="94" t="s">
        <v>15</v>
      </c>
      <c r="D35" s="94" t="s">
        <v>16</v>
      </c>
      <c r="E35" s="96" t="s">
        <v>29</v>
      </c>
      <c r="F35" s="22"/>
      <c r="G35" s="98" t="s">
        <v>30</v>
      </c>
      <c r="H35" s="98" t="s">
        <v>31</v>
      </c>
      <c r="I35" s="27" t="s">
        <v>20</v>
      </c>
    </row>
    <row r="36" spans="1:13" ht="15.75" thickBot="1" x14ac:dyDescent="0.3">
      <c r="B36" s="6"/>
      <c r="C36" s="95"/>
      <c r="D36" s="95"/>
      <c r="E36" s="97"/>
      <c r="F36" s="13"/>
      <c r="G36" s="99"/>
      <c r="H36" s="99"/>
      <c r="I36" s="28" t="s">
        <v>32</v>
      </c>
    </row>
    <row r="37" spans="1:13" ht="26.25" thickBot="1" x14ac:dyDescent="0.3">
      <c r="B37" s="11" t="s">
        <v>54</v>
      </c>
      <c r="C37" s="58">
        <f>'Total Number Of Ind'!H7</f>
        <v>53</v>
      </c>
      <c r="D37" s="58">
        <f>'Total Number Of Ind'!I7</f>
        <v>82</v>
      </c>
      <c r="E37" s="58">
        <f>C37+D37</f>
        <v>135</v>
      </c>
      <c r="F37" s="58">
        <v>9</v>
      </c>
      <c r="G37" s="26">
        <f>C37/F37</f>
        <v>5.8888888888888893</v>
      </c>
      <c r="H37" s="26">
        <f>D37/F37</f>
        <v>9.1111111111111107</v>
      </c>
      <c r="I37" s="26">
        <f>E37/F37</f>
        <v>15</v>
      </c>
    </row>
    <row r="38" spans="1:13" ht="26.25" thickBot="1" x14ac:dyDescent="0.3">
      <c r="B38" s="11" t="s">
        <v>55</v>
      </c>
      <c r="C38" s="58">
        <f>'Total Number Of Ind'!H6</f>
        <v>68</v>
      </c>
      <c r="D38" s="58">
        <f>'Total Number Of Ind'!I6</f>
        <v>27</v>
      </c>
      <c r="E38" s="58">
        <f t="shared" ref="E38:E40" si="7">C38+D38</f>
        <v>95</v>
      </c>
      <c r="F38" s="58">
        <v>9</v>
      </c>
      <c r="G38" s="26">
        <f t="shared" ref="G38:G43" si="8">C38/F38</f>
        <v>7.5555555555555554</v>
      </c>
      <c r="H38" s="26">
        <f t="shared" ref="H38:H41" si="9">D38/F38</f>
        <v>3</v>
      </c>
      <c r="I38" s="26">
        <f t="shared" ref="I38:I43" si="10">E38/F38</f>
        <v>10.555555555555555</v>
      </c>
    </row>
    <row r="39" spans="1:13" ht="26.25" thickBot="1" x14ac:dyDescent="0.3">
      <c r="B39" s="11" t="s">
        <v>57</v>
      </c>
      <c r="C39" s="58">
        <f>'Total Number Of Ind'!H8</f>
        <v>49</v>
      </c>
      <c r="D39" s="58">
        <f>'Total Number Of Ind'!I8</f>
        <v>124</v>
      </c>
      <c r="E39" s="58">
        <f t="shared" si="7"/>
        <v>173</v>
      </c>
      <c r="F39" s="58">
        <v>15</v>
      </c>
      <c r="G39" s="26">
        <f t="shared" si="8"/>
        <v>3.2666666666666666</v>
      </c>
      <c r="H39" s="26">
        <f>D39/F39</f>
        <v>8.2666666666666675</v>
      </c>
      <c r="I39" s="26">
        <f t="shared" si="10"/>
        <v>11.533333333333333</v>
      </c>
    </row>
    <row r="40" spans="1:13" ht="26.25" thickBot="1" x14ac:dyDescent="0.3">
      <c r="B40" s="11" t="s">
        <v>56</v>
      </c>
      <c r="C40" s="58">
        <f>'Total Number Of Ind'!H9</f>
        <v>16</v>
      </c>
      <c r="D40" s="58">
        <f>'Total Number Of Ind'!I9</f>
        <v>73</v>
      </c>
      <c r="E40" s="58">
        <f t="shared" si="7"/>
        <v>89</v>
      </c>
      <c r="F40" s="58">
        <v>9</v>
      </c>
      <c r="G40" s="26">
        <f t="shared" si="8"/>
        <v>1.7777777777777777</v>
      </c>
      <c r="H40" s="26">
        <f t="shared" si="9"/>
        <v>8.1111111111111107</v>
      </c>
      <c r="I40" s="26">
        <f t="shared" si="10"/>
        <v>9.8888888888888893</v>
      </c>
    </row>
    <row r="41" spans="1:13" ht="26.25" thickBot="1" x14ac:dyDescent="0.3">
      <c r="B41" s="11" t="s">
        <v>22</v>
      </c>
      <c r="C41" s="58">
        <f>SUM(C37:C40)</f>
        <v>186</v>
      </c>
      <c r="D41" s="58">
        <f>SUM(D37:D40)</f>
        <v>306</v>
      </c>
      <c r="E41" s="58">
        <f>SUM(E37:E40)</f>
        <v>492</v>
      </c>
      <c r="F41" s="58">
        <f>SUM(F37:F40)</f>
        <v>42</v>
      </c>
      <c r="G41" s="26">
        <f t="shared" si="8"/>
        <v>4.4285714285714288</v>
      </c>
      <c r="H41" s="26">
        <f t="shared" si="9"/>
        <v>7.2857142857142856</v>
      </c>
      <c r="I41" s="26">
        <f>E41/F41</f>
        <v>11.714285714285714</v>
      </c>
    </row>
    <row r="42" spans="1:13" ht="15.75" thickBot="1" x14ac:dyDescent="0.3">
      <c r="B42" s="11"/>
      <c r="C42" s="58"/>
      <c r="D42" s="58"/>
      <c r="E42" s="58"/>
      <c r="F42" s="58"/>
      <c r="G42" s="26"/>
      <c r="H42" s="26"/>
      <c r="I42" s="26"/>
    </row>
    <row r="43" spans="1:13" ht="15.75" thickBot="1" x14ac:dyDescent="0.3">
      <c r="B43" s="11" t="s">
        <v>9</v>
      </c>
      <c r="C43" s="58">
        <f>'Total Number Of Ind'!H5</f>
        <v>128</v>
      </c>
      <c r="D43" s="58">
        <f>'Total Number Of Ind'!I5</f>
        <v>487</v>
      </c>
      <c r="E43" s="58">
        <f>C43+D43</f>
        <v>615</v>
      </c>
      <c r="F43" s="58">
        <v>37</v>
      </c>
      <c r="G43" s="26">
        <f t="shared" si="8"/>
        <v>3.4594594594594597</v>
      </c>
      <c r="H43" s="26">
        <f>D43/F43</f>
        <v>13.162162162162161</v>
      </c>
      <c r="I43" s="26">
        <f t="shared" si="10"/>
        <v>16.621621621621621</v>
      </c>
    </row>
    <row r="44" spans="1:13" ht="15.75" thickBot="1" x14ac:dyDescent="0.3"/>
    <row r="45" spans="1:13" x14ac:dyDescent="0.25">
      <c r="A45" t="s">
        <v>50</v>
      </c>
      <c r="B45" s="16"/>
      <c r="C45" s="71" t="s">
        <v>54</v>
      </c>
      <c r="D45" s="73"/>
      <c r="E45" s="71" t="s">
        <v>55</v>
      </c>
      <c r="F45" s="73"/>
      <c r="G45" s="71" t="s">
        <v>57</v>
      </c>
      <c r="H45" s="73"/>
      <c r="I45" s="71" t="s">
        <v>56</v>
      </c>
      <c r="J45" s="73"/>
      <c r="K45" s="71" t="s">
        <v>22</v>
      </c>
      <c r="L45" s="73"/>
      <c r="M45" s="19"/>
    </row>
    <row r="46" spans="1:13" ht="15.75" thickBot="1" x14ac:dyDescent="0.3">
      <c r="B46" s="17"/>
      <c r="C46" s="77"/>
      <c r="D46" s="79"/>
      <c r="E46" s="77"/>
      <c r="F46" s="79"/>
      <c r="G46" s="77"/>
      <c r="H46" s="79"/>
      <c r="I46" s="77"/>
      <c r="J46" s="79"/>
      <c r="K46" s="77"/>
      <c r="L46" s="79"/>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c r="D48" s="54">
        <v>2.1514141414141412</v>
      </c>
      <c r="E48" s="30"/>
      <c r="F48" s="54">
        <v>7.9838383838383837</v>
      </c>
      <c r="G48" s="30"/>
      <c r="H48" s="54">
        <v>10.06116883116883</v>
      </c>
      <c r="I48" s="30"/>
      <c r="J48" s="54">
        <v>1.0841919191919192</v>
      </c>
      <c r="K48" s="30"/>
      <c r="L48" s="54">
        <v>5.9814393264138008</v>
      </c>
      <c r="M48" s="30"/>
    </row>
    <row r="49" spans="1:14" ht="15.75" thickBot="1" x14ac:dyDescent="0.3">
      <c r="B49" s="18">
        <v>25</v>
      </c>
      <c r="C49" s="30"/>
      <c r="D49" s="54">
        <v>7.3908513708513706</v>
      </c>
      <c r="E49" s="30"/>
      <c r="F49" s="54">
        <v>21.990909090909089</v>
      </c>
      <c r="G49" s="30"/>
      <c r="H49" s="54">
        <v>24.705624375624371</v>
      </c>
      <c r="I49" s="30"/>
      <c r="J49" s="54">
        <v>3.4179292929292928</v>
      </c>
      <c r="K49" s="30"/>
      <c r="L49" s="54">
        <v>15.771647425857656</v>
      </c>
      <c r="M49" s="26"/>
    </row>
    <row r="50" spans="1:14" ht="15.75" thickBot="1" x14ac:dyDescent="0.3">
      <c r="B50" s="18">
        <v>26</v>
      </c>
      <c r="C50" s="30"/>
      <c r="D50" s="54">
        <v>13.07030303030303</v>
      </c>
      <c r="E50" s="30"/>
      <c r="F50" s="54">
        <v>38.63636363636364</v>
      </c>
      <c r="G50" s="30"/>
      <c r="H50" s="54">
        <v>35.935194805194811</v>
      </c>
      <c r="I50" s="30"/>
      <c r="J50" s="54">
        <v>6.2105555555555556</v>
      </c>
      <c r="K50" s="30"/>
      <c r="L50" s="54">
        <v>25.251311814485383</v>
      </c>
      <c r="M50" s="26"/>
    </row>
    <row r="51" spans="1:14" ht="15.75" thickBot="1" x14ac:dyDescent="0.3">
      <c r="B51" s="18">
        <v>27</v>
      </c>
      <c r="C51" s="30"/>
      <c r="D51" s="54">
        <v>26.795454545454547</v>
      </c>
      <c r="E51" s="30"/>
      <c r="F51" s="54">
        <v>63.193939393939381</v>
      </c>
      <c r="G51" s="30"/>
      <c r="H51" s="54">
        <v>44.381415251415248</v>
      </c>
      <c r="I51" s="30"/>
      <c r="J51" s="54">
        <v>9.7791414141414137</v>
      </c>
      <c r="K51" s="30"/>
      <c r="L51" s="54">
        <v>39.892625101373234</v>
      </c>
      <c r="M51" s="30"/>
    </row>
    <row r="52" spans="1:14" ht="15.75" thickBot="1" x14ac:dyDescent="0.3">
      <c r="B52" s="18">
        <v>28</v>
      </c>
      <c r="C52" s="30"/>
      <c r="D52" s="54">
        <v>46.919090909090912</v>
      </c>
      <c r="E52" s="30"/>
      <c r="F52" s="54">
        <v>85.525000000000006</v>
      </c>
      <c r="G52" s="30"/>
      <c r="H52" s="54">
        <v>71.439696969696968</v>
      </c>
      <c r="I52" s="30"/>
      <c r="J52" s="54">
        <v>13.046414141414141</v>
      </c>
      <c r="K52" s="30"/>
      <c r="L52" s="54">
        <v>57.367660142844485</v>
      </c>
      <c r="M52" s="30"/>
    </row>
    <row r="53" spans="1:14" ht="15.75" thickBot="1" x14ac:dyDescent="0.3">
      <c r="B53" s="18">
        <v>29</v>
      </c>
      <c r="C53" s="48"/>
      <c r="D53" s="54">
        <v>54.639747474747473</v>
      </c>
      <c r="E53" s="48"/>
      <c r="F53" s="54">
        <v>84.6141414141414</v>
      </c>
      <c r="G53" s="48"/>
      <c r="H53" s="54">
        <v>69.598831168831168</v>
      </c>
      <c r="I53" s="48"/>
      <c r="J53" s="54">
        <v>21.603434343434344</v>
      </c>
      <c r="K53" s="48"/>
      <c r="L53" s="54">
        <v>60.597046963833684</v>
      </c>
      <c r="M53" s="48"/>
    </row>
    <row r="54" spans="1:14" ht="15.75" thickBot="1" x14ac:dyDescent="0.3">
      <c r="B54" s="18">
        <v>30</v>
      </c>
      <c r="C54" s="48"/>
      <c r="D54" s="54">
        <v>51.957474747474748</v>
      </c>
      <c r="E54" s="48"/>
      <c r="F54" s="54">
        <v>122.24141414141414</v>
      </c>
      <c r="G54" s="48"/>
      <c r="H54" s="54">
        <v>82.01917748917748</v>
      </c>
      <c r="I54" s="48"/>
      <c r="J54" s="54">
        <v>18.65383838383838</v>
      </c>
      <c r="K54" s="48"/>
      <c r="L54" s="54">
        <v>72.325490284908881</v>
      </c>
      <c r="M54" s="48"/>
    </row>
    <row r="55" spans="1:14" ht="15.75" thickBot="1" x14ac:dyDescent="0.3">
      <c r="B55" s="18">
        <v>31</v>
      </c>
      <c r="C55" s="48"/>
      <c r="D55" s="54">
        <v>66.090606060606078</v>
      </c>
      <c r="E55" s="48"/>
      <c r="F55" s="54">
        <v>98.826446280991732</v>
      </c>
      <c r="G55" s="48"/>
      <c r="H55" s="54">
        <v>59.888295038295034</v>
      </c>
      <c r="I55" s="48"/>
      <c r="J55" s="54">
        <v>17.796079365079368</v>
      </c>
      <c r="K55" s="48"/>
      <c r="L55" s="54">
        <v>65.300227970723697</v>
      </c>
      <c r="M55" s="48"/>
    </row>
    <row r="56" spans="1:14" ht="15.75" thickBot="1" x14ac:dyDescent="0.3">
      <c r="B56" s="18">
        <v>32</v>
      </c>
      <c r="C56" s="48"/>
      <c r="D56" s="54">
        <v>43.194444444444436</v>
      </c>
      <c r="E56" s="48"/>
      <c r="F56" s="54">
        <v>70.397979797979801</v>
      </c>
      <c r="G56" s="48"/>
      <c r="H56" s="54">
        <v>52.874688644688646</v>
      </c>
      <c r="I56" s="48"/>
      <c r="J56" s="54">
        <v>15.110151515151516</v>
      </c>
      <c r="K56" s="48"/>
      <c r="L56" s="54">
        <v>47.38993817669293</v>
      </c>
      <c r="M56" s="48"/>
    </row>
    <row r="57" spans="1:14" ht="15.75" thickBot="1" x14ac:dyDescent="0.3">
      <c r="B57" s="18">
        <v>33</v>
      </c>
      <c r="C57" s="48"/>
      <c r="D57" s="54">
        <v>29.544</v>
      </c>
      <c r="E57" s="48"/>
      <c r="F57" s="54">
        <v>58.413131313131316</v>
      </c>
      <c r="G57" s="48"/>
      <c r="H57" s="54">
        <v>36.888614718614718</v>
      </c>
      <c r="I57" s="48"/>
      <c r="J57" s="54">
        <v>9.2335555555555562</v>
      </c>
      <c r="K57" s="48"/>
      <c r="L57" s="54">
        <v>36.261287111451601</v>
      </c>
      <c r="M57" s="48"/>
    </row>
    <row r="58" spans="1:14" ht="15.75" thickBot="1" x14ac:dyDescent="0.3">
      <c r="B58" s="18">
        <v>34</v>
      </c>
      <c r="C58" s="48"/>
      <c r="D58" s="54">
        <v>19.157031746031741</v>
      </c>
      <c r="E58" s="48"/>
      <c r="F58" s="54">
        <v>41.746212121212125</v>
      </c>
      <c r="G58" s="48"/>
      <c r="H58" s="54">
        <v>24.611904761904761</v>
      </c>
      <c r="I58" s="48"/>
      <c r="J58" s="54">
        <v>6.8003333333333327</v>
      </c>
      <c r="K58" s="48"/>
      <c r="L58" s="54">
        <v>25.011849640077763</v>
      </c>
      <c r="M58" s="48"/>
    </row>
    <row r="59" spans="1:14" ht="15.75" thickBot="1" x14ac:dyDescent="0.3">
      <c r="B59" s="18">
        <v>35</v>
      </c>
      <c r="C59" s="48"/>
      <c r="D59" s="54">
        <v>8.7274444444444441</v>
      </c>
      <c r="E59" s="48"/>
      <c r="F59" s="54">
        <v>18.967388167388165</v>
      </c>
      <c r="G59" s="48"/>
      <c r="H59" s="54">
        <v>12.713290043290044</v>
      </c>
      <c r="I59" s="48"/>
      <c r="J59" s="54">
        <v>3.7185396825396828</v>
      </c>
      <c r="K59" s="48"/>
      <c r="L59" s="54">
        <v>11.601285362462235</v>
      </c>
      <c r="M59" s="48"/>
    </row>
    <row r="60" spans="1:14" ht="15.75" thickBot="1" x14ac:dyDescent="0.3">
      <c r="B60" s="18">
        <v>36</v>
      </c>
      <c r="C60" s="49"/>
      <c r="D60" s="55">
        <v>11.002222222222221</v>
      </c>
      <c r="E60" s="49"/>
      <c r="F60" s="55">
        <v>22.15</v>
      </c>
      <c r="G60" s="49"/>
      <c r="H60" s="55">
        <v>6.7316666666666665</v>
      </c>
      <c r="I60" s="49"/>
      <c r="J60" s="55">
        <v>3.1111111111111112</v>
      </c>
      <c r="K60" s="49"/>
      <c r="L60" s="55">
        <v>10.453837209302325</v>
      </c>
      <c r="M60" s="49"/>
    </row>
    <row r="61" spans="1:14" ht="15.75" thickBot="1" x14ac:dyDescent="0.3">
      <c r="B61" s="18">
        <v>37</v>
      </c>
      <c r="C61" s="21"/>
      <c r="D61" s="55">
        <v>12.057777777777778</v>
      </c>
      <c r="E61" s="21"/>
      <c r="F61" s="55">
        <v>10.600000000000001</v>
      </c>
      <c r="G61" s="21"/>
      <c r="H61" s="55">
        <v>4.8016666666666667</v>
      </c>
      <c r="I61" s="21"/>
      <c r="J61" s="55">
        <v>1.5572222222222223</v>
      </c>
      <c r="K61" s="21"/>
      <c r="L61" s="55">
        <v>6.9883720930232558</v>
      </c>
      <c r="M61" s="21"/>
    </row>
    <row r="62" spans="1:14" ht="15.75" thickBot="1" x14ac:dyDescent="0.3"/>
    <row r="63" spans="1:14" x14ac:dyDescent="0.25">
      <c r="A63" t="s">
        <v>51</v>
      </c>
      <c r="B63" s="16"/>
      <c r="C63" s="71" t="s">
        <v>34</v>
      </c>
      <c r="D63" s="72"/>
      <c r="E63" s="73"/>
      <c r="F63" s="71" t="s">
        <v>35</v>
      </c>
      <c r="G63" s="72"/>
      <c r="H63" s="73"/>
      <c r="I63" s="71" t="s">
        <v>33</v>
      </c>
      <c r="J63" s="72"/>
      <c r="K63" s="73"/>
      <c r="L63" s="71" t="s">
        <v>37</v>
      </c>
      <c r="M63" s="72"/>
      <c r="N63" s="73"/>
    </row>
    <row r="64" spans="1:14" x14ac:dyDescent="0.25">
      <c r="B64" s="17"/>
      <c r="C64" s="74"/>
      <c r="D64" s="75"/>
      <c r="E64" s="76"/>
      <c r="F64" s="74"/>
      <c r="G64" s="75"/>
      <c r="H64" s="76"/>
      <c r="I64" s="74" t="s">
        <v>36</v>
      </c>
      <c r="J64" s="80"/>
      <c r="K64" s="76"/>
      <c r="L64" s="74"/>
      <c r="M64" s="75"/>
      <c r="N64" s="76"/>
    </row>
    <row r="65" spans="1:18" ht="15.75" thickBot="1" x14ac:dyDescent="0.3">
      <c r="B65" s="17"/>
      <c r="C65" s="77"/>
      <c r="D65" s="78"/>
      <c r="E65" s="79"/>
      <c r="F65" s="77"/>
      <c r="G65" s="78"/>
      <c r="H65" s="79"/>
      <c r="I65" s="81"/>
      <c r="J65" s="82"/>
      <c r="K65" s="83"/>
      <c r="L65" s="77"/>
      <c r="M65" s="78"/>
      <c r="N65" s="79"/>
    </row>
    <row r="66" spans="1:18"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8" ht="24.75" thickBot="1" x14ac:dyDescent="0.3">
      <c r="B67" s="18" t="s">
        <v>54</v>
      </c>
      <c r="C67" s="58">
        <f>'Total Number Ind Examined '!I8</f>
        <v>315</v>
      </c>
      <c r="D67" s="58">
        <f>'Total Number Ind Examined '!J8</f>
        <v>82</v>
      </c>
      <c r="E67" s="58">
        <f>C67+D67</f>
        <v>397</v>
      </c>
      <c r="F67" s="59">
        <f>'Total Number of Pools Examined'!H8</f>
        <v>12</v>
      </c>
      <c r="G67" s="59">
        <f>'Total Number of Pools Examined'!I8</f>
        <v>6</v>
      </c>
      <c r="H67" s="59">
        <f>F67+G67</f>
        <v>18</v>
      </c>
      <c r="I67" s="59">
        <f>'Total Number of WNV + Pools'!G7</f>
        <v>4</v>
      </c>
      <c r="J67" s="59">
        <f>'Total Number of WNV + Pools'!H7</f>
        <v>0</v>
      </c>
      <c r="K67" s="59">
        <f>'Total Number of WNV + Pools'!I7</f>
        <v>4</v>
      </c>
      <c r="L67" s="30">
        <f>ZONEINFRATE!C2</f>
        <v>18.010000000000002</v>
      </c>
      <c r="M67" s="30">
        <f>ZONEINFRATE!C3</f>
        <v>0</v>
      </c>
      <c r="N67" s="30">
        <v>13.048183147866625</v>
      </c>
      <c r="P67" t="s">
        <v>439</v>
      </c>
      <c r="R67" s="31"/>
    </row>
    <row r="68" spans="1:18" ht="24.75" thickBot="1" x14ac:dyDescent="0.3">
      <c r="B68" s="18" t="s">
        <v>55</v>
      </c>
      <c r="C68" s="58">
        <f>'Total Number Ind Examined '!I7</f>
        <v>164</v>
      </c>
      <c r="D68" s="58">
        <f>'Total Number Ind Examined '!J7</f>
        <v>27</v>
      </c>
      <c r="E68" s="58">
        <f t="shared" ref="E68:E71" si="11">C68+D68</f>
        <v>191</v>
      </c>
      <c r="F68" s="59">
        <f>'Total Number of Pools Examined'!H7</f>
        <v>13</v>
      </c>
      <c r="G68" s="59">
        <f>'Total Number of Pools Examined'!I7</f>
        <v>6</v>
      </c>
      <c r="H68" s="59">
        <f t="shared" ref="H68:H71" si="12">F68+G68</f>
        <v>19</v>
      </c>
      <c r="I68" s="59">
        <f>'Total Number of WNV + Pools'!G8</f>
        <v>2</v>
      </c>
      <c r="J68" s="59">
        <f>'Total Number of WNV + Pools'!H8</f>
        <v>0</v>
      </c>
      <c r="K68" s="59">
        <f>'Total Number of WNV + Pools'!I8</f>
        <v>2</v>
      </c>
      <c r="L68" s="30">
        <f>ZONEINFRATE!C4</f>
        <v>12.81</v>
      </c>
      <c r="M68" s="30">
        <f>ZONEINFRATE!C5</f>
        <v>0</v>
      </c>
      <c r="N68" s="30">
        <v>11.032737481449766</v>
      </c>
      <c r="R68" s="31"/>
    </row>
    <row r="69" spans="1:18" ht="24.75" thickBot="1" x14ac:dyDescent="0.3">
      <c r="B69" s="18" t="s">
        <v>57</v>
      </c>
      <c r="C69" s="58">
        <f>'Total Number Ind Examined '!I9</f>
        <v>219</v>
      </c>
      <c r="D69" s="58">
        <f>'Total Number Ind Examined '!J9</f>
        <v>124</v>
      </c>
      <c r="E69" s="58">
        <f t="shared" si="11"/>
        <v>343</v>
      </c>
      <c r="F69" s="59">
        <f>'Total Number of Pools Examined'!H9</f>
        <v>16</v>
      </c>
      <c r="G69" s="59">
        <f>'Total Number of Pools Examined'!I9</f>
        <v>15</v>
      </c>
      <c r="H69" s="59">
        <f t="shared" si="12"/>
        <v>31</v>
      </c>
      <c r="I69" s="59">
        <f>'Total Number of WNV + Pools'!G9</f>
        <v>4</v>
      </c>
      <c r="J69" s="59">
        <f>'Total Number of WNV + Pools'!H9</f>
        <v>2</v>
      </c>
      <c r="K69" s="59">
        <f>'Total Number of WNV + Pools'!I9</f>
        <v>6</v>
      </c>
      <c r="L69" s="30">
        <f>ZONEINFRATE!C6</f>
        <v>25.1</v>
      </c>
      <c r="M69" s="30">
        <f>ZONEINFRATE!C7</f>
        <v>16.66</v>
      </c>
      <c r="N69" s="30">
        <v>22.256481797265028</v>
      </c>
      <c r="R69" s="31"/>
    </row>
    <row r="70" spans="1:18" ht="24.75" thickBot="1" x14ac:dyDescent="0.3">
      <c r="B70" s="18" t="s">
        <v>56</v>
      </c>
      <c r="C70" s="58">
        <f>'Total Number Ind Examined '!I10</f>
        <v>78</v>
      </c>
      <c r="D70" s="58">
        <f>'Total Number Ind Examined '!J10</f>
        <v>73</v>
      </c>
      <c r="E70" s="58">
        <f t="shared" si="11"/>
        <v>151</v>
      </c>
      <c r="F70" s="59">
        <f>'Total Number of Pools Examined'!H10</f>
        <v>5</v>
      </c>
      <c r="G70" s="59">
        <f>'Total Number of Pools Examined'!I10</f>
        <v>9</v>
      </c>
      <c r="H70" s="59">
        <f t="shared" si="12"/>
        <v>14</v>
      </c>
      <c r="I70" s="59">
        <f>'Total Number of WNV + Pools'!G10</f>
        <v>0</v>
      </c>
      <c r="J70" s="59">
        <f>'Total Number of WNV + Pools'!H10</f>
        <v>0</v>
      </c>
      <c r="K70" s="59">
        <f>'Total Number of WNV + Pools'!I10</f>
        <v>0</v>
      </c>
      <c r="L70" s="30">
        <f>ZONEINFRATE!C8</f>
        <v>0</v>
      </c>
      <c r="M70" s="30">
        <f>ZONEINFRATE!C9</f>
        <v>0</v>
      </c>
      <c r="N70" s="30">
        <v>0</v>
      </c>
      <c r="R70" s="31"/>
    </row>
    <row r="71" spans="1:18" ht="24.75" thickBot="1" x14ac:dyDescent="0.3">
      <c r="B71" s="18" t="s">
        <v>22</v>
      </c>
      <c r="C71" s="58">
        <f>SUM(C67:C70)</f>
        <v>776</v>
      </c>
      <c r="D71" s="58">
        <f>SUM(D67:D70)</f>
        <v>306</v>
      </c>
      <c r="E71" s="58">
        <f t="shared" si="11"/>
        <v>1082</v>
      </c>
      <c r="F71" s="59">
        <f t="shared" ref="F71:K71" si="13">SUM(F67:F70)</f>
        <v>46</v>
      </c>
      <c r="G71" s="59">
        <f t="shared" si="13"/>
        <v>36</v>
      </c>
      <c r="H71" s="59">
        <f t="shared" si="12"/>
        <v>82</v>
      </c>
      <c r="I71" s="59">
        <f t="shared" si="13"/>
        <v>10</v>
      </c>
      <c r="J71" s="59">
        <f t="shared" si="13"/>
        <v>2</v>
      </c>
      <c r="K71" s="59">
        <f t="shared" si="13"/>
        <v>12</v>
      </c>
      <c r="L71" s="30">
        <f>CITYINFRATE!C2</f>
        <v>17.050677477172833</v>
      </c>
      <c r="M71" s="30">
        <f>CITYINFRATE!C3</f>
        <v>6.5643495242034797</v>
      </c>
      <c r="N71" s="30">
        <v>13.567466122110835</v>
      </c>
      <c r="P71" s="31" t="s">
        <v>438</v>
      </c>
    </row>
    <row r="72" spans="1:18" ht="15.75" thickBot="1" x14ac:dyDescent="0.3">
      <c r="B72" s="18"/>
      <c r="C72" s="59"/>
      <c r="D72" s="59"/>
      <c r="E72" s="59"/>
      <c r="F72" s="59"/>
      <c r="G72" s="59"/>
      <c r="H72" s="59"/>
      <c r="I72" s="59"/>
      <c r="J72" s="59"/>
      <c r="K72" s="59"/>
      <c r="L72" s="30"/>
      <c r="M72" s="30"/>
      <c r="N72" s="30"/>
      <c r="P72" s="31"/>
    </row>
    <row r="73" spans="1:18" ht="15.75" thickBot="1" x14ac:dyDescent="0.3">
      <c r="B73" s="18" t="s">
        <v>9</v>
      </c>
      <c r="C73" s="59">
        <f>'Total Number Ind Examined '!I6</f>
        <v>246</v>
      </c>
      <c r="D73" s="59">
        <f>'Total Number Ind Examined '!J6</f>
        <v>153</v>
      </c>
      <c r="E73" s="59">
        <f>C73+D73</f>
        <v>399</v>
      </c>
      <c r="F73" s="59">
        <f>'Total Number of Pools Examined'!H6</f>
        <v>11</v>
      </c>
      <c r="G73" s="59">
        <f>'Total Number of Pools Examined'!I6</f>
        <v>9</v>
      </c>
      <c r="H73" s="59">
        <f>F73+G73</f>
        <v>20</v>
      </c>
      <c r="I73" s="59">
        <f>'Total Number of WNV + Pools'!G11</f>
        <v>3</v>
      </c>
      <c r="J73" s="59">
        <f>'Total Number of WNV + Pools'!H11</f>
        <v>2</v>
      </c>
      <c r="K73" s="59">
        <f>I73+J73</f>
        <v>5</v>
      </c>
      <c r="L73" s="30">
        <f>CITYINFRATE!C4</f>
        <v>16.317642027211935</v>
      </c>
      <c r="M73" s="30">
        <f>CITYINFRATE!C5</f>
        <v>13.536841981498121</v>
      </c>
      <c r="N73" s="30">
        <v>15.919150037896616</v>
      </c>
    </row>
    <row r="74" spans="1:18" ht="15.75" thickBot="1" x14ac:dyDescent="0.3"/>
    <row r="75" spans="1:18" x14ac:dyDescent="0.25">
      <c r="A75" t="s">
        <v>52</v>
      </c>
      <c r="B75" s="16"/>
      <c r="C75" s="71" t="s">
        <v>54</v>
      </c>
      <c r="D75" s="73"/>
      <c r="E75" s="71" t="s">
        <v>55</v>
      </c>
      <c r="F75" s="73"/>
      <c r="G75" s="71" t="s">
        <v>57</v>
      </c>
      <c r="H75" s="73"/>
      <c r="I75" s="71" t="s">
        <v>56</v>
      </c>
      <c r="J75" s="73"/>
      <c r="K75" s="71" t="s">
        <v>22</v>
      </c>
      <c r="L75" s="73"/>
      <c r="M75" s="19"/>
    </row>
    <row r="76" spans="1:18" ht="15.75" thickBot="1" x14ac:dyDescent="0.3">
      <c r="B76" s="17"/>
      <c r="C76" s="77"/>
      <c r="D76" s="79"/>
      <c r="E76" s="77"/>
      <c r="F76" s="79"/>
      <c r="G76" s="77"/>
      <c r="H76" s="79"/>
      <c r="I76" s="77"/>
      <c r="J76" s="79"/>
      <c r="K76" s="77"/>
      <c r="L76" s="79"/>
      <c r="M76" s="20"/>
    </row>
    <row r="77" spans="1:18"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8" ht="15.75" thickBot="1" x14ac:dyDescent="0.3">
      <c r="B78" s="18">
        <v>24</v>
      </c>
      <c r="C78" s="30"/>
      <c r="D78" s="56">
        <v>0</v>
      </c>
      <c r="E78" s="30"/>
      <c r="F78" s="56">
        <v>0</v>
      </c>
      <c r="G78" s="30"/>
      <c r="H78" s="56">
        <v>1.2472072858905063</v>
      </c>
      <c r="I78" s="30"/>
      <c r="J78" s="56">
        <v>0</v>
      </c>
      <c r="K78" s="30"/>
      <c r="L78" s="56">
        <v>0.47670567439784933</v>
      </c>
      <c r="M78" s="30"/>
    </row>
    <row r="79" spans="1:18" ht="15.75" thickBot="1" x14ac:dyDescent="0.3">
      <c r="B79" s="18">
        <v>25</v>
      </c>
      <c r="C79" s="30"/>
      <c r="D79" s="56">
        <v>0</v>
      </c>
      <c r="E79" s="30"/>
      <c r="F79" s="56">
        <v>0.62229589194158752</v>
      </c>
      <c r="G79" s="30"/>
      <c r="H79" s="56">
        <v>0</v>
      </c>
      <c r="I79" s="30"/>
      <c r="J79" s="56">
        <v>0</v>
      </c>
      <c r="K79" s="30"/>
      <c r="L79" s="56">
        <v>7.4522340113698571E-2</v>
      </c>
      <c r="M79" s="30"/>
    </row>
    <row r="80" spans="1:18" ht="15.75" thickBot="1" x14ac:dyDescent="0.3">
      <c r="B80" s="18">
        <v>26</v>
      </c>
      <c r="C80" s="30"/>
      <c r="D80" s="56">
        <v>0</v>
      </c>
      <c r="E80" s="30"/>
      <c r="F80" s="56">
        <v>0.10800000000000001</v>
      </c>
      <c r="G80" s="30"/>
      <c r="H80" s="56">
        <v>0.42885071798523788</v>
      </c>
      <c r="I80" s="30"/>
      <c r="J80" s="56">
        <v>0.43829700185629189</v>
      </c>
      <c r="K80" s="30"/>
      <c r="L80" s="56">
        <v>0.26639604526763649</v>
      </c>
      <c r="M80" s="30"/>
    </row>
    <row r="81" spans="2:13" ht="15.75" thickBot="1" x14ac:dyDescent="0.3">
      <c r="B81" s="18">
        <v>27</v>
      </c>
      <c r="C81" s="30"/>
      <c r="D81" s="56">
        <v>0</v>
      </c>
      <c r="E81" s="30"/>
      <c r="F81" s="56">
        <v>0.242731298767248</v>
      </c>
      <c r="G81" s="30"/>
      <c r="H81" s="56">
        <v>0.43733714662671264</v>
      </c>
      <c r="I81" s="30"/>
      <c r="J81" s="56">
        <v>0</v>
      </c>
      <c r="K81" s="30"/>
      <c r="L81" s="56">
        <v>0.31429587936381637</v>
      </c>
      <c r="M81" s="30"/>
    </row>
    <row r="82" spans="2:13" ht="15.75" thickBot="1" x14ac:dyDescent="0.3">
      <c r="B82" s="18">
        <v>28</v>
      </c>
      <c r="C82" s="30"/>
      <c r="D82" s="56">
        <v>0</v>
      </c>
      <c r="E82" s="30"/>
      <c r="F82" s="56">
        <v>0.50461428450807877</v>
      </c>
      <c r="G82" s="30"/>
      <c r="H82" s="56">
        <v>0.86992134315787484</v>
      </c>
      <c r="I82" s="30"/>
      <c r="J82" s="56">
        <v>0.39808970183474474</v>
      </c>
      <c r="K82" s="30"/>
      <c r="L82" s="56">
        <v>0.56073485321216832</v>
      </c>
      <c r="M82" s="30"/>
    </row>
    <row r="83" spans="2:13" ht="15.75" thickBot="1" x14ac:dyDescent="0.3">
      <c r="B83" s="18">
        <v>29</v>
      </c>
      <c r="C83" s="48"/>
      <c r="D83" s="56">
        <v>1.6687095307346815</v>
      </c>
      <c r="E83" s="48"/>
      <c r="F83" s="56">
        <v>1.2507548575258618</v>
      </c>
      <c r="G83" s="48"/>
      <c r="H83" s="56">
        <v>2.8111980103345364</v>
      </c>
      <c r="I83" s="48"/>
      <c r="J83" s="56">
        <v>0.95553120782386325</v>
      </c>
      <c r="K83" s="48"/>
      <c r="L83" s="56">
        <v>1.8253162555598748</v>
      </c>
      <c r="M83" s="48"/>
    </row>
    <row r="84" spans="2:13" ht="15.75" thickBot="1" x14ac:dyDescent="0.3">
      <c r="B84" s="18">
        <v>30</v>
      </c>
      <c r="C84" s="48"/>
      <c r="D84" s="56">
        <v>2.5322173403673207</v>
      </c>
      <c r="E84" s="48"/>
      <c r="F84" s="56">
        <v>1.8860481685571775</v>
      </c>
      <c r="G84" s="48"/>
      <c r="H84" s="56">
        <v>4.4741714440776486</v>
      </c>
      <c r="I84" s="48"/>
      <c r="J84" s="56">
        <v>2.9442672357644679</v>
      </c>
      <c r="K84" s="48"/>
      <c r="L84" s="56">
        <v>2.9927162013616315</v>
      </c>
      <c r="M84" s="48"/>
    </row>
    <row r="85" spans="2:13" ht="15.75" thickBot="1" x14ac:dyDescent="0.3">
      <c r="B85" s="18">
        <v>31</v>
      </c>
      <c r="C85" s="48"/>
      <c r="D85" s="56">
        <v>4.0287896661990432</v>
      </c>
      <c r="E85" s="48"/>
      <c r="F85" s="56">
        <v>2.1836936507916049</v>
      </c>
      <c r="G85" s="48"/>
      <c r="H85" s="56">
        <v>4.6416948205161583</v>
      </c>
      <c r="I85" s="48"/>
      <c r="J85" s="56">
        <v>3.3338616711096623</v>
      </c>
      <c r="K85" s="48"/>
      <c r="L85" s="56">
        <v>3.4216226302893888</v>
      </c>
      <c r="M85" s="48"/>
    </row>
    <row r="86" spans="2:13" ht="15.75" thickBot="1" x14ac:dyDescent="0.3">
      <c r="B86" s="18">
        <v>32</v>
      </c>
      <c r="C86" s="48"/>
      <c r="D86" s="56">
        <v>4.2052013030789741</v>
      </c>
      <c r="E86" s="48"/>
      <c r="F86" s="56">
        <v>6.0876753776149366</v>
      </c>
      <c r="G86" s="48"/>
      <c r="H86" s="56">
        <v>8.1450216800139241</v>
      </c>
      <c r="I86" s="48"/>
      <c r="J86" s="56">
        <v>10.168546857553956</v>
      </c>
      <c r="K86" s="48"/>
      <c r="L86" s="56">
        <v>6.2576537019252463</v>
      </c>
      <c r="M86" s="48"/>
    </row>
    <row r="87" spans="2:13" ht="15.75" thickBot="1" x14ac:dyDescent="0.3">
      <c r="B87" s="18">
        <v>33</v>
      </c>
      <c r="C87" s="48"/>
      <c r="D87" s="56">
        <v>7.5557559654764654</v>
      </c>
      <c r="E87" s="48"/>
      <c r="F87" s="56">
        <v>7.1160569117854493</v>
      </c>
      <c r="G87" s="48"/>
      <c r="H87" s="56">
        <v>10.125551421735697</v>
      </c>
      <c r="I87" s="48"/>
      <c r="J87" s="56">
        <v>5.5014284829638518</v>
      </c>
      <c r="K87" s="48"/>
      <c r="L87" s="56">
        <v>8.2891179480654991</v>
      </c>
      <c r="M87" s="48"/>
    </row>
    <row r="88" spans="2:13" ht="15.75" thickBot="1" x14ac:dyDescent="0.3">
      <c r="B88" s="18">
        <v>34</v>
      </c>
      <c r="C88" s="48"/>
      <c r="D88" s="56">
        <v>7.5146654315554207</v>
      </c>
      <c r="E88" s="48"/>
      <c r="F88" s="56">
        <v>4.2534614243031124</v>
      </c>
      <c r="G88" s="48"/>
      <c r="H88" s="56">
        <v>11.553235928058379</v>
      </c>
      <c r="I88" s="48"/>
      <c r="J88" s="56">
        <v>10.434117019439311</v>
      </c>
      <c r="K88" s="48"/>
      <c r="L88" s="56">
        <v>7.9367037472016841</v>
      </c>
      <c r="M88" s="48"/>
    </row>
    <row r="89" spans="2:13" ht="15.75" thickBot="1" x14ac:dyDescent="0.3">
      <c r="B89" s="18">
        <v>35</v>
      </c>
      <c r="C89" s="48"/>
      <c r="D89" s="56">
        <v>9.6979924998127061</v>
      </c>
      <c r="E89" s="48"/>
      <c r="F89" s="56">
        <v>5.9920261646490811</v>
      </c>
      <c r="G89" s="48"/>
      <c r="H89" s="56">
        <v>15.630470474373897</v>
      </c>
      <c r="I89" s="48"/>
      <c r="J89" s="56">
        <v>45.885908436928389</v>
      </c>
      <c r="K89" s="48"/>
      <c r="L89" s="56">
        <v>11.121404412424742</v>
      </c>
      <c r="M89" s="48"/>
    </row>
    <row r="90" spans="2:13" ht="15.75" thickBot="1" x14ac:dyDescent="0.3">
      <c r="B90" s="18">
        <v>36</v>
      </c>
      <c r="C90" s="49"/>
      <c r="D90" s="57">
        <v>10.96</v>
      </c>
      <c r="E90" s="49"/>
      <c r="F90" s="57">
        <v>2.4300000000000002</v>
      </c>
      <c r="G90" s="49"/>
      <c r="H90" s="57">
        <v>0</v>
      </c>
      <c r="I90" s="49"/>
      <c r="J90" s="57">
        <v>0</v>
      </c>
      <c r="K90" s="49"/>
      <c r="L90" s="57">
        <v>1.68</v>
      </c>
      <c r="M90" s="49"/>
    </row>
    <row r="91" spans="2:13" ht="15.75" thickBot="1" x14ac:dyDescent="0.3">
      <c r="B91" s="18">
        <v>37</v>
      </c>
      <c r="C91" s="21"/>
      <c r="D91" s="55">
        <v>2.2112860453990315</v>
      </c>
      <c r="E91" s="21"/>
      <c r="F91" s="55">
        <v>2.52</v>
      </c>
      <c r="G91" s="21"/>
      <c r="H91" s="55">
        <v>1.85</v>
      </c>
      <c r="I91" s="21"/>
      <c r="J91" s="55">
        <v>0</v>
      </c>
      <c r="K91" s="21"/>
      <c r="L91" s="55">
        <v>3.0122452035621778</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76" workbookViewId="0">
      <selection activeCell="W27" sqref="W2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21" x14ac:dyDescent="0.25">
      <c r="A2" s="39">
        <v>2016</v>
      </c>
      <c r="B2" s="37" t="s">
        <v>103</v>
      </c>
      <c r="C2" s="37">
        <v>19478</v>
      </c>
      <c r="D2" s="37">
        <v>34</v>
      </c>
      <c r="E2" s="38">
        <v>42604</v>
      </c>
      <c r="F2" s="37" t="s">
        <v>104</v>
      </c>
      <c r="G2" s="37" t="s">
        <v>47</v>
      </c>
      <c r="H2" s="37" t="s">
        <v>105</v>
      </c>
      <c r="I2" s="37" t="s">
        <v>61</v>
      </c>
      <c r="J2" s="37" t="s">
        <v>106</v>
      </c>
      <c r="K2" s="37" t="s">
        <v>107</v>
      </c>
      <c r="L2" s="37" t="s">
        <v>6</v>
      </c>
      <c r="M2" s="37" t="s">
        <v>108</v>
      </c>
      <c r="O2" s="37">
        <v>3</v>
      </c>
      <c r="P2" s="37">
        <v>3</v>
      </c>
      <c r="Q2" s="37">
        <v>0</v>
      </c>
      <c r="R2" s="37" t="s">
        <v>109</v>
      </c>
      <c r="T2" s="37" t="s">
        <v>414</v>
      </c>
      <c r="U2" s="37" t="s">
        <v>418</v>
      </c>
    </row>
    <row r="3" spans="1:21" x14ac:dyDescent="0.25">
      <c r="A3" s="39">
        <v>2016</v>
      </c>
      <c r="B3" s="37" t="s">
        <v>110</v>
      </c>
      <c r="C3" s="37">
        <v>19479</v>
      </c>
      <c r="D3" s="37">
        <v>34</v>
      </c>
      <c r="E3" s="38">
        <v>42604</v>
      </c>
      <c r="F3" s="37" t="s">
        <v>104</v>
      </c>
      <c r="G3" s="37" t="s">
        <v>47</v>
      </c>
      <c r="H3" s="37" t="s">
        <v>111</v>
      </c>
      <c r="I3" s="37" t="s">
        <v>61</v>
      </c>
      <c r="J3" s="37" t="s">
        <v>106</v>
      </c>
      <c r="K3" s="37" t="s">
        <v>107</v>
      </c>
      <c r="L3" s="37" t="s">
        <v>6</v>
      </c>
      <c r="M3" s="37" t="s">
        <v>108</v>
      </c>
      <c r="O3" s="37">
        <v>1</v>
      </c>
      <c r="P3" s="37">
        <v>1</v>
      </c>
      <c r="Q3" s="37">
        <v>0</v>
      </c>
      <c r="R3" s="37" t="s">
        <v>109</v>
      </c>
      <c r="T3" s="37" t="s">
        <v>414</v>
      </c>
      <c r="U3" s="37" t="s">
        <v>418</v>
      </c>
    </row>
    <row r="4" spans="1:21" x14ac:dyDescent="0.25">
      <c r="A4" s="39">
        <v>2016</v>
      </c>
      <c r="B4" s="37" t="s">
        <v>112</v>
      </c>
      <c r="C4" s="37">
        <v>19480</v>
      </c>
      <c r="D4" s="37">
        <v>34</v>
      </c>
      <c r="E4" s="38">
        <v>42604</v>
      </c>
      <c r="F4" s="37" t="s">
        <v>104</v>
      </c>
      <c r="G4" s="37" t="s">
        <v>47</v>
      </c>
      <c r="H4" s="37" t="s">
        <v>111</v>
      </c>
      <c r="I4" s="37" t="s">
        <v>61</v>
      </c>
      <c r="J4" s="37" t="s">
        <v>106</v>
      </c>
      <c r="K4" s="37" t="s">
        <v>107</v>
      </c>
      <c r="L4" s="37" t="s">
        <v>5</v>
      </c>
      <c r="M4" s="37" t="s">
        <v>108</v>
      </c>
      <c r="O4" s="37">
        <v>2</v>
      </c>
      <c r="P4" s="37">
        <v>2</v>
      </c>
      <c r="Q4" s="37">
        <v>0</v>
      </c>
      <c r="R4" s="37" t="s">
        <v>109</v>
      </c>
      <c r="T4" s="37" t="s">
        <v>415</v>
      </c>
      <c r="U4" s="37" t="s">
        <v>419</v>
      </c>
    </row>
    <row r="5" spans="1:21" x14ac:dyDescent="0.25">
      <c r="A5" s="39">
        <v>2016</v>
      </c>
      <c r="B5" s="37" t="s">
        <v>113</v>
      </c>
      <c r="C5" s="37">
        <v>19481</v>
      </c>
      <c r="D5" s="37">
        <v>34</v>
      </c>
      <c r="E5" s="38">
        <v>42604</v>
      </c>
      <c r="F5" s="37" t="s">
        <v>104</v>
      </c>
      <c r="G5" s="37" t="s">
        <v>47</v>
      </c>
      <c r="H5" s="37" t="s">
        <v>114</v>
      </c>
      <c r="I5" s="37" t="s">
        <v>61</v>
      </c>
      <c r="J5" s="37" t="s">
        <v>106</v>
      </c>
      <c r="K5" s="37" t="s">
        <v>107</v>
      </c>
      <c r="L5" s="37" t="s">
        <v>6</v>
      </c>
      <c r="M5" s="37" t="s">
        <v>108</v>
      </c>
      <c r="O5" s="37">
        <v>32</v>
      </c>
      <c r="P5" s="37">
        <v>32</v>
      </c>
      <c r="Q5" s="37">
        <v>0</v>
      </c>
      <c r="R5" s="37" t="s">
        <v>109</v>
      </c>
      <c r="T5" s="37" t="s">
        <v>414</v>
      </c>
      <c r="U5" s="37" t="s">
        <v>418</v>
      </c>
    </row>
    <row r="6" spans="1:21" x14ac:dyDescent="0.25">
      <c r="A6" s="39">
        <v>2016</v>
      </c>
      <c r="B6" s="37" t="s">
        <v>115</v>
      </c>
      <c r="C6" s="37">
        <v>19482</v>
      </c>
      <c r="D6" s="37">
        <v>34</v>
      </c>
      <c r="E6" s="38">
        <v>42604</v>
      </c>
      <c r="F6" s="37" t="s">
        <v>104</v>
      </c>
      <c r="G6" s="37" t="s">
        <v>47</v>
      </c>
      <c r="H6" s="37" t="s">
        <v>116</v>
      </c>
      <c r="I6" s="37" t="s">
        <v>61</v>
      </c>
      <c r="J6" s="37" t="s">
        <v>106</v>
      </c>
      <c r="K6" s="37" t="s">
        <v>107</v>
      </c>
      <c r="L6" s="37" t="s">
        <v>6</v>
      </c>
      <c r="M6" s="37" t="s">
        <v>108</v>
      </c>
      <c r="O6" s="37">
        <v>4</v>
      </c>
      <c r="P6" s="37">
        <v>4</v>
      </c>
      <c r="Q6" s="37">
        <v>0</v>
      </c>
      <c r="R6" s="37" t="s">
        <v>109</v>
      </c>
      <c r="T6" s="37" t="s">
        <v>414</v>
      </c>
      <c r="U6" s="37" t="s">
        <v>418</v>
      </c>
    </row>
    <row r="7" spans="1:21" x14ac:dyDescent="0.25">
      <c r="A7" s="39">
        <v>2016</v>
      </c>
      <c r="B7" s="37" t="s">
        <v>117</v>
      </c>
      <c r="C7" s="37">
        <v>19483</v>
      </c>
      <c r="D7" s="37">
        <v>34</v>
      </c>
      <c r="E7" s="38">
        <v>42604</v>
      </c>
      <c r="F7" s="37" t="s">
        <v>104</v>
      </c>
      <c r="G7" s="37" t="s">
        <v>47</v>
      </c>
      <c r="H7" s="37" t="s">
        <v>116</v>
      </c>
      <c r="I7" s="37" t="s">
        <v>61</v>
      </c>
      <c r="J7" s="37" t="s">
        <v>106</v>
      </c>
      <c r="K7" s="37" t="s">
        <v>107</v>
      </c>
      <c r="L7" s="37" t="s">
        <v>5</v>
      </c>
      <c r="M7" s="37" t="s">
        <v>108</v>
      </c>
      <c r="O7" s="37">
        <v>6</v>
      </c>
      <c r="P7" s="37">
        <v>6</v>
      </c>
      <c r="Q7" s="37">
        <v>0</v>
      </c>
      <c r="R7" s="37" t="s">
        <v>109</v>
      </c>
      <c r="T7" s="37" t="s">
        <v>415</v>
      </c>
      <c r="U7" s="37" t="s">
        <v>419</v>
      </c>
    </row>
    <row r="8" spans="1:21" x14ac:dyDescent="0.25">
      <c r="A8" s="39">
        <v>2016</v>
      </c>
      <c r="B8" s="37" t="s">
        <v>118</v>
      </c>
      <c r="C8" s="37">
        <v>19484</v>
      </c>
      <c r="D8" s="37">
        <v>34</v>
      </c>
      <c r="E8" s="38">
        <v>42604</v>
      </c>
      <c r="F8" s="37" t="s">
        <v>104</v>
      </c>
      <c r="G8" s="37" t="s">
        <v>47</v>
      </c>
      <c r="H8" s="37" t="s">
        <v>119</v>
      </c>
      <c r="I8" s="37" t="s">
        <v>61</v>
      </c>
      <c r="J8" s="37" t="s">
        <v>120</v>
      </c>
      <c r="K8" s="37" t="s">
        <v>107</v>
      </c>
      <c r="L8" s="37" t="s">
        <v>5</v>
      </c>
      <c r="M8" s="37" t="s">
        <v>108</v>
      </c>
      <c r="N8" s="37">
        <v>50</v>
      </c>
      <c r="P8" s="37">
        <v>50</v>
      </c>
      <c r="Q8" s="37">
        <v>0</v>
      </c>
      <c r="R8" s="37" t="s">
        <v>109</v>
      </c>
      <c r="T8" s="37" t="s">
        <v>415</v>
      </c>
      <c r="U8" s="37" t="s">
        <v>419</v>
      </c>
    </row>
    <row r="9" spans="1:21" x14ac:dyDescent="0.25">
      <c r="A9" s="39">
        <v>2016</v>
      </c>
      <c r="B9" s="37" t="s">
        <v>121</v>
      </c>
      <c r="C9" s="37">
        <v>19485</v>
      </c>
      <c r="D9" s="37">
        <v>34</v>
      </c>
      <c r="E9" s="38">
        <v>42604</v>
      </c>
      <c r="F9" s="37" t="s">
        <v>104</v>
      </c>
      <c r="G9" s="37" t="s">
        <v>47</v>
      </c>
      <c r="H9" s="37" t="s">
        <v>119</v>
      </c>
      <c r="I9" s="37" t="s">
        <v>61</v>
      </c>
      <c r="J9" s="37" t="s">
        <v>120</v>
      </c>
      <c r="K9" s="37" t="s">
        <v>107</v>
      </c>
      <c r="L9" s="37" t="s">
        <v>5</v>
      </c>
      <c r="M9" s="37" t="s">
        <v>108</v>
      </c>
      <c r="N9" s="37">
        <v>12</v>
      </c>
      <c r="P9" s="37">
        <v>12</v>
      </c>
      <c r="Q9" s="37">
        <v>0</v>
      </c>
      <c r="R9" s="37" t="s">
        <v>109</v>
      </c>
      <c r="T9" s="37" t="s">
        <v>415</v>
      </c>
      <c r="U9" s="37" t="s">
        <v>419</v>
      </c>
    </row>
    <row r="10" spans="1:21" x14ac:dyDescent="0.25">
      <c r="A10" s="39">
        <v>2016</v>
      </c>
      <c r="B10" s="37" t="s">
        <v>122</v>
      </c>
      <c r="C10" s="37">
        <v>19486</v>
      </c>
      <c r="D10" s="37">
        <v>34</v>
      </c>
      <c r="E10" s="38">
        <v>42604</v>
      </c>
      <c r="F10" s="37" t="s">
        <v>104</v>
      </c>
      <c r="G10" s="37" t="s">
        <v>47</v>
      </c>
      <c r="H10" s="37" t="s">
        <v>123</v>
      </c>
      <c r="I10" s="37" t="s">
        <v>61</v>
      </c>
      <c r="J10" s="37" t="s">
        <v>106</v>
      </c>
      <c r="K10" s="37" t="s">
        <v>107</v>
      </c>
      <c r="L10" s="37" t="s">
        <v>6</v>
      </c>
      <c r="M10" s="37" t="s">
        <v>108</v>
      </c>
      <c r="O10" s="37">
        <v>12</v>
      </c>
      <c r="P10" s="37">
        <v>12</v>
      </c>
      <c r="Q10" s="37">
        <v>0</v>
      </c>
      <c r="R10" s="37" t="s">
        <v>109</v>
      </c>
      <c r="T10" s="37" t="s">
        <v>414</v>
      </c>
      <c r="U10" s="37" t="s">
        <v>418</v>
      </c>
    </row>
    <row r="11" spans="1:21" x14ac:dyDescent="0.25">
      <c r="A11" s="39">
        <v>2016</v>
      </c>
      <c r="B11" s="37" t="s">
        <v>124</v>
      </c>
      <c r="C11" s="37">
        <v>19487</v>
      </c>
      <c r="D11" s="37">
        <v>34</v>
      </c>
      <c r="E11" s="38">
        <v>42604</v>
      </c>
      <c r="F11" s="37" t="s">
        <v>104</v>
      </c>
      <c r="G11" s="37" t="s">
        <v>47</v>
      </c>
      <c r="H11" s="37" t="s">
        <v>125</v>
      </c>
      <c r="I11" s="37" t="s">
        <v>61</v>
      </c>
      <c r="J11" s="37" t="s">
        <v>106</v>
      </c>
      <c r="K11" s="37" t="s">
        <v>107</v>
      </c>
      <c r="L11" s="37" t="s">
        <v>6</v>
      </c>
      <c r="M11" s="37" t="s">
        <v>108</v>
      </c>
      <c r="O11" s="37">
        <v>5</v>
      </c>
      <c r="P11" s="37">
        <v>5</v>
      </c>
      <c r="Q11" s="37">
        <v>0</v>
      </c>
      <c r="R11" s="37" t="s">
        <v>109</v>
      </c>
      <c r="T11" s="37" t="s">
        <v>414</v>
      </c>
      <c r="U11" s="37" t="s">
        <v>418</v>
      </c>
    </row>
    <row r="12" spans="1:21" x14ac:dyDescent="0.25">
      <c r="A12" s="39">
        <v>2016</v>
      </c>
      <c r="B12" s="37" t="s">
        <v>126</v>
      </c>
      <c r="C12" s="37">
        <v>19488</v>
      </c>
      <c r="D12" s="37">
        <v>34</v>
      </c>
      <c r="E12" s="38">
        <v>42604</v>
      </c>
      <c r="F12" s="37" t="s">
        <v>104</v>
      </c>
      <c r="G12" s="37" t="s">
        <v>47</v>
      </c>
      <c r="H12" s="37" t="s">
        <v>127</v>
      </c>
      <c r="I12" s="37" t="s">
        <v>60</v>
      </c>
      <c r="J12" s="37" t="s">
        <v>106</v>
      </c>
      <c r="K12" s="37" t="s">
        <v>107</v>
      </c>
      <c r="L12" s="37" t="s">
        <v>6</v>
      </c>
      <c r="M12" s="37" t="s">
        <v>108</v>
      </c>
      <c r="O12" s="37">
        <v>6</v>
      </c>
      <c r="P12" s="37">
        <v>6</v>
      </c>
      <c r="Q12" s="37">
        <v>0</v>
      </c>
      <c r="R12" s="37" t="s">
        <v>109</v>
      </c>
      <c r="T12" s="37" t="s">
        <v>414</v>
      </c>
      <c r="U12" s="37" t="s">
        <v>420</v>
      </c>
    </row>
    <row r="13" spans="1:21" x14ac:dyDescent="0.25">
      <c r="A13" s="39">
        <v>2016</v>
      </c>
      <c r="B13" s="37" t="s">
        <v>128</v>
      </c>
      <c r="C13" s="37">
        <v>19489</v>
      </c>
      <c r="D13" s="37">
        <v>34</v>
      </c>
      <c r="E13" s="38">
        <v>42604</v>
      </c>
      <c r="F13" s="37" t="s">
        <v>104</v>
      </c>
      <c r="G13" s="37" t="s">
        <v>47</v>
      </c>
      <c r="H13" s="37" t="s">
        <v>127</v>
      </c>
      <c r="I13" s="37" t="s">
        <v>60</v>
      </c>
      <c r="J13" s="37" t="s">
        <v>106</v>
      </c>
      <c r="K13" s="37" t="s">
        <v>107</v>
      </c>
      <c r="L13" s="37" t="s">
        <v>5</v>
      </c>
      <c r="M13" s="37" t="s">
        <v>108</v>
      </c>
      <c r="O13" s="37">
        <v>3</v>
      </c>
      <c r="P13" s="37">
        <v>3</v>
      </c>
      <c r="Q13" s="37">
        <v>0</v>
      </c>
      <c r="R13" s="37" t="s">
        <v>109</v>
      </c>
      <c r="T13" s="37" t="s">
        <v>415</v>
      </c>
      <c r="U13" s="37" t="s">
        <v>421</v>
      </c>
    </row>
    <row r="14" spans="1:21" x14ac:dyDescent="0.25">
      <c r="A14" s="39">
        <v>2016</v>
      </c>
      <c r="B14" s="37" t="s">
        <v>129</v>
      </c>
      <c r="C14" s="37">
        <v>19490</v>
      </c>
      <c r="D14" s="37">
        <v>34</v>
      </c>
      <c r="E14" s="38">
        <v>42604</v>
      </c>
      <c r="F14" s="37" t="s">
        <v>104</v>
      </c>
      <c r="G14" s="37" t="s">
        <v>47</v>
      </c>
      <c r="H14" s="37" t="s">
        <v>130</v>
      </c>
      <c r="I14" s="37" t="s">
        <v>61</v>
      </c>
      <c r="J14" s="37" t="s">
        <v>106</v>
      </c>
      <c r="K14" s="37" t="s">
        <v>107</v>
      </c>
      <c r="L14" s="37" t="s">
        <v>6</v>
      </c>
      <c r="M14" s="37" t="s">
        <v>108</v>
      </c>
      <c r="O14" s="37">
        <v>6</v>
      </c>
      <c r="P14" s="37">
        <v>6</v>
      </c>
      <c r="Q14" s="37">
        <v>0</v>
      </c>
      <c r="R14" s="37" t="s">
        <v>109</v>
      </c>
      <c r="T14" s="37" t="s">
        <v>414</v>
      </c>
      <c r="U14" s="37" t="s">
        <v>418</v>
      </c>
    </row>
    <row r="15" spans="1:21" x14ac:dyDescent="0.25">
      <c r="A15" s="60">
        <v>2016</v>
      </c>
      <c r="B15" s="61" t="s">
        <v>131</v>
      </c>
      <c r="C15" s="37">
        <v>19491</v>
      </c>
      <c r="D15" s="61">
        <v>34</v>
      </c>
      <c r="E15" s="62">
        <v>42604</v>
      </c>
      <c r="F15" s="61" t="s">
        <v>104</v>
      </c>
      <c r="G15" s="61" t="s">
        <v>47</v>
      </c>
      <c r="H15" s="61" t="s">
        <v>132</v>
      </c>
      <c r="I15" s="61" t="s">
        <v>60</v>
      </c>
      <c r="J15" s="61" t="s">
        <v>120</v>
      </c>
      <c r="K15" s="61" t="s">
        <v>107</v>
      </c>
      <c r="L15" s="61" t="s">
        <v>5</v>
      </c>
      <c r="M15" s="61" t="s">
        <v>108</v>
      </c>
      <c r="N15" s="61">
        <v>39</v>
      </c>
      <c r="O15" s="61"/>
      <c r="P15" s="61">
        <v>39</v>
      </c>
      <c r="Q15" s="61">
        <v>1</v>
      </c>
      <c r="R15" s="61" t="s">
        <v>133</v>
      </c>
      <c r="T15" s="37" t="s">
        <v>415</v>
      </c>
      <c r="U15" s="37" t="s">
        <v>421</v>
      </c>
    </row>
    <row r="16" spans="1:21" x14ac:dyDescent="0.25">
      <c r="A16" s="39">
        <v>2016</v>
      </c>
      <c r="B16" s="37" t="s">
        <v>134</v>
      </c>
      <c r="C16" s="37">
        <v>19492</v>
      </c>
      <c r="D16" s="37">
        <v>34</v>
      </c>
      <c r="E16" s="38">
        <v>42604</v>
      </c>
      <c r="F16" s="37" t="s">
        <v>104</v>
      </c>
      <c r="G16" s="37" t="s">
        <v>47</v>
      </c>
      <c r="H16" s="37" t="s">
        <v>135</v>
      </c>
      <c r="I16" s="37" t="s">
        <v>60</v>
      </c>
      <c r="J16" s="37" t="s">
        <v>106</v>
      </c>
      <c r="K16" s="37" t="s">
        <v>107</v>
      </c>
      <c r="L16" s="37" t="s">
        <v>6</v>
      </c>
      <c r="M16" s="37" t="s">
        <v>108</v>
      </c>
      <c r="O16" s="37">
        <v>2</v>
      </c>
      <c r="P16" s="37">
        <v>2</v>
      </c>
      <c r="Q16" s="37">
        <v>0</v>
      </c>
      <c r="R16" s="37" t="s">
        <v>109</v>
      </c>
      <c r="T16" s="37" t="s">
        <v>414</v>
      </c>
      <c r="U16" s="37" t="s">
        <v>420</v>
      </c>
    </row>
    <row r="17" spans="1:21" x14ac:dyDescent="0.25">
      <c r="A17" s="39">
        <v>2016</v>
      </c>
      <c r="B17" s="37" t="s">
        <v>136</v>
      </c>
      <c r="C17" s="37">
        <v>19493</v>
      </c>
      <c r="D17" s="37">
        <v>34</v>
      </c>
      <c r="E17" s="38">
        <v>42604</v>
      </c>
      <c r="F17" s="37" t="s">
        <v>104</v>
      </c>
      <c r="G17" s="37" t="s">
        <v>47</v>
      </c>
      <c r="H17" s="37" t="s">
        <v>135</v>
      </c>
      <c r="I17" s="37" t="s">
        <v>60</v>
      </c>
      <c r="J17" s="37" t="s">
        <v>106</v>
      </c>
      <c r="K17" s="37" t="s">
        <v>107</v>
      </c>
      <c r="L17" s="37" t="s">
        <v>5</v>
      </c>
      <c r="M17" s="37" t="s">
        <v>108</v>
      </c>
      <c r="O17" s="37">
        <v>2</v>
      </c>
      <c r="P17" s="37">
        <v>2</v>
      </c>
      <c r="Q17" s="37">
        <v>0</v>
      </c>
      <c r="R17" s="37" t="s">
        <v>109</v>
      </c>
      <c r="T17" s="37" t="s">
        <v>415</v>
      </c>
      <c r="U17" s="37" t="s">
        <v>421</v>
      </c>
    </row>
    <row r="18" spans="1:21" x14ac:dyDescent="0.25">
      <c r="A18" s="39">
        <v>2016</v>
      </c>
      <c r="B18" s="37" t="s">
        <v>137</v>
      </c>
      <c r="C18" s="37">
        <v>19494</v>
      </c>
      <c r="D18" s="37">
        <v>34</v>
      </c>
      <c r="E18" s="38">
        <v>42604</v>
      </c>
      <c r="F18" s="37" t="s">
        <v>104</v>
      </c>
      <c r="G18" s="37" t="s">
        <v>9</v>
      </c>
      <c r="H18" s="37" t="s">
        <v>138</v>
      </c>
      <c r="I18" s="37" t="s">
        <v>9</v>
      </c>
      <c r="J18" s="37" t="s">
        <v>106</v>
      </c>
      <c r="K18" s="37" t="s">
        <v>107</v>
      </c>
      <c r="L18" s="37" t="s">
        <v>6</v>
      </c>
      <c r="M18" s="37" t="s">
        <v>108</v>
      </c>
      <c r="O18" s="37">
        <v>6</v>
      </c>
      <c r="P18" s="37">
        <v>6</v>
      </c>
      <c r="Q18" s="37">
        <v>0</v>
      </c>
      <c r="R18" s="37" t="s">
        <v>109</v>
      </c>
      <c r="T18" s="37" t="s">
        <v>416</v>
      </c>
      <c r="U18" s="37" t="s">
        <v>416</v>
      </c>
    </row>
    <row r="19" spans="1:21" x14ac:dyDescent="0.25">
      <c r="A19" s="39">
        <v>2016</v>
      </c>
      <c r="B19" s="37" t="s">
        <v>139</v>
      </c>
      <c r="C19" s="37">
        <v>19495</v>
      </c>
      <c r="D19" s="37">
        <v>34</v>
      </c>
      <c r="E19" s="38">
        <v>42604</v>
      </c>
      <c r="F19" s="37" t="s">
        <v>104</v>
      </c>
      <c r="G19" s="37" t="s">
        <v>9</v>
      </c>
      <c r="H19" s="37" t="s">
        <v>138</v>
      </c>
      <c r="I19" s="37" t="s">
        <v>9</v>
      </c>
      <c r="J19" s="37" t="s">
        <v>106</v>
      </c>
      <c r="K19" s="37" t="s">
        <v>107</v>
      </c>
      <c r="L19" s="37" t="s">
        <v>5</v>
      </c>
      <c r="M19" s="37" t="s">
        <v>108</v>
      </c>
      <c r="O19" s="37">
        <v>5</v>
      </c>
      <c r="P19" s="37">
        <v>5</v>
      </c>
      <c r="Q19" s="37">
        <v>0</v>
      </c>
      <c r="R19" s="37" t="s">
        <v>109</v>
      </c>
      <c r="T19" s="37" t="s">
        <v>417</v>
      </c>
      <c r="U19" s="37" t="s">
        <v>417</v>
      </c>
    </row>
    <row r="20" spans="1:21" x14ac:dyDescent="0.25">
      <c r="A20" s="60">
        <v>2016</v>
      </c>
      <c r="B20" s="61" t="s">
        <v>140</v>
      </c>
      <c r="C20" s="37">
        <v>19496</v>
      </c>
      <c r="D20" s="61">
        <v>34</v>
      </c>
      <c r="E20" s="62">
        <v>42604</v>
      </c>
      <c r="F20" s="61" t="s">
        <v>104</v>
      </c>
      <c r="G20" s="61" t="s">
        <v>9</v>
      </c>
      <c r="H20" s="61" t="s">
        <v>141</v>
      </c>
      <c r="I20" s="37" t="s">
        <v>9</v>
      </c>
      <c r="J20" s="61" t="s">
        <v>106</v>
      </c>
      <c r="K20" s="61" t="s">
        <v>107</v>
      </c>
      <c r="L20" s="61" t="s">
        <v>6</v>
      </c>
      <c r="M20" s="61" t="s">
        <v>108</v>
      </c>
      <c r="N20" s="61"/>
      <c r="O20" s="61">
        <v>26</v>
      </c>
      <c r="P20" s="61">
        <v>26</v>
      </c>
      <c r="Q20" s="61">
        <v>1</v>
      </c>
      <c r="R20" s="61" t="s">
        <v>133</v>
      </c>
      <c r="T20" s="37" t="s">
        <v>416</v>
      </c>
      <c r="U20" s="37" t="s">
        <v>416</v>
      </c>
    </row>
    <row r="21" spans="1:21" x14ac:dyDescent="0.25">
      <c r="A21" s="39">
        <v>2016</v>
      </c>
      <c r="B21" s="37" t="s">
        <v>142</v>
      </c>
      <c r="C21" s="37">
        <v>19497</v>
      </c>
      <c r="D21" s="37">
        <v>34</v>
      </c>
      <c r="E21" s="38">
        <v>42604</v>
      </c>
      <c r="F21" s="37" t="s">
        <v>104</v>
      </c>
      <c r="G21" s="37" t="s">
        <v>9</v>
      </c>
      <c r="H21" s="37" t="s">
        <v>141</v>
      </c>
      <c r="I21" s="37" t="s">
        <v>9</v>
      </c>
      <c r="J21" s="37" t="s">
        <v>106</v>
      </c>
      <c r="K21" s="37" t="s">
        <v>107</v>
      </c>
      <c r="L21" s="37" t="s">
        <v>5</v>
      </c>
      <c r="M21" s="37" t="s">
        <v>108</v>
      </c>
      <c r="O21" s="37">
        <v>4</v>
      </c>
      <c r="P21" s="37">
        <v>4</v>
      </c>
      <c r="Q21" s="37">
        <v>0</v>
      </c>
      <c r="R21" s="37" t="s">
        <v>109</v>
      </c>
      <c r="T21" s="37" t="s">
        <v>417</v>
      </c>
      <c r="U21" s="37" t="s">
        <v>417</v>
      </c>
    </row>
    <row r="22" spans="1:21" x14ac:dyDescent="0.25">
      <c r="A22" s="39">
        <v>2016</v>
      </c>
      <c r="B22" s="37" t="s">
        <v>143</v>
      </c>
      <c r="C22" s="37">
        <v>19498</v>
      </c>
      <c r="D22" s="37">
        <v>34</v>
      </c>
      <c r="E22" s="38">
        <v>42604</v>
      </c>
      <c r="F22" s="37" t="s">
        <v>104</v>
      </c>
      <c r="G22" s="37" t="s">
        <v>9</v>
      </c>
      <c r="H22" s="37" t="s">
        <v>144</v>
      </c>
      <c r="I22" s="37" t="s">
        <v>9</v>
      </c>
      <c r="J22" s="37" t="s">
        <v>120</v>
      </c>
      <c r="K22" s="37" t="s">
        <v>107</v>
      </c>
      <c r="L22" s="37" t="s">
        <v>5</v>
      </c>
      <c r="M22" s="37" t="s">
        <v>108</v>
      </c>
      <c r="N22" s="37">
        <v>50</v>
      </c>
      <c r="P22" s="37">
        <v>50</v>
      </c>
      <c r="Q22" s="37">
        <v>0</v>
      </c>
      <c r="R22" s="37" t="s">
        <v>109</v>
      </c>
      <c r="T22" s="37" t="s">
        <v>417</v>
      </c>
      <c r="U22" s="37" t="s">
        <v>417</v>
      </c>
    </row>
    <row r="23" spans="1:21" x14ac:dyDescent="0.25">
      <c r="A23" s="60">
        <v>2016</v>
      </c>
      <c r="B23" s="61" t="s">
        <v>145</v>
      </c>
      <c r="C23" s="37">
        <v>19499</v>
      </c>
      <c r="D23" s="61">
        <v>34</v>
      </c>
      <c r="E23" s="62">
        <v>42604</v>
      </c>
      <c r="F23" s="61" t="s">
        <v>104</v>
      </c>
      <c r="G23" s="61" t="s">
        <v>9</v>
      </c>
      <c r="H23" s="61" t="s">
        <v>144</v>
      </c>
      <c r="I23" s="37" t="s">
        <v>9</v>
      </c>
      <c r="J23" s="61" t="s">
        <v>120</v>
      </c>
      <c r="K23" s="61" t="s">
        <v>107</v>
      </c>
      <c r="L23" s="61" t="s">
        <v>5</v>
      </c>
      <c r="M23" s="61" t="s">
        <v>108</v>
      </c>
      <c r="N23" s="61">
        <v>47</v>
      </c>
      <c r="O23" s="61"/>
      <c r="P23" s="61">
        <v>47</v>
      </c>
      <c r="Q23" s="61">
        <v>1</v>
      </c>
      <c r="R23" s="61" t="s">
        <v>133</v>
      </c>
      <c r="T23" s="37" t="s">
        <v>417</v>
      </c>
      <c r="U23" s="37" t="s">
        <v>417</v>
      </c>
    </row>
    <row r="24" spans="1:21" x14ac:dyDescent="0.25">
      <c r="A24" s="39">
        <v>2016</v>
      </c>
      <c r="B24" s="37" t="s">
        <v>146</v>
      </c>
      <c r="C24" s="37">
        <v>19500</v>
      </c>
      <c r="D24" s="37">
        <v>34</v>
      </c>
      <c r="E24" s="38">
        <v>42604</v>
      </c>
      <c r="F24" s="37" t="s">
        <v>104</v>
      </c>
      <c r="G24" s="37" t="s">
        <v>9</v>
      </c>
      <c r="H24" s="37" t="s">
        <v>147</v>
      </c>
      <c r="I24" s="37" t="s">
        <v>9</v>
      </c>
      <c r="J24" s="37" t="s">
        <v>106</v>
      </c>
      <c r="K24" s="37" t="s">
        <v>107</v>
      </c>
      <c r="L24" s="37" t="s">
        <v>6</v>
      </c>
      <c r="M24" s="37" t="s">
        <v>108</v>
      </c>
      <c r="O24" s="37">
        <v>4</v>
      </c>
      <c r="P24" s="37">
        <v>4</v>
      </c>
      <c r="Q24" s="37">
        <v>0</v>
      </c>
      <c r="R24" s="37" t="s">
        <v>109</v>
      </c>
      <c r="T24" s="37" t="s">
        <v>416</v>
      </c>
      <c r="U24" s="37" t="s">
        <v>416</v>
      </c>
    </row>
    <row r="25" spans="1:21" x14ac:dyDescent="0.25">
      <c r="A25" s="60">
        <v>2016</v>
      </c>
      <c r="B25" s="61" t="s">
        <v>148</v>
      </c>
      <c r="C25" s="37">
        <v>19501</v>
      </c>
      <c r="D25" s="61">
        <v>34</v>
      </c>
      <c r="E25" s="62">
        <v>42605</v>
      </c>
      <c r="F25" s="61" t="s">
        <v>104</v>
      </c>
      <c r="G25" s="61" t="s">
        <v>9</v>
      </c>
      <c r="H25" s="61" t="s">
        <v>149</v>
      </c>
      <c r="I25" s="37" t="s">
        <v>9</v>
      </c>
      <c r="J25" s="61" t="s">
        <v>120</v>
      </c>
      <c r="K25" s="61" t="s">
        <v>107</v>
      </c>
      <c r="L25" s="61" t="s">
        <v>5</v>
      </c>
      <c r="M25" s="61" t="s">
        <v>108</v>
      </c>
      <c r="N25" s="61">
        <v>50</v>
      </c>
      <c r="O25" s="61"/>
      <c r="P25" s="61">
        <v>50</v>
      </c>
      <c r="Q25" s="61">
        <v>1</v>
      </c>
      <c r="R25" s="61" t="s">
        <v>133</v>
      </c>
      <c r="T25" s="37" t="s">
        <v>417</v>
      </c>
      <c r="U25" s="37" t="s">
        <v>417</v>
      </c>
    </row>
    <row r="26" spans="1:21" x14ac:dyDescent="0.25">
      <c r="A26" s="60">
        <v>2016</v>
      </c>
      <c r="B26" s="61" t="s">
        <v>150</v>
      </c>
      <c r="C26" s="37">
        <v>19502</v>
      </c>
      <c r="D26" s="61">
        <v>34</v>
      </c>
      <c r="E26" s="62">
        <v>42605</v>
      </c>
      <c r="F26" s="61" t="s">
        <v>104</v>
      </c>
      <c r="G26" s="61" t="s">
        <v>9</v>
      </c>
      <c r="H26" s="61" t="s">
        <v>149</v>
      </c>
      <c r="I26" s="37" t="s">
        <v>9</v>
      </c>
      <c r="J26" s="61" t="s">
        <v>120</v>
      </c>
      <c r="K26" s="61" t="s">
        <v>107</v>
      </c>
      <c r="L26" s="61" t="s">
        <v>5</v>
      </c>
      <c r="M26" s="61" t="s">
        <v>108</v>
      </c>
      <c r="N26" s="61">
        <v>50</v>
      </c>
      <c r="O26" s="61"/>
      <c r="P26" s="61">
        <v>50</v>
      </c>
      <c r="Q26" s="61">
        <v>1</v>
      </c>
      <c r="R26" s="61" t="s">
        <v>133</v>
      </c>
      <c r="T26" s="37" t="s">
        <v>417</v>
      </c>
      <c r="U26" s="37" t="s">
        <v>417</v>
      </c>
    </row>
    <row r="27" spans="1:21" x14ac:dyDescent="0.25">
      <c r="A27" s="39">
        <v>2016</v>
      </c>
      <c r="B27" s="37" t="s">
        <v>151</v>
      </c>
      <c r="C27" s="37">
        <v>19503</v>
      </c>
      <c r="D27" s="37">
        <v>34</v>
      </c>
      <c r="E27" s="38">
        <v>42605</v>
      </c>
      <c r="F27" s="37" t="s">
        <v>104</v>
      </c>
      <c r="G27" s="37" t="s">
        <v>9</v>
      </c>
      <c r="H27" s="37" t="s">
        <v>149</v>
      </c>
      <c r="I27" s="37" t="s">
        <v>9</v>
      </c>
      <c r="J27" s="37" t="s">
        <v>120</v>
      </c>
      <c r="K27" s="37" t="s">
        <v>107</v>
      </c>
      <c r="L27" s="37" t="s">
        <v>5</v>
      </c>
      <c r="M27" s="37" t="s">
        <v>108</v>
      </c>
      <c r="N27" s="37">
        <v>17</v>
      </c>
      <c r="P27" s="37">
        <v>17</v>
      </c>
      <c r="Q27" s="37">
        <v>0</v>
      </c>
      <c r="R27" s="37" t="s">
        <v>109</v>
      </c>
      <c r="T27" s="37" t="s">
        <v>417</v>
      </c>
      <c r="U27" s="37" t="s">
        <v>417</v>
      </c>
    </row>
    <row r="28" spans="1:21" x14ac:dyDescent="0.25">
      <c r="A28" s="60">
        <v>2016</v>
      </c>
      <c r="B28" s="61" t="s">
        <v>152</v>
      </c>
      <c r="C28" s="37">
        <v>19504</v>
      </c>
      <c r="D28" s="61">
        <v>34</v>
      </c>
      <c r="E28" s="62">
        <v>42605</v>
      </c>
      <c r="F28" s="61" t="s">
        <v>104</v>
      </c>
      <c r="G28" s="61" t="s">
        <v>47</v>
      </c>
      <c r="H28" s="61" t="s">
        <v>153</v>
      </c>
      <c r="I28" s="61" t="s">
        <v>60</v>
      </c>
      <c r="J28" s="61" t="s">
        <v>106</v>
      </c>
      <c r="K28" s="61" t="s">
        <v>107</v>
      </c>
      <c r="L28" s="61" t="s">
        <v>6</v>
      </c>
      <c r="M28" s="61" t="s">
        <v>108</v>
      </c>
      <c r="N28" s="61"/>
      <c r="O28" s="61">
        <v>14</v>
      </c>
      <c r="P28" s="61">
        <v>14</v>
      </c>
      <c r="Q28" s="61">
        <v>1</v>
      </c>
      <c r="R28" s="61" t="s">
        <v>133</v>
      </c>
      <c r="T28" s="37" t="s">
        <v>414</v>
      </c>
      <c r="U28" s="37" t="s">
        <v>420</v>
      </c>
    </row>
    <row r="29" spans="1:21" x14ac:dyDescent="0.25">
      <c r="A29" s="39">
        <v>2016</v>
      </c>
      <c r="B29" s="37" t="s">
        <v>154</v>
      </c>
      <c r="C29" s="37">
        <v>19505</v>
      </c>
      <c r="D29" s="37">
        <v>34</v>
      </c>
      <c r="E29" s="38">
        <v>42605</v>
      </c>
      <c r="F29" s="37" t="s">
        <v>104</v>
      </c>
      <c r="G29" s="37" t="s">
        <v>47</v>
      </c>
      <c r="H29" s="37" t="s">
        <v>153</v>
      </c>
      <c r="I29" s="37" t="s">
        <v>60</v>
      </c>
      <c r="J29" s="37" t="s">
        <v>106</v>
      </c>
      <c r="K29" s="37" t="s">
        <v>107</v>
      </c>
      <c r="L29" s="37" t="s">
        <v>5</v>
      </c>
      <c r="M29" s="37" t="s">
        <v>108</v>
      </c>
      <c r="O29" s="37">
        <v>3</v>
      </c>
      <c r="P29" s="37">
        <v>3</v>
      </c>
      <c r="Q29" s="37">
        <v>0</v>
      </c>
      <c r="R29" s="37" t="s">
        <v>109</v>
      </c>
      <c r="T29" s="37" t="s">
        <v>415</v>
      </c>
      <c r="U29" s="37" t="s">
        <v>421</v>
      </c>
    </row>
    <row r="30" spans="1:21" x14ac:dyDescent="0.25">
      <c r="A30" s="39">
        <v>2016</v>
      </c>
      <c r="B30" s="37" t="s">
        <v>155</v>
      </c>
      <c r="C30" s="37">
        <v>19506</v>
      </c>
      <c r="D30" s="37">
        <v>34</v>
      </c>
      <c r="E30" s="38">
        <v>42605</v>
      </c>
      <c r="F30" s="37" t="s">
        <v>104</v>
      </c>
      <c r="G30" s="37" t="s">
        <v>9</v>
      </c>
      <c r="H30" s="37" t="s">
        <v>156</v>
      </c>
      <c r="I30" s="37" t="s">
        <v>9</v>
      </c>
      <c r="J30" s="37" t="s">
        <v>106</v>
      </c>
      <c r="K30" s="37" t="s">
        <v>107</v>
      </c>
      <c r="L30" s="37" t="s">
        <v>6</v>
      </c>
      <c r="M30" s="37" t="s">
        <v>108</v>
      </c>
      <c r="O30" s="37">
        <v>17</v>
      </c>
      <c r="P30" s="37">
        <v>17</v>
      </c>
      <c r="Q30" s="37">
        <v>0</v>
      </c>
      <c r="R30" s="37" t="s">
        <v>109</v>
      </c>
      <c r="T30" s="37" t="s">
        <v>416</v>
      </c>
      <c r="U30" s="37" t="s">
        <v>416</v>
      </c>
    </row>
    <row r="31" spans="1:21" x14ac:dyDescent="0.25">
      <c r="A31" s="39">
        <v>2016</v>
      </c>
      <c r="B31" s="37" t="s">
        <v>157</v>
      </c>
      <c r="C31" s="37">
        <v>19507</v>
      </c>
      <c r="D31" s="37">
        <v>34</v>
      </c>
      <c r="E31" s="38">
        <v>42605</v>
      </c>
      <c r="F31" s="37" t="s">
        <v>104</v>
      </c>
      <c r="G31" s="37" t="s">
        <v>9</v>
      </c>
      <c r="H31" s="37" t="s">
        <v>156</v>
      </c>
      <c r="I31" s="37" t="s">
        <v>9</v>
      </c>
      <c r="J31" s="37" t="s">
        <v>106</v>
      </c>
      <c r="K31" s="37" t="s">
        <v>107</v>
      </c>
      <c r="L31" s="37" t="s">
        <v>5</v>
      </c>
      <c r="M31" s="37" t="s">
        <v>108</v>
      </c>
      <c r="O31" s="37">
        <v>4</v>
      </c>
      <c r="P31" s="37">
        <v>4</v>
      </c>
      <c r="Q31" s="37">
        <v>0</v>
      </c>
      <c r="R31" s="37" t="s">
        <v>109</v>
      </c>
      <c r="T31" s="37" t="s">
        <v>417</v>
      </c>
      <c r="U31" s="37" t="s">
        <v>417</v>
      </c>
    </row>
    <row r="32" spans="1:21" x14ac:dyDescent="0.25">
      <c r="A32" s="60">
        <v>2016</v>
      </c>
      <c r="B32" s="61" t="s">
        <v>158</v>
      </c>
      <c r="C32" s="37">
        <v>19508</v>
      </c>
      <c r="D32" s="61">
        <v>34</v>
      </c>
      <c r="E32" s="62">
        <v>42605</v>
      </c>
      <c r="F32" s="61" t="s">
        <v>104</v>
      </c>
      <c r="G32" s="61" t="s">
        <v>47</v>
      </c>
      <c r="H32" s="61" t="s">
        <v>159</v>
      </c>
      <c r="I32" s="61" t="s">
        <v>60</v>
      </c>
      <c r="J32" s="61" t="s">
        <v>106</v>
      </c>
      <c r="K32" s="61" t="s">
        <v>107</v>
      </c>
      <c r="L32" s="61" t="s">
        <v>6</v>
      </c>
      <c r="M32" s="61" t="s">
        <v>108</v>
      </c>
      <c r="N32" s="61"/>
      <c r="O32" s="61">
        <v>8</v>
      </c>
      <c r="P32" s="61">
        <v>8</v>
      </c>
      <c r="Q32" s="61">
        <v>1</v>
      </c>
      <c r="R32" s="61" t="s">
        <v>133</v>
      </c>
      <c r="T32" s="37" t="s">
        <v>414</v>
      </c>
      <c r="U32" s="37" t="s">
        <v>420</v>
      </c>
    </row>
    <row r="33" spans="1:21" x14ac:dyDescent="0.25">
      <c r="A33" s="39">
        <v>2016</v>
      </c>
      <c r="B33" s="37" t="s">
        <v>160</v>
      </c>
      <c r="C33" s="37">
        <v>19509</v>
      </c>
      <c r="D33" s="37">
        <v>34</v>
      </c>
      <c r="E33" s="38">
        <v>42605</v>
      </c>
      <c r="F33" s="37" t="s">
        <v>104</v>
      </c>
      <c r="G33" s="37" t="s">
        <v>47</v>
      </c>
      <c r="H33" s="37" t="s">
        <v>159</v>
      </c>
      <c r="I33" s="37" t="s">
        <v>60</v>
      </c>
      <c r="J33" s="37" t="s">
        <v>106</v>
      </c>
      <c r="K33" s="37" t="s">
        <v>107</v>
      </c>
      <c r="L33" s="37" t="s">
        <v>5</v>
      </c>
      <c r="M33" s="37" t="s">
        <v>108</v>
      </c>
      <c r="O33" s="37">
        <v>5</v>
      </c>
      <c r="P33" s="37">
        <v>5</v>
      </c>
      <c r="Q33" s="37">
        <v>0</v>
      </c>
      <c r="R33" s="37" t="s">
        <v>109</v>
      </c>
      <c r="T33" s="37" t="s">
        <v>415</v>
      </c>
      <c r="U33" s="37" t="s">
        <v>421</v>
      </c>
    </row>
    <row r="34" spans="1:21" x14ac:dyDescent="0.25">
      <c r="A34" s="39">
        <v>2016</v>
      </c>
      <c r="B34" s="37" t="s">
        <v>161</v>
      </c>
      <c r="C34" s="37">
        <v>19510</v>
      </c>
      <c r="D34" s="37">
        <v>34</v>
      </c>
      <c r="E34" s="38">
        <v>42605</v>
      </c>
      <c r="F34" s="37" t="s">
        <v>104</v>
      </c>
      <c r="G34" s="37" t="s">
        <v>9</v>
      </c>
      <c r="H34" s="37" t="s">
        <v>162</v>
      </c>
      <c r="I34" s="37" t="s">
        <v>9</v>
      </c>
      <c r="J34" s="37" t="s">
        <v>106</v>
      </c>
      <c r="K34" s="37" t="s">
        <v>107</v>
      </c>
      <c r="L34" s="37" t="s">
        <v>6</v>
      </c>
      <c r="M34" s="37" t="s">
        <v>108</v>
      </c>
      <c r="O34" s="37">
        <v>22</v>
      </c>
      <c r="P34" s="37">
        <v>22</v>
      </c>
      <c r="Q34" s="37">
        <v>0</v>
      </c>
      <c r="R34" s="37" t="s">
        <v>109</v>
      </c>
      <c r="T34" s="37" t="s">
        <v>416</v>
      </c>
      <c r="U34" s="37" t="s">
        <v>416</v>
      </c>
    </row>
    <row r="35" spans="1:21" x14ac:dyDescent="0.25">
      <c r="A35" s="39">
        <v>2016</v>
      </c>
      <c r="B35" s="37" t="s">
        <v>163</v>
      </c>
      <c r="C35" s="37">
        <v>19511</v>
      </c>
      <c r="D35" s="37">
        <v>34</v>
      </c>
      <c r="E35" s="38">
        <v>42605</v>
      </c>
      <c r="F35" s="37" t="s">
        <v>104</v>
      </c>
      <c r="G35" s="37" t="s">
        <v>9</v>
      </c>
      <c r="H35" s="37" t="s">
        <v>162</v>
      </c>
      <c r="I35" s="37" t="s">
        <v>9</v>
      </c>
      <c r="J35" s="37" t="s">
        <v>106</v>
      </c>
      <c r="K35" s="37" t="s">
        <v>107</v>
      </c>
      <c r="L35" s="37" t="s">
        <v>5</v>
      </c>
      <c r="M35" s="37" t="s">
        <v>108</v>
      </c>
      <c r="O35" s="37">
        <v>3</v>
      </c>
      <c r="P35" s="37">
        <v>3</v>
      </c>
      <c r="Q35" s="37">
        <v>0</v>
      </c>
      <c r="R35" s="37" t="s">
        <v>109</v>
      </c>
      <c r="T35" s="37" t="s">
        <v>417</v>
      </c>
      <c r="U35" s="37" t="s">
        <v>417</v>
      </c>
    </row>
    <row r="36" spans="1:21" x14ac:dyDescent="0.25">
      <c r="A36" s="39">
        <v>2016</v>
      </c>
      <c r="B36" s="37" t="s">
        <v>164</v>
      </c>
      <c r="C36" s="37">
        <v>19512</v>
      </c>
      <c r="D36" s="37">
        <v>34</v>
      </c>
      <c r="E36" s="38">
        <v>42605</v>
      </c>
      <c r="F36" s="37" t="s">
        <v>104</v>
      </c>
      <c r="G36" s="37" t="s">
        <v>47</v>
      </c>
      <c r="H36" s="37" t="s">
        <v>165</v>
      </c>
      <c r="I36" s="37" t="s">
        <v>60</v>
      </c>
      <c r="J36" s="37" t="s">
        <v>106</v>
      </c>
      <c r="K36" s="37" t="s">
        <v>107</v>
      </c>
      <c r="L36" s="37" t="s">
        <v>6</v>
      </c>
      <c r="M36" s="37" t="s">
        <v>108</v>
      </c>
      <c r="O36" s="37">
        <v>9</v>
      </c>
      <c r="P36" s="37">
        <v>9</v>
      </c>
      <c r="Q36" s="37">
        <v>0</v>
      </c>
      <c r="R36" s="37" t="s">
        <v>109</v>
      </c>
      <c r="T36" s="37" t="s">
        <v>414</v>
      </c>
      <c r="U36" s="37" t="s">
        <v>420</v>
      </c>
    </row>
    <row r="37" spans="1:21" x14ac:dyDescent="0.25">
      <c r="A37" s="39">
        <v>2016</v>
      </c>
      <c r="B37" s="37" t="s">
        <v>166</v>
      </c>
      <c r="C37" s="37">
        <v>19513</v>
      </c>
      <c r="D37" s="37">
        <v>34</v>
      </c>
      <c r="E37" s="38">
        <v>42605</v>
      </c>
      <c r="F37" s="37" t="s">
        <v>104</v>
      </c>
      <c r="G37" s="37" t="s">
        <v>47</v>
      </c>
      <c r="H37" s="37" t="s">
        <v>165</v>
      </c>
      <c r="I37" s="37" t="s">
        <v>60</v>
      </c>
      <c r="J37" s="37" t="s">
        <v>106</v>
      </c>
      <c r="K37" s="37" t="s">
        <v>107</v>
      </c>
      <c r="L37" s="37" t="s">
        <v>5</v>
      </c>
      <c r="M37" s="37" t="s">
        <v>108</v>
      </c>
      <c r="O37" s="37">
        <v>4</v>
      </c>
      <c r="P37" s="37">
        <v>4</v>
      </c>
      <c r="Q37" s="37">
        <v>0</v>
      </c>
      <c r="R37" s="37" t="s">
        <v>109</v>
      </c>
      <c r="T37" s="37" t="s">
        <v>415</v>
      </c>
      <c r="U37" s="37" t="s">
        <v>421</v>
      </c>
    </row>
    <row r="38" spans="1:21" x14ac:dyDescent="0.25">
      <c r="A38" s="39">
        <v>2016</v>
      </c>
      <c r="B38" s="37" t="s">
        <v>167</v>
      </c>
      <c r="C38" s="37">
        <v>19514</v>
      </c>
      <c r="D38" s="37">
        <v>34</v>
      </c>
      <c r="E38" s="38">
        <v>42605</v>
      </c>
      <c r="F38" s="37" t="s">
        <v>104</v>
      </c>
      <c r="G38" s="37" t="s">
        <v>9</v>
      </c>
      <c r="H38" s="37" t="s">
        <v>168</v>
      </c>
      <c r="I38" s="37" t="s">
        <v>9</v>
      </c>
      <c r="J38" s="37" t="s">
        <v>106</v>
      </c>
      <c r="K38" s="37" t="s">
        <v>107</v>
      </c>
      <c r="L38" s="37" t="s">
        <v>6</v>
      </c>
      <c r="M38" s="37" t="s">
        <v>108</v>
      </c>
      <c r="O38" s="37">
        <v>50</v>
      </c>
      <c r="P38" s="37">
        <v>50</v>
      </c>
      <c r="Q38" s="37">
        <v>0</v>
      </c>
      <c r="R38" s="37" t="s">
        <v>109</v>
      </c>
      <c r="T38" s="37" t="s">
        <v>416</v>
      </c>
      <c r="U38" s="37" t="s">
        <v>416</v>
      </c>
    </row>
    <row r="39" spans="1:21" x14ac:dyDescent="0.25">
      <c r="A39" s="39">
        <v>2016</v>
      </c>
      <c r="B39" s="37" t="s">
        <v>169</v>
      </c>
      <c r="C39" s="37">
        <v>19515</v>
      </c>
      <c r="D39" s="37">
        <v>34</v>
      </c>
      <c r="E39" s="38">
        <v>42605</v>
      </c>
      <c r="F39" s="37" t="s">
        <v>104</v>
      </c>
      <c r="G39" s="37" t="s">
        <v>9</v>
      </c>
      <c r="H39" s="37" t="s">
        <v>168</v>
      </c>
      <c r="I39" s="37" t="s">
        <v>9</v>
      </c>
      <c r="J39" s="37" t="s">
        <v>106</v>
      </c>
      <c r="K39" s="37" t="s">
        <v>107</v>
      </c>
      <c r="L39" s="37" t="s">
        <v>6</v>
      </c>
      <c r="M39" s="37" t="s">
        <v>108</v>
      </c>
      <c r="O39" s="37">
        <v>9</v>
      </c>
      <c r="P39" s="37">
        <v>9</v>
      </c>
      <c r="Q39" s="37">
        <v>0</v>
      </c>
      <c r="R39" s="37" t="s">
        <v>109</v>
      </c>
      <c r="T39" s="37" t="s">
        <v>416</v>
      </c>
      <c r="U39" s="37" t="s">
        <v>416</v>
      </c>
    </row>
    <row r="40" spans="1:21" x14ac:dyDescent="0.25">
      <c r="A40" s="39">
        <v>2016</v>
      </c>
      <c r="B40" s="37" t="s">
        <v>170</v>
      </c>
      <c r="C40" s="37">
        <v>19516</v>
      </c>
      <c r="D40" s="37">
        <v>34</v>
      </c>
      <c r="E40" s="38">
        <v>42605</v>
      </c>
      <c r="F40" s="37" t="s">
        <v>104</v>
      </c>
      <c r="G40" s="37" t="s">
        <v>9</v>
      </c>
      <c r="H40" s="37" t="s">
        <v>168</v>
      </c>
      <c r="I40" s="37" t="s">
        <v>9</v>
      </c>
      <c r="J40" s="37" t="s">
        <v>106</v>
      </c>
      <c r="K40" s="37" t="s">
        <v>107</v>
      </c>
      <c r="L40" s="37" t="s">
        <v>5</v>
      </c>
      <c r="M40" s="37" t="s">
        <v>108</v>
      </c>
      <c r="O40" s="37">
        <v>12</v>
      </c>
      <c r="P40" s="37">
        <v>12</v>
      </c>
      <c r="Q40" s="37">
        <v>0</v>
      </c>
      <c r="R40" s="37" t="s">
        <v>109</v>
      </c>
      <c r="T40" s="37" t="s">
        <v>417</v>
      </c>
      <c r="U40" s="37" t="s">
        <v>417</v>
      </c>
    </row>
    <row r="41" spans="1:21" x14ac:dyDescent="0.25">
      <c r="A41" s="39">
        <v>2016</v>
      </c>
      <c r="B41" s="37" t="s">
        <v>171</v>
      </c>
      <c r="C41" s="37">
        <v>19517</v>
      </c>
      <c r="D41" s="37">
        <v>34</v>
      </c>
      <c r="E41" s="38">
        <v>42605</v>
      </c>
      <c r="F41" s="37" t="s">
        <v>104</v>
      </c>
      <c r="G41" s="37" t="s">
        <v>47</v>
      </c>
      <c r="H41" s="37" t="s">
        <v>172</v>
      </c>
      <c r="I41" s="37" t="s">
        <v>60</v>
      </c>
      <c r="J41" s="37" t="s">
        <v>106</v>
      </c>
      <c r="K41" s="37" t="s">
        <v>107</v>
      </c>
      <c r="L41" s="37" t="s">
        <v>6</v>
      </c>
      <c r="M41" s="37" t="s">
        <v>108</v>
      </c>
      <c r="O41" s="37">
        <v>12</v>
      </c>
      <c r="P41" s="37">
        <v>12</v>
      </c>
      <c r="Q41" s="37">
        <v>0</v>
      </c>
      <c r="R41" s="37" t="s">
        <v>109</v>
      </c>
      <c r="T41" s="37" t="s">
        <v>414</v>
      </c>
      <c r="U41" s="37" t="s">
        <v>420</v>
      </c>
    </row>
    <row r="42" spans="1:21" x14ac:dyDescent="0.25">
      <c r="A42" s="39">
        <v>2016</v>
      </c>
      <c r="B42" s="37" t="s">
        <v>173</v>
      </c>
      <c r="C42" s="37">
        <v>19518</v>
      </c>
      <c r="D42" s="37">
        <v>34</v>
      </c>
      <c r="E42" s="38">
        <v>42605</v>
      </c>
      <c r="F42" s="37" t="s">
        <v>104</v>
      </c>
      <c r="G42" s="37" t="s">
        <v>47</v>
      </c>
      <c r="H42" s="37" t="s">
        <v>172</v>
      </c>
      <c r="I42" s="37" t="s">
        <v>60</v>
      </c>
      <c r="J42" s="37" t="s">
        <v>106</v>
      </c>
      <c r="K42" s="37" t="s">
        <v>107</v>
      </c>
      <c r="L42" s="37" t="s">
        <v>5</v>
      </c>
      <c r="M42" s="37" t="s">
        <v>108</v>
      </c>
      <c r="O42" s="37">
        <v>8</v>
      </c>
      <c r="P42" s="37">
        <v>8</v>
      </c>
      <c r="Q42" s="37">
        <v>0</v>
      </c>
      <c r="R42" s="37" t="s">
        <v>109</v>
      </c>
      <c r="T42" s="37" t="s">
        <v>415</v>
      </c>
      <c r="U42" s="37" t="s">
        <v>421</v>
      </c>
    </row>
    <row r="43" spans="1:21" x14ac:dyDescent="0.25">
      <c r="A43" s="39">
        <v>2016</v>
      </c>
      <c r="B43" s="37" t="s">
        <v>174</v>
      </c>
      <c r="C43" s="37">
        <v>19519</v>
      </c>
      <c r="D43" s="37">
        <v>34</v>
      </c>
      <c r="E43" s="38">
        <v>42605</v>
      </c>
      <c r="F43" s="37" t="s">
        <v>104</v>
      </c>
      <c r="G43" s="37" t="s">
        <v>47</v>
      </c>
      <c r="H43" s="37" t="s">
        <v>175</v>
      </c>
      <c r="I43" s="37" t="s">
        <v>60</v>
      </c>
      <c r="J43" s="37" t="s">
        <v>106</v>
      </c>
      <c r="K43" s="37" t="s">
        <v>107</v>
      </c>
      <c r="L43" s="37" t="s">
        <v>6</v>
      </c>
      <c r="M43" s="37" t="s">
        <v>108</v>
      </c>
      <c r="O43" s="37">
        <v>5</v>
      </c>
      <c r="P43" s="37">
        <v>5</v>
      </c>
      <c r="Q43" s="37">
        <v>0</v>
      </c>
      <c r="R43" s="37" t="s">
        <v>109</v>
      </c>
      <c r="T43" s="37" t="s">
        <v>414</v>
      </c>
      <c r="U43" s="37" t="s">
        <v>420</v>
      </c>
    </row>
    <row r="44" spans="1:21" x14ac:dyDescent="0.25">
      <c r="A44" s="39">
        <v>2016</v>
      </c>
      <c r="B44" s="37" t="s">
        <v>176</v>
      </c>
      <c r="C44" s="37">
        <v>19520</v>
      </c>
      <c r="D44" s="37">
        <v>34</v>
      </c>
      <c r="E44" s="38">
        <v>42605</v>
      </c>
      <c r="F44" s="37" t="s">
        <v>104</v>
      </c>
      <c r="G44" s="37" t="s">
        <v>9</v>
      </c>
      <c r="H44" s="37" t="s">
        <v>177</v>
      </c>
      <c r="I44" s="37" t="s">
        <v>9</v>
      </c>
      <c r="J44" s="37" t="s">
        <v>106</v>
      </c>
      <c r="K44" s="37" t="s">
        <v>107</v>
      </c>
      <c r="L44" s="37" t="s">
        <v>6</v>
      </c>
      <c r="M44" s="37" t="s">
        <v>108</v>
      </c>
      <c r="O44" s="37">
        <v>5</v>
      </c>
      <c r="P44" s="37">
        <v>5</v>
      </c>
      <c r="Q44" s="37">
        <v>0</v>
      </c>
      <c r="R44" s="37" t="s">
        <v>109</v>
      </c>
      <c r="T44" s="37" t="s">
        <v>416</v>
      </c>
      <c r="U44" s="37" t="s">
        <v>416</v>
      </c>
    </row>
    <row r="45" spans="1:21" x14ac:dyDescent="0.25">
      <c r="A45" s="39">
        <v>2016</v>
      </c>
      <c r="B45" s="37" t="s">
        <v>178</v>
      </c>
      <c r="C45" s="37">
        <v>19521</v>
      </c>
      <c r="D45" s="37">
        <v>34</v>
      </c>
      <c r="E45" s="38">
        <v>42605</v>
      </c>
      <c r="F45" s="37" t="s">
        <v>104</v>
      </c>
      <c r="G45" s="37" t="s">
        <v>9</v>
      </c>
      <c r="H45" s="37" t="s">
        <v>177</v>
      </c>
      <c r="I45" s="37" t="s">
        <v>9</v>
      </c>
      <c r="J45" s="37" t="s">
        <v>106</v>
      </c>
      <c r="K45" s="37" t="s">
        <v>107</v>
      </c>
      <c r="L45" s="37" t="s">
        <v>5</v>
      </c>
      <c r="M45" s="37" t="s">
        <v>108</v>
      </c>
      <c r="O45" s="37">
        <v>4</v>
      </c>
      <c r="P45" s="37">
        <v>4</v>
      </c>
      <c r="Q45" s="37">
        <v>0</v>
      </c>
      <c r="R45" s="37" t="s">
        <v>109</v>
      </c>
      <c r="T45" s="37" t="s">
        <v>417</v>
      </c>
      <c r="U45" s="37" t="s">
        <v>417</v>
      </c>
    </row>
    <row r="46" spans="1:21" x14ac:dyDescent="0.25">
      <c r="A46" s="39">
        <v>2016</v>
      </c>
      <c r="B46" s="37" t="s">
        <v>179</v>
      </c>
      <c r="C46" s="37">
        <v>19522</v>
      </c>
      <c r="D46" s="37">
        <v>34</v>
      </c>
      <c r="E46" s="38">
        <v>42605</v>
      </c>
      <c r="F46" s="37" t="s">
        <v>104</v>
      </c>
      <c r="G46" s="37" t="s">
        <v>47</v>
      </c>
      <c r="H46" s="37" t="s">
        <v>180</v>
      </c>
      <c r="I46" s="37" t="s">
        <v>60</v>
      </c>
      <c r="J46" s="37" t="s">
        <v>106</v>
      </c>
      <c r="K46" s="37" t="s">
        <v>107</v>
      </c>
      <c r="L46" s="37" t="s">
        <v>6</v>
      </c>
      <c r="M46" s="37" t="s">
        <v>108</v>
      </c>
      <c r="O46" s="37">
        <v>3</v>
      </c>
      <c r="P46" s="37">
        <v>3</v>
      </c>
      <c r="Q46" s="37">
        <v>0</v>
      </c>
      <c r="R46" s="37" t="s">
        <v>109</v>
      </c>
      <c r="T46" s="37" t="s">
        <v>414</v>
      </c>
      <c r="U46" s="37" t="s">
        <v>420</v>
      </c>
    </row>
    <row r="47" spans="1:21" x14ac:dyDescent="0.25">
      <c r="A47" s="60">
        <v>2016</v>
      </c>
      <c r="B47" s="61" t="s">
        <v>181</v>
      </c>
      <c r="C47" s="37">
        <v>19523</v>
      </c>
      <c r="D47" s="61">
        <v>34</v>
      </c>
      <c r="E47" s="62">
        <v>42605</v>
      </c>
      <c r="F47" s="61" t="s">
        <v>104</v>
      </c>
      <c r="G47" s="61" t="s">
        <v>47</v>
      </c>
      <c r="H47" s="61" t="s">
        <v>180</v>
      </c>
      <c r="I47" s="61" t="s">
        <v>60</v>
      </c>
      <c r="J47" s="61" t="s">
        <v>106</v>
      </c>
      <c r="K47" s="61" t="s">
        <v>107</v>
      </c>
      <c r="L47" s="61" t="s">
        <v>5</v>
      </c>
      <c r="M47" s="61" t="s">
        <v>108</v>
      </c>
      <c r="N47" s="61"/>
      <c r="O47" s="61">
        <v>9</v>
      </c>
      <c r="P47" s="61">
        <v>9</v>
      </c>
      <c r="Q47" s="61">
        <v>1</v>
      </c>
      <c r="R47" s="61" t="s">
        <v>133</v>
      </c>
      <c r="T47" s="37" t="s">
        <v>415</v>
      </c>
      <c r="U47" s="37" t="s">
        <v>421</v>
      </c>
    </row>
    <row r="48" spans="1:21" x14ac:dyDescent="0.25">
      <c r="A48" s="39">
        <v>2016</v>
      </c>
      <c r="B48" s="37" t="s">
        <v>182</v>
      </c>
      <c r="C48" s="37">
        <v>19524</v>
      </c>
      <c r="D48" s="37">
        <v>34</v>
      </c>
      <c r="E48" s="38">
        <v>42605</v>
      </c>
      <c r="F48" s="37" t="s">
        <v>104</v>
      </c>
      <c r="G48" s="37" t="s">
        <v>47</v>
      </c>
      <c r="H48" s="37" t="s">
        <v>183</v>
      </c>
      <c r="I48" s="37" t="s">
        <v>60</v>
      </c>
      <c r="J48" s="37" t="s">
        <v>106</v>
      </c>
      <c r="K48" s="37" t="s">
        <v>107</v>
      </c>
      <c r="L48" s="37" t="s">
        <v>6</v>
      </c>
      <c r="M48" s="37" t="s">
        <v>108</v>
      </c>
      <c r="O48" s="37">
        <v>2</v>
      </c>
      <c r="P48" s="37">
        <v>2</v>
      </c>
      <c r="Q48" s="37">
        <v>0</v>
      </c>
      <c r="R48" s="37" t="s">
        <v>109</v>
      </c>
      <c r="T48" s="37" t="s">
        <v>414</v>
      </c>
      <c r="U48" s="37" t="s">
        <v>420</v>
      </c>
    </row>
    <row r="49" spans="1:21" x14ac:dyDescent="0.25">
      <c r="A49" s="39">
        <v>2016</v>
      </c>
      <c r="B49" s="37" t="s">
        <v>184</v>
      </c>
      <c r="C49" s="37">
        <v>19525</v>
      </c>
      <c r="D49" s="37">
        <v>34</v>
      </c>
      <c r="E49" s="38">
        <v>42605</v>
      </c>
      <c r="F49" s="37" t="s">
        <v>104</v>
      </c>
      <c r="G49" s="37" t="s">
        <v>47</v>
      </c>
      <c r="H49" s="37" t="s">
        <v>183</v>
      </c>
      <c r="I49" s="37" t="s">
        <v>60</v>
      </c>
      <c r="J49" s="37" t="s">
        <v>106</v>
      </c>
      <c r="K49" s="37" t="s">
        <v>107</v>
      </c>
      <c r="L49" s="37" t="s">
        <v>5</v>
      </c>
      <c r="M49" s="37" t="s">
        <v>108</v>
      </c>
      <c r="O49" s="37">
        <v>3</v>
      </c>
      <c r="P49" s="37">
        <v>3</v>
      </c>
      <c r="Q49" s="37">
        <v>0</v>
      </c>
      <c r="R49" s="37" t="s">
        <v>109</v>
      </c>
      <c r="T49" s="37" t="s">
        <v>415</v>
      </c>
      <c r="U49" s="37" t="s">
        <v>421</v>
      </c>
    </row>
    <row r="50" spans="1:21" x14ac:dyDescent="0.25">
      <c r="A50" s="39">
        <v>2016</v>
      </c>
      <c r="B50" s="37" t="s">
        <v>185</v>
      </c>
      <c r="C50" s="37">
        <v>19526</v>
      </c>
      <c r="D50" s="37">
        <v>34</v>
      </c>
      <c r="E50" s="38">
        <v>42605</v>
      </c>
      <c r="F50" s="37" t="s">
        <v>104</v>
      </c>
      <c r="G50" s="37" t="s">
        <v>47</v>
      </c>
      <c r="H50" s="37" t="s">
        <v>186</v>
      </c>
      <c r="I50" s="37" t="s">
        <v>60</v>
      </c>
      <c r="J50" s="37" t="s">
        <v>106</v>
      </c>
      <c r="K50" s="37" t="s">
        <v>107</v>
      </c>
      <c r="L50" s="37" t="s">
        <v>6</v>
      </c>
      <c r="M50" s="37" t="s">
        <v>108</v>
      </c>
      <c r="O50" s="37">
        <v>2</v>
      </c>
      <c r="P50" s="37">
        <v>2</v>
      </c>
      <c r="Q50" s="37">
        <v>0</v>
      </c>
      <c r="R50" s="37" t="s">
        <v>109</v>
      </c>
      <c r="T50" s="37" t="s">
        <v>414</v>
      </c>
      <c r="U50" s="37" t="s">
        <v>420</v>
      </c>
    </row>
    <row r="51" spans="1:21" x14ac:dyDescent="0.25">
      <c r="A51" s="39">
        <v>2016</v>
      </c>
      <c r="B51" s="37" t="s">
        <v>187</v>
      </c>
      <c r="C51" s="37">
        <v>19527</v>
      </c>
      <c r="D51" s="37">
        <v>34</v>
      </c>
      <c r="E51" s="38">
        <v>42605</v>
      </c>
      <c r="F51" s="37" t="s">
        <v>104</v>
      </c>
      <c r="G51" s="37" t="s">
        <v>47</v>
      </c>
      <c r="H51" s="37" t="s">
        <v>186</v>
      </c>
      <c r="I51" s="37" t="s">
        <v>60</v>
      </c>
      <c r="J51" s="37" t="s">
        <v>106</v>
      </c>
      <c r="K51" s="37" t="s">
        <v>107</v>
      </c>
      <c r="L51" s="37" t="s">
        <v>5</v>
      </c>
      <c r="M51" s="37" t="s">
        <v>108</v>
      </c>
      <c r="O51" s="37">
        <v>1</v>
      </c>
      <c r="P51" s="37">
        <v>1</v>
      </c>
      <c r="Q51" s="37">
        <v>0</v>
      </c>
      <c r="R51" s="37" t="s">
        <v>109</v>
      </c>
      <c r="T51" s="37" t="s">
        <v>415</v>
      </c>
      <c r="U51" s="37" t="s">
        <v>421</v>
      </c>
    </row>
    <row r="52" spans="1:21" x14ac:dyDescent="0.25">
      <c r="A52" s="60">
        <v>2016</v>
      </c>
      <c r="B52" s="61" t="s">
        <v>188</v>
      </c>
      <c r="C52" s="37">
        <v>19528</v>
      </c>
      <c r="D52" s="61">
        <v>34</v>
      </c>
      <c r="E52" s="62">
        <v>42605</v>
      </c>
      <c r="F52" s="61" t="s">
        <v>104</v>
      </c>
      <c r="G52" s="61" t="s">
        <v>47</v>
      </c>
      <c r="H52" s="61" t="s">
        <v>189</v>
      </c>
      <c r="I52" s="61" t="s">
        <v>60</v>
      </c>
      <c r="J52" s="61" t="s">
        <v>120</v>
      </c>
      <c r="K52" s="61" t="s">
        <v>107</v>
      </c>
      <c r="L52" s="61" t="s">
        <v>5</v>
      </c>
      <c r="M52" s="61" t="s">
        <v>108</v>
      </c>
      <c r="N52" s="61">
        <v>35</v>
      </c>
      <c r="O52" s="61"/>
      <c r="P52" s="61">
        <v>35</v>
      </c>
      <c r="Q52" s="61">
        <v>1</v>
      </c>
      <c r="R52" s="61" t="s">
        <v>133</v>
      </c>
      <c r="T52" s="37" t="s">
        <v>415</v>
      </c>
      <c r="U52" s="37" t="s">
        <v>421</v>
      </c>
    </row>
    <row r="53" spans="1:21" x14ac:dyDescent="0.25">
      <c r="A53" s="39">
        <v>2016</v>
      </c>
      <c r="B53" s="37" t="s">
        <v>190</v>
      </c>
      <c r="C53" s="37">
        <v>19529</v>
      </c>
      <c r="D53" s="37">
        <v>34</v>
      </c>
      <c r="E53" s="38">
        <v>42605</v>
      </c>
      <c r="F53" s="37" t="s">
        <v>104</v>
      </c>
      <c r="G53" s="37" t="s">
        <v>47</v>
      </c>
      <c r="H53" s="37" t="s">
        <v>191</v>
      </c>
      <c r="I53" s="37" t="s">
        <v>60</v>
      </c>
      <c r="J53" s="37" t="s">
        <v>106</v>
      </c>
      <c r="K53" s="37" t="s">
        <v>107</v>
      </c>
      <c r="L53" s="37" t="s">
        <v>6</v>
      </c>
      <c r="M53" s="37" t="s">
        <v>108</v>
      </c>
      <c r="O53" s="37">
        <v>2</v>
      </c>
      <c r="P53" s="37">
        <v>2</v>
      </c>
      <c r="Q53" s="37">
        <v>0</v>
      </c>
      <c r="R53" s="37" t="s">
        <v>109</v>
      </c>
      <c r="T53" s="37" t="s">
        <v>414</v>
      </c>
      <c r="U53" s="37" t="s">
        <v>420</v>
      </c>
    </row>
    <row r="54" spans="1:21" x14ac:dyDescent="0.25">
      <c r="A54" s="39">
        <v>2016</v>
      </c>
      <c r="B54" s="37" t="s">
        <v>192</v>
      </c>
      <c r="C54" s="37">
        <v>19530</v>
      </c>
      <c r="D54" s="37">
        <v>34</v>
      </c>
      <c r="E54" s="38">
        <v>42605</v>
      </c>
      <c r="F54" s="37" t="s">
        <v>104</v>
      </c>
      <c r="G54" s="37" t="s">
        <v>47</v>
      </c>
      <c r="H54" s="37" t="s">
        <v>191</v>
      </c>
      <c r="I54" s="37" t="s">
        <v>60</v>
      </c>
      <c r="J54" s="37" t="s">
        <v>106</v>
      </c>
      <c r="K54" s="37" t="s">
        <v>107</v>
      </c>
      <c r="L54" s="37" t="s">
        <v>5</v>
      </c>
      <c r="M54" s="37" t="s">
        <v>108</v>
      </c>
      <c r="O54" s="37">
        <v>1</v>
      </c>
      <c r="P54" s="37">
        <v>1</v>
      </c>
      <c r="Q54" s="37">
        <v>0</v>
      </c>
      <c r="R54" s="37" t="s">
        <v>109</v>
      </c>
      <c r="T54" s="37" t="s">
        <v>415</v>
      </c>
      <c r="U54" s="37" t="s">
        <v>421</v>
      </c>
    </row>
    <row r="55" spans="1:21" x14ac:dyDescent="0.25">
      <c r="A55" s="60">
        <v>2016</v>
      </c>
      <c r="B55" s="61" t="s">
        <v>193</v>
      </c>
      <c r="C55" s="37">
        <v>19531</v>
      </c>
      <c r="D55" s="61">
        <v>34</v>
      </c>
      <c r="E55" s="62">
        <v>42605</v>
      </c>
      <c r="F55" s="61" t="s">
        <v>104</v>
      </c>
      <c r="G55" s="61" t="s">
        <v>47</v>
      </c>
      <c r="H55" s="61" t="s">
        <v>194</v>
      </c>
      <c r="I55" s="61" t="s">
        <v>60</v>
      </c>
      <c r="J55" s="61" t="s">
        <v>120</v>
      </c>
      <c r="K55" s="61" t="s">
        <v>107</v>
      </c>
      <c r="L55" s="61" t="s">
        <v>5</v>
      </c>
      <c r="M55" s="61" t="s">
        <v>108</v>
      </c>
      <c r="N55" s="61">
        <v>50</v>
      </c>
      <c r="O55" s="61"/>
      <c r="P55" s="61">
        <v>50</v>
      </c>
      <c r="Q55" s="61">
        <v>1</v>
      </c>
      <c r="R55" s="61" t="s">
        <v>133</v>
      </c>
      <c r="T55" s="37" t="s">
        <v>415</v>
      </c>
      <c r="U55" s="37" t="s">
        <v>421</v>
      </c>
    </row>
    <row r="56" spans="1:21" x14ac:dyDescent="0.25">
      <c r="A56" s="39">
        <v>2016</v>
      </c>
      <c r="B56" s="37" t="s">
        <v>195</v>
      </c>
      <c r="C56" s="37">
        <v>19532</v>
      </c>
      <c r="D56" s="37">
        <v>34</v>
      </c>
      <c r="E56" s="38">
        <v>42605</v>
      </c>
      <c r="F56" s="37" t="s">
        <v>104</v>
      </c>
      <c r="G56" s="37" t="s">
        <v>47</v>
      </c>
      <c r="H56" s="37" t="s">
        <v>194</v>
      </c>
      <c r="I56" s="37" t="s">
        <v>60</v>
      </c>
      <c r="J56" s="37" t="s">
        <v>120</v>
      </c>
      <c r="K56" s="37" t="s">
        <v>107</v>
      </c>
      <c r="L56" s="37" t="s">
        <v>5</v>
      </c>
      <c r="M56" s="37" t="s">
        <v>108</v>
      </c>
      <c r="N56" s="37">
        <v>46</v>
      </c>
      <c r="P56" s="37">
        <v>46</v>
      </c>
      <c r="Q56" s="37">
        <v>0</v>
      </c>
      <c r="R56" s="37" t="s">
        <v>109</v>
      </c>
      <c r="T56" s="37" t="s">
        <v>415</v>
      </c>
      <c r="U56" s="37" t="s">
        <v>421</v>
      </c>
    </row>
    <row r="57" spans="1:21" x14ac:dyDescent="0.25">
      <c r="A57" s="39">
        <v>2016</v>
      </c>
      <c r="B57" s="37" t="s">
        <v>196</v>
      </c>
      <c r="C57" s="37">
        <v>19533</v>
      </c>
      <c r="D57" s="37">
        <v>34</v>
      </c>
      <c r="E57" s="38">
        <v>42605</v>
      </c>
      <c r="F57" s="37" t="s">
        <v>104</v>
      </c>
      <c r="G57" s="37" t="s">
        <v>47</v>
      </c>
      <c r="H57" s="37" t="s">
        <v>197</v>
      </c>
      <c r="I57" s="37" t="s">
        <v>60</v>
      </c>
      <c r="J57" s="37" t="s">
        <v>106</v>
      </c>
      <c r="K57" s="37" t="s">
        <v>107</v>
      </c>
      <c r="L57" s="37" t="s">
        <v>6</v>
      </c>
      <c r="M57" s="37" t="s">
        <v>108</v>
      </c>
      <c r="O57" s="37">
        <v>25</v>
      </c>
      <c r="P57" s="37">
        <v>25</v>
      </c>
      <c r="Q57" s="37">
        <v>0</v>
      </c>
      <c r="R57" s="37" t="s">
        <v>109</v>
      </c>
      <c r="T57" s="37" t="s">
        <v>414</v>
      </c>
      <c r="U57" s="37" t="s">
        <v>420</v>
      </c>
    </row>
    <row r="58" spans="1:21" x14ac:dyDescent="0.25">
      <c r="A58" s="39">
        <v>2016</v>
      </c>
      <c r="B58" s="37" t="s">
        <v>198</v>
      </c>
      <c r="C58" s="37">
        <v>19534</v>
      </c>
      <c r="D58" s="37">
        <v>34</v>
      </c>
      <c r="E58" s="38">
        <v>42605</v>
      </c>
      <c r="F58" s="37" t="s">
        <v>104</v>
      </c>
      <c r="G58" s="37" t="s">
        <v>47</v>
      </c>
      <c r="H58" s="37" t="s">
        <v>197</v>
      </c>
      <c r="I58" s="37" t="s">
        <v>60</v>
      </c>
      <c r="J58" s="37" t="s">
        <v>106</v>
      </c>
      <c r="K58" s="37" t="s">
        <v>107</v>
      </c>
      <c r="L58" s="37" t="s">
        <v>5</v>
      </c>
      <c r="M58" s="37" t="s">
        <v>108</v>
      </c>
      <c r="O58" s="37">
        <v>5</v>
      </c>
      <c r="P58" s="37">
        <v>5</v>
      </c>
      <c r="Q58" s="37">
        <v>0</v>
      </c>
      <c r="R58" s="37" t="s">
        <v>109</v>
      </c>
      <c r="T58" s="37" t="s">
        <v>415</v>
      </c>
      <c r="U58" s="37" t="s">
        <v>421</v>
      </c>
    </row>
    <row r="59" spans="1:21" x14ac:dyDescent="0.25">
      <c r="A59" s="39">
        <v>2016</v>
      </c>
      <c r="B59" s="37" t="s">
        <v>199</v>
      </c>
      <c r="C59" s="37">
        <v>19535</v>
      </c>
      <c r="D59" s="37">
        <v>34</v>
      </c>
      <c r="E59" s="38">
        <v>42605</v>
      </c>
      <c r="F59" s="37" t="s">
        <v>104</v>
      </c>
      <c r="G59" s="37" t="s">
        <v>47</v>
      </c>
      <c r="H59" s="37" t="s">
        <v>200</v>
      </c>
      <c r="I59" s="37" t="s">
        <v>60</v>
      </c>
      <c r="J59" s="37" t="s">
        <v>106</v>
      </c>
      <c r="K59" s="37" t="s">
        <v>107</v>
      </c>
      <c r="L59" s="37" t="s">
        <v>6</v>
      </c>
      <c r="M59" s="37" t="s">
        <v>108</v>
      </c>
      <c r="O59" s="37">
        <v>5</v>
      </c>
      <c r="P59" s="37">
        <v>5</v>
      </c>
      <c r="Q59" s="37">
        <v>0</v>
      </c>
      <c r="R59" s="37" t="s">
        <v>109</v>
      </c>
      <c r="T59" s="37" t="s">
        <v>414</v>
      </c>
      <c r="U59" s="37" t="s">
        <v>420</v>
      </c>
    </row>
    <row r="60" spans="1:21" x14ac:dyDescent="0.25">
      <c r="A60" s="39">
        <v>2016</v>
      </c>
      <c r="B60" s="37" t="s">
        <v>201</v>
      </c>
      <c r="C60" s="37">
        <v>19536</v>
      </c>
      <c r="D60" s="37">
        <v>34</v>
      </c>
      <c r="E60" s="38">
        <v>42605</v>
      </c>
      <c r="F60" s="37" t="s">
        <v>104</v>
      </c>
      <c r="G60" s="37" t="s">
        <v>47</v>
      </c>
      <c r="H60" s="37" t="s">
        <v>202</v>
      </c>
      <c r="I60" s="37" t="s">
        <v>60</v>
      </c>
      <c r="J60" s="37" t="s">
        <v>106</v>
      </c>
      <c r="K60" s="37" t="s">
        <v>107</v>
      </c>
      <c r="L60" s="37" t="s">
        <v>6</v>
      </c>
      <c r="M60" s="37" t="s">
        <v>108</v>
      </c>
      <c r="O60" s="37">
        <v>11</v>
      </c>
      <c r="P60" s="37">
        <v>11</v>
      </c>
      <c r="Q60" s="37">
        <v>0</v>
      </c>
      <c r="R60" s="37" t="s">
        <v>109</v>
      </c>
      <c r="T60" s="37" t="s">
        <v>414</v>
      </c>
      <c r="U60" s="37" t="s">
        <v>420</v>
      </c>
    </row>
    <row r="61" spans="1:21" x14ac:dyDescent="0.25">
      <c r="A61" s="39">
        <v>2016</v>
      </c>
      <c r="B61" s="37" t="s">
        <v>203</v>
      </c>
      <c r="C61" s="37">
        <v>19537</v>
      </c>
      <c r="D61" s="37">
        <v>34</v>
      </c>
      <c r="E61" s="38">
        <v>42605</v>
      </c>
      <c r="F61" s="37" t="s">
        <v>104</v>
      </c>
      <c r="G61" s="37" t="s">
        <v>47</v>
      </c>
      <c r="H61" s="37" t="s">
        <v>202</v>
      </c>
      <c r="I61" s="37" t="s">
        <v>60</v>
      </c>
      <c r="J61" s="37" t="s">
        <v>106</v>
      </c>
      <c r="K61" s="37" t="s">
        <v>107</v>
      </c>
      <c r="L61" s="37" t="s">
        <v>5</v>
      </c>
      <c r="M61" s="37" t="s">
        <v>108</v>
      </c>
      <c r="O61" s="37">
        <v>5</v>
      </c>
      <c r="P61" s="37">
        <v>5</v>
      </c>
      <c r="Q61" s="37">
        <v>0</v>
      </c>
      <c r="R61" s="37" t="s">
        <v>109</v>
      </c>
      <c r="T61" s="37" t="s">
        <v>415</v>
      </c>
      <c r="U61" s="37" t="s">
        <v>421</v>
      </c>
    </row>
    <row r="62" spans="1:21" x14ac:dyDescent="0.25">
      <c r="A62" s="60">
        <v>2016</v>
      </c>
      <c r="B62" s="61" t="s">
        <v>204</v>
      </c>
      <c r="C62" s="37">
        <v>19538</v>
      </c>
      <c r="D62" s="61">
        <v>34</v>
      </c>
      <c r="E62" s="62">
        <v>42606</v>
      </c>
      <c r="F62" s="61" t="s">
        <v>104</v>
      </c>
      <c r="G62" s="61" t="s">
        <v>9</v>
      </c>
      <c r="H62" s="61" t="s">
        <v>205</v>
      </c>
      <c r="I62" s="37" t="s">
        <v>9</v>
      </c>
      <c r="J62" s="61" t="s">
        <v>106</v>
      </c>
      <c r="K62" s="61" t="s">
        <v>107</v>
      </c>
      <c r="L62" s="61" t="s">
        <v>6</v>
      </c>
      <c r="M62" s="61" t="s">
        <v>108</v>
      </c>
      <c r="N62" s="61"/>
      <c r="O62" s="61">
        <v>14</v>
      </c>
      <c r="P62" s="61">
        <v>14</v>
      </c>
      <c r="Q62" s="61">
        <v>1</v>
      </c>
      <c r="R62" s="61" t="s">
        <v>133</v>
      </c>
      <c r="T62" s="37" t="s">
        <v>416</v>
      </c>
      <c r="U62" s="37" t="s">
        <v>416</v>
      </c>
    </row>
    <row r="63" spans="1:21" x14ac:dyDescent="0.25">
      <c r="A63" s="39">
        <v>2016</v>
      </c>
      <c r="B63" s="37" t="s">
        <v>206</v>
      </c>
      <c r="C63" s="37">
        <v>19539</v>
      </c>
      <c r="D63" s="37">
        <v>34</v>
      </c>
      <c r="E63" s="38">
        <v>42606</v>
      </c>
      <c r="F63" s="37" t="s">
        <v>104</v>
      </c>
      <c r="G63" s="37" t="s">
        <v>47</v>
      </c>
      <c r="H63" s="37" t="s">
        <v>207</v>
      </c>
      <c r="I63" s="37" t="s">
        <v>58</v>
      </c>
      <c r="J63" s="37" t="s">
        <v>106</v>
      </c>
      <c r="K63" s="37" t="s">
        <v>107</v>
      </c>
      <c r="L63" s="37" t="s">
        <v>5</v>
      </c>
      <c r="M63" s="37" t="s">
        <v>108</v>
      </c>
      <c r="O63" s="37">
        <v>2</v>
      </c>
      <c r="P63" s="37">
        <v>2</v>
      </c>
      <c r="Q63" s="37">
        <v>0</v>
      </c>
      <c r="R63" s="37" t="s">
        <v>109</v>
      </c>
      <c r="T63" s="37" t="s">
        <v>415</v>
      </c>
      <c r="U63" s="37" t="s">
        <v>422</v>
      </c>
    </row>
    <row r="64" spans="1:21" x14ac:dyDescent="0.25">
      <c r="A64" s="39">
        <v>2016</v>
      </c>
      <c r="B64" s="37" t="s">
        <v>208</v>
      </c>
      <c r="C64" s="37">
        <v>19540</v>
      </c>
      <c r="D64" s="37">
        <v>34</v>
      </c>
      <c r="E64" s="38">
        <v>42606</v>
      </c>
      <c r="F64" s="37" t="s">
        <v>104</v>
      </c>
      <c r="G64" s="37" t="s">
        <v>47</v>
      </c>
      <c r="H64" s="37" t="s">
        <v>209</v>
      </c>
      <c r="I64" s="37" t="s">
        <v>58</v>
      </c>
      <c r="J64" s="37" t="s">
        <v>106</v>
      </c>
      <c r="K64" s="37" t="s">
        <v>107</v>
      </c>
      <c r="L64" s="37" t="s">
        <v>6</v>
      </c>
      <c r="M64" s="37" t="s">
        <v>108</v>
      </c>
      <c r="O64" s="37">
        <v>9</v>
      </c>
      <c r="P64" s="37">
        <v>9</v>
      </c>
      <c r="Q64" s="37">
        <v>0</v>
      </c>
      <c r="R64" s="37" t="s">
        <v>109</v>
      </c>
      <c r="T64" s="37" t="s">
        <v>414</v>
      </c>
      <c r="U64" s="37" t="s">
        <v>423</v>
      </c>
    </row>
    <row r="65" spans="1:21" x14ac:dyDescent="0.25">
      <c r="A65" s="39">
        <v>2016</v>
      </c>
      <c r="B65" s="37" t="s">
        <v>210</v>
      </c>
      <c r="C65" s="37">
        <v>19541</v>
      </c>
      <c r="D65" s="37">
        <v>34</v>
      </c>
      <c r="E65" s="38">
        <v>42606</v>
      </c>
      <c r="F65" s="37" t="s">
        <v>104</v>
      </c>
      <c r="G65" s="37" t="s">
        <v>47</v>
      </c>
      <c r="H65" s="37" t="s">
        <v>211</v>
      </c>
      <c r="I65" s="37" t="s">
        <v>60</v>
      </c>
      <c r="J65" s="37" t="s">
        <v>106</v>
      </c>
      <c r="K65" s="37" t="s">
        <v>107</v>
      </c>
      <c r="L65" s="37" t="s">
        <v>6</v>
      </c>
      <c r="M65" s="37" t="s">
        <v>108</v>
      </c>
      <c r="O65" s="37">
        <v>18</v>
      </c>
      <c r="P65" s="37">
        <v>18</v>
      </c>
      <c r="Q65" s="37">
        <v>0</v>
      </c>
      <c r="R65" s="37" t="s">
        <v>109</v>
      </c>
      <c r="T65" s="37" t="s">
        <v>414</v>
      </c>
      <c r="U65" s="37" t="s">
        <v>420</v>
      </c>
    </row>
    <row r="66" spans="1:21" x14ac:dyDescent="0.25">
      <c r="A66" s="39">
        <v>2016</v>
      </c>
      <c r="B66" s="37" t="s">
        <v>212</v>
      </c>
      <c r="C66" s="37">
        <v>19542</v>
      </c>
      <c r="D66" s="37">
        <v>34</v>
      </c>
      <c r="E66" s="38">
        <v>42606</v>
      </c>
      <c r="F66" s="37" t="s">
        <v>104</v>
      </c>
      <c r="G66" s="37" t="s">
        <v>47</v>
      </c>
      <c r="H66" s="37" t="s">
        <v>213</v>
      </c>
      <c r="I66" s="37" t="s">
        <v>58</v>
      </c>
      <c r="J66" s="37" t="s">
        <v>106</v>
      </c>
      <c r="K66" s="37" t="s">
        <v>107</v>
      </c>
      <c r="L66" s="37" t="s">
        <v>6</v>
      </c>
      <c r="M66" s="37" t="s">
        <v>108</v>
      </c>
      <c r="O66" s="37">
        <v>23</v>
      </c>
      <c r="P66" s="37">
        <v>23</v>
      </c>
      <c r="Q66" s="37">
        <v>0</v>
      </c>
      <c r="R66" s="37" t="s">
        <v>109</v>
      </c>
      <c r="T66" s="37" t="s">
        <v>414</v>
      </c>
      <c r="U66" s="37" t="s">
        <v>423</v>
      </c>
    </row>
    <row r="67" spans="1:21" x14ac:dyDescent="0.25">
      <c r="A67" s="39">
        <v>2016</v>
      </c>
      <c r="B67" s="37" t="s">
        <v>214</v>
      </c>
      <c r="C67" s="37">
        <v>19543</v>
      </c>
      <c r="D67" s="37">
        <v>34</v>
      </c>
      <c r="E67" s="38">
        <v>42606</v>
      </c>
      <c r="F67" s="37" t="s">
        <v>104</v>
      </c>
      <c r="G67" s="37" t="s">
        <v>47</v>
      </c>
      <c r="H67" s="37" t="s">
        <v>213</v>
      </c>
      <c r="I67" s="37" t="s">
        <v>58</v>
      </c>
      <c r="J67" s="37" t="s">
        <v>106</v>
      </c>
      <c r="K67" s="37" t="s">
        <v>107</v>
      </c>
      <c r="L67" s="37" t="s">
        <v>5</v>
      </c>
      <c r="M67" s="37" t="s">
        <v>108</v>
      </c>
      <c r="O67" s="37">
        <v>7</v>
      </c>
      <c r="P67" s="37">
        <v>7</v>
      </c>
      <c r="Q67" s="37">
        <v>0</v>
      </c>
      <c r="R67" s="37" t="s">
        <v>109</v>
      </c>
      <c r="T67" s="37" t="s">
        <v>415</v>
      </c>
      <c r="U67" s="37" t="s">
        <v>422</v>
      </c>
    </row>
    <row r="68" spans="1:21" x14ac:dyDescent="0.25">
      <c r="A68" s="39">
        <v>2016</v>
      </c>
      <c r="B68" s="37" t="s">
        <v>215</v>
      </c>
      <c r="C68" s="37">
        <v>19544</v>
      </c>
      <c r="D68" s="37">
        <v>34</v>
      </c>
      <c r="E68" s="38">
        <v>42606</v>
      </c>
      <c r="F68" s="37" t="s">
        <v>104</v>
      </c>
      <c r="G68" s="37" t="s">
        <v>47</v>
      </c>
      <c r="H68" s="37" t="s">
        <v>216</v>
      </c>
      <c r="I68" s="37" t="s">
        <v>58</v>
      </c>
      <c r="J68" s="37" t="s">
        <v>106</v>
      </c>
      <c r="K68" s="37" t="s">
        <v>107</v>
      </c>
      <c r="L68" s="37" t="s">
        <v>6</v>
      </c>
      <c r="M68" s="37" t="s">
        <v>108</v>
      </c>
      <c r="O68" s="37">
        <v>43</v>
      </c>
      <c r="P68" s="37">
        <v>43</v>
      </c>
      <c r="Q68" s="37">
        <v>0</v>
      </c>
      <c r="R68" s="37" t="s">
        <v>109</v>
      </c>
      <c r="T68" s="37" t="s">
        <v>414</v>
      </c>
      <c r="U68" s="37" t="s">
        <v>423</v>
      </c>
    </row>
    <row r="69" spans="1:21" x14ac:dyDescent="0.25">
      <c r="A69" s="39">
        <v>2016</v>
      </c>
      <c r="B69" s="37" t="s">
        <v>217</v>
      </c>
      <c r="C69" s="37">
        <v>19545</v>
      </c>
      <c r="D69" s="37">
        <v>34</v>
      </c>
      <c r="E69" s="38">
        <v>42606</v>
      </c>
      <c r="F69" s="37" t="s">
        <v>104</v>
      </c>
      <c r="G69" s="37" t="s">
        <v>47</v>
      </c>
      <c r="H69" s="37" t="s">
        <v>216</v>
      </c>
      <c r="I69" s="37" t="s">
        <v>58</v>
      </c>
      <c r="J69" s="37" t="s">
        <v>106</v>
      </c>
      <c r="K69" s="37" t="s">
        <v>107</v>
      </c>
      <c r="L69" s="37" t="s">
        <v>5</v>
      </c>
      <c r="M69" s="37" t="s">
        <v>108</v>
      </c>
      <c r="O69" s="37">
        <v>20</v>
      </c>
      <c r="P69" s="37">
        <v>20</v>
      </c>
      <c r="Q69" s="37">
        <v>0</v>
      </c>
      <c r="R69" s="37" t="s">
        <v>109</v>
      </c>
      <c r="T69" s="37" t="s">
        <v>415</v>
      </c>
      <c r="U69" s="37" t="s">
        <v>422</v>
      </c>
    </row>
    <row r="70" spans="1:21" x14ac:dyDescent="0.25">
      <c r="A70" s="60">
        <v>2016</v>
      </c>
      <c r="B70" s="61" t="s">
        <v>218</v>
      </c>
      <c r="C70" s="37">
        <v>19546</v>
      </c>
      <c r="D70" s="61">
        <v>34</v>
      </c>
      <c r="E70" s="62">
        <v>42606</v>
      </c>
      <c r="F70" s="61" t="s">
        <v>104</v>
      </c>
      <c r="G70" s="61" t="s">
        <v>47</v>
      </c>
      <c r="H70" s="61" t="s">
        <v>219</v>
      </c>
      <c r="I70" s="61" t="s">
        <v>58</v>
      </c>
      <c r="J70" s="61" t="s">
        <v>120</v>
      </c>
      <c r="K70" s="61" t="s">
        <v>107</v>
      </c>
      <c r="L70" s="61" t="s">
        <v>5</v>
      </c>
      <c r="M70" s="61" t="s">
        <v>108</v>
      </c>
      <c r="N70" s="61">
        <v>50</v>
      </c>
      <c r="O70" s="61"/>
      <c r="P70" s="61">
        <v>50</v>
      </c>
      <c r="Q70" s="61">
        <v>1</v>
      </c>
      <c r="R70" s="61" t="s">
        <v>133</v>
      </c>
      <c r="T70" s="37" t="s">
        <v>415</v>
      </c>
      <c r="U70" s="37" t="s">
        <v>422</v>
      </c>
    </row>
    <row r="71" spans="1:21" x14ac:dyDescent="0.25">
      <c r="A71" s="61">
        <v>2016</v>
      </c>
      <c r="B71" s="61" t="s">
        <v>220</v>
      </c>
      <c r="C71" s="37">
        <v>19547</v>
      </c>
      <c r="D71" s="61">
        <v>34</v>
      </c>
      <c r="E71" s="61">
        <v>42606</v>
      </c>
      <c r="F71" s="61" t="s">
        <v>104</v>
      </c>
      <c r="G71" s="61" t="s">
        <v>47</v>
      </c>
      <c r="H71" s="61" t="s">
        <v>219</v>
      </c>
      <c r="I71" s="61" t="s">
        <v>58</v>
      </c>
      <c r="J71" s="61" t="s">
        <v>120</v>
      </c>
      <c r="K71" s="61" t="s">
        <v>107</v>
      </c>
      <c r="L71" s="61" t="s">
        <v>5</v>
      </c>
      <c r="M71" s="61" t="s">
        <v>108</v>
      </c>
      <c r="N71" s="61">
        <v>50</v>
      </c>
      <c r="O71" s="61"/>
      <c r="P71" s="61">
        <v>50</v>
      </c>
      <c r="Q71" s="61">
        <v>1</v>
      </c>
      <c r="R71" s="61" t="s">
        <v>133</v>
      </c>
      <c r="T71" s="37" t="s">
        <v>415</v>
      </c>
      <c r="U71" s="37" t="s">
        <v>422</v>
      </c>
    </row>
    <row r="72" spans="1:21" x14ac:dyDescent="0.25">
      <c r="A72" s="61">
        <v>2016</v>
      </c>
      <c r="B72" s="61" t="s">
        <v>221</v>
      </c>
      <c r="C72" s="37">
        <v>19548</v>
      </c>
      <c r="D72" s="61">
        <v>34</v>
      </c>
      <c r="E72" s="61">
        <v>42606</v>
      </c>
      <c r="F72" s="61" t="s">
        <v>104</v>
      </c>
      <c r="G72" s="61" t="s">
        <v>47</v>
      </c>
      <c r="H72" s="61" t="s">
        <v>219</v>
      </c>
      <c r="I72" s="61" t="s">
        <v>58</v>
      </c>
      <c r="J72" s="61" t="s">
        <v>120</v>
      </c>
      <c r="K72" s="61" t="s">
        <v>107</v>
      </c>
      <c r="L72" s="61" t="s">
        <v>5</v>
      </c>
      <c r="M72" s="61" t="s">
        <v>108</v>
      </c>
      <c r="N72" s="61">
        <v>50</v>
      </c>
      <c r="O72" s="61"/>
      <c r="P72" s="61">
        <v>50</v>
      </c>
      <c r="Q72" s="61">
        <v>1</v>
      </c>
      <c r="R72" s="61" t="s">
        <v>133</v>
      </c>
      <c r="T72" s="37" t="s">
        <v>415</v>
      </c>
      <c r="U72" s="37" t="s">
        <v>422</v>
      </c>
    </row>
    <row r="73" spans="1:21" x14ac:dyDescent="0.25">
      <c r="A73" s="37">
        <v>2016</v>
      </c>
      <c r="B73" s="37" t="s">
        <v>222</v>
      </c>
      <c r="C73" s="37">
        <v>19549</v>
      </c>
      <c r="D73" s="37">
        <v>34</v>
      </c>
      <c r="E73" s="37">
        <v>42606</v>
      </c>
      <c r="F73" s="37" t="s">
        <v>104</v>
      </c>
      <c r="G73" s="37" t="s">
        <v>47</v>
      </c>
      <c r="H73" s="37" t="s">
        <v>219</v>
      </c>
      <c r="I73" s="37" t="s">
        <v>58</v>
      </c>
      <c r="J73" s="37" t="s">
        <v>120</v>
      </c>
      <c r="K73" s="37" t="s">
        <v>107</v>
      </c>
      <c r="L73" s="37" t="s">
        <v>5</v>
      </c>
      <c r="M73" s="37" t="s">
        <v>108</v>
      </c>
      <c r="N73" s="37">
        <v>13</v>
      </c>
      <c r="P73" s="37">
        <v>13</v>
      </c>
      <c r="Q73" s="37">
        <v>0</v>
      </c>
      <c r="R73" s="37" t="s">
        <v>109</v>
      </c>
      <c r="T73" s="37" t="s">
        <v>415</v>
      </c>
      <c r="U73" s="37" t="s">
        <v>422</v>
      </c>
    </row>
    <row r="74" spans="1:21" x14ac:dyDescent="0.25">
      <c r="A74" s="37">
        <v>2016</v>
      </c>
      <c r="B74" s="37" t="s">
        <v>223</v>
      </c>
      <c r="C74" s="37">
        <v>19550</v>
      </c>
      <c r="D74" s="37">
        <v>34</v>
      </c>
      <c r="E74" s="37">
        <v>42606</v>
      </c>
      <c r="F74" s="37" t="s">
        <v>104</v>
      </c>
      <c r="G74" s="37" t="s">
        <v>47</v>
      </c>
      <c r="H74" s="37" t="s">
        <v>224</v>
      </c>
      <c r="I74" s="37" t="s">
        <v>58</v>
      </c>
      <c r="J74" s="37" t="s">
        <v>106</v>
      </c>
      <c r="K74" s="37" t="s">
        <v>107</v>
      </c>
      <c r="L74" s="37" t="s">
        <v>5</v>
      </c>
      <c r="M74" s="37" t="s">
        <v>108</v>
      </c>
      <c r="O74" s="37">
        <v>1</v>
      </c>
      <c r="P74" s="37">
        <v>1</v>
      </c>
      <c r="Q74" s="37">
        <v>0</v>
      </c>
      <c r="R74" s="37" t="s">
        <v>109</v>
      </c>
      <c r="T74" s="37" t="s">
        <v>415</v>
      </c>
      <c r="U74" s="37" t="s">
        <v>422</v>
      </c>
    </row>
    <row r="75" spans="1:21" x14ac:dyDescent="0.25">
      <c r="A75" s="37">
        <v>2016</v>
      </c>
      <c r="B75" s="37" t="s">
        <v>225</v>
      </c>
      <c r="C75" s="37">
        <v>19551</v>
      </c>
      <c r="D75" s="37">
        <v>34</v>
      </c>
      <c r="E75" s="37">
        <v>42606</v>
      </c>
      <c r="F75" s="37" t="s">
        <v>104</v>
      </c>
      <c r="G75" s="37" t="s">
        <v>47</v>
      </c>
      <c r="H75" s="37" t="s">
        <v>226</v>
      </c>
      <c r="I75" s="37" t="s">
        <v>58</v>
      </c>
      <c r="J75" s="37" t="s">
        <v>106</v>
      </c>
      <c r="K75" s="37" t="s">
        <v>107</v>
      </c>
      <c r="L75" s="37" t="s">
        <v>5</v>
      </c>
      <c r="M75" s="37" t="s">
        <v>108</v>
      </c>
      <c r="O75" s="37">
        <v>21</v>
      </c>
      <c r="P75" s="37">
        <v>21</v>
      </c>
      <c r="Q75" s="37">
        <v>0</v>
      </c>
      <c r="R75" s="37" t="s">
        <v>109</v>
      </c>
      <c r="T75" s="37" t="s">
        <v>415</v>
      </c>
      <c r="U75" s="37" t="s">
        <v>422</v>
      </c>
    </row>
    <row r="76" spans="1:21" x14ac:dyDescent="0.25">
      <c r="A76" s="37">
        <v>2016</v>
      </c>
      <c r="B76" s="37" t="s">
        <v>227</v>
      </c>
      <c r="C76" s="37">
        <v>19552</v>
      </c>
      <c r="D76" s="37">
        <v>34</v>
      </c>
      <c r="E76" s="37">
        <v>42606</v>
      </c>
      <c r="F76" s="37" t="s">
        <v>104</v>
      </c>
      <c r="G76" s="37" t="s">
        <v>47</v>
      </c>
      <c r="H76" s="37" t="s">
        <v>228</v>
      </c>
      <c r="I76" s="37" t="s">
        <v>58</v>
      </c>
      <c r="J76" s="37" t="s">
        <v>106</v>
      </c>
      <c r="K76" s="37" t="s">
        <v>107</v>
      </c>
      <c r="L76" s="37" t="s">
        <v>6</v>
      </c>
      <c r="M76" s="37" t="s">
        <v>108</v>
      </c>
      <c r="O76" s="37">
        <v>2</v>
      </c>
      <c r="P76" s="37">
        <v>2</v>
      </c>
      <c r="Q76" s="37">
        <v>0</v>
      </c>
      <c r="R76" s="37" t="s">
        <v>109</v>
      </c>
      <c r="T76" s="37" t="s">
        <v>414</v>
      </c>
      <c r="U76" s="37" t="s">
        <v>423</v>
      </c>
    </row>
    <row r="77" spans="1:21" x14ac:dyDescent="0.25">
      <c r="A77" s="61">
        <v>2016</v>
      </c>
      <c r="B77" s="61" t="s">
        <v>229</v>
      </c>
      <c r="C77" s="37">
        <v>19553</v>
      </c>
      <c r="D77" s="61">
        <v>34</v>
      </c>
      <c r="E77" s="61">
        <v>42606</v>
      </c>
      <c r="F77" s="61" t="s">
        <v>104</v>
      </c>
      <c r="G77" s="61" t="s">
        <v>47</v>
      </c>
      <c r="H77" s="61" t="s">
        <v>230</v>
      </c>
      <c r="I77" s="61" t="s">
        <v>58</v>
      </c>
      <c r="J77" s="61" t="s">
        <v>120</v>
      </c>
      <c r="K77" s="61" t="s">
        <v>107</v>
      </c>
      <c r="L77" s="61" t="s">
        <v>5</v>
      </c>
      <c r="M77" s="61" t="s">
        <v>108</v>
      </c>
      <c r="N77" s="61">
        <v>50</v>
      </c>
      <c r="O77" s="61"/>
      <c r="P77" s="61">
        <v>50</v>
      </c>
      <c r="Q77" s="61">
        <v>1</v>
      </c>
      <c r="R77" s="61" t="s">
        <v>133</v>
      </c>
      <c r="T77" s="37" t="s">
        <v>415</v>
      </c>
      <c r="U77" s="37" t="s">
        <v>422</v>
      </c>
    </row>
    <row r="78" spans="1:21" x14ac:dyDescent="0.25">
      <c r="A78" s="37">
        <v>2016</v>
      </c>
      <c r="B78" s="37" t="s">
        <v>231</v>
      </c>
      <c r="C78" s="37">
        <v>19554</v>
      </c>
      <c r="D78" s="37">
        <v>34</v>
      </c>
      <c r="E78" s="37">
        <v>42606</v>
      </c>
      <c r="F78" s="37" t="s">
        <v>104</v>
      </c>
      <c r="G78" s="37" t="s">
        <v>47</v>
      </c>
      <c r="H78" s="37" t="s">
        <v>230</v>
      </c>
      <c r="I78" s="37" t="s">
        <v>58</v>
      </c>
      <c r="J78" s="37" t="s">
        <v>120</v>
      </c>
      <c r="K78" s="37" t="s">
        <v>107</v>
      </c>
      <c r="L78" s="37" t="s">
        <v>5</v>
      </c>
      <c r="M78" s="37" t="s">
        <v>108</v>
      </c>
      <c r="N78" s="37">
        <v>49</v>
      </c>
      <c r="P78" s="37">
        <v>49</v>
      </c>
      <c r="Q78" s="37">
        <v>0</v>
      </c>
      <c r="R78" s="37" t="s">
        <v>109</v>
      </c>
      <c r="T78" s="37" t="s">
        <v>415</v>
      </c>
      <c r="U78" s="37" t="s">
        <v>422</v>
      </c>
    </row>
    <row r="79" spans="1:21" x14ac:dyDescent="0.25">
      <c r="A79" s="37">
        <v>2016</v>
      </c>
      <c r="B79" s="37" t="s">
        <v>232</v>
      </c>
      <c r="C79" s="37">
        <v>19555</v>
      </c>
      <c r="D79" s="37">
        <v>34</v>
      </c>
      <c r="E79" s="37">
        <v>42606</v>
      </c>
      <c r="F79" s="37" t="s">
        <v>104</v>
      </c>
      <c r="G79" s="37" t="s">
        <v>47</v>
      </c>
      <c r="H79" s="37" t="s">
        <v>233</v>
      </c>
      <c r="I79" s="37" t="s">
        <v>58</v>
      </c>
      <c r="J79" s="37" t="s">
        <v>106</v>
      </c>
      <c r="K79" s="37" t="s">
        <v>107</v>
      </c>
      <c r="L79" s="37" t="s">
        <v>6</v>
      </c>
      <c r="M79" s="37" t="s">
        <v>108</v>
      </c>
      <c r="O79" s="37">
        <v>2</v>
      </c>
      <c r="P79" s="37">
        <v>2</v>
      </c>
      <c r="Q79" s="37">
        <v>0</v>
      </c>
      <c r="R79" s="37" t="s">
        <v>109</v>
      </c>
      <c r="T79" s="37" t="s">
        <v>414</v>
      </c>
      <c r="U79" s="37" t="s">
        <v>423</v>
      </c>
    </row>
    <row r="80" spans="1:21" x14ac:dyDescent="0.25">
      <c r="A80" s="37">
        <v>2016</v>
      </c>
      <c r="B80" s="37" t="s">
        <v>234</v>
      </c>
      <c r="C80" s="37">
        <v>19556</v>
      </c>
      <c r="D80" s="37">
        <v>34</v>
      </c>
      <c r="E80" s="37">
        <v>42606</v>
      </c>
      <c r="F80" s="37" t="s">
        <v>104</v>
      </c>
      <c r="G80" s="37" t="s">
        <v>47</v>
      </c>
      <c r="H80" s="37" t="s">
        <v>235</v>
      </c>
      <c r="I80" s="37" t="s">
        <v>61</v>
      </c>
      <c r="J80" s="37" t="s">
        <v>106</v>
      </c>
      <c r="K80" s="37" t="s">
        <v>107</v>
      </c>
      <c r="L80" s="37" t="s">
        <v>6</v>
      </c>
      <c r="M80" s="37" t="s">
        <v>108</v>
      </c>
      <c r="O80" s="37">
        <v>5</v>
      </c>
      <c r="P80" s="37">
        <v>5</v>
      </c>
      <c r="Q80" s="37">
        <v>0</v>
      </c>
      <c r="R80" s="37" t="s">
        <v>109</v>
      </c>
      <c r="T80" s="37" t="s">
        <v>414</v>
      </c>
      <c r="U80" s="37" t="s">
        <v>418</v>
      </c>
    </row>
    <row r="81" spans="1:21" x14ac:dyDescent="0.25">
      <c r="A81" s="37">
        <v>2016</v>
      </c>
      <c r="B81" s="37" t="s">
        <v>236</v>
      </c>
      <c r="C81" s="37">
        <v>19557</v>
      </c>
      <c r="D81" s="37">
        <v>34</v>
      </c>
      <c r="E81" s="37">
        <v>42606</v>
      </c>
      <c r="F81" s="37" t="s">
        <v>104</v>
      </c>
      <c r="G81" s="37" t="s">
        <v>47</v>
      </c>
      <c r="H81" s="37" t="s">
        <v>237</v>
      </c>
      <c r="I81" s="37" t="s">
        <v>61</v>
      </c>
      <c r="J81" s="37" t="s">
        <v>106</v>
      </c>
      <c r="K81" s="37" t="s">
        <v>107</v>
      </c>
      <c r="L81" s="37" t="s">
        <v>6</v>
      </c>
      <c r="M81" s="37" t="s">
        <v>108</v>
      </c>
      <c r="O81" s="37">
        <v>5</v>
      </c>
      <c r="P81" s="37">
        <v>5</v>
      </c>
      <c r="Q81" s="37">
        <v>0</v>
      </c>
      <c r="R81" s="37" t="s">
        <v>109</v>
      </c>
      <c r="T81" s="37" t="s">
        <v>414</v>
      </c>
      <c r="U81" s="37" t="s">
        <v>418</v>
      </c>
    </row>
    <row r="82" spans="1:21" x14ac:dyDescent="0.25">
      <c r="A82" s="37">
        <v>2016</v>
      </c>
      <c r="B82" s="37" t="s">
        <v>238</v>
      </c>
      <c r="C82" s="37">
        <v>19558</v>
      </c>
      <c r="D82" s="37">
        <v>34</v>
      </c>
      <c r="E82" s="37">
        <v>42606</v>
      </c>
      <c r="F82" s="37" t="s">
        <v>104</v>
      </c>
      <c r="G82" s="37" t="s">
        <v>47</v>
      </c>
      <c r="H82" s="37" t="s">
        <v>237</v>
      </c>
      <c r="I82" s="37" t="s">
        <v>61</v>
      </c>
      <c r="J82" s="37" t="s">
        <v>106</v>
      </c>
      <c r="K82" s="37" t="s">
        <v>107</v>
      </c>
      <c r="L82" s="37" t="s">
        <v>5</v>
      </c>
      <c r="M82" s="37" t="s">
        <v>108</v>
      </c>
      <c r="O82" s="37">
        <v>8</v>
      </c>
      <c r="P82" s="37">
        <v>8</v>
      </c>
      <c r="Q82" s="37">
        <v>0</v>
      </c>
      <c r="R82" s="37" t="s">
        <v>109</v>
      </c>
      <c r="T82" s="37" t="s">
        <v>415</v>
      </c>
      <c r="U82" s="37" t="s">
        <v>419</v>
      </c>
    </row>
    <row r="83" spans="1:21" x14ac:dyDescent="0.25">
      <c r="A83" s="37">
        <v>2016</v>
      </c>
      <c r="B83" s="37" t="s">
        <v>239</v>
      </c>
      <c r="C83" s="37">
        <v>19559</v>
      </c>
      <c r="D83" s="37">
        <v>34</v>
      </c>
      <c r="E83" s="37">
        <v>42607</v>
      </c>
      <c r="F83" s="37" t="s">
        <v>104</v>
      </c>
      <c r="G83" s="37" t="s">
        <v>47</v>
      </c>
      <c r="H83" s="37" t="s">
        <v>240</v>
      </c>
      <c r="I83" s="37" t="s">
        <v>59</v>
      </c>
      <c r="J83" s="37" t="s">
        <v>120</v>
      </c>
      <c r="K83" s="37" t="s">
        <v>107</v>
      </c>
      <c r="L83" s="37" t="s">
        <v>5</v>
      </c>
      <c r="M83" s="37" t="s">
        <v>108</v>
      </c>
      <c r="N83" s="37">
        <v>50</v>
      </c>
      <c r="P83" s="37">
        <v>50</v>
      </c>
      <c r="Q83" s="37">
        <v>0</v>
      </c>
      <c r="R83" s="37" t="s">
        <v>109</v>
      </c>
      <c r="T83" s="37" t="s">
        <v>415</v>
      </c>
      <c r="U83" s="37" t="s">
        <v>424</v>
      </c>
    </row>
    <row r="84" spans="1:21" x14ac:dyDescent="0.25">
      <c r="A84" s="37">
        <v>2016</v>
      </c>
      <c r="B84" s="37" t="s">
        <v>241</v>
      </c>
      <c r="C84" s="37">
        <v>19560</v>
      </c>
      <c r="D84" s="37">
        <v>34</v>
      </c>
      <c r="E84" s="37">
        <v>42607</v>
      </c>
      <c r="F84" s="37" t="s">
        <v>104</v>
      </c>
      <c r="G84" s="37" t="s">
        <v>47</v>
      </c>
      <c r="H84" s="37" t="s">
        <v>240</v>
      </c>
      <c r="I84" s="37" t="s">
        <v>59</v>
      </c>
      <c r="J84" s="37" t="s">
        <v>120</v>
      </c>
      <c r="K84" s="37" t="s">
        <v>107</v>
      </c>
      <c r="L84" s="37" t="s">
        <v>5</v>
      </c>
      <c r="M84" s="37" t="s">
        <v>108</v>
      </c>
      <c r="N84" s="37">
        <v>10</v>
      </c>
      <c r="P84" s="37">
        <v>10</v>
      </c>
      <c r="Q84" s="37">
        <v>0</v>
      </c>
      <c r="R84" s="37" t="s">
        <v>109</v>
      </c>
      <c r="T84" s="37" t="s">
        <v>415</v>
      </c>
      <c r="U84" s="37" t="s">
        <v>424</v>
      </c>
    </row>
    <row r="85" spans="1:21" x14ac:dyDescent="0.25">
      <c r="A85" s="37">
        <v>2016</v>
      </c>
      <c r="B85" s="37" t="s">
        <v>242</v>
      </c>
      <c r="C85" s="37">
        <v>19561</v>
      </c>
      <c r="D85" s="37">
        <v>34</v>
      </c>
      <c r="E85" s="37">
        <v>42607</v>
      </c>
      <c r="F85" s="37" t="s">
        <v>104</v>
      </c>
      <c r="G85" s="37" t="s">
        <v>47</v>
      </c>
      <c r="H85" s="37" t="s">
        <v>243</v>
      </c>
      <c r="I85" s="37" t="s">
        <v>59</v>
      </c>
      <c r="J85" s="37" t="s">
        <v>106</v>
      </c>
      <c r="K85" s="37" t="s">
        <v>107</v>
      </c>
      <c r="L85" s="37" t="s">
        <v>6</v>
      </c>
      <c r="M85" s="37" t="s">
        <v>108</v>
      </c>
      <c r="O85" s="37">
        <v>5</v>
      </c>
      <c r="P85" s="37">
        <v>5</v>
      </c>
      <c r="Q85" s="37">
        <v>0</v>
      </c>
      <c r="R85" s="37" t="s">
        <v>109</v>
      </c>
      <c r="T85" s="37" t="s">
        <v>414</v>
      </c>
      <c r="U85" s="37" t="s">
        <v>425</v>
      </c>
    </row>
    <row r="86" spans="1:21" x14ac:dyDescent="0.25">
      <c r="A86" s="37">
        <v>2016</v>
      </c>
      <c r="B86" s="37" t="s">
        <v>244</v>
      </c>
      <c r="C86" s="37">
        <v>19562</v>
      </c>
      <c r="D86" s="37">
        <v>34</v>
      </c>
      <c r="E86" s="37">
        <v>42607</v>
      </c>
      <c r="F86" s="37" t="s">
        <v>104</v>
      </c>
      <c r="G86" s="37" t="s">
        <v>47</v>
      </c>
      <c r="H86" s="37" t="s">
        <v>243</v>
      </c>
      <c r="I86" s="37" t="s">
        <v>59</v>
      </c>
      <c r="J86" s="37" t="s">
        <v>106</v>
      </c>
      <c r="K86" s="37" t="s">
        <v>107</v>
      </c>
      <c r="L86" s="37" t="s">
        <v>5</v>
      </c>
      <c r="M86" s="37" t="s">
        <v>108</v>
      </c>
      <c r="O86" s="37">
        <v>6</v>
      </c>
      <c r="P86" s="37">
        <v>6</v>
      </c>
      <c r="Q86" s="37">
        <v>0</v>
      </c>
      <c r="R86" s="37" t="s">
        <v>109</v>
      </c>
      <c r="T86" s="37" t="s">
        <v>415</v>
      </c>
      <c r="U86" s="37" t="s">
        <v>424</v>
      </c>
    </row>
    <row r="87" spans="1:21" x14ac:dyDescent="0.25">
      <c r="A87" s="37">
        <v>2016</v>
      </c>
      <c r="B87" s="37" t="s">
        <v>245</v>
      </c>
      <c r="C87" s="37">
        <v>19563</v>
      </c>
      <c r="D87" s="37">
        <v>34</v>
      </c>
      <c r="E87" s="37">
        <v>42607</v>
      </c>
      <c r="F87" s="37" t="s">
        <v>104</v>
      </c>
      <c r="G87" s="37" t="s">
        <v>47</v>
      </c>
      <c r="H87" s="37" t="s">
        <v>246</v>
      </c>
      <c r="I87" s="37" t="s">
        <v>59</v>
      </c>
      <c r="J87" s="37" t="s">
        <v>106</v>
      </c>
      <c r="K87" s="37" t="s">
        <v>107</v>
      </c>
      <c r="L87" s="37" t="s">
        <v>5</v>
      </c>
      <c r="M87" s="37" t="s">
        <v>108</v>
      </c>
      <c r="O87" s="37">
        <v>3</v>
      </c>
      <c r="P87" s="37">
        <v>3</v>
      </c>
      <c r="Q87" s="37">
        <v>0</v>
      </c>
      <c r="R87" s="37" t="s">
        <v>109</v>
      </c>
      <c r="T87" s="37" t="s">
        <v>415</v>
      </c>
      <c r="U87" s="37" t="s">
        <v>424</v>
      </c>
    </row>
    <row r="88" spans="1:21" x14ac:dyDescent="0.25">
      <c r="A88" s="37">
        <v>2016</v>
      </c>
      <c r="B88" s="37" t="s">
        <v>247</v>
      </c>
      <c r="C88" s="37">
        <v>19564</v>
      </c>
      <c r="D88" s="37">
        <v>34</v>
      </c>
      <c r="E88" s="37">
        <v>42607</v>
      </c>
      <c r="F88" s="37" t="s">
        <v>104</v>
      </c>
      <c r="G88" s="37" t="s">
        <v>47</v>
      </c>
      <c r="H88" s="37" t="s">
        <v>248</v>
      </c>
      <c r="I88" s="37" t="s">
        <v>59</v>
      </c>
      <c r="J88" s="37" t="s">
        <v>120</v>
      </c>
      <c r="K88" s="37" t="s">
        <v>107</v>
      </c>
      <c r="L88" s="37" t="s">
        <v>5</v>
      </c>
      <c r="M88" s="37" t="s">
        <v>108</v>
      </c>
      <c r="N88" s="37">
        <v>3</v>
      </c>
      <c r="P88" s="37">
        <v>3</v>
      </c>
      <c r="Q88" s="37">
        <v>0</v>
      </c>
      <c r="R88" s="37" t="s">
        <v>109</v>
      </c>
      <c r="T88" s="37" t="s">
        <v>415</v>
      </c>
      <c r="U88" s="37" t="s">
        <v>424</v>
      </c>
    </row>
    <row r="89" spans="1:21" x14ac:dyDescent="0.25">
      <c r="A89" s="37">
        <v>2016</v>
      </c>
      <c r="B89" s="37" t="s">
        <v>249</v>
      </c>
      <c r="C89" s="37">
        <v>19565</v>
      </c>
      <c r="D89" s="37">
        <v>34</v>
      </c>
      <c r="E89" s="37">
        <v>42607</v>
      </c>
      <c r="F89" s="37" t="s">
        <v>104</v>
      </c>
      <c r="G89" s="37" t="s">
        <v>47</v>
      </c>
      <c r="H89" s="37" t="s">
        <v>250</v>
      </c>
      <c r="I89" s="37" t="s">
        <v>59</v>
      </c>
      <c r="J89" s="37" t="s">
        <v>106</v>
      </c>
      <c r="K89" s="37" t="s">
        <v>107</v>
      </c>
      <c r="L89" s="37" t="s">
        <v>6</v>
      </c>
      <c r="M89" s="37" t="s">
        <v>108</v>
      </c>
      <c r="O89" s="37">
        <v>10</v>
      </c>
      <c r="P89" s="37">
        <v>10</v>
      </c>
      <c r="Q89" s="37">
        <v>0</v>
      </c>
      <c r="R89" s="37" t="s">
        <v>109</v>
      </c>
      <c r="T89" s="37" t="s">
        <v>414</v>
      </c>
      <c r="U89" s="37" t="s">
        <v>425</v>
      </c>
    </row>
    <row r="90" spans="1:21" x14ac:dyDescent="0.25">
      <c r="A90" s="37">
        <v>2016</v>
      </c>
      <c r="B90" s="37" t="s">
        <v>251</v>
      </c>
      <c r="C90" s="37">
        <v>19566</v>
      </c>
      <c r="D90" s="37">
        <v>34</v>
      </c>
      <c r="E90" s="37">
        <v>42607</v>
      </c>
      <c r="F90" s="37" t="s">
        <v>104</v>
      </c>
      <c r="G90" s="37" t="s">
        <v>47</v>
      </c>
      <c r="H90" s="37" t="s">
        <v>250</v>
      </c>
      <c r="I90" s="37" t="s">
        <v>59</v>
      </c>
      <c r="J90" s="37" t="s">
        <v>106</v>
      </c>
      <c r="K90" s="37" t="s">
        <v>107</v>
      </c>
      <c r="L90" s="37" t="s">
        <v>5</v>
      </c>
      <c r="M90" s="37" t="s">
        <v>108</v>
      </c>
      <c r="O90" s="37">
        <v>6</v>
      </c>
      <c r="P90" s="37">
        <v>6</v>
      </c>
      <c r="Q90" s="37">
        <v>0</v>
      </c>
      <c r="R90" s="37" t="s">
        <v>109</v>
      </c>
      <c r="T90" s="37" t="s">
        <v>415</v>
      </c>
      <c r="U90" s="37" t="s">
        <v>424</v>
      </c>
    </row>
    <row r="91" spans="1:21" x14ac:dyDescent="0.25">
      <c r="A91" s="37">
        <v>2016</v>
      </c>
      <c r="B91" s="37" t="s">
        <v>252</v>
      </c>
      <c r="C91" s="37">
        <v>19567</v>
      </c>
      <c r="D91" s="37">
        <v>34</v>
      </c>
      <c r="E91" s="37">
        <v>42607</v>
      </c>
      <c r="F91" s="37" t="s">
        <v>104</v>
      </c>
      <c r="G91" s="37" t="s">
        <v>47</v>
      </c>
      <c r="H91" s="37" t="s">
        <v>253</v>
      </c>
      <c r="I91" s="37" t="s">
        <v>59</v>
      </c>
      <c r="J91" s="37" t="s">
        <v>120</v>
      </c>
      <c r="K91" s="37" t="s">
        <v>107</v>
      </c>
      <c r="L91" s="37" t="s">
        <v>5</v>
      </c>
      <c r="M91" s="37" t="s">
        <v>108</v>
      </c>
      <c r="N91" s="37">
        <v>4</v>
      </c>
      <c r="P91" s="37">
        <v>4</v>
      </c>
      <c r="Q91" s="37">
        <v>0</v>
      </c>
      <c r="R91" s="37" t="s">
        <v>109</v>
      </c>
      <c r="T91" s="37" t="s">
        <v>415</v>
      </c>
      <c r="U91" s="37" t="s">
        <v>424</v>
      </c>
    </row>
    <row r="92" spans="1:21" x14ac:dyDescent="0.25">
      <c r="A92" s="37">
        <v>2016</v>
      </c>
      <c r="B92" s="37" t="s">
        <v>254</v>
      </c>
      <c r="C92" s="37">
        <v>19568</v>
      </c>
      <c r="D92" s="37">
        <v>34</v>
      </c>
      <c r="E92" s="37">
        <v>42607</v>
      </c>
      <c r="F92" s="37" t="s">
        <v>104</v>
      </c>
      <c r="G92" s="37" t="s">
        <v>47</v>
      </c>
      <c r="H92" s="37" t="s">
        <v>255</v>
      </c>
      <c r="I92" s="37" t="s">
        <v>58</v>
      </c>
      <c r="J92" s="37" t="s">
        <v>106</v>
      </c>
      <c r="K92" s="37" t="s">
        <v>107</v>
      </c>
      <c r="L92" s="37" t="s">
        <v>6</v>
      </c>
      <c r="M92" s="37" t="s">
        <v>108</v>
      </c>
      <c r="O92" s="37">
        <v>3</v>
      </c>
      <c r="P92" s="37">
        <v>3</v>
      </c>
      <c r="Q92" s="37">
        <v>0</v>
      </c>
      <c r="R92" s="37" t="s">
        <v>109</v>
      </c>
      <c r="T92" s="37" t="s">
        <v>414</v>
      </c>
      <c r="U92" s="37" t="s">
        <v>423</v>
      </c>
    </row>
    <row r="93" spans="1:21" x14ac:dyDescent="0.25">
      <c r="A93" s="37">
        <v>2016</v>
      </c>
      <c r="B93" s="37" t="s">
        <v>256</v>
      </c>
      <c r="C93" s="37">
        <v>19569</v>
      </c>
      <c r="D93" s="37">
        <v>34</v>
      </c>
      <c r="E93" s="37">
        <v>42607</v>
      </c>
      <c r="F93" s="37" t="s">
        <v>104</v>
      </c>
      <c r="G93" s="37" t="s">
        <v>47</v>
      </c>
      <c r="H93" s="37" t="s">
        <v>255</v>
      </c>
      <c r="I93" s="37" t="s">
        <v>58</v>
      </c>
      <c r="J93" s="37" t="s">
        <v>106</v>
      </c>
      <c r="K93" s="37" t="s">
        <v>107</v>
      </c>
      <c r="L93" s="37" t="s">
        <v>5</v>
      </c>
      <c r="M93" s="37" t="s">
        <v>108</v>
      </c>
      <c r="O93" s="37">
        <v>2</v>
      </c>
      <c r="P93" s="37">
        <v>2</v>
      </c>
      <c r="Q93" s="37">
        <v>0</v>
      </c>
      <c r="R93" s="37" t="s">
        <v>109</v>
      </c>
      <c r="T93" s="37" t="s">
        <v>415</v>
      </c>
      <c r="U93" s="37" t="s">
        <v>422</v>
      </c>
    </row>
    <row r="94" spans="1:21" x14ac:dyDescent="0.25">
      <c r="A94" s="37">
        <v>2016</v>
      </c>
      <c r="B94" s="37" t="s">
        <v>257</v>
      </c>
      <c r="C94" s="37">
        <v>19570</v>
      </c>
      <c r="D94" s="37">
        <v>34</v>
      </c>
      <c r="E94" s="37">
        <v>42607</v>
      </c>
      <c r="F94" s="37" t="s">
        <v>104</v>
      </c>
      <c r="G94" s="37" t="s">
        <v>47</v>
      </c>
      <c r="H94" s="37" t="s">
        <v>258</v>
      </c>
      <c r="I94" s="37" t="s">
        <v>59</v>
      </c>
      <c r="J94" s="37" t="s">
        <v>106</v>
      </c>
      <c r="K94" s="37" t="s">
        <v>107</v>
      </c>
      <c r="L94" s="37" t="s">
        <v>6</v>
      </c>
      <c r="M94" s="37" t="s">
        <v>108</v>
      </c>
      <c r="O94" s="37">
        <v>3</v>
      </c>
      <c r="P94" s="37">
        <v>3</v>
      </c>
      <c r="Q94" s="37">
        <v>0</v>
      </c>
      <c r="R94" s="37" t="s">
        <v>109</v>
      </c>
      <c r="T94" s="37" t="s">
        <v>414</v>
      </c>
      <c r="U94" s="37" t="s">
        <v>425</v>
      </c>
    </row>
    <row r="95" spans="1:21" x14ac:dyDescent="0.25">
      <c r="A95" s="61">
        <v>2016</v>
      </c>
      <c r="B95" s="61" t="s">
        <v>259</v>
      </c>
      <c r="C95" s="37">
        <v>19571</v>
      </c>
      <c r="D95" s="61">
        <v>34</v>
      </c>
      <c r="E95" s="61">
        <v>42607</v>
      </c>
      <c r="F95" s="61" t="s">
        <v>104</v>
      </c>
      <c r="G95" s="61" t="s">
        <v>47</v>
      </c>
      <c r="H95" s="61" t="s">
        <v>258</v>
      </c>
      <c r="I95" s="61" t="s">
        <v>59</v>
      </c>
      <c r="J95" s="61" t="s">
        <v>106</v>
      </c>
      <c r="K95" s="61" t="s">
        <v>107</v>
      </c>
      <c r="L95" s="61" t="s">
        <v>5</v>
      </c>
      <c r="M95" s="61" t="s">
        <v>108</v>
      </c>
      <c r="N95" s="61"/>
      <c r="O95" s="61">
        <v>13</v>
      </c>
      <c r="P95" s="61">
        <v>13</v>
      </c>
      <c r="Q95" s="61">
        <v>1</v>
      </c>
      <c r="R95" s="61" t="s">
        <v>133</v>
      </c>
      <c r="T95" s="37" t="s">
        <v>415</v>
      </c>
      <c r="U95" s="37" t="s">
        <v>424</v>
      </c>
    </row>
    <row r="96" spans="1:21" x14ac:dyDescent="0.25">
      <c r="A96" s="37">
        <v>2016</v>
      </c>
      <c r="B96" s="37" t="s">
        <v>260</v>
      </c>
      <c r="C96" s="37">
        <v>19572</v>
      </c>
      <c r="D96" s="37">
        <v>34</v>
      </c>
      <c r="E96" s="37">
        <v>42607</v>
      </c>
      <c r="F96" s="37" t="s">
        <v>104</v>
      </c>
      <c r="G96" s="37" t="s">
        <v>47</v>
      </c>
      <c r="H96" s="37" t="s">
        <v>261</v>
      </c>
      <c r="I96" s="37" t="s">
        <v>59</v>
      </c>
      <c r="J96" s="37" t="s">
        <v>106</v>
      </c>
      <c r="K96" s="37" t="s">
        <v>107</v>
      </c>
      <c r="L96" s="37" t="s">
        <v>6</v>
      </c>
      <c r="M96" s="37" t="s">
        <v>108</v>
      </c>
      <c r="O96" s="37">
        <v>3</v>
      </c>
      <c r="P96" s="37">
        <v>3</v>
      </c>
      <c r="Q96" s="37">
        <v>0</v>
      </c>
      <c r="R96" s="37" t="s">
        <v>109</v>
      </c>
      <c r="T96" s="37" t="s">
        <v>414</v>
      </c>
      <c r="U96" s="37" t="s">
        <v>425</v>
      </c>
    </row>
    <row r="97" spans="1:21" x14ac:dyDescent="0.25">
      <c r="A97" s="37">
        <v>2016</v>
      </c>
      <c r="B97" s="37" t="s">
        <v>262</v>
      </c>
      <c r="C97" s="37">
        <v>19573</v>
      </c>
      <c r="D97" s="37">
        <v>34</v>
      </c>
      <c r="E97" s="37">
        <v>42607</v>
      </c>
      <c r="F97" s="37" t="s">
        <v>104</v>
      </c>
      <c r="G97" s="37" t="s">
        <v>47</v>
      </c>
      <c r="H97" s="37" t="s">
        <v>261</v>
      </c>
      <c r="I97" s="37" t="s">
        <v>59</v>
      </c>
      <c r="J97" s="37" t="s">
        <v>106</v>
      </c>
      <c r="K97" s="37" t="s">
        <v>107</v>
      </c>
      <c r="L97" s="37" t="s">
        <v>5</v>
      </c>
      <c r="M97" s="37" t="s">
        <v>108</v>
      </c>
      <c r="O97" s="37">
        <v>22</v>
      </c>
      <c r="P97" s="37">
        <v>22</v>
      </c>
      <c r="Q97" s="37">
        <v>0</v>
      </c>
      <c r="R97" s="37" t="s">
        <v>109</v>
      </c>
      <c r="T97" s="37" t="s">
        <v>415</v>
      </c>
      <c r="U97" s="37" t="s">
        <v>424</v>
      </c>
    </row>
    <row r="98" spans="1:21" x14ac:dyDescent="0.25">
      <c r="A98" s="61">
        <v>2016</v>
      </c>
      <c r="B98" s="61" t="s">
        <v>263</v>
      </c>
      <c r="C98" s="37">
        <v>19574</v>
      </c>
      <c r="D98" s="61">
        <v>34</v>
      </c>
      <c r="E98" s="61">
        <v>42607</v>
      </c>
      <c r="F98" s="61" t="s">
        <v>104</v>
      </c>
      <c r="G98" s="61" t="s">
        <v>47</v>
      </c>
      <c r="H98" s="61" t="s">
        <v>264</v>
      </c>
      <c r="I98" s="61" t="s">
        <v>59</v>
      </c>
      <c r="J98" s="61" t="s">
        <v>120</v>
      </c>
      <c r="K98" s="61" t="s">
        <v>107</v>
      </c>
      <c r="L98" s="61" t="s">
        <v>5</v>
      </c>
      <c r="M98" s="61" t="s">
        <v>108</v>
      </c>
      <c r="N98" s="61">
        <v>29</v>
      </c>
      <c r="O98" s="61"/>
      <c r="P98" s="61">
        <v>29</v>
      </c>
      <c r="Q98" s="61">
        <v>1</v>
      </c>
      <c r="R98" s="61" t="s">
        <v>133</v>
      </c>
      <c r="T98" s="37" t="s">
        <v>415</v>
      </c>
      <c r="U98" s="37" t="s">
        <v>424</v>
      </c>
    </row>
    <row r="99" spans="1:21" x14ac:dyDescent="0.25">
      <c r="A99" s="37">
        <v>2016</v>
      </c>
      <c r="B99" s="37" t="s">
        <v>265</v>
      </c>
      <c r="C99" s="37">
        <v>19575</v>
      </c>
      <c r="D99" s="37">
        <v>34</v>
      </c>
      <c r="E99" s="37">
        <v>42607</v>
      </c>
      <c r="F99" s="37" t="s">
        <v>104</v>
      </c>
      <c r="G99" s="37" t="s">
        <v>47</v>
      </c>
      <c r="H99" s="37" t="s">
        <v>266</v>
      </c>
      <c r="I99" s="37" t="s">
        <v>59</v>
      </c>
      <c r="J99" s="37" t="s">
        <v>106</v>
      </c>
      <c r="K99" s="37" t="s">
        <v>107</v>
      </c>
      <c r="L99" s="37" t="s">
        <v>6</v>
      </c>
      <c r="M99" s="37" t="s">
        <v>108</v>
      </c>
      <c r="O99" s="37">
        <v>3</v>
      </c>
      <c r="P99" s="37">
        <v>3</v>
      </c>
      <c r="Q99" s="37">
        <v>0</v>
      </c>
      <c r="R99" s="37" t="s">
        <v>109</v>
      </c>
      <c r="T99" s="37" t="s">
        <v>414</v>
      </c>
      <c r="U99" s="37" t="s">
        <v>425</v>
      </c>
    </row>
    <row r="100" spans="1:21" x14ac:dyDescent="0.25">
      <c r="A100" s="37">
        <v>2016</v>
      </c>
      <c r="B100" s="37" t="s">
        <v>267</v>
      </c>
      <c r="C100" s="37">
        <v>19576</v>
      </c>
      <c r="D100" s="37">
        <v>34</v>
      </c>
      <c r="E100" s="37">
        <v>42607</v>
      </c>
      <c r="F100" s="37" t="s">
        <v>104</v>
      </c>
      <c r="G100" s="37" t="s">
        <v>47</v>
      </c>
      <c r="H100" s="37" t="s">
        <v>266</v>
      </c>
      <c r="I100" s="37" t="s">
        <v>59</v>
      </c>
      <c r="J100" s="37" t="s">
        <v>106</v>
      </c>
      <c r="K100" s="37" t="s">
        <v>107</v>
      </c>
      <c r="L100" s="37" t="s">
        <v>5</v>
      </c>
      <c r="M100" s="37" t="s">
        <v>108</v>
      </c>
      <c r="O100" s="37">
        <v>3</v>
      </c>
      <c r="P100" s="37">
        <v>3</v>
      </c>
      <c r="Q100" s="37">
        <v>0</v>
      </c>
      <c r="R100" s="37" t="s">
        <v>109</v>
      </c>
      <c r="T100" s="37" t="s">
        <v>415</v>
      </c>
      <c r="U100" s="37" t="s">
        <v>424</v>
      </c>
    </row>
    <row r="101" spans="1:21" x14ac:dyDescent="0.25">
      <c r="A101" s="37">
        <v>2016</v>
      </c>
      <c r="B101" s="37" t="s">
        <v>268</v>
      </c>
      <c r="C101" s="37">
        <v>19577</v>
      </c>
      <c r="D101" s="37">
        <v>34</v>
      </c>
      <c r="E101" s="37">
        <v>42607</v>
      </c>
      <c r="F101" s="37" t="s">
        <v>104</v>
      </c>
      <c r="G101" s="37" t="s">
        <v>47</v>
      </c>
      <c r="H101" s="37" t="s">
        <v>269</v>
      </c>
      <c r="I101" s="37" t="s">
        <v>59</v>
      </c>
      <c r="J101" s="37" t="s">
        <v>106</v>
      </c>
      <c r="K101" s="37" t="s">
        <v>107</v>
      </c>
      <c r="L101" s="37" t="s">
        <v>5</v>
      </c>
      <c r="M101" s="37" t="s">
        <v>108</v>
      </c>
      <c r="O101" s="37">
        <v>3</v>
      </c>
      <c r="P101" s="37">
        <v>3</v>
      </c>
      <c r="Q101" s="37">
        <v>0</v>
      </c>
      <c r="R101" s="37" t="s">
        <v>109</v>
      </c>
      <c r="T101" s="37" t="s">
        <v>415</v>
      </c>
      <c r="U101" s="37" t="s">
        <v>424</v>
      </c>
    </row>
    <row r="102" spans="1:21" x14ac:dyDescent="0.25">
      <c r="A102" s="37">
        <v>2016</v>
      </c>
      <c r="B102" s="37" t="s">
        <v>270</v>
      </c>
      <c r="C102" s="37">
        <v>19578</v>
      </c>
      <c r="D102" s="37">
        <v>34</v>
      </c>
      <c r="E102" s="37">
        <v>42607</v>
      </c>
      <c r="F102" s="37" t="s">
        <v>104</v>
      </c>
      <c r="G102" s="37" t="s">
        <v>47</v>
      </c>
      <c r="H102" s="37" t="s">
        <v>271</v>
      </c>
      <c r="I102" s="37" t="s">
        <v>59</v>
      </c>
      <c r="J102" s="37" t="s">
        <v>106</v>
      </c>
      <c r="K102" s="37" t="s">
        <v>107</v>
      </c>
      <c r="L102" s="37" t="s">
        <v>6</v>
      </c>
      <c r="M102" s="37" t="s">
        <v>108</v>
      </c>
      <c r="O102" s="37">
        <v>3</v>
      </c>
      <c r="P102" s="37">
        <v>3</v>
      </c>
      <c r="Q102" s="37">
        <v>0</v>
      </c>
      <c r="R102" s="37" t="s">
        <v>109</v>
      </c>
      <c r="T102" s="37" t="s">
        <v>414</v>
      </c>
      <c r="U102" s="37" t="s">
        <v>425</v>
      </c>
    </row>
    <row r="103" spans="1:21" x14ac:dyDescent="0.25">
      <c r="A103" s="37">
        <v>2016</v>
      </c>
      <c r="B103" s="37" t="s">
        <v>272</v>
      </c>
      <c r="C103" s="37">
        <v>19579</v>
      </c>
      <c r="D103" s="37">
        <v>34</v>
      </c>
      <c r="E103" s="37">
        <v>42607</v>
      </c>
      <c r="F103" s="37" t="s">
        <v>104</v>
      </c>
      <c r="G103" s="37" t="s">
        <v>47</v>
      </c>
      <c r="H103" s="37" t="s">
        <v>271</v>
      </c>
      <c r="I103" s="37" t="s">
        <v>59</v>
      </c>
      <c r="J103" s="37" t="s">
        <v>106</v>
      </c>
      <c r="K103" s="37" t="s">
        <v>107</v>
      </c>
      <c r="L103" s="37" t="s">
        <v>5</v>
      </c>
      <c r="M103" s="37" t="s">
        <v>108</v>
      </c>
      <c r="O103" s="37">
        <v>12</v>
      </c>
      <c r="P103" s="37">
        <v>12</v>
      </c>
      <c r="Q103" s="37">
        <v>0</v>
      </c>
      <c r="R103" s="37" t="s">
        <v>109</v>
      </c>
      <c r="T103" s="37" t="s">
        <v>415</v>
      </c>
      <c r="U103" s="37" t="s">
        <v>424</v>
      </c>
    </row>
    <row r="104" spans="1:21" x14ac:dyDescent="0.25">
      <c r="A104" s="37"/>
      <c r="E104" s="37"/>
    </row>
    <row r="105" spans="1:21" x14ac:dyDescent="0.25">
      <c r="A105" s="37"/>
      <c r="E105" s="37"/>
    </row>
    <row r="106" spans="1:21" x14ac:dyDescent="0.25">
      <c r="A106" s="37"/>
      <c r="E106" s="37"/>
    </row>
    <row r="107" spans="1:21" x14ac:dyDescent="0.25">
      <c r="A107" s="37"/>
      <c r="E107" s="37"/>
    </row>
    <row r="108" spans="1:21" x14ac:dyDescent="0.25">
      <c r="A108" s="37"/>
      <c r="E108" s="37"/>
    </row>
    <row r="109" spans="1:21" x14ac:dyDescent="0.25">
      <c r="A109" s="37"/>
      <c r="E109" s="37"/>
    </row>
    <row r="110" spans="1:21" x14ac:dyDescent="0.25">
      <c r="A110" s="37"/>
      <c r="E110" s="37"/>
    </row>
    <row r="111" spans="1:21" x14ac:dyDescent="0.25">
      <c r="A111" s="37"/>
      <c r="E111" s="37"/>
    </row>
    <row r="112" spans="1:21"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103">
    <sortCondition ref="C2:C1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41</v>
      </c>
      <c r="B1" s="66" t="s">
        <v>426</v>
      </c>
      <c r="C1" s="66" t="s">
        <v>427</v>
      </c>
      <c r="D1" s="66" t="s">
        <v>428</v>
      </c>
      <c r="E1" s="65" t="s">
        <v>429</v>
      </c>
      <c r="F1" s="65" t="s">
        <v>430</v>
      </c>
      <c r="G1" s="65" t="s">
        <v>431</v>
      </c>
      <c r="H1" s="65" t="s">
        <v>432</v>
      </c>
      <c r="I1" s="65" t="s">
        <v>433</v>
      </c>
      <c r="J1" s="65" t="s">
        <v>434</v>
      </c>
    </row>
    <row r="2" spans="1:10" x14ac:dyDescent="0.25">
      <c r="A2" t="s">
        <v>47</v>
      </c>
      <c r="B2" s="31">
        <v>13.567466122110835</v>
      </c>
      <c r="C2" s="31">
        <v>7.3607175417570669</v>
      </c>
      <c r="D2" s="31">
        <v>23.449289148666594</v>
      </c>
      <c r="E2" s="63">
        <v>1000</v>
      </c>
      <c r="F2" s="64" t="s">
        <v>435</v>
      </c>
      <c r="G2" s="64" t="s">
        <v>436</v>
      </c>
      <c r="H2">
        <v>82</v>
      </c>
      <c r="I2">
        <v>12</v>
      </c>
      <c r="J2">
        <v>1082</v>
      </c>
    </row>
    <row r="3" spans="1:10" x14ac:dyDescent="0.25">
      <c r="A3" t="s">
        <v>9</v>
      </c>
      <c r="B3" s="31">
        <v>15.919150037896616</v>
      </c>
      <c r="C3" s="31">
        <v>5.975147987326042</v>
      </c>
      <c r="D3" s="31">
        <v>36.96435290746075</v>
      </c>
      <c r="E3" s="63">
        <v>1000</v>
      </c>
      <c r="F3" s="64" t="s">
        <v>435</v>
      </c>
      <c r="G3" s="64" t="s">
        <v>436</v>
      </c>
      <c r="H3">
        <v>20</v>
      </c>
      <c r="I3">
        <v>5</v>
      </c>
      <c r="J3">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3" sqref="A3: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46</v>
      </c>
      <c r="B1" s="66" t="s">
        <v>426</v>
      </c>
      <c r="C1" s="66" t="s">
        <v>427</v>
      </c>
      <c r="D1" s="66" t="s">
        <v>428</v>
      </c>
      <c r="E1" s="65" t="s">
        <v>429</v>
      </c>
      <c r="F1" s="65" t="s">
        <v>430</v>
      </c>
      <c r="G1" s="65" t="s">
        <v>431</v>
      </c>
      <c r="H1" s="65" t="s">
        <v>432</v>
      </c>
      <c r="I1" s="65" t="s">
        <v>433</v>
      </c>
      <c r="J1" s="65" t="s">
        <v>434</v>
      </c>
    </row>
    <row r="2" spans="1:10" x14ac:dyDescent="0.25">
      <c r="A2" t="s">
        <v>9</v>
      </c>
      <c r="B2" s="31">
        <v>15.919150037896616</v>
      </c>
      <c r="C2" s="31">
        <v>5.975147987326042</v>
      </c>
      <c r="D2" s="31">
        <v>36.96435290746075</v>
      </c>
      <c r="E2" s="63">
        <v>1000</v>
      </c>
      <c r="F2" s="64" t="s">
        <v>435</v>
      </c>
      <c r="G2" s="64" t="s">
        <v>436</v>
      </c>
      <c r="H2">
        <v>20</v>
      </c>
      <c r="I2">
        <v>5</v>
      </c>
      <c r="J2">
        <v>399</v>
      </c>
    </row>
    <row r="3" spans="1:10" x14ac:dyDescent="0.25">
      <c r="A3" t="s">
        <v>59</v>
      </c>
      <c r="B3" s="31">
        <v>11.032737481449766</v>
      </c>
      <c r="C3" s="31">
        <v>2.0490529641496456</v>
      </c>
      <c r="D3" s="31">
        <v>36.414119561975902</v>
      </c>
      <c r="E3" s="63">
        <v>1000</v>
      </c>
      <c r="F3" s="64" t="s">
        <v>435</v>
      </c>
      <c r="G3" s="64" t="s">
        <v>436</v>
      </c>
      <c r="H3">
        <v>19</v>
      </c>
      <c r="I3">
        <v>2</v>
      </c>
      <c r="J3">
        <v>191</v>
      </c>
    </row>
    <row r="4" spans="1:10" x14ac:dyDescent="0.25">
      <c r="A4" t="s">
        <v>58</v>
      </c>
      <c r="B4" s="31">
        <v>13.048183147866625</v>
      </c>
      <c r="C4" s="31">
        <v>4.1637446420343815</v>
      </c>
      <c r="D4" s="31">
        <v>34.120789614184751</v>
      </c>
      <c r="E4" s="63">
        <v>1000</v>
      </c>
      <c r="F4" s="64" t="s">
        <v>435</v>
      </c>
      <c r="G4" s="64" t="s">
        <v>436</v>
      </c>
      <c r="H4">
        <v>18</v>
      </c>
      <c r="I4">
        <v>4</v>
      </c>
      <c r="J4">
        <v>397</v>
      </c>
    </row>
    <row r="5" spans="1:10" x14ac:dyDescent="0.25">
      <c r="A5" t="s">
        <v>60</v>
      </c>
      <c r="B5" s="31">
        <v>22.256481797265028</v>
      </c>
      <c r="C5" s="31">
        <v>9.1996468379747007</v>
      </c>
      <c r="D5" s="31">
        <v>47.848084174047266</v>
      </c>
      <c r="E5" s="63">
        <v>1000</v>
      </c>
      <c r="F5" s="64" t="s">
        <v>435</v>
      </c>
      <c r="G5" s="64" t="s">
        <v>436</v>
      </c>
      <c r="H5">
        <v>31</v>
      </c>
      <c r="I5">
        <v>6</v>
      </c>
      <c r="J5">
        <v>343</v>
      </c>
    </row>
    <row r="6" spans="1:10" x14ac:dyDescent="0.25">
      <c r="A6" t="s">
        <v>61</v>
      </c>
      <c r="B6" s="31">
        <v>0</v>
      </c>
      <c r="C6" s="31">
        <v>0</v>
      </c>
      <c r="D6" s="31">
        <v>19.419954548981117</v>
      </c>
      <c r="E6" s="63">
        <v>1000</v>
      </c>
      <c r="F6" s="64" t="s">
        <v>62</v>
      </c>
      <c r="G6" s="64" t="s">
        <v>437</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92</v>
      </c>
      <c r="B1" s="66" t="s">
        <v>426</v>
      </c>
      <c r="C1" s="66" t="s">
        <v>427</v>
      </c>
      <c r="D1" s="66" t="s">
        <v>428</v>
      </c>
      <c r="E1" s="65" t="s">
        <v>429</v>
      </c>
      <c r="F1" s="65" t="s">
        <v>430</v>
      </c>
      <c r="G1" s="65" t="s">
        <v>431</v>
      </c>
      <c r="H1" s="65" t="s">
        <v>432</v>
      </c>
      <c r="I1" s="65" t="s">
        <v>433</v>
      </c>
      <c r="J1" s="65" t="s">
        <v>434</v>
      </c>
    </row>
    <row r="2" spans="1:10" x14ac:dyDescent="0.25">
      <c r="A2" t="s">
        <v>417</v>
      </c>
      <c r="B2" s="31">
        <v>16.317642027211935</v>
      </c>
      <c r="C2" s="31">
        <v>4.269743634763608</v>
      </c>
      <c r="D2" s="31">
        <v>50.771849222822219</v>
      </c>
      <c r="E2" s="63">
        <v>1000</v>
      </c>
      <c r="F2" s="64" t="s">
        <v>435</v>
      </c>
      <c r="G2" s="64" t="s">
        <v>436</v>
      </c>
      <c r="H2">
        <v>11</v>
      </c>
      <c r="I2">
        <v>3</v>
      </c>
      <c r="J2">
        <v>246</v>
      </c>
    </row>
    <row r="3" spans="1:10" x14ac:dyDescent="0.25">
      <c r="A3" t="s">
        <v>416</v>
      </c>
      <c r="B3" s="31">
        <v>13.536841981498121</v>
      </c>
      <c r="C3" s="31">
        <v>2.6510612175675079</v>
      </c>
      <c r="D3" s="31">
        <v>44.829432710120749</v>
      </c>
      <c r="E3" s="63">
        <v>1000</v>
      </c>
      <c r="F3" s="64" t="s">
        <v>435</v>
      </c>
      <c r="G3" s="64" t="s">
        <v>436</v>
      </c>
      <c r="H3">
        <v>9</v>
      </c>
      <c r="I3">
        <v>2</v>
      </c>
      <c r="J3">
        <v>153</v>
      </c>
    </row>
    <row r="4" spans="1:10" x14ac:dyDescent="0.25">
      <c r="A4" t="s">
        <v>424</v>
      </c>
      <c r="B4" s="31">
        <v>12.808669194880974</v>
      </c>
      <c r="C4" s="31">
        <v>2.4461758858157561</v>
      </c>
      <c r="D4" s="31">
        <v>42.379444323695225</v>
      </c>
      <c r="E4" s="63">
        <v>1000</v>
      </c>
      <c r="F4" s="64" t="s">
        <v>435</v>
      </c>
      <c r="G4" s="64" t="s">
        <v>436</v>
      </c>
      <c r="H4">
        <v>13</v>
      </c>
      <c r="I4">
        <v>2</v>
      </c>
      <c r="J4">
        <v>164</v>
      </c>
    </row>
    <row r="5" spans="1:10" x14ac:dyDescent="0.25">
      <c r="A5" t="s">
        <v>425</v>
      </c>
      <c r="B5" s="31">
        <v>0</v>
      </c>
      <c r="C5" s="31">
        <v>0</v>
      </c>
      <c r="D5" s="31">
        <v>98.726265707276241</v>
      </c>
      <c r="E5" s="63">
        <v>1000</v>
      </c>
      <c r="F5" s="64" t="s">
        <v>62</v>
      </c>
      <c r="G5" s="64" t="s">
        <v>437</v>
      </c>
      <c r="H5">
        <v>6</v>
      </c>
      <c r="I5">
        <v>0</v>
      </c>
      <c r="J5">
        <v>27</v>
      </c>
    </row>
    <row r="6" spans="1:10" x14ac:dyDescent="0.25">
      <c r="A6" t="s">
        <v>422</v>
      </c>
      <c r="B6" s="31">
        <v>18.014997138011665</v>
      </c>
      <c r="C6" s="31">
        <v>5.758459057375469</v>
      </c>
      <c r="D6" s="31">
        <v>49.676384630938266</v>
      </c>
      <c r="E6" s="63">
        <v>1000</v>
      </c>
      <c r="F6" s="64" t="s">
        <v>435</v>
      </c>
      <c r="G6" s="64" t="s">
        <v>436</v>
      </c>
      <c r="H6">
        <v>12</v>
      </c>
      <c r="I6">
        <v>4</v>
      </c>
      <c r="J6">
        <v>315</v>
      </c>
    </row>
    <row r="7" spans="1:10" x14ac:dyDescent="0.25">
      <c r="A7" t="s">
        <v>423</v>
      </c>
      <c r="B7" s="31">
        <v>0</v>
      </c>
      <c r="C7" s="31">
        <v>0</v>
      </c>
      <c r="D7" s="31">
        <v>29.217951539329174</v>
      </c>
      <c r="E7" s="63">
        <v>1000</v>
      </c>
      <c r="F7" s="64" t="s">
        <v>62</v>
      </c>
      <c r="G7" s="64" t="s">
        <v>437</v>
      </c>
      <c r="H7">
        <v>6</v>
      </c>
      <c r="I7">
        <v>0</v>
      </c>
      <c r="J7">
        <v>82</v>
      </c>
    </row>
    <row r="8" spans="1:10" x14ac:dyDescent="0.25">
      <c r="A8" t="s">
        <v>421</v>
      </c>
      <c r="B8" s="31">
        <v>25.095598659797659</v>
      </c>
      <c r="C8" s="31">
        <v>8.3830158196802298</v>
      </c>
      <c r="D8" s="31">
        <v>66.504497635040892</v>
      </c>
      <c r="E8" s="63">
        <v>1000</v>
      </c>
      <c r="F8" s="64" t="s">
        <v>435</v>
      </c>
      <c r="G8" s="64" t="s">
        <v>436</v>
      </c>
      <c r="H8">
        <v>16</v>
      </c>
      <c r="I8">
        <v>4</v>
      </c>
      <c r="J8">
        <v>219</v>
      </c>
    </row>
    <row r="9" spans="1:10" x14ac:dyDescent="0.25">
      <c r="A9" t="s">
        <v>420</v>
      </c>
      <c r="B9" s="31">
        <v>16.655195755555248</v>
      </c>
      <c r="C9" s="31">
        <v>3.1056487421915189</v>
      </c>
      <c r="D9" s="31">
        <v>54.266056927711112</v>
      </c>
      <c r="E9" s="63">
        <v>1000</v>
      </c>
      <c r="F9" s="64" t="s">
        <v>435</v>
      </c>
      <c r="G9" s="64" t="s">
        <v>436</v>
      </c>
      <c r="H9">
        <v>15</v>
      </c>
      <c r="I9">
        <v>2</v>
      </c>
      <c r="J9">
        <v>124</v>
      </c>
    </row>
    <row r="10" spans="1:10" x14ac:dyDescent="0.25">
      <c r="A10" t="s">
        <v>419</v>
      </c>
      <c r="B10" s="31">
        <v>0</v>
      </c>
      <c r="C10" s="31">
        <v>0</v>
      </c>
      <c r="D10" s="31">
        <v>28.93683668459007</v>
      </c>
      <c r="E10" s="63">
        <v>1000</v>
      </c>
      <c r="F10" s="64" t="s">
        <v>62</v>
      </c>
      <c r="G10" s="64" t="s">
        <v>437</v>
      </c>
      <c r="H10">
        <v>5</v>
      </c>
      <c r="I10">
        <v>0</v>
      </c>
      <c r="J10">
        <v>78</v>
      </c>
    </row>
    <row r="11" spans="1:10" x14ac:dyDescent="0.25">
      <c r="A11" t="s">
        <v>418</v>
      </c>
      <c r="B11" s="31">
        <v>0</v>
      </c>
      <c r="C11" s="31">
        <v>0</v>
      </c>
      <c r="D11" s="31">
        <v>37.091409763355529</v>
      </c>
      <c r="E11" s="63">
        <v>1000</v>
      </c>
      <c r="F11" s="64" t="s">
        <v>62</v>
      </c>
      <c r="G11" s="64" t="s">
        <v>437</v>
      </c>
      <c r="H11">
        <v>9</v>
      </c>
      <c r="I11">
        <v>0</v>
      </c>
      <c r="J11">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5" t="s">
        <v>91</v>
      </c>
      <c r="B1" s="66" t="s">
        <v>426</v>
      </c>
      <c r="C1" s="66" t="s">
        <v>427</v>
      </c>
      <c r="D1" s="66" t="s">
        <v>428</v>
      </c>
      <c r="E1" s="65" t="s">
        <v>429</v>
      </c>
      <c r="F1" s="65" t="s">
        <v>430</v>
      </c>
      <c r="G1" s="65" t="s">
        <v>431</v>
      </c>
      <c r="H1" s="65" t="s">
        <v>432</v>
      </c>
      <c r="I1" s="65" t="s">
        <v>433</v>
      </c>
      <c r="J1" s="65" t="s">
        <v>434</v>
      </c>
    </row>
    <row r="2" spans="1:10" x14ac:dyDescent="0.25">
      <c r="A2" t="s">
        <v>415</v>
      </c>
      <c r="B2" s="31">
        <v>17.050677477172833</v>
      </c>
      <c r="C2" s="31">
        <v>8.6879654594773168</v>
      </c>
      <c r="D2" s="31">
        <v>31.344839728081297</v>
      </c>
      <c r="E2" s="63">
        <v>1000</v>
      </c>
      <c r="F2" s="64" t="s">
        <v>435</v>
      </c>
      <c r="G2" s="64" t="s">
        <v>436</v>
      </c>
      <c r="H2">
        <v>46</v>
      </c>
      <c r="I2">
        <v>10</v>
      </c>
      <c r="J2">
        <v>776</v>
      </c>
    </row>
    <row r="3" spans="1:10" x14ac:dyDescent="0.25">
      <c r="A3" t="s">
        <v>414</v>
      </c>
      <c r="B3" s="31">
        <v>6.5643495242034797</v>
      </c>
      <c r="C3" s="31">
        <v>1.208107276706869</v>
      </c>
      <c r="D3" s="31">
        <v>21.248957206817536</v>
      </c>
      <c r="E3" s="63">
        <v>1000</v>
      </c>
      <c r="F3" s="64" t="s">
        <v>435</v>
      </c>
      <c r="G3" s="64" t="s">
        <v>436</v>
      </c>
      <c r="H3">
        <v>36</v>
      </c>
      <c r="I3">
        <v>2</v>
      </c>
      <c r="J3">
        <v>306</v>
      </c>
    </row>
    <row r="4" spans="1:10" x14ac:dyDescent="0.25">
      <c r="A4" t="s">
        <v>417</v>
      </c>
      <c r="B4" s="31">
        <v>16.317642027211935</v>
      </c>
      <c r="C4" s="31">
        <v>4.269743634763608</v>
      </c>
      <c r="D4" s="31">
        <v>50.771849222822219</v>
      </c>
      <c r="E4" s="63">
        <v>1000</v>
      </c>
      <c r="F4" s="64" t="s">
        <v>435</v>
      </c>
      <c r="G4" s="64" t="s">
        <v>436</v>
      </c>
      <c r="H4">
        <v>11</v>
      </c>
      <c r="I4">
        <v>3</v>
      </c>
      <c r="J4">
        <v>246</v>
      </c>
    </row>
    <row r="5" spans="1:10" x14ac:dyDescent="0.25">
      <c r="A5" t="s">
        <v>416</v>
      </c>
      <c r="B5" s="31">
        <v>13.536841981498121</v>
      </c>
      <c r="C5" s="31">
        <v>2.6510612175675079</v>
      </c>
      <c r="D5" s="31">
        <v>44.829432710120749</v>
      </c>
      <c r="E5" s="63">
        <v>1000</v>
      </c>
      <c r="F5" s="64" t="s">
        <v>435</v>
      </c>
      <c r="G5" s="64" t="s">
        <v>436</v>
      </c>
      <c r="H5">
        <v>9</v>
      </c>
      <c r="I5">
        <v>2</v>
      </c>
      <c r="J5">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opLeftCell="C66" workbookViewId="0">
      <selection activeCell="A2" sqref="A2:J93"/>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66</v>
      </c>
      <c r="D1" s="45" t="s">
        <v>46</v>
      </c>
      <c r="E1" s="45" t="s">
        <v>67</v>
      </c>
      <c r="F1" s="45" t="s">
        <v>68</v>
      </c>
      <c r="G1" s="45" t="s">
        <v>69</v>
      </c>
      <c r="H1" s="45" t="s">
        <v>70</v>
      </c>
      <c r="I1" s="45" t="s">
        <v>71</v>
      </c>
      <c r="J1" s="45" t="s">
        <v>72</v>
      </c>
      <c r="K1" s="45" t="s">
        <v>73</v>
      </c>
      <c r="L1" s="45" t="s">
        <v>45</v>
      </c>
    </row>
    <row r="2" spans="1:12" x14ac:dyDescent="0.25">
      <c r="A2" s="46">
        <v>34</v>
      </c>
      <c r="B2" s="46" t="s">
        <v>273</v>
      </c>
      <c r="C2" s="46" t="s">
        <v>274</v>
      </c>
      <c r="D2" s="46" t="s">
        <v>104</v>
      </c>
      <c r="E2" s="46" t="s">
        <v>275</v>
      </c>
      <c r="F2" s="46" t="s">
        <v>276</v>
      </c>
      <c r="G2" s="46" t="s">
        <v>277</v>
      </c>
      <c r="H2" s="46">
        <v>7</v>
      </c>
      <c r="I2" s="46">
        <v>2</v>
      </c>
      <c r="J2" s="46">
        <v>9</v>
      </c>
      <c r="K2" s="46"/>
    </row>
    <row r="3" spans="1:12" x14ac:dyDescent="0.25">
      <c r="A3">
        <v>34</v>
      </c>
      <c r="B3" t="s">
        <v>278</v>
      </c>
      <c r="C3" t="s">
        <v>279</v>
      </c>
      <c r="D3" s="46" t="s">
        <v>104</v>
      </c>
      <c r="E3" t="s">
        <v>280</v>
      </c>
      <c r="F3" t="s">
        <v>276</v>
      </c>
      <c r="G3" t="s">
        <v>277</v>
      </c>
      <c r="H3">
        <v>4</v>
      </c>
      <c r="I3">
        <v>0</v>
      </c>
      <c r="J3">
        <v>4</v>
      </c>
      <c r="K3" s="46"/>
    </row>
    <row r="4" spans="1:12" x14ac:dyDescent="0.25">
      <c r="A4" s="46">
        <v>34</v>
      </c>
      <c r="B4" s="46" t="s">
        <v>273</v>
      </c>
      <c r="C4" s="46" t="s">
        <v>281</v>
      </c>
      <c r="D4" s="46" t="s">
        <v>104</v>
      </c>
      <c r="E4" s="46" t="s">
        <v>282</v>
      </c>
      <c r="F4" s="46" t="s">
        <v>276</v>
      </c>
      <c r="G4" s="46" t="s">
        <v>277</v>
      </c>
      <c r="H4" s="46">
        <v>5</v>
      </c>
      <c r="I4" s="46">
        <v>1</v>
      </c>
      <c r="J4" s="46">
        <v>6</v>
      </c>
      <c r="K4" s="46"/>
    </row>
    <row r="5" spans="1:12" x14ac:dyDescent="0.25">
      <c r="A5" s="46">
        <v>34</v>
      </c>
      <c r="B5" s="46" t="s">
        <v>278</v>
      </c>
      <c r="C5" s="46" t="s">
        <v>283</v>
      </c>
      <c r="D5" s="46" t="s">
        <v>104</v>
      </c>
      <c r="E5" s="46" t="s">
        <v>284</v>
      </c>
      <c r="F5" s="46" t="s">
        <v>276</v>
      </c>
      <c r="G5" s="46" t="s">
        <v>277</v>
      </c>
      <c r="H5" s="46">
        <v>20</v>
      </c>
      <c r="I5" s="46">
        <v>0</v>
      </c>
      <c r="J5" s="46">
        <v>20</v>
      </c>
      <c r="K5" s="46"/>
    </row>
    <row r="6" spans="1:12" x14ac:dyDescent="0.25">
      <c r="A6" s="46">
        <v>34</v>
      </c>
      <c r="B6" s="46" t="s">
        <v>285</v>
      </c>
      <c r="C6" s="46" t="s">
        <v>286</v>
      </c>
      <c r="D6" s="46" t="s">
        <v>104</v>
      </c>
      <c r="E6" s="46" t="s">
        <v>287</v>
      </c>
      <c r="F6" s="46" t="s">
        <v>276</v>
      </c>
      <c r="G6" s="46" t="s">
        <v>277</v>
      </c>
      <c r="H6" s="46">
        <v>7</v>
      </c>
      <c r="I6" s="46">
        <v>2</v>
      </c>
      <c r="J6" s="46">
        <v>9</v>
      </c>
      <c r="K6" s="46"/>
    </row>
    <row r="7" spans="1:12" x14ac:dyDescent="0.25">
      <c r="A7" s="46">
        <v>34</v>
      </c>
      <c r="B7" s="46" t="s">
        <v>285</v>
      </c>
      <c r="C7" s="46" t="s">
        <v>288</v>
      </c>
      <c r="D7" s="46" t="s">
        <v>104</v>
      </c>
      <c r="E7" s="46" t="s">
        <v>289</v>
      </c>
      <c r="F7" s="46" t="s">
        <v>276</v>
      </c>
      <c r="G7" s="46" t="s">
        <v>277</v>
      </c>
      <c r="H7" s="46">
        <v>10</v>
      </c>
      <c r="I7" s="46">
        <v>0</v>
      </c>
      <c r="J7" s="46">
        <v>10</v>
      </c>
      <c r="K7" s="46"/>
    </row>
    <row r="8" spans="1:12" x14ac:dyDescent="0.25">
      <c r="A8" s="46">
        <v>34</v>
      </c>
      <c r="B8" s="46" t="s">
        <v>285</v>
      </c>
      <c r="C8" s="46" t="s">
        <v>290</v>
      </c>
      <c r="D8" s="46" t="s">
        <v>104</v>
      </c>
      <c r="E8" s="46" t="s">
        <v>291</v>
      </c>
      <c r="F8" s="46" t="s">
        <v>276</v>
      </c>
      <c r="G8" s="46" t="s">
        <v>277</v>
      </c>
      <c r="H8" s="46">
        <v>12</v>
      </c>
      <c r="I8" s="46">
        <v>0</v>
      </c>
      <c r="J8" s="46">
        <v>12</v>
      </c>
      <c r="K8" s="46"/>
    </row>
    <row r="9" spans="1:12" x14ac:dyDescent="0.25">
      <c r="A9" s="46">
        <v>34</v>
      </c>
      <c r="B9" s="46" t="s">
        <v>278</v>
      </c>
      <c r="C9" s="46" t="s">
        <v>292</v>
      </c>
      <c r="D9" s="46" t="s">
        <v>104</v>
      </c>
      <c r="E9" s="46" t="s">
        <v>293</v>
      </c>
      <c r="F9" s="46" t="s">
        <v>276</v>
      </c>
      <c r="G9" s="46" t="s">
        <v>277</v>
      </c>
      <c r="H9" s="46">
        <v>5</v>
      </c>
      <c r="I9" s="46">
        <v>0</v>
      </c>
      <c r="J9" s="46">
        <v>5</v>
      </c>
      <c r="K9" s="46"/>
    </row>
    <row r="10" spans="1:12" x14ac:dyDescent="0.25">
      <c r="A10">
        <v>34</v>
      </c>
      <c r="B10" t="s">
        <v>273</v>
      </c>
      <c r="C10" t="s">
        <v>294</v>
      </c>
      <c r="D10" s="46" t="s">
        <v>104</v>
      </c>
      <c r="E10" t="s">
        <v>295</v>
      </c>
      <c r="F10" t="s">
        <v>276</v>
      </c>
      <c r="G10" t="s">
        <v>277</v>
      </c>
      <c r="H10">
        <v>1</v>
      </c>
      <c r="I10">
        <v>0</v>
      </c>
      <c r="J10">
        <v>1</v>
      </c>
      <c r="K10" s="46"/>
    </row>
    <row r="11" spans="1:12" x14ac:dyDescent="0.25">
      <c r="A11" s="46">
        <v>34</v>
      </c>
      <c r="B11" s="46" t="s">
        <v>285</v>
      </c>
      <c r="C11" s="46" t="s">
        <v>296</v>
      </c>
      <c r="D11" s="46" t="s">
        <v>104</v>
      </c>
      <c r="E11" s="46" t="s">
        <v>297</v>
      </c>
      <c r="F11" s="46" t="s">
        <v>276</v>
      </c>
      <c r="G11" s="46" t="s">
        <v>277</v>
      </c>
      <c r="H11" s="46">
        <v>9</v>
      </c>
      <c r="I11" s="46">
        <v>22</v>
      </c>
      <c r="J11" s="46">
        <v>31</v>
      </c>
      <c r="K11" s="46"/>
    </row>
    <row r="12" spans="1:12" x14ac:dyDescent="0.25">
      <c r="A12" s="46">
        <v>34</v>
      </c>
      <c r="B12" s="46" t="s">
        <v>285</v>
      </c>
      <c r="C12" s="46" t="s">
        <v>298</v>
      </c>
      <c r="D12" s="46" t="s">
        <v>104</v>
      </c>
      <c r="E12" s="46" t="s">
        <v>299</v>
      </c>
      <c r="F12" s="46" t="s">
        <v>276</v>
      </c>
      <c r="G12" s="46" t="s">
        <v>277</v>
      </c>
      <c r="H12" s="46">
        <v>22</v>
      </c>
      <c r="I12" s="46">
        <v>5</v>
      </c>
      <c r="J12" s="46">
        <v>27</v>
      </c>
      <c r="K12" s="46"/>
    </row>
    <row r="13" spans="1:12" x14ac:dyDescent="0.25">
      <c r="A13" s="46">
        <v>34</v>
      </c>
      <c r="B13" s="46" t="s">
        <v>278</v>
      </c>
      <c r="C13" s="46" t="s">
        <v>300</v>
      </c>
      <c r="D13" s="46" t="s">
        <v>104</v>
      </c>
      <c r="E13" s="46" t="s">
        <v>301</v>
      </c>
      <c r="F13" s="46" t="s">
        <v>276</v>
      </c>
      <c r="G13" s="46" t="s">
        <v>277</v>
      </c>
      <c r="H13" s="46">
        <v>41</v>
      </c>
      <c r="I13" s="46">
        <v>0</v>
      </c>
      <c r="J13" s="46">
        <v>41</v>
      </c>
      <c r="K13" s="46"/>
    </row>
    <row r="14" spans="1:12" x14ac:dyDescent="0.25">
      <c r="A14" s="46">
        <v>34</v>
      </c>
      <c r="B14" s="46" t="s">
        <v>273</v>
      </c>
      <c r="C14" s="46" t="s">
        <v>302</v>
      </c>
      <c r="D14" s="46" t="s">
        <v>104</v>
      </c>
      <c r="E14" s="46" t="s">
        <v>303</v>
      </c>
      <c r="F14" s="46" t="s">
        <v>276</v>
      </c>
      <c r="G14" s="46" t="s">
        <v>277</v>
      </c>
      <c r="H14" s="46">
        <v>5</v>
      </c>
      <c r="I14" s="46">
        <v>0</v>
      </c>
      <c r="J14" s="46">
        <v>5</v>
      </c>
      <c r="K14" s="46"/>
    </row>
    <row r="15" spans="1:12" x14ac:dyDescent="0.25">
      <c r="A15" s="46">
        <v>34</v>
      </c>
      <c r="B15" s="46" t="s">
        <v>285</v>
      </c>
      <c r="C15" s="46" t="s">
        <v>304</v>
      </c>
      <c r="D15" s="46" t="s">
        <v>9</v>
      </c>
      <c r="E15" s="46" t="s">
        <v>305</v>
      </c>
      <c r="F15" s="46" t="s">
        <v>276</v>
      </c>
      <c r="G15" s="46" t="s">
        <v>277</v>
      </c>
      <c r="H15" s="46">
        <v>19</v>
      </c>
      <c r="I15" s="46">
        <v>1</v>
      </c>
      <c r="J15" s="46">
        <v>20</v>
      </c>
      <c r="K15" s="46"/>
    </row>
    <row r="16" spans="1:12" x14ac:dyDescent="0.25">
      <c r="A16">
        <v>34</v>
      </c>
      <c r="B16" t="s">
        <v>273</v>
      </c>
      <c r="C16" t="s">
        <v>306</v>
      </c>
      <c r="D16" s="46" t="s">
        <v>9</v>
      </c>
      <c r="E16" t="s">
        <v>307</v>
      </c>
      <c r="F16" t="s">
        <v>276</v>
      </c>
      <c r="G16" t="s">
        <v>277</v>
      </c>
      <c r="H16">
        <v>1</v>
      </c>
      <c r="I16">
        <v>0</v>
      </c>
      <c r="J16">
        <v>1</v>
      </c>
      <c r="K16" s="46"/>
    </row>
    <row r="17" spans="1:11" x14ac:dyDescent="0.25">
      <c r="A17" s="46">
        <v>34</v>
      </c>
      <c r="B17" s="46" t="s">
        <v>273</v>
      </c>
      <c r="C17" s="46" t="s">
        <v>308</v>
      </c>
      <c r="D17" s="46" t="s">
        <v>9</v>
      </c>
      <c r="E17" s="46" t="s">
        <v>309</v>
      </c>
      <c r="F17" s="46" t="s">
        <v>276</v>
      </c>
      <c r="G17" s="46" t="s">
        <v>277</v>
      </c>
      <c r="H17" s="46">
        <v>9</v>
      </c>
      <c r="I17" s="46">
        <v>0</v>
      </c>
      <c r="J17" s="46">
        <v>9</v>
      </c>
      <c r="K17" s="46"/>
    </row>
    <row r="18" spans="1:11" x14ac:dyDescent="0.25">
      <c r="A18" s="46">
        <v>34</v>
      </c>
      <c r="B18" s="46" t="s">
        <v>273</v>
      </c>
      <c r="C18" s="46" t="s">
        <v>205</v>
      </c>
      <c r="D18" s="46" t="s">
        <v>9</v>
      </c>
      <c r="E18" s="46" t="s">
        <v>310</v>
      </c>
      <c r="F18" s="46" t="s">
        <v>276</v>
      </c>
      <c r="G18" s="46" t="s">
        <v>277</v>
      </c>
      <c r="H18" s="46">
        <v>14</v>
      </c>
      <c r="I18" s="46">
        <v>0</v>
      </c>
      <c r="J18" s="46">
        <v>14</v>
      </c>
      <c r="K18" s="46"/>
    </row>
    <row r="19" spans="1:11" x14ac:dyDescent="0.25">
      <c r="A19">
        <v>34</v>
      </c>
      <c r="B19" t="s">
        <v>273</v>
      </c>
      <c r="C19" t="s">
        <v>311</v>
      </c>
      <c r="D19" s="46" t="s">
        <v>9</v>
      </c>
      <c r="E19" t="s">
        <v>312</v>
      </c>
      <c r="F19" t="s">
        <v>276</v>
      </c>
      <c r="G19" t="s">
        <v>277</v>
      </c>
      <c r="H19">
        <v>2</v>
      </c>
      <c r="I19">
        <v>0</v>
      </c>
      <c r="J19">
        <v>2</v>
      </c>
      <c r="K19" s="46"/>
    </row>
    <row r="20" spans="1:11" x14ac:dyDescent="0.25">
      <c r="A20" s="46">
        <v>34</v>
      </c>
      <c r="B20" s="46" t="s">
        <v>273</v>
      </c>
      <c r="C20" s="46" t="s">
        <v>313</v>
      </c>
      <c r="D20" s="46" t="s">
        <v>9</v>
      </c>
      <c r="E20" s="46" t="s">
        <v>314</v>
      </c>
      <c r="F20" s="46" t="s">
        <v>276</v>
      </c>
      <c r="G20" s="46" t="s">
        <v>277</v>
      </c>
      <c r="H20" s="46">
        <v>10</v>
      </c>
      <c r="I20" s="46">
        <v>0</v>
      </c>
      <c r="J20" s="46">
        <v>10</v>
      </c>
      <c r="K20" s="46"/>
    </row>
    <row r="21" spans="1:11" x14ac:dyDescent="0.25">
      <c r="A21" s="46">
        <v>34</v>
      </c>
      <c r="B21" s="46" t="s">
        <v>285</v>
      </c>
      <c r="C21" s="46" t="s">
        <v>315</v>
      </c>
      <c r="D21" s="46" t="s">
        <v>9</v>
      </c>
      <c r="E21" s="46" t="s">
        <v>316</v>
      </c>
      <c r="F21" s="46" t="s">
        <v>276</v>
      </c>
      <c r="G21" s="46" t="s">
        <v>277</v>
      </c>
      <c r="H21" s="46">
        <v>22</v>
      </c>
      <c r="I21" s="46">
        <v>0</v>
      </c>
      <c r="J21" s="46">
        <v>22</v>
      </c>
      <c r="K21" s="46"/>
    </row>
    <row r="22" spans="1:11" x14ac:dyDescent="0.25">
      <c r="A22" s="46">
        <v>34</v>
      </c>
      <c r="B22" s="46" t="s">
        <v>273</v>
      </c>
      <c r="C22" s="46" t="s">
        <v>317</v>
      </c>
      <c r="D22" s="46" t="s">
        <v>9</v>
      </c>
      <c r="E22" s="46" t="s">
        <v>318</v>
      </c>
      <c r="F22" s="46" t="s">
        <v>276</v>
      </c>
      <c r="G22" s="46" t="s">
        <v>277</v>
      </c>
      <c r="H22" s="46">
        <v>9</v>
      </c>
      <c r="I22" s="46">
        <v>1</v>
      </c>
      <c r="J22" s="46">
        <v>10</v>
      </c>
      <c r="K22" s="46"/>
    </row>
    <row r="23" spans="1:11" x14ac:dyDescent="0.25">
      <c r="A23" s="46">
        <v>34</v>
      </c>
      <c r="B23" s="46" t="s">
        <v>285</v>
      </c>
      <c r="C23" s="46" t="s">
        <v>141</v>
      </c>
      <c r="D23" s="46" t="s">
        <v>9</v>
      </c>
      <c r="E23" s="46" t="s">
        <v>319</v>
      </c>
      <c r="F23" s="46" t="s">
        <v>276</v>
      </c>
      <c r="G23" s="46" t="s">
        <v>277</v>
      </c>
      <c r="H23" s="46">
        <v>26</v>
      </c>
      <c r="I23" s="46">
        <v>4</v>
      </c>
      <c r="J23" s="46">
        <v>30</v>
      </c>
      <c r="K23" s="46"/>
    </row>
    <row r="24" spans="1:11" x14ac:dyDescent="0.25">
      <c r="A24" s="46">
        <v>34</v>
      </c>
      <c r="B24" s="46" t="s">
        <v>278</v>
      </c>
      <c r="C24" s="46" t="s">
        <v>162</v>
      </c>
      <c r="D24" s="46" t="s">
        <v>9</v>
      </c>
      <c r="E24" s="46" t="s">
        <v>320</v>
      </c>
      <c r="F24" s="46" t="s">
        <v>276</v>
      </c>
      <c r="G24" s="46" t="s">
        <v>277</v>
      </c>
      <c r="H24" s="46">
        <v>22</v>
      </c>
      <c r="I24" s="46">
        <v>3</v>
      </c>
      <c r="J24" s="46">
        <v>25</v>
      </c>
      <c r="K24" s="46"/>
    </row>
    <row r="25" spans="1:11" x14ac:dyDescent="0.25">
      <c r="A25" s="46">
        <v>34</v>
      </c>
      <c r="B25" s="46" t="s">
        <v>278</v>
      </c>
      <c r="C25" s="46" t="s">
        <v>321</v>
      </c>
      <c r="D25" s="46" t="s">
        <v>9</v>
      </c>
      <c r="E25" s="46" t="s">
        <v>322</v>
      </c>
      <c r="F25" s="46" t="s">
        <v>276</v>
      </c>
      <c r="G25" s="46" t="s">
        <v>277</v>
      </c>
      <c r="H25" s="46">
        <v>8</v>
      </c>
      <c r="I25" s="46">
        <v>0</v>
      </c>
      <c r="J25" s="46">
        <v>8</v>
      </c>
      <c r="K25" s="46"/>
    </row>
    <row r="26" spans="1:11" x14ac:dyDescent="0.25">
      <c r="A26" s="46">
        <v>34</v>
      </c>
      <c r="B26" s="46" t="s">
        <v>285</v>
      </c>
      <c r="C26" s="46" t="s">
        <v>138</v>
      </c>
      <c r="D26" s="46" t="s">
        <v>9</v>
      </c>
      <c r="E26" s="46" t="s">
        <v>323</v>
      </c>
      <c r="F26" s="46" t="s">
        <v>276</v>
      </c>
      <c r="G26" s="46" t="s">
        <v>277</v>
      </c>
      <c r="H26" s="46">
        <v>6</v>
      </c>
      <c r="I26" s="46">
        <v>5</v>
      </c>
      <c r="J26" s="46">
        <v>11</v>
      </c>
      <c r="K26" s="46"/>
    </row>
    <row r="27" spans="1:11" x14ac:dyDescent="0.25">
      <c r="A27" s="46">
        <v>34</v>
      </c>
      <c r="B27" s="46" t="s">
        <v>285</v>
      </c>
      <c r="C27" s="46" t="s">
        <v>324</v>
      </c>
      <c r="D27" s="46" t="s">
        <v>9</v>
      </c>
      <c r="E27" s="46" t="s">
        <v>325</v>
      </c>
      <c r="F27" s="46" t="s">
        <v>276</v>
      </c>
      <c r="G27" s="46" t="s">
        <v>277</v>
      </c>
      <c r="H27" s="46">
        <v>25</v>
      </c>
      <c r="I27" s="46">
        <v>23</v>
      </c>
      <c r="J27" s="46">
        <v>48</v>
      </c>
      <c r="K27" s="46"/>
    </row>
    <row r="28" spans="1:11" x14ac:dyDescent="0.25">
      <c r="A28" s="46">
        <v>34</v>
      </c>
      <c r="B28" s="46" t="s">
        <v>273</v>
      </c>
      <c r="C28" s="46" t="s">
        <v>326</v>
      </c>
      <c r="D28" s="46" t="s">
        <v>9</v>
      </c>
      <c r="E28" s="46" t="s">
        <v>327</v>
      </c>
      <c r="F28" s="46" t="s">
        <v>276</v>
      </c>
      <c r="G28" s="46" t="s">
        <v>277</v>
      </c>
      <c r="H28" s="46">
        <v>5</v>
      </c>
      <c r="I28" s="46">
        <v>0</v>
      </c>
      <c r="J28" s="46">
        <v>5</v>
      </c>
      <c r="K28" s="46"/>
    </row>
    <row r="29" spans="1:11" x14ac:dyDescent="0.25">
      <c r="A29" s="46">
        <v>34</v>
      </c>
      <c r="B29" s="46" t="s">
        <v>285</v>
      </c>
      <c r="C29" s="46" t="s">
        <v>328</v>
      </c>
      <c r="D29" s="46" t="s">
        <v>9</v>
      </c>
      <c r="E29" s="46" t="s">
        <v>329</v>
      </c>
      <c r="F29" s="46" t="s">
        <v>276</v>
      </c>
      <c r="G29" s="46" t="s">
        <v>277</v>
      </c>
      <c r="H29" s="46">
        <v>15</v>
      </c>
      <c r="I29" s="46">
        <v>5</v>
      </c>
      <c r="J29" s="46">
        <v>20</v>
      </c>
      <c r="K29" s="46"/>
    </row>
    <row r="30" spans="1:11" x14ac:dyDescent="0.25">
      <c r="A30" s="46">
        <v>34</v>
      </c>
      <c r="B30" s="46" t="s">
        <v>278</v>
      </c>
      <c r="C30" s="46" t="s">
        <v>168</v>
      </c>
      <c r="D30" s="46" t="s">
        <v>9</v>
      </c>
      <c r="E30" s="46" t="s">
        <v>330</v>
      </c>
      <c r="F30" s="46" t="s">
        <v>276</v>
      </c>
      <c r="G30" s="46" t="s">
        <v>277</v>
      </c>
      <c r="H30" s="46">
        <v>59</v>
      </c>
      <c r="I30" s="46">
        <v>12</v>
      </c>
      <c r="J30" s="46">
        <v>71</v>
      </c>
      <c r="K30" s="46"/>
    </row>
    <row r="31" spans="1:11" x14ac:dyDescent="0.25">
      <c r="A31" s="46">
        <v>34</v>
      </c>
      <c r="B31" s="46" t="s">
        <v>285</v>
      </c>
      <c r="C31" s="46" t="s">
        <v>331</v>
      </c>
      <c r="D31" s="46" t="s">
        <v>9</v>
      </c>
      <c r="E31" s="46" t="s">
        <v>332</v>
      </c>
      <c r="F31" s="46" t="s">
        <v>276</v>
      </c>
      <c r="G31" s="46" t="s">
        <v>277</v>
      </c>
      <c r="H31" s="46">
        <v>19</v>
      </c>
      <c r="I31" s="46">
        <v>16</v>
      </c>
      <c r="J31" s="46">
        <v>35</v>
      </c>
      <c r="K31" s="46"/>
    </row>
    <row r="32" spans="1:11" x14ac:dyDescent="0.25">
      <c r="A32">
        <v>34</v>
      </c>
      <c r="B32" t="s">
        <v>285</v>
      </c>
      <c r="C32" t="s">
        <v>147</v>
      </c>
      <c r="D32" s="46" t="s">
        <v>9</v>
      </c>
      <c r="E32" t="s">
        <v>333</v>
      </c>
      <c r="F32" t="s">
        <v>276</v>
      </c>
      <c r="G32" t="s">
        <v>277</v>
      </c>
      <c r="H32">
        <v>4</v>
      </c>
      <c r="I32">
        <v>0</v>
      </c>
      <c r="J32">
        <v>4</v>
      </c>
      <c r="K32" s="46"/>
    </row>
    <row r="33" spans="1:11" x14ac:dyDescent="0.25">
      <c r="A33">
        <v>34</v>
      </c>
      <c r="B33" t="s">
        <v>273</v>
      </c>
      <c r="C33" t="s">
        <v>334</v>
      </c>
      <c r="D33" s="46" t="s">
        <v>9</v>
      </c>
      <c r="E33" t="s">
        <v>335</v>
      </c>
      <c r="F33" t="s">
        <v>276</v>
      </c>
      <c r="G33" t="s">
        <v>277</v>
      </c>
      <c r="H33">
        <v>4</v>
      </c>
      <c r="I33">
        <v>0</v>
      </c>
      <c r="J33">
        <v>4</v>
      </c>
      <c r="K33" s="46"/>
    </row>
    <row r="34" spans="1:11" x14ac:dyDescent="0.25">
      <c r="A34" s="46">
        <v>34</v>
      </c>
      <c r="B34" s="46" t="s">
        <v>273</v>
      </c>
      <c r="C34" s="46" t="s">
        <v>336</v>
      </c>
      <c r="D34" s="46" t="s">
        <v>9</v>
      </c>
      <c r="E34" s="46" t="s">
        <v>337</v>
      </c>
      <c r="F34" s="46" t="s">
        <v>276</v>
      </c>
      <c r="G34" s="46" t="s">
        <v>277</v>
      </c>
      <c r="H34" s="46">
        <v>10</v>
      </c>
      <c r="I34" s="46">
        <v>2</v>
      </c>
      <c r="J34" s="46">
        <v>12</v>
      </c>
      <c r="K34" s="46"/>
    </row>
    <row r="35" spans="1:11" x14ac:dyDescent="0.25">
      <c r="A35">
        <v>34</v>
      </c>
      <c r="B35" t="s">
        <v>273</v>
      </c>
      <c r="C35" t="s">
        <v>338</v>
      </c>
      <c r="D35" s="46" t="s">
        <v>9</v>
      </c>
      <c r="E35" t="s">
        <v>339</v>
      </c>
      <c r="F35" t="s">
        <v>276</v>
      </c>
      <c r="G35" t="s">
        <v>277</v>
      </c>
      <c r="H35">
        <v>2</v>
      </c>
      <c r="I35">
        <v>1</v>
      </c>
      <c r="J35">
        <v>3</v>
      </c>
      <c r="K35" s="46"/>
    </row>
    <row r="36" spans="1:11" x14ac:dyDescent="0.25">
      <c r="A36" s="46">
        <v>34</v>
      </c>
      <c r="B36" s="46" t="s">
        <v>278</v>
      </c>
      <c r="C36" s="46" t="s">
        <v>340</v>
      </c>
      <c r="D36" s="46" t="s">
        <v>9</v>
      </c>
      <c r="E36" s="46" t="s">
        <v>341</v>
      </c>
      <c r="F36" s="46" t="s">
        <v>276</v>
      </c>
      <c r="G36" s="46" t="s">
        <v>277</v>
      </c>
      <c r="H36" s="46">
        <v>3</v>
      </c>
      <c r="I36" s="46">
        <v>3</v>
      </c>
      <c r="J36" s="46">
        <v>6</v>
      </c>
      <c r="K36" s="46"/>
    </row>
    <row r="37" spans="1:11" x14ac:dyDescent="0.25">
      <c r="A37" s="46">
        <v>34</v>
      </c>
      <c r="B37" s="46" t="s">
        <v>273</v>
      </c>
      <c r="C37" s="46" t="s">
        <v>342</v>
      </c>
      <c r="D37" s="46" t="s">
        <v>9</v>
      </c>
      <c r="E37" s="46" t="s">
        <v>343</v>
      </c>
      <c r="F37" s="46" t="s">
        <v>276</v>
      </c>
      <c r="G37" s="46" t="s">
        <v>277</v>
      </c>
      <c r="H37" s="46">
        <v>8</v>
      </c>
      <c r="I37" s="46">
        <v>4</v>
      </c>
      <c r="J37" s="46">
        <v>12</v>
      </c>
      <c r="K37" s="46"/>
    </row>
    <row r="38" spans="1:11" x14ac:dyDescent="0.25">
      <c r="A38" s="46">
        <v>34</v>
      </c>
      <c r="B38" s="46" t="s">
        <v>278</v>
      </c>
      <c r="C38" s="46" t="s">
        <v>156</v>
      </c>
      <c r="D38" s="46" t="s">
        <v>9</v>
      </c>
      <c r="E38" s="46" t="s">
        <v>344</v>
      </c>
      <c r="F38" s="46" t="s">
        <v>276</v>
      </c>
      <c r="G38" s="46" t="s">
        <v>277</v>
      </c>
      <c r="H38" s="46">
        <v>17</v>
      </c>
      <c r="I38" s="46">
        <v>4</v>
      </c>
      <c r="J38" s="46">
        <v>21</v>
      </c>
      <c r="K38" s="46"/>
    </row>
    <row r="39" spans="1:11" x14ac:dyDescent="0.25">
      <c r="A39" s="46">
        <v>34</v>
      </c>
      <c r="B39" s="46" t="s">
        <v>273</v>
      </c>
      <c r="C39" s="46" t="s">
        <v>345</v>
      </c>
      <c r="D39" s="46" t="s">
        <v>9</v>
      </c>
      <c r="E39" s="46" t="s">
        <v>346</v>
      </c>
      <c r="F39" s="46" t="s">
        <v>276</v>
      </c>
      <c r="G39" s="46" t="s">
        <v>277</v>
      </c>
      <c r="H39" s="46">
        <v>10</v>
      </c>
      <c r="I39" s="46">
        <v>3</v>
      </c>
      <c r="J39" s="46">
        <v>13</v>
      </c>
      <c r="K39" s="46"/>
    </row>
    <row r="40" spans="1:11" x14ac:dyDescent="0.25">
      <c r="A40" s="46">
        <v>34</v>
      </c>
      <c r="B40" s="46" t="s">
        <v>278</v>
      </c>
      <c r="C40" s="46" t="s">
        <v>177</v>
      </c>
      <c r="D40" s="46" t="s">
        <v>9</v>
      </c>
      <c r="E40" s="46" t="s">
        <v>347</v>
      </c>
      <c r="F40" s="46" t="s">
        <v>276</v>
      </c>
      <c r="G40" s="46" t="s">
        <v>277</v>
      </c>
      <c r="H40" s="46">
        <v>5</v>
      </c>
      <c r="I40" s="46">
        <v>4</v>
      </c>
      <c r="J40" s="46">
        <v>9</v>
      </c>
      <c r="K40" s="46"/>
    </row>
    <row r="41" spans="1:11" x14ac:dyDescent="0.25">
      <c r="A41" s="46">
        <v>34</v>
      </c>
      <c r="B41" s="46" t="s">
        <v>285</v>
      </c>
      <c r="C41" s="46" t="s">
        <v>348</v>
      </c>
      <c r="D41" s="46" t="s">
        <v>9</v>
      </c>
      <c r="E41" s="46" t="s">
        <v>349</v>
      </c>
      <c r="F41" s="46" t="s">
        <v>276</v>
      </c>
      <c r="G41" s="46" t="s">
        <v>277</v>
      </c>
      <c r="H41" s="46">
        <v>10</v>
      </c>
      <c r="I41" s="46">
        <v>7</v>
      </c>
      <c r="J41" s="46">
        <v>17</v>
      </c>
      <c r="K41" s="46"/>
    </row>
    <row r="42" spans="1:11" x14ac:dyDescent="0.25">
      <c r="A42">
        <v>34</v>
      </c>
      <c r="B42" t="s">
        <v>278</v>
      </c>
      <c r="C42" t="s">
        <v>350</v>
      </c>
      <c r="D42" s="46" t="s">
        <v>9</v>
      </c>
      <c r="E42" t="s">
        <v>351</v>
      </c>
      <c r="F42" t="s">
        <v>276</v>
      </c>
      <c r="G42" t="s">
        <v>277</v>
      </c>
      <c r="H42">
        <v>2</v>
      </c>
      <c r="I42">
        <v>0</v>
      </c>
      <c r="J42">
        <v>2</v>
      </c>
      <c r="K42" s="46"/>
    </row>
    <row r="43" spans="1:11" x14ac:dyDescent="0.25">
      <c r="A43">
        <v>34</v>
      </c>
      <c r="B43" t="s">
        <v>273</v>
      </c>
      <c r="C43" t="s">
        <v>352</v>
      </c>
      <c r="D43" s="46" t="s">
        <v>9</v>
      </c>
      <c r="E43" t="s">
        <v>353</v>
      </c>
      <c r="F43" t="s">
        <v>276</v>
      </c>
      <c r="G43" t="s">
        <v>277</v>
      </c>
      <c r="H43">
        <v>3</v>
      </c>
      <c r="I43">
        <v>0</v>
      </c>
      <c r="J43">
        <v>3</v>
      </c>
      <c r="K43" s="46"/>
    </row>
    <row r="44" spans="1:11" x14ac:dyDescent="0.25">
      <c r="A44" s="46">
        <v>34</v>
      </c>
      <c r="B44" s="46" t="s">
        <v>285</v>
      </c>
      <c r="C44" s="46" t="s">
        <v>354</v>
      </c>
      <c r="D44" s="46" t="s">
        <v>9</v>
      </c>
      <c r="E44" s="46" t="s">
        <v>355</v>
      </c>
      <c r="F44" s="46" t="s">
        <v>276</v>
      </c>
      <c r="G44" s="46" t="s">
        <v>277</v>
      </c>
      <c r="H44" s="46">
        <v>41</v>
      </c>
      <c r="I44" s="46">
        <v>4</v>
      </c>
      <c r="J44" s="46">
        <v>45</v>
      </c>
      <c r="K44" s="46"/>
    </row>
    <row r="45" spans="1:11" x14ac:dyDescent="0.25">
      <c r="A45" s="46">
        <v>34</v>
      </c>
      <c r="B45" s="46" t="s">
        <v>285</v>
      </c>
      <c r="C45" s="46" t="s">
        <v>356</v>
      </c>
      <c r="D45" s="46" t="s">
        <v>9</v>
      </c>
      <c r="E45" s="46" t="s">
        <v>357</v>
      </c>
      <c r="F45" s="46" t="s">
        <v>276</v>
      </c>
      <c r="G45" s="46" t="s">
        <v>277</v>
      </c>
      <c r="H45" s="46">
        <v>11</v>
      </c>
      <c r="I45" s="46">
        <v>4</v>
      </c>
      <c r="J45" s="46">
        <v>15</v>
      </c>
      <c r="K45" s="46"/>
    </row>
    <row r="46" spans="1:11" x14ac:dyDescent="0.25">
      <c r="A46" s="46">
        <v>34</v>
      </c>
      <c r="B46" s="46" t="s">
        <v>278</v>
      </c>
      <c r="C46" s="46" t="s">
        <v>358</v>
      </c>
      <c r="D46" s="46" t="s">
        <v>9</v>
      </c>
      <c r="E46" s="46" t="s">
        <v>359</v>
      </c>
      <c r="F46" s="46" t="s">
        <v>276</v>
      </c>
      <c r="G46" s="46" t="s">
        <v>277</v>
      </c>
      <c r="H46" s="46">
        <v>5</v>
      </c>
      <c r="I46" s="46">
        <v>0</v>
      </c>
      <c r="J46" s="46">
        <v>5</v>
      </c>
      <c r="K46" s="46"/>
    </row>
    <row r="47" spans="1:11" x14ac:dyDescent="0.25">
      <c r="A47" s="46">
        <v>34</v>
      </c>
      <c r="B47" s="46" t="s">
        <v>273</v>
      </c>
      <c r="C47" s="46" t="s">
        <v>360</v>
      </c>
      <c r="D47" s="46" t="s">
        <v>9</v>
      </c>
      <c r="E47" s="46" t="s">
        <v>361</v>
      </c>
      <c r="F47" s="46" t="s">
        <v>276</v>
      </c>
      <c r="G47" s="46" t="s">
        <v>277</v>
      </c>
      <c r="H47" s="46">
        <v>19</v>
      </c>
      <c r="I47" s="46">
        <v>0</v>
      </c>
      <c r="J47" s="46">
        <v>19</v>
      </c>
      <c r="K47" s="46"/>
    </row>
    <row r="48" spans="1:11" x14ac:dyDescent="0.25">
      <c r="A48">
        <v>34</v>
      </c>
      <c r="B48" t="s">
        <v>273</v>
      </c>
      <c r="C48" t="s">
        <v>362</v>
      </c>
      <c r="D48" s="46" t="s">
        <v>9</v>
      </c>
      <c r="E48" t="s">
        <v>363</v>
      </c>
      <c r="F48" t="s">
        <v>276</v>
      </c>
      <c r="G48" t="s">
        <v>277</v>
      </c>
      <c r="H48">
        <v>0</v>
      </c>
      <c r="I48">
        <v>0</v>
      </c>
      <c r="J48">
        <v>0</v>
      </c>
      <c r="K48" s="46"/>
    </row>
    <row r="49" spans="1:11" x14ac:dyDescent="0.25">
      <c r="A49">
        <v>34</v>
      </c>
      <c r="B49" t="s">
        <v>273</v>
      </c>
      <c r="C49" t="s">
        <v>364</v>
      </c>
      <c r="D49" s="46" t="s">
        <v>9</v>
      </c>
      <c r="E49" t="s">
        <v>365</v>
      </c>
      <c r="F49" t="s">
        <v>276</v>
      </c>
      <c r="G49" t="s">
        <v>277</v>
      </c>
      <c r="H49">
        <v>2</v>
      </c>
      <c r="I49">
        <v>0</v>
      </c>
      <c r="J49">
        <v>2</v>
      </c>
      <c r="K49" s="46"/>
    </row>
    <row r="50" spans="1:11" x14ac:dyDescent="0.25">
      <c r="A50" s="46">
        <v>34</v>
      </c>
      <c r="B50" s="46" t="s">
        <v>278</v>
      </c>
      <c r="C50" s="46" t="s">
        <v>366</v>
      </c>
      <c r="D50" s="46" t="s">
        <v>9</v>
      </c>
      <c r="E50" s="46" t="s">
        <v>367</v>
      </c>
      <c r="F50" s="46" t="s">
        <v>276</v>
      </c>
      <c r="G50" s="46" t="s">
        <v>277</v>
      </c>
      <c r="H50" s="46">
        <v>12</v>
      </c>
      <c r="I50" s="46">
        <v>1</v>
      </c>
      <c r="J50" s="46">
        <v>13</v>
      </c>
      <c r="K50" s="46"/>
    </row>
    <row r="51" spans="1:11" x14ac:dyDescent="0.25">
      <c r="A51" s="46">
        <v>34</v>
      </c>
      <c r="B51" s="46" t="s">
        <v>278</v>
      </c>
      <c r="C51" s="46" t="s">
        <v>368</v>
      </c>
      <c r="D51" s="46" t="s">
        <v>9</v>
      </c>
      <c r="E51" s="46" t="s">
        <v>369</v>
      </c>
      <c r="F51" s="46" t="s">
        <v>276</v>
      </c>
      <c r="G51" s="46" t="s">
        <v>277</v>
      </c>
      <c r="H51" s="46">
        <v>48</v>
      </c>
      <c r="I51" s="46">
        <v>21</v>
      </c>
      <c r="J51" s="46">
        <v>69</v>
      </c>
      <c r="K51" s="46"/>
    </row>
    <row r="52" spans="1:11" x14ac:dyDescent="0.25">
      <c r="A52" s="46">
        <v>34</v>
      </c>
      <c r="B52" s="46" t="s">
        <v>370</v>
      </c>
      <c r="C52" s="46" t="s">
        <v>261</v>
      </c>
      <c r="D52" s="46" t="s">
        <v>59</v>
      </c>
      <c r="E52" s="46" t="s">
        <v>371</v>
      </c>
      <c r="F52" s="46" t="s">
        <v>276</v>
      </c>
      <c r="G52" s="46" t="s">
        <v>277</v>
      </c>
      <c r="H52" s="46">
        <v>3</v>
      </c>
      <c r="I52" s="46">
        <v>22</v>
      </c>
      <c r="J52" s="46">
        <v>25</v>
      </c>
      <c r="K52" s="46"/>
    </row>
    <row r="53" spans="1:11" x14ac:dyDescent="0.25">
      <c r="A53">
        <v>34</v>
      </c>
      <c r="B53" t="s">
        <v>370</v>
      </c>
      <c r="C53" t="s">
        <v>269</v>
      </c>
      <c r="D53" t="s">
        <v>59</v>
      </c>
      <c r="E53" t="s">
        <v>372</v>
      </c>
      <c r="F53" t="s">
        <v>276</v>
      </c>
      <c r="G53" t="s">
        <v>277</v>
      </c>
      <c r="H53">
        <v>0</v>
      </c>
      <c r="I53">
        <v>3</v>
      </c>
      <c r="J53">
        <v>3</v>
      </c>
      <c r="K53" s="46"/>
    </row>
    <row r="54" spans="1:11" x14ac:dyDescent="0.25">
      <c r="A54">
        <v>34</v>
      </c>
      <c r="B54" t="s">
        <v>370</v>
      </c>
      <c r="C54" t="s">
        <v>246</v>
      </c>
      <c r="D54" t="s">
        <v>59</v>
      </c>
      <c r="E54" t="s">
        <v>373</v>
      </c>
      <c r="F54" t="s">
        <v>276</v>
      </c>
      <c r="G54" t="s">
        <v>277</v>
      </c>
      <c r="H54">
        <v>0</v>
      </c>
      <c r="I54">
        <v>3</v>
      </c>
      <c r="J54">
        <v>3</v>
      </c>
      <c r="K54" s="46"/>
    </row>
    <row r="55" spans="1:11" x14ac:dyDescent="0.25">
      <c r="A55">
        <v>34</v>
      </c>
      <c r="B55" t="s">
        <v>370</v>
      </c>
      <c r="C55" t="s">
        <v>374</v>
      </c>
      <c r="D55" t="s">
        <v>59</v>
      </c>
      <c r="E55" t="s">
        <v>375</v>
      </c>
      <c r="F55" t="s">
        <v>276</v>
      </c>
      <c r="G55" t="s">
        <v>277</v>
      </c>
      <c r="H55">
        <v>0</v>
      </c>
      <c r="I55">
        <v>0</v>
      </c>
      <c r="J55">
        <v>0</v>
      </c>
      <c r="K55" s="46"/>
    </row>
    <row r="56" spans="1:11" x14ac:dyDescent="0.25">
      <c r="A56" s="46">
        <v>34</v>
      </c>
      <c r="B56" s="46" t="s">
        <v>370</v>
      </c>
      <c r="C56" s="46" t="s">
        <v>271</v>
      </c>
      <c r="D56" s="46" t="s">
        <v>59</v>
      </c>
      <c r="E56" s="46" t="s">
        <v>376</v>
      </c>
      <c r="F56" s="46" t="s">
        <v>276</v>
      </c>
      <c r="G56" s="46" t="s">
        <v>277</v>
      </c>
      <c r="H56" s="46">
        <v>3</v>
      </c>
      <c r="I56" s="46">
        <v>12</v>
      </c>
      <c r="J56" s="46">
        <v>15</v>
      </c>
      <c r="K56" s="46"/>
    </row>
    <row r="57" spans="1:11" x14ac:dyDescent="0.25">
      <c r="A57" s="46">
        <v>34</v>
      </c>
      <c r="B57" s="46" t="s">
        <v>370</v>
      </c>
      <c r="C57" s="46" t="s">
        <v>258</v>
      </c>
      <c r="D57" s="46" t="s">
        <v>59</v>
      </c>
      <c r="E57" s="46" t="s">
        <v>377</v>
      </c>
      <c r="F57" s="46" t="s">
        <v>276</v>
      </c>
      <c r="G57" s="46" t="s">
        <v>277</v>
      </c>
      <c r="H57" s="46">
        <v>3</v>
      </c>
      <c r="I57" s="46">
        <v>13</v>
      </c>
      <c r="J57" s="46">
        <v>16</v>
      </c>
      <c r="K57" s="46"/>
    </row>
    <row r="58" spans="1:11" x14ac:dyDescent="0.25">
      <c r="A58" s="46">
        <v>34</v>
      </c>
      <c r="B58" s="46" t="s">
        <v>370</v>
      </c>
      <c r="C58" s="46" t="s">
        <v>243</v>
      </c>
      <c r="D58" s="46" t="s">
        <v>59</v>
      </c>
      <c r="E58" s="46" t="s">
        <v>378</v>
      </c>
      <c r="F58" s="46" t="s">
        <v>276</v>
      </c>
      <c r="G58" s="46" t="s">
        <v>277</v>
      </c>
      <c r="H58" s="46">
        <v>5</v>
      </c>
      <c r="I58" s="46">
        <v>6</v>
      </c>
      <c r="J58" s="46">
        <v>11</v>
      </c>
      <c r="K58" s="46"/>
    </row>
    <row r="59" spans="1:11" x14ac:dyDescent="0.25">
      <c r="A59" s="46">
        <v>34</v>
      </c>
      <c r="B59" s="46" t="s">
        <v>370</v>
      </c>
      <c r="C59" s="46" t="s">
        <v>250</v>
      </c>
      <c r="D59" s="46" t="s">
        <v>59</v>
      </c>
      <c r="E59" s="46" t="s">
        <v>379</v>
      </c>
      <c r="F59" s="46" t="s">
        <v>276</v>
      </c>
      <c r="G59" s="46" t="s">
        <v>277</v>
      </c>
      <c r="H59" s="46">
        <v>10</v>
      </c>
      <c r="I59" s="46">
        <v>6</v>
      </c>
      <c r="J59" s="46">
        <v>16</v>
      </c>
      <c r="K59" s="46"/>
    </row>
    <row r="60" spans="1:11" x14ac:dyDescent="0.25">
      <c r="A60" s="46">
        <v>34</v>
      </c>
      <c r="B60" s="46" t="s">
        <v>370</v>
      </c>
      <c r="C60" s="46" t="s">
        <v>266</v>
      </c>
      <c r="D60" s="46" t="s">
        <v>59</v>
      </c>
      <c r="E60" s="46" t="s">
        <v>380</v>
      </c>
      <c r="F60" s="46" t="s">
        <v>276</v>
      </c>
      <c r="G60" s="46" t="s">
        <v>277</v>
      </c>
      <c r="H60" s="46">
        <v>3</v>
      </c>
      <c r="I60" s="46">
        <v>3</v>
      </c>
      <c r="J60" s="46">
        <v>6</v>
      </c>
      <c r="K60" s="46"/>
    </row>
    <row r="61" spans="1:11" x14ac:dyDescent="0.25">
      <c r="A61" s="46">
        <v>34</v>
      </c>
      <c r="B61" s="46" t="s">
        <v>273</v>
      </c>
      <c r="C61" s="46" t="s">
        <v>226</v>
      </c>
      <c r="D61" s="46" t="s">
        <v>58</v>
      </c>
      <c r="E61" s="46" t="s">
        <v>381</v>
      </c>
      <c r="F61" s="46" t="s">
        <v>276</v>
      </c>
      <c r="G61" s="46" t="s">
        <v>277</v>
      </c>
      <c r="H61" s="46">
        <v>0</v>
      </c>
      <c r="I61" s="46">
        <v>21</v>
      </c>
      <c r="J61" s="46">
        <v>21</v>
      </c>
      <c r="K61" s="46"/>
    </row>
    <row r="62" spans="1:11" x14ac:dyDescent="0.25">
      <c r="A62">
        <v>34</v>
      </c>
      <c r="B62" t="s">
        <v>273</v>
      </c>
      <c r="C62" t="s">
        <v>233</v>
      </c>
      <c r="D62" t="s">
        <v>58</v>
      </c>
      <c r="E62" t="s">
        <v>382</v>
      </c>
      <c r="F62" t="s">
        <v>276</v>
      </c>
      <c r="G62" t="s">
        <v>277</v>
      </c>
      <c r="H62">
        <v>2</v>
      </c>
      <c r="I62">
        <v>0</v>
      </c>
      <c r="J62">
        <v>2</v>
      </c>
      <c r="K62" s="46"/>
    </row>
    <row r="63" spans="1:11" x14ac:dyDescent="0.25">
      <c r="A63" s="46">
        <v>34</v>
      </c>
      <c r="B63" s="46" t="s">
        <v>370</v>
      </c>
      <c r="C63" s="46" t="s">
        <v>255</v>
      </c>
      <c r="D63" s="46" t="s">
        <v>58</v>
      </c>
      <c r="E63" s="46" t="s">
        <v>383</v>
      </c>
      <c r="F63" s="46" t="s">
        <v>276</v>
      </c>
      <c r="G63" s="46" t="s">
        <v>277</v>
      </c>
      <c r="H63" s="46">
        <v>3</v>
      </c>
      <c r="I63" s="46">
        <v>2</v>
      </c>
      <c r="J63" s="46">
        <v>5</v>
      </c>
      <c r="K63" s="46"/>
    </row>
    <row r="64" spans="1:11" x14ac:dyDescent="0.25">
      <c r="A64" s="46">
        <v>34</v>
      </c>
      <c r="B64" s="46" t="s">
        <v>273</v>
      </c>
      <c r="C64" s="46" t="s">
        <v>216</v>
      </c>
      <c r="D64" s="46" t="s">
        <v>58</v>
      </c>
      <c r="E64" s="46" t="s">
        <v>384</v>
      </c>
      <c r="F64" s="46" t="s">
        <v>276</v>
      </c>
      <c r="G64" s="46" t="s">
        <v>277</v>
      </c>
      <c r="H64" s="46">
        <v>43</v>
      </c>
      <c r="I64" s="46">
        <v>20</v>
      </c>
      <c r="J64" s="46">
        <v>63</v>
      </c>
      <c r="K64" s="46"/>
    </row>
    <row r="65" spans="1:11" x14ac:dyDescent="0.25">
      <c r="A65" s="46">
        <v>34</v>
      </c>
      <c r="B65" s="46" t="s">
        <v>273</v>
      </c>
      <c r="C65" s="46" t="s">
        <v>209</v>
      </c>
      <c r="D65" s="46" t="s">
        <v>58</v>
      </c>
      <c r="E65" s="46" t="s">
        <v>385</v>
      </c>
      <c r="F65" s="46" t="s">
        <v>276</v>
      </c>
      <c r="G65" s="46" t="s">
        <v>277</v>
      </c>
      <c r="H65" s="46">
        <v>9</v>
      </c>
      <c r="I65" s="46">
        <v>0</v>
      </c>
      <c r="J65" s="46">
        <v>9</v>
      </c>
      <c r="K65" s="46"/>
    </row>
    <row r="66" spans="1:11" x14ac:dyDescent="0.25">
      <c r="A66">
        <v>34</v>
      </c>
      <c r="B66" t="s">
        <v>273</v>
      </c>
      <c r="C66" t="s">
        <v>224</v>
      </c>
      <c r="D66" t="s">
        <v>58</v>
      </c>
      <c r="E66" t="s">
        <v>386</v>
      </c>
      <c r="F66" t="s">
        <v>276</v>
      </c>
      <c r="G66" t="s">
        <v>277</v>
      </c>
      <c r="H66">
        <v>0</v>
      </c>
      <c r="I66">
        <v>1</v>
      </c>
      <c r="J66">
        <v>1</v>
      </c>
      <c r="K66" s="46"/>
    </row>
    <row r="67" spans="1:11" x14ac:dyDescent="0.25">
      <c r="A67">
        <v>34</v>
      </c>
      <c r="B67" t="s">
        <v>273</v>
      </c>
      <c r="C67" t="s">
        <v>207</v>
      </c>
      <c r="D67" t="s">
        <v>58</v>
      </c>
      <c r="E67" t="s">
        <v>387</v>
      </c>
      <c r="F67" t="s">
        <v>276</v>
      </c>
      <c r="G67" t="s">
        <v>277</v>
      </c>
      <c r="H67">
        <v>0</v>
      </c>
      <c r="I67">
        <v>2</v>
      </c>
      <c r="J67">
        <v>2</v>
      </c>
      <c r="K67" s="46"/>
    </row>
    <row r="68" spans="1:11" x14ac:dyDescent="0.25">
      <c r="A68">
        <v>34</v>
      </c>
      <c r="B68" t="s">
        <v>273</v>
      </c>
      <c r="C68" t="s">
        <v>228</v>
      </c>
      <c r="D68" t="s">
        <v>58</v>
      </c>
      <c r="E68" t="s">
        <v>388</v>
      </c>
      <c r="F68" t="s">
        <v>276</v>
      </c>
      <c r="G68" t="s">
        <v>277</v>
      </c>
      <c r="H68">
        <v>2</v>
      </c>
      <c r="I68">
        <v>0</v>
      </c>
      <c r="J68">
        <v>2</v>
      </c>
      <c r="K68" s="46"/>
    </row>
    <row r="69" spans="1:11" x14ac:dyDescent="0.25">
      <c r="A69" s="46">
        <v>34</v>
      </c>
      <c r="B69" s="46" t="s">
        <v>273</v>
      </c>
      <c r="C69" s="46" t="s">
        <v>213</v>
      </c>
      <c r="D69" s="46" t="s">
        <v>58</v>
      </c>
      <c r="E69" s="46" t="s">
        <v>389</v>
      </c>
      <c r="F69" s="46" t="s">
        <v>276</v>
      </c>
      <c r="G69" s="46" t="s">
        <v>277</v>
      </c>
      <c r="H69" s="46">
        <v>23</v>
      </c>
      <c r="I69" s="46">
        <v>7</v>
      </c>
      <c r="J69" s="46">
        <v>30</v>
      </c>
      <c r="K69" s="46"/>
    </row>
    <row r="70" spans="1:11" x14ac:dyDescent="0.25">
      <c r="A70">
        <v>34</v>
      </c>
      <c r="B70" t="s">
        <v>278</v>
      </c>
      <c r="C70" t="s">
        <v>186</v>
      </c>
      <c r="D70" t="s">
        <v>60</v>
      </c>
      <c r="E70" t="s">
        <v>390</v>
      </c>
      <c r="F70" t="s">
        <v>276</v>
      </c>
      <c r="G70" t="s">
        <v>277</v>
      </c>
      <c r="H70">
        <v>2</v>
      </c>
      <c r="I70">
        <v>1</v>
      </c>
      <c r="J70">
        <v>3</v>
      </c>
      <c r="K70" s="46"/>
    </row>
    <row r="71" spans="1:11" x14ac:dyDescent="0.25">
      <c r="A71" s="46">
        <v>34</v>
      </c>
      <c r="B71" s="46" t="s">
        <v>278</v>
      </c>
      <c r="C71" s="46" t="s">
        <v>175</v>
      </c>
      <c r="D71" s="46" t="s">
        <v>60</v>
      </c>
      <c r="E71" s="46" t="s">
        <v>391</v>
      </c>
      <c r="F71" s="46" t="s">
        <v>276</v>
      </c>
      <c r="G71" s="46" t="s">
        <v>277</v>
      </c>
      <c r="H71" s="46">
        <v>5</v>
      </c>
      <c r="I71" s="46">
        <v>0</v>
      </c>
      <c r="J71" s="46">
        <v>5</v>
      </c>
      <c r="K71" s="46"/>
    </row>
    <row r="72" spans="1:11" x14ac:dyDescent="0.25">
      <c r="A72" s="46">
        <v>34</v>
      </c>
      <c r="B72" s="46" t="s">
        <v>278</v>
      </c>
      <c r="C72" s="46" t="s">
        <v>183</v>
      </c>
      <c r="D72" s="46" t="s">
        <v>60</v>
      </c>
      <c r="E72" s="46" t="s">
        <v>392</v>
      </c>
      <c r="F72" s="46" t="s">
        <v>276</v>
      </c>
      <c r="G72" s="46" t="s">
        <v>277</v>
      </c>
      <c r="H72" s="46">
        <v>2</v>
      </c>
      <c r="I72" s="46">
        <v>3</v>
      </c>
      <c r="J72" s="46">
        <v>5</v>
      </c>
      <c r="K72" s="46"/>
    </row>
    <row r="73" spans="1:11" x14ac:dyDescent="0.25">
      <c r="A73" s="46">
        <v>34</v>
      </c>
      <c r="B73" s="46" t="s">
        <v>285</v>
      </c>
      <c r="C73" s="46" t="s">
        <v>127</v>
      </c>
      <c r="D73" s="46" t="s">
        <v>60</v>
      </c>
      <c r="E73" s="46" t="s">
        <v>393</v>
      </c>
      <c r="F73" s="46" t="s">
        <v>276</v>
      </c>
      <c r="G73" s="46" t="s">
        <v>277</v>
      </c>
      <c r="H73" s="46">
        <v>6</v>
      </c>
      <c r="I73" s="46">
        <v>3</v>
      </c>
      <c r="J73" s="46">
        <v>9</v>
      </c>
      <c r="K73" s="46"/>
    </row>
    <row r="74" spans="1:11" x14ac:dyDescent="0.25">
      <c r="A74" s="46">
        <v>34</v>
      </c>
      <c r="B74" s="46" t="s">
        <v>278</v>
      </c>
      <c r="C74" s="46" t="s">
        <v>153</v>
      </c>
      <c r="D74" s="46" t="s">
        <v>60</v>
      </c>
      <c r="E74" s="46" t="s">
        <v>394</v>
      </c>
      <c r="F74" s="46" t="s">
        <v>276</v>
      </c>
      <c r="G74" s="46" t="s">
        <v>277</v>
      </c>
      <c r="H74" s="46">
        <v>14</v>
      </c>
      <c r="I74" s="46">
        <v>3</v>
      </c>
      <c r="J74" s="46">
        <v>17</v>
      </c>
      <c r="K74" s="46"/>
    </row>
    <row r="75" spans="1:11" x14ac:dyDescent="0.25">
      <c r="A75">
        <v>34</v>
      </c>
      <c r="B75" t="s">
        <v>278</v>
      </c>
      <c r="C75" t="s">
        <v>200</v>
      </c>
      <c r="D75" t="s">
        <v>60</v>
      </c>
      <c r="E75" t="s">
        <v>395</v>
      </c>
      <c r="F75" t="s">
        <v>276</v>
      </c>
      <c r="G75" t="s">
        <v>277</v>
      </c>
      <c r="H75">
        <v>5</v>
      </c>
      <c r="I75">
        <v>0</v>
      </c>
      <c r="J75">
        <v>5</v>
      </c>
      <c r="K75" s="46"/>
    </row>
    <row r="76" spans="1:11" x14ac:dyDescent="0.25">
      <c r="A76" s="46">
        <v>34</v>
      </c>
      <c r="B76" s="46" t="s">
        <v>278</v>
      </c>
      <c r="C76" s="46" t="s">
        <v>165</v>
      </c>
      <c r="D76" s="46" t="s">
        <v>60</v>
      </c>
      <c r="E76" s="46" t="s">
        <v>396</v>
      </c>
      <c r="F76" s="46" t="s">
        <v>276</v>
      </c>
      <c r="G76" s="46" t="s">
        <v>277</v>
      </c>
      <c r="H76" s="46">
        <v>9</v>
      </c>
      <c r="I76" s="46">
        <v>4</v>
      </c>
      <c r="J76" s="46">
        <v>13</v>
      </c>
      <c r="K76" s="46"/>
    </row>
    <row r="77" spans="1:11" x14ac:dyDescent="0.25">
      <c r="A77" s="46">
        <v>34</v>
      </c>
      <c r="B77" s="46" t="s">
        <v>278</v>
      </c>
      <c r="C77" s="46" t="s">
        <v>159</v>
      </c>
      <c r="D77" s="46" t="s">
        <v>60</v>
      </c>
      <c r="E77" s="46" t="s">
        <v>397</v>
      </c>
      <c r="F77" s="46" t="s">
        <v>276</v>
      </c>
      <c r="G77" s="46" t="s">
        <v>277</v>
      </c>
      <c r="H77" s="46">
        <v>8</v>
      </c>
      <c r="I77" s="46">
        <v>5</v>
      </c>
      <c r="J77" s="46">
        <v>13</v>
      </c>
      <c r="K77" s="46"/>
    </row>
    <row r="78" spans="1:11" x14ac:dyDescent="0.25">
      <c r="A78" s="46">
        <v>34</v>
      </c>
      <c r="B78" s="46" t="s">
        <v>278</v>
      </c>
      <c r="C78" s="46" t="s">
        <v>172</v>
      </c>
      <c r="D78" s="46" t="s">
        <v>60</v>
      </c>
      <c r="E78" s="46" t="s">
        <v>398</v>
      </c>
      <c r="F78" s="46" t="s">
        <v>276</v>
      </c>
      <c r="G78" s="46" t="s">
        <v>277</v>
      </c>
      <c r="H78" s="46">
        <v>12</v>
      </c>
      <c r="I78" s="46">
        <v>8</v>
      </c>
      <c r="J78" s="46">
        <v>20</v>
      </c>
      <c r="K78" s="46"/>
    </row>
    <row r="79" spans="1:11" x14ac:dyDescent="0.25">
      <c r="A79" s="46">
        <v>34</v>
      </c>
      <c r="B79" s="46" t="s">
        <v>278</v>
      </c>
      <c r="C79" s="46" t="s">
        <v>197</v>
      </c>
      <c r="D79" s="46" t="s">
        <v>60</v>
      </c>
      <c r="E79" s="46" t="s">
        <v>399</v>
      </c>
      <c r="F79" s="46" t="s">
        <v>276</v>
      </c>
      <c r="G79" s="46" t="s">
        <v>277</v>
      </c>
      <c r="H79" s="46">
        <v>25</v>
      </c>
      <c r="I79" s="46">
        <v>5</v>
      </c>
      <c r="J79" s="46">
        <v>30</v>
      </c>
      <c r="K79" s="46"/>
    </row>
    <row r="80" spans="1:11" x14ac:dyDescent="0.25">
      <c r="A80">
        <v>34</v>
      </c>
      <c r="B80" t="s">
        <v>285</v>
      </c>
      <c r="C80" t="s">
        <v>135</v>
      </c>
      <c r="D80" t="s">
        <v>60</v>
      </c>
      <c r="E80" t="s">
        <v>400</v>
      </c>
      <c r="F80" t="s">
        <v>276</v>
      </c>
      <c r="G80" t="s">
        <v>277</v>
      </c>
      <c r="H80">
        <v>2</v>
      </c>
      <c r="I80">
        <v>2</v>
      </c>
      <c r="J80">
        <v>4</v>
      </c>
      <c r="K80" s="46"/>
    </row>
    <row r="81" spans="1:10" x14ac:dyDescent="0.25">
      <c r="A81" s="46">
        <v>34</v>
      </c>
      <c r="B81" s="46" t="s">
        <v>278</v>
      </c>
      <c r="C81" s="46" t="s">
        <v>180</v>
      </c>
      <c r="D81" s="46" t="s">
        <v>60</v>
      </c>
      <c r="E81" s="46" t="s">
        <v>401</v>
      </c>
      <c r="F81" s="46" t="s">
        <v>276</v>
      </c>
      <c r="G81" s="46" t="s">
        <v>277</v>
      </c>
      <c r="H81" s="46">
        <v>3</v>
      </c>
      <c r="I81" s="46">
        <v>9</v>
      </c>
      <c r="J81" s="46">
        <v>12</v>
      </c>
    </row>
    <row r="82" spans="1:10" x14ac:dyDescent="0.25">
      <c r="A82" s="46">
        <v>34</v>
      </c>
      <c r="B82" s="46" t="s">
        <v>278</v>
      </c>
      <c r="C82" s="46" t="s">
        <v>202</v>
      </c>
      <c r="D82" s="46" t="s">
        <v>60</v>
      </c>
      <c r="E82" s="46" t="s">
        <v>402</v>
      </c>
      <c r="F82" s="46" t="s">
        <v>276</v>
      </c>
      <c r="G82" s="46" t="s">
        <v>277</v>
      </c>
      <c r="H82" s="46">
        <v>11</v>
      </c>
      <c r="I82" s="46">
        <v>5</v>
      </c>
      <c r="J82" s="46">
        <v>16</v>
      </c>
    </row>
    <row r="83" spans="1:10" x14ac:dyDescent="0.25">
      <c r="A83">
        <v>34</v>
      </c>
      <c r="B83" t="s">
        <v>278</v>
      </c>
      <c r="C83" t="s">
        <v>191</v>
      </c>
      <c r="D83" t="s">
        <v>60</v>
      </c>
      <c r="E83" t="s">
        <v>403</v>
      </c>
      <c r="F83" t="s">
        <v>276</v>
      </c>
      <c r="G83" t="s">
        <v>277</v>
      </c>
      <c r="H83">
        <v>2</v>
      </c>
      <c r="I83">
        <v>1</v>
      </c>
      <c r="J83">
        <v>3</v>
      </c>
    </row>
    <row r="84" spans="1:10" x14ac:dyDescent="0.25">
      <c r="A84" s="46">
        <v>34</v>
      </c>
      <c r="B84" s="46" t="s">
        <v>273</v>
      </c>
      <c r="C84" s="46" t="s">
        <v>211</v>
      </c>
      <c r="D84" s="46" t="s">
        <v>60</v>
      </c>
      <c r="E84" s="46" t="s">
        <v>404</v>
      </c>
      <c r="F84" s="46" t="s">
        <v>276</v>
      </c>
      <c r="G84" s="46" t="s">
        <v>277</v>
      </c>
      <c r="H84" s="46">
        <v>18</v>
      </c>
      <c r="I84" s="46">
        <v>0</v>
      </c>
      <c r="J84" s="46">
        <v>18</v>
      </c>
    </row>
    <row r="85" spans="1:10" x14ac:dyDescent="0.25">
      <c r="A85" s="46">
        <v>34</v>
      </c>
      <c r="B85" s="46" t="s">
        <v>285</v>
      </c>
      <c r="C85" s="46" t="s">
        <v>130</v>
      </c>
      <c r="D85" s="46" t="s">
        <v>61</v>
      </c>
      <c r="E85" s="46" t="s">
        <v>405</v>
      </c>
      <c r="F85" s="46" t="s">
        <v>276</v>
      </c>
      <c r="G85" s="46" t="s">
        <v>277</v>
      </c>
      <c r="H85" s="46">
        <v>6</v>
      </c>
      <c r="I85" s="46">
        <v>0</v>
      </c>
      <c r="J85" s="46">
        <v>6</v>
      </c>
    </row>
    <row r="86" spans="1:10" x14ac:dyDescent="0.25">
      <c r="A86" s="46">
        <v>34</v>
      </c>
      <c r="B86" s="46" t="s">
        <v>285</v>
      </c>
      <c r="C86" s="46" t="s">
        <v>114</v>
      </c>
      <c r="D86" s="46" t="s">
        <v>61</v>
      </c>
      <c r="E86" s="46" t="s">
        <v>406</v>
      </c>
      <c r="F86" s="46" t="s">
        <v>276</v>
      </c>
      <c r="G86" s="46" t="s">
        <v>277</v>
      </c>
      <c r="H86" s="46">
        <v>32</v>
      </c>
      <c r="I86" s="46">
        <v>0</v>
      </c>
      <c r="J86" s="46">
        <v>32</v>
      </c>
    </row>
    <row r="87" spans="1:10" x14ac:dyDescent="0.25">
      <c r="A87" s="46">
        <v>34</v>
      </c>
      <c r="B87" s="46" t="s">
        <v>273</v>
      </c>
      <c r="C87" s="46" t="s">
        <v>237</v>
      </c>
      <c r="D87" s="46" t="s">
        <v>61</v>
      </c>
      <c r="E87" s="46" t="s">
        <v>407</v>
      </c>
      <c r="F87" s="46" t="s">
        <v>276</v>
      </c>
      <c r="G87" s="46" t="s">
        <v>277</v>
      </c>
      <c r="H87" s="46">
        <v>5</v>
      </c>
      <c r="I87" s="46">
        <v>8</v>
      </c>
      <c r="J87" s="46">
        <v>13</v>
      </c>
    </row>
    <row r="88" spans="1:10" x14ac:dyDescent="0.25">
      <c r="A88">
        <v>34</v>
      </c>
      <c r="B88" t="s">
        <v>285</v>
      </c>
      <c r="C88" t="s">
        <v>105</v>
      </c>
      <c r="D88" t="s">
        <v>61</v>
      </c>
      <c r="E88" t="s">
        <v>408</v>
      </c>
      <c r="F88" t="s">
        <v>276</v>
      </c>
      <c r="G88" t="s">
        <v>277</v>
      </c>
      <c r="H88">
        <v>3</v>
      </c>
      <c r="I88">
        <v>0</v>
      </c>
      <c r="J88">
        <v>3</v>
      </c>
    </row>
    <row r="89" spans="1:10" x14ac:dyDescent="0.25">
      <c r="A89" s="46">
        <v>34</v>
      </c>
      <c r="B89" s="46" t="s">
        <v>273</v>
      </c>
      <c r="C89" s="46" t="s">
        <v>235</v>
      </c>
      <c r="D89" s="46" t="s">
        <v>61</v>
      </c>
      <c r="E89" s="46" t="s">
        <v>409</v>
      </c>
      <c r="F89" s="46" t="s">
        <v>276</v>
      </c>
      <c r="G89" s="46" t="s">
        <v>277</v>
      </c>
      <c r="H89" s="46">
        <v>5</v>
      </c>
      <c r="I89" s="46">
        <v>0</v>
      </c>
      <c r="J89" s="46">
        <v>5</v>
      </c>
    </row>
    <row r="90" spans="1:10" x14ac:dyDescent="0.25">
      <c r="A90" s="46">
        <v>34</v>
      </c>
      <c r="B90" s="46" t="s">
        <v>285</v>
      </c>
      <c r="C90" s="46" t="s">
        <v>116</v>
      </c>
      <c r="D90" s="46" t="s">
        <v>61</v>
      </c>
      <c r="E90" s="46" t="s">
        <v>410</v>
      </c>
      <c r="F90" s="46" t="s">
        <v>276</v>
      </c>
      <c r="G90" s="46" t="s">
        <v>277</v>
      </c>
      <c r="H90" s="46">
        <v>4</v>
      </c>
      <c r="I90" s="46">
        <v>6</v>
      </c>
      <c r="J90" s="46">
        <v>10</v>
      </c>
    </row>
    <row r="91" spans="1:10" x14ac:dyDescent="0.25">
      <c r="A91" s="46">
        <v>34</v>
      </c>
      <c r="B91" s="46" t="s">
        <v>285</v>
      </c>
      <c r="C91" s="46" t="s">
        <v>125</v>
      </c>
      <c r="D91" s="46" t="s">
        <v>61</v>
      </c>
      <c r="E91" s="46" t="s">
        <v>411</v>
      </c>
      <c r="F91" s="46" t="s">
        <v>276</v>
      </c>
      <c r="G91" s="46" t="s">
        <v>277</v>
      </c>
      <c r="H91" s="46">
        <v>5</v>
      </c>
      <c r="I91" s="46">
        <v>0</v>
      </c>
      <c r="J91" s="46">
        <v>5</v>
      </c>
    </row>
    <row r="92" spans="1:10" x14ac:dyDescent="0.25">
      <c r="A92">
        <v>34</v>
      </c>
      <c r="B92" t="s">
        <v>285</v>
      </c>
      <c r="C92" t="s">
        <v>111</v>
      </c>
      <c r="D92" t="s">
        <v>61</v>
      </c>
      <c r="E92" t="s">
        <v>412</v>
      </c>
      <c r="F92" t="s">
        <v>276</v>
      </c>
      <c r="G92" t="s">
        <v>277</v>
      </c>
      <c r="H92">
        <v>1</v>
      </c>
      <c r="I92">
        <v>2</v>
      </c>
      <c r="J92">
        <v>3</v>
      </c>
    </row>
    <row r="93" spans="1:10" x14ac:dyDescent="0.25">
      <c r="A93" s="46">
        <v>34</v>
      </c>
      <c r="B93" s="46" t="s">
        <v>285</v>
      </c>
      <c r="C93" s="46" t="s">
        <v>123</v>
      </c>
      <c r="D93" s="46" t="s">
        <v>61</v>
      </c>
      <c r="E93" s="46" t="s">
        <v>413</v>
      </c>
      <c r="F93" s="46" t="s">
        <v>276</v>
      </c>
      <c r="G93" s="46" t="s">
        <v>277</v>
      </c>
      <c r="H93" s="46">
        <v>12</v>
      </c>
      <c r="I93" s="46">
        <v>0</v>
      </c>
      <c r="J93" s="46">
        <v>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C8" sqref="C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128</v>
      </c>
      <c r="C5" s="2">
        <v>487</v>
      </c>
      <c r="D5" s="2">
        <v>615</v>
      </c>
      <c r="G5" s="1" t="s">
        <v>9</v>
      </c>
      <c r="H5" s="2">
        <f>GETPIVOTDATA("Sum of Cx pipiens",$A$4,"Zone","LV")</f>
        <v>128</v>
      </c>
      <c r="I5" s="2">
        <f>GETPIVOTDATA("Sum of Cx tarsalis",$A$4,"Zone","LV")</f>
        <v>487</v>
      </c>
      <c r="J5" s="2">
        <f>GETPIVOTDATA("Sum of Total CX",$A$4,"Zone","LV")</f>
        <v>615</v>
      </c>
    </row>
    <row r="6" spans="1:10" x14ac:dyDescent="0.25">
      <c r="A6" s="1" t="s">
        <v>59</v>
      </c>
      <c r="B6" s="2">
        <v>68</v>
      </c>
      <c r="C6" s="2">
        <v>27</v>
      </c>
      <c r="D6" s="2">
        <v>95</v>
      </c>
      <c r="G6" s="1" t="s">
        <v>59</v>
      </c>
      <c r="H6" s="2">
        <f>GETPIVOTDATA("Sum of Cx pipiens",$A$4,"Zone","NE")</f>
        <v>68</v>
      </c>
      <c r="I6" s="2">
        <f>GETPIVOTDATA("Sum of Cx tarsalis",$A$4,"Zone","NE")</f>
        <v>27</v>
      </c>
      <c r="J6" s="2">
        <f>GETPIVOTDATA("Sum of Total CX",$A$4,"Zone","NE")</f>
        <v>95</v>
      </c>
    </row>
    <row r="7" spans="1:10" x14ac:dyDescent="0.25">
      <c r="A7" s="1" t="s">
        <v>58</v>
      </c>
      <c r="B7" s="2">
        <v>53</v>
      </c>
      <c r="C7" s="2">
        <v>82</v>
      </c>
      <c r="D7" s="2">
        <v>135</v>
      </c>
      <c r="G7" s="1" t="s">
        <v>58</v>
      </c>
      <c r="H7" s="2">
        <f>GETPIVOTDATA("Sum of Cx pipiens",$A$4,"Zone","NW")</f>
        <v>53</v>
      </c>
      <c r="I7" s="2">
        <f>GETPIVOTDATA("Sum of Cx tarsalis",$A$4,"Zone","NW")</f>
        <v>82</v>
      </c>
      <c r="J7" s="2">
        <f>GETPIVOTDATA("Sum of Total CX",$A$4,"Zone","NW")</f>
        <v>135</v>
      </c>
    </row>
    <row r="8" spans="1:10" x14ac:dyDescent="0.25">
      <c r="A8" s="1" t="s">
        <v>60</v>
      </c>
      <c r="B8" s="2">
        <v>49</v>
      </c>
      <c r="C8" s="2">
        <v>124</v>
      </c>
      <c r="D8" s="2">
        <v>173</v>
      </c>
      <c r="G8" s="1" t="s">
        <v>60</v>
      </c>
      <c r="H8" s="2">
        <f>GETPIVOTDATA("Sum of Cx pipiens",$A$4,"Zone","SE")</f>
        <v>49</v>
      </c>
      <c r="I8" s="2">
        <f>GETPIVOTDATA("Sum of Cx tarsalis",$A$4,"Zone","SE")</f>
        <v>124</v>
      </c>
      <c r="J8" s="2">
        <f>GETPIVOTDATA("Sum of Total CX",$A$4,"Zone","SE")</f>
        <v>173</v>
      </c>
    </row>
    <row r="9" spans="1:10" x14ac:dyDescent="0.25">
      <c r="A9" s="1" t="s">
        <v>61</v>
      </c>
      <c r="B9" s="2">
        <v>16</v>
      </c>
      <c r="C9" s="2">
        <v>73</v>
      </c>
      <c r="D9" s="2">
        <v>89</v>
      </c>
      <c r="G9" s="1" t="s">
        <v>61</v>
      </c>
      <c r="H9" s="2">
        <f>GETPIVOTDATA("Sum of Cx pipiens",$A$4,"Zone","SW")</f>
        <v>16</v>
      </c>
      <c r="I9" s="2">
        <f>GETPIVOTDATA("Sum of Cx tarsalis",$A$4,"Zone","SW")</f>
        <v>73</v>
      </c>
      <c r="J9" s="2">
        <f>GETPIVOTDATA("Sum of Total CX",$A$4,"Zone","SW")</f>
        <v>89</v>
      </c>
    </row>
    <row r="10" spans="1:10" x14ac:dyDescent="0.25">
      <c r="A10" s="1" t="s">
        <v>104</v>
      </c>
      <c r="B10" s="2">
        <v>32</v>
      </c>
      <c r="C10" s="2">
        <v>148</v>
      </c>
      <c r="D10" s="2">
        <v>180</v>
      </c>
    </row>
    <row r="11" spans="1:10" x14ac:dyDescent="0.25">
      <c r="A11" s="1" t="s">
        <v>7</v>
      </c>
      <c r="B11" s="2">
        <v>346</v>
      </c>
      <c r="C11" s="2">
        <v>941</v>
      </c>
      <c r="D11" s="2">
        <v>1287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0" t="s">
        <v>77</v>
      </c>
      <c r="B1" s="70"/>
      <c r="H1" s="70" t="s">
        <v>53</v>
      </c>
      <c r="I1" s="7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246</v>
      </c>
      <c r="C6" s="2">
        <v>153</v>
      </c>
      <c r="D6" s="2">
        <v>399</v>
      </c>
      <c r="H6" s="1" t="s">
        <v>9</v>
      </c>
      <c r="I6" s="2">
        <f>GETPIVOTDATA("Total",$A$4,"Zone","LV","Spp","pipiens")</f>
        <v>246</v>
      </c>
      <c r="J6" s="2">
        <f>GETPIVOTDATA("Total",$A$4,"Zone","LV","Spp","tarsalis")</f>
        <v>153</v>
      </c>
      <c r="K6" s="2">
        <f>GETPIVOTDATA("Total",$A$4,"Zone","LV")</f>
        <v>399</v>
      </c>
    </row>
    <row r="7" spans="1:11" x14ac:dyDescent="0.25">
      <c r="A7" s="1" t="s">
        <v>59</v>
      </c>
      <c r="B7" s="2">
        <v>164</v>
      </c>
      <c r="C7" s="2">
        <v>27</v>
      </c>
      <c r="D7" s="2">
        <v>191</v>
      </c>
      <c r="H7" s="1" t="s">
        <v>59</v>
      </c>
      <c r="I7" s="2">
        <f>GETPIVOTDATA("Total",$A$4,"Zone","NE","Spp","pipiens")</f>
        <v>164</v>
      </c>
      <c r="J7" s="2">
        <f>GETPIVOTDATA("Total",$A$4,"Zone","NE","Spp","tarsalis")</f>
        <v>27</v>
      </c>
      <c r="K7" s="2">
        <f>GETPIVOTDATA("Total",$A$4,"Zone","NE")</f>
        <v>191</v>
      </c>
    </row>
    <row r="8" spans="1:11" x14ac:dyDescent="0.25">
      <c r="A8" s="1" t="s">
        <v>58</v>
      </c>
      <c r="B8" s="2">
        <v>315</v>
      </c>
      <c r="C8" s="2">
        <v>82</v>
      </c>
      <c r="D8" s="2">
        <v>397</v>
      </c>
      <c r="H8" s="1" t="s">
        <v>58</v>
      </c>
      <c r="I8" s="2">
        <f>GETPIVOTDATA("Total",$A$4,"Zone","NW","Spp","pipiens")</f>
        <v>315</v>
      </c>
      <c r="J8" s="2">
        <f>GETPIVOTDATA("Total",$A$4,"Zone","NW","Spp","tarsalis")</f>
        <v>82</v>
      </c>
      <c r="K8" s="2">
        <f>GETPIVOTDATA("Total",$A$4,"Zone","NW")</f>
        <v>397</v>
      </c>
    </row>
    <row r="9" spans="1:11" x14ac:dyDescent="0.25">
      <c r="A9" s="1" t="s">
        <v>60</v>
      </c>
      <c r="B9" s="2">
        <v>219</v>
      </c>
      <c r="C9" s="2">
        <v>124</v>
      </c>
      <c r="D9" s="2">
        <v>343</v>
      </c>
      <c r="H9" s="1" t="s">
        <v>60</v>
      </c>
      <c r="I9" s="2">
        <f>GETPIVOTDATA("Total",$A$4,"Zone","SE","Spp","pipiens")</f>
        <v>219</v>
      </c>
      <c r="J9" s="2">
        <f>GETPIVOTDATA("Total",$A$4,"Zone","SE","Spp","tarsalis")</f>
        <v>124</v>
      </c>
      <c r="K9" s="2">
        <f>GETPIVOTDATA("Total",$A$4,"Zone","SE")</f>
        <v>343</v>
      </c>
    </row>
    <row r="10" spans="1:11" x14ac:dyDescent="0.25">
      <c r="A10" s="1" t="s">
        <v>61</v>
      </c>
      <c r="B10" s="2">
        <v>78</v>
      </c>
      <c r="C10" s="2">
        <v>73</v>
      </c>
      <c r="D10" s="2">
        <v>151</v>
      </c>
      <c r="H10" s="1" t="s">
        <v>61</v>
      </c>
      <c r="I10" s="2">
        <f>GETPIVOTDATA("Total",$A$4,"Zone","SW","Spp","pipiens")</f>
        <v>78</v>
      </c>
      <c r="J10" s="2">
        <f>GETPIVOTDATA("Total",$A$4,"Zone","SW","Spp","tarsalis")</f>
        <v>73</v>
      </c>
      <c r="K10" s="2">
        <f>GETPIVOTDATA("Total",$A$4,"Zone","SW")</f>
        <v>151</v>
      </c>
    </row>
    <row r="11" spans="1:11" x14ac:dyDescent="0.25">
      <c r="A11" s="1" t="s">
        <v>7</v>
      </c>
      <c r="B11" s="2">
        <v>1022</v>
      </c>
      <c r="C11" s="2">
        <v>459</v>
      </c>
      <c r="D11" s="2">
        <v>1481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D1AB6F9-F7DE-447F-B7C4-1FFAD9C51A8E}"/>
</file>

<file path=customXml/itemProps2.xml><?xml version="1.0" encoding="utf-8"?>
<ds:datastoreItem xmlns:ds="http://schemas.openxmlformats.org/officeDocument/2006/customXml" ds:itemID="{93574E0C-9249-40E9-BC82-D991878EC851}"/>
</file>

<file path=customXml/itemProps3.xml><?xml version="1.0" encoding="utf-8"?>
<ds:datastoreItem xmlns:ds="http://schemas.openxmlformats.org/officeDocument/2006/customXml" ds:itemID="{239F2A05-7613-468F-A22D-A765628724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2017-06-19T20:09:46Z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679400</vt:r8>
  </property>
</Properties>
</file>