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Tables/pivotTable4.xml" ContentType="application/vnd.openxmlformats-officedocument.spreadsheetml.pivotTable+xml"/>
  <Override PartName="/xl/pivotTables/pivotTable3.xml" ContentType="application/vnd.openxmlformats-officedocument.spreadsheetml.pivotTable+xml"/>
  <Override PartName="/xl/worksheets/sheet1.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worksheets/sheet5.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pivotCache/pivotCacheDefinition1.xml" ContentType="application/vnd.openxmlformats-officedocument.spreadsheetml.pivotCacheDefini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codeName="ThisWorkbook" defaultThemeVersion="124226"/>
  <mc:AlternateContent xmlns:mc="http://schemas.openxmlformats.org/markup-compatibility/2006">
    <mc:Choice Requires="x15">
      <x15ac:absPath xmlns:x15ac="http://schemas.microsoft.com/office/spreadsheetml/2010/11/ac" url="D:\Reyes_Graduate_School\Ebel Lab\WNV survalance\WNVS 2015\Weekly Reports\Week 35\"/>
    </mc:Choice>
  </mc:AlternateContent>
  <bookViews>
    <workbookView xWindow="0" yWindow="0" windowWidth="28800" windowHeight="15525" tabRatio="905" activeTab="1"/>
  </bookViews>
  <sheets>
    <sheet name="READ ME" sheetId="65" r:id="rId1"/>
    <sheet name="Weekly Data Input" sheetId="2" r:id="rId2"/>
    <sheet name="InfRateZone" sheetId="77" r:id="rId3"/>
    <sheet name="InfRateTotal" sheetId="75" r:id="rId4"/>
    <sheet name="InfRateZO" sheetId="73" r:id="rId5"/>
    <sheet name="InfRateCI" sheetId="71" r:id="rId6"/>
    <sheet name="Weekly 009 input (- Grav, Mal)" sheetId="59" r:id="rId7"/>
    <sheet name="Total Number Of Ind" sheetId="63" r:id="rId8"/>
    <sheet name="Total Number Ind Examined " sheetId="61" r:id="rId9"/>
    <sheet name="Total Number of Pools Examined" sheetId="64" r:id="rId10"/>
    <sheet name="Total Number of WNV + Pools" sheetId="6" r:id="rId11"/>
    <sheet name="CITYINFRATE" sheetId="57" r:id="rId12"/>
    <sheet name="ZONEINFRATE" sheetId="58" r:id="rId13"/>
    <sheet name="Graphs" sheetId="5" r:id="rId14"/>
  </sheets>
  <definedNames>
    <definedName name="_xlnm._FilterDatabase" localSheetId="1" hidden="1">'Weekly Data Input'!#REF!</definedName>
  </definedNames>
  <calcPr calcId="171027"/>
  <pivotCaches>
    <pivotCache cacheId="20" r:id="rId15"/>
    <pivotCache cacheId="21" r:id="rId16"/>
  </pivotCaches>
</workbook>
</file>

<file path=xl/calcChain.xml><?xml version="1.0" encoding="utf-8"?>
<calcChain xmlns="http://schemas.openxmlformats.org/spreadsheetml/2006/main">
  <c r="M75" i="5" l="1"/>
  <c r="F12" i="5" s="1"/>
  <c r="L75" i="5"/>
  <c r="E12" i="5" s="1"/>
  <c r="L73" i="5"/>
  <c r="E10" i="5" s="1"/>
  <c r="M73" i="5"/>
  <c r="F10" i="5" s="1"/>
  <c r="M72" i="5"/>
  <c r="F9" i="5" s="1"/>
  <c r="M71" i="5"/>
  <c r="F8" i="5" s="1"/>
  <c r="M70" i="5"/>
  <c r="F7" i="5" s="1"/>
  <c r="M69" i="5"/>
  <c r="F6" i="5" s="1"/>
  <c r="L72" i="5"/>
  <c r="E9" i="5" s="1"/>
  <c r="L71" i="5"/>
  <c r="E8" i="5" s="1"/>
  <c r="L70" i="5"/>
  <c r="E7" i="5" s="1"/>
  <c r="L69" i="5"/>
  <c r="E6" i="5" s="1"/>
  <c r="H7" i="64"/>
  <c r="I11" i="6"/>
  <c r="H9" i="6"/>
  <c r="H9" i="64"/>
  <c r="H6" i="64"/>
  <c r="J10" i="61"/>
  <c r="K9" i="61"/>
  <c r="J9" i="63"/>
  <c r="H10" i="64"/>
  <c r="H8" i="63"/>
  <c r="J6" i="63"/>
  <c r="G7" i="6"/>
  <c r="I8" i="63"/>
  <c r="G8" i="6"/>
  <c r="H8" i="6"/>
  <c r="J6" i="64"/>
  <c r="I7" i="64"/>
  <c r="I6" i="61"/>
  <c r="I7" i="63"/>
  <c r="I6" i="63"/>
  <c r="I8" i="6"/>
  <c r="I7" i="61"/>
  <c r="H5" i="63"/>
  <c r="I10" i="64"/>
  <c r="H7" i="6"/>
  <c r="G10" i="6"/>
  <c r="J7" i="64"/>
  <c r="K6" i="61"/>
  <c r="J9" i="61"/>
  <c r="J5" i="63"/>
  <c r="I9" i="63"/>
  <c r="G9" i="6"/>
  <c r="J7" i="61"/>
  <c r="K7" i="61"/>
  <c r="H10" i="6"/>
  <c r="I9" i="64"/>
  <c r="J9" i="64"/>
  <c r="I9" i="61"/>
  <c r="J6" i="61"/>
  <c r="H7" i="63"/>
  <c r="H9" i="63"/>
  <c r="I8" i="64"/>
  <c r="J8" i="61"/>
  <c r="G11" i="6"/>
  <c r="K8" i="61"/>
  <c r="H11" i="6"/>
  <c r="I9" i="6"/>
  <c r="J8" i="64"/>
  <c r="H8" i="64"/>
  <c r="I10" i="61"/>
  <c r="K10" i="61"/>
  <c r="J7" i="63"/>
  <c r="J8" i="63"/>
  <c r="I10" i="6"/>
  <c r="I7" i="6"/>
  <c r="I6" i="64"/>
  <c r="I8" i="61"/>
  <c r="I5" i="63"/>
  <c r="J10" i="64"/>
  <c r="H6" i="63"/>
  <c r="F70" i="5" l="1"/>
  <c r="H70" i="5" s="1"/>
  <c r="G75" i="5"/>
  <c r="F69" i="5"/>
  <c r="F71" i="5"/>
  <c r="G69" i="5"/>
  <c r="F72" i="5"/>
  <c r="G71" i="5"/>
  <c r="F75" i="5"/>
  <c r="G72" i="5"/>
  <c r="G70" i="5"/>
  <c r="C69" i="5"/>
  <c r="D70" i="5"/>
  <c r="C70" i="5"/>
  <c r="D75" i="5"/>
  <c r="D72" i="5"/>
  <c r="C71" i="5"/>
  <c r="D69" i="5"/>
  <c r="C75" i="5"/>
  <c r="C72" i="5"/>
  <c r="D71" i="5"/>
  <c r="C40" i="5"/>
  <c r="D38" i="5"/>
  <c r="C44" i="5"/>
  <c r="G44" i="5" s="1"/>
  <c r="C41" i="5"/>
  <c r="D40" i="5"/>
  <c r="C39" i="5"/>
  <c r="D44" i="5"/>
  <c r="H44" i="5" s="1"/>
  <c r="D41" i="5"/>
  <c r="C38" i="5"/>
  <c r="D39" i="5"/>
  <c r="J75" i="5"/>
  <c r="I75" i="5"/>
  <c r="H69" i="5" l="1"/>
  <c r="E75" i="5"/>
  <c r="H71" i="5"/>
  <c r="H72" i="5"/>
  <c r="E71" i="5"/>
  <c r="E72" i="5"/>
  <c r="E70" i="5"/>
  <c r="D73" i="5"/>
  <c r="C73" i="5"/>
  <c r="E69" i="5"/>
  <c r="K75" i="5"/>
  <c r="H75" i="5"/>
  <c r="D12" i="5"/>
  <c r="H12" i="5" s="1"/>
  <c r="C12" i="5"/>
  <c r="G12" i="5" s="1"/>
  <c r="E44" i="5"/>
  <c r="I44" i="5" s="1"/>
  <c r="E73" i="5" l="1"/>
  <c r="I12" i="5"/>
  <c r="H40" i="5" l="1"/>
  <c r="H39" i="5"/>
  <c r="G41" i="5"/>
  <c r="G39" i="5"/>
  <c r="G38" i="5"/>
  <c r="H38" i="5" l="1"/>
  <c r="D6" i="5" s="1"/>
  <c r="G40" i="5"/>
  <c r="C8" i="5" s="1"/>
  <c r="H41" i="5"/>
  <c r="D9" i="5" s="1"/>
  <c r="E38" i="5"/>
  <c r="D42" i="5"/>
  <c r="C42" i="5"/>
  <c r="E39" i="5"/>
  <c r="I39" i="5" s="1"/>
  <c r="E41" i="5"/>
  <c r="E40" i="5"/>
  <c r="K72" i="5"/>
  <c r="K71" i="5"/>
  <c r="K70" i="5"/>
  <c r="K69" i="5"/>
  <c r="J72" i="5"/>
  <c r="J71" i="5"/>
  <c r="J70" i="5"/>
  <c r="J69" i="5"/>
  <c r="I69" i="5"/>
  <c r="I72" i="5"/>
  <c r="I71" i="5"/>
  <c r="I70" i="5"/>
  <c r="D8" i="5"/>
  <c r="D7" i="5"/>
  <c r="C9" i="5"/>
  <c r="C7" i="5"/>
  <c r="C6" i="5"/>
  <c r="I38" i="5" l="1"/>
  <c r="I40" i="5"/>
  <c r="G42" i="5"/>
  <c r="C10" i="5" s="1"/>
  <c r="G10" i="5" s="1"/>
  <c r="I41" i="5"/>
  <c r="H42" i="5"/>
  <c r="D10" i="5" s="1"/>
  <c r="H10" i="5" s="1"/>
  <c r="J73" i="5"/>
  <c r="K73" i="5"/>
  <c r="I73" i="5"/>
  <c r="F73" i="5"/>
  <c r="G73" i="5"/>
  <c r="E42" i="5"/>
  <c r="I42" i="5" s="1"/>
  <c r="G8" i="5"/>
  <c r="G9" i="5"/>
  <c r="G6" i="5"/>
  <c r="H6" i="5"/>
  <c r="G7" i="5"/>
  <c r="H7" i="5"/>
  <c r="H8" i="5"/>
  <c r="H9" i="5"/>
  <c r="H73" i="5" l="1"/>
  <c r="I10" i="5"/>
  <c r="I9" i="5"/>
  <c r="I8" i="5"/>
  <c r="I6" i="5"/>
  <c r="I7" i="5"/>
</calcChain>
</file>

<file path=xl/sharedStrings.xml><?xml version="1.0" encoding="utf-8"?>
<sst xmlns="http://schemas.openxmlformats.org/spreadsheetml/2006/main" count="2087" uniqueCount="382">
  <si>
    <t>Trap Date</t>
  </si>
  <si>
    <t>(All)</t>
  </si>
  <si>
    <t>Sum of Total</t>
  </si>
  <si>
    <t>Column Labels</t>
  </si>
  <si>
    <t>Row Labels</t>
  </si>
  <si>
    <t>pipiens</t>
  </si>
  <si>
    <t>tarsalis</t>
  </si>
  <si>
    <t>Grand Total</t>
  </si>
  <si>
    <t>Week</t>
  </si>
  <si>
    <t>LV</t>
  </si>
  <si>
    <t xml:space="preserve">Week: </t>
  </si>
  <si>
    <r>
      <t>Mean abundance of females per trap night</t>
    </r>
    <r>
      <rPr>
        <vertAlign val="superscript"/>
        <sz val="10"/>
        <color theme="1"/>
        <rFont val="Arial"/>
        <family val="2"/>
      </rPr>
      <t>1</t>
    </r>
  </si>
  <si>
    <t>Estimate for proportion of</t>
  </si>
  <si>
    <r>
      <t>females infected with WNV</t>
    </r>
    <r>
      <rPr>
        <vertAlign val="superscript"/>
        <sz val="10"/>
        <color theme="1"/>
        <rFont val="Arial"/>
        <family val="2"/>
      </rPr>
      <t>2</t>
    </r>
  </si>
  <si>
    <t>Vector Index</t>
  </si>
  <si>
    <t>Cx. pipiens</t>
  </si>
  <si>
    <t>Cx. tarsalis</t>
  </si>
  <si>
    <t xml:space="preserve">Cx. </t>
  </si>
  <si>
    <r>
      <t>Cx. pipiens</t>
    </r>
    <r>
      <rPr>
        <b/>
        <i/>
        <vertAlign val="superscript"/>
        <sz val="10"/>
        <color theme="1"/>
        <rFont val="Arial"/>
        <family val="2"/>
      </rPr>
      <t>3</t>
    </r>
  </si>
  <si>
    <r>
      <t>Cx. tarsalis</t>
    </r>
    <r>
      <rPr>
        <b/>
        <i/>
        <vertAlign val="superscript"/>
        <sz val="10"/>
        <color theme="1"/>
        <rFont val="Arial"/>
        <family val="2"/>
      </rPr>
      <t>4</t>
    </r>
  </si>
  <si>
    <t xml:space="preserve">All </t>
  </si>
  <si>
    <r>
      <t>Culex</t>
    </r>
    <r>
      <rPr>
        <b/>
        <i/>
        <vertAlign val="superscript"/>
        <sz val="10"/>
        <color theme="1"/>
        <rFont val="Arial"/>
        <family val="2"/>
      </rPr>
      <t>5</t>
    </r>
  </si>
  <si>
    <t>FC – Citywide</t>
  </si>
  <si>
    <t>Current year</t>
  </si>
  <si>
    <r>
      <t>Historical average</t>
    </r>
    <r>
      <rPr>
        <vertAlign val="superscript"/>
        <sz val="9"/>
        <color theme="1"/>
        <rFont val="Arial"/>
        <family val="2"/>
      </rPr>
      <t>1</t>
    </r>
  </si>
  <si>
    <t>Total number</t>
  </si>
  <si>
    <t>females collected</t>
  </si>
  <si>
    <t>Number CDC light trap nights</t>
  </si>
  <si>
    <t>Mean abundance of females per CDC light trap night</t>
  </si>
  <si>
    <r>
      <t xml:space="preserve">All </t>
    </r>
    <r>
      <rPr>
        <i/>
        <sz val="10"/>
        <color theme="1"/>
        <rFont val="Arial"/>
        <family val="2"/>
      </rPr>
      <t>Culex</t>
    </r>
  </si>
  <si>
    <r>
      <t>Cx. pipiens</t>
    </r>
    <r>
      <rPr>
        <i/>
        <vertAlign val="superscript"/>
        <sz val="10"/>
        <color theme="1"/>
        <rFont val="Arial"/>
        <family val="2"/>
      </rPr>
      <t>1</t>
    </r>
  </si>
  <si>
    <r>
      <t>Cx. tarsalis</t>
    </r>
    <r>
      <rPr>
        <i/>
        <vertAlign val="superscript"/>
        <sz val="10"/>
        <color theme="1"/>
        <rFont val="Arial"/>
        <family val="2"/>
      </rPr>
      <t>2</t>
    </r>
  </si>
  <si>
    <r>
      <t>Culex</t>
    </r>
    <r>
      <rPr>
        <i/>
        <vertAlign val="superscript"/>
        <sz val="10"/>
        <color theme="1"/>
        <rFont val="Arial"/>
        <family val="2"/>
      </rPr>
      <t>3</t>
    </r>
  </si>
  <si>
    <t xml:space="preserve">Total number </t>
  </si>
  <si>
    <t>Total number individuals examined</t>
  </si>
  <si>
    <t>Total number pools examined</t>
  </si>
  <si>
    <t>WNV-infected pools</t>
  </si>
  <si>
    <r>
      <t>Estimate for WNV infection rate per 1,000 females</t>
    </r>
    <r>
      <rPr>
        <vertAlign val="superscript"/>
        <sz val="9"/>
        <color theme="1"/>
        <rFont val="Arial"/>
        <family val="2"/>
      </rPr>
      <t>1</t>
    </r>
  </si>
  <si>
    <r>
      <t xml:space="preserve">All </t>
    </r>
    <r>
      <rPr>
        <i/>
        <sz val="9"/>
        <color theme="1"/>
        <rFont val="Arial"/>
        <family val="2"/>
      </rPr>
      <t>Culex</t>
    </r>
  </si>
  <si>
    <t>Year</t>
  </si>
  <si>
    <t>County</t>
  </si>
  <si>
    <t>Account</t>
  </si>
  <si>
    <t>Genus</t>
  </si>
  <si>
    <t>Sex</t>
  </si>
  <si>
    <t>Total</t>
  </si>
  <si>
    <t>Comments</t>
  </si>
  <si>
    <t>Zone</t>
  </si>
  <si>
    <t>FC</t>
  </si>
  <si>
    <t>GRAPH 1</t>
  </si>
  <si>
    <t>Count of CSU Pool</t>
  </si>
  <si>
    <t>Graph 2a</t>
  </si>
  <si>
    <t>Graph 2b</t>
  </si>
  <si>
    <t>Graph 3a</t>
  </si>
  <si>
    <t>Graph 3b</t>
  </si>
  <si>
    <t>Graph 1a</t>
  </si>
  <si>
    <t>Corresponds to 3a</t>
  </si>
  <si>
    <t>FC – Zone NW</t>
  </si>
  <si>
    <t>FC – Zone NE</t>
  </si>
  <si>
    <t>FC – Zone SW</t>
  </si>
  <si>
    <t>FC – Zone SE</t>
  </si>
  <si>
    <t>NW</t>
  </si>
  <si>
    <t>NE</t>
  </si>
  <si>
    <t>SE</t>
  </si>
  <si>
    <t>SW</t>
  </si>
  <si>
    <t>MLE</t>
  </si>
  <si>
    <t>CITY</t>
  </si>
  <si>
    <t>SPECIES</t>
  </si>
  <si>
    <t>ZONE</t>
  </si>
  <si>
    <t>Trap Number</t>
  </si>
  <si>
    <t>Trap Description</t>
  </si>
  <si>
    <t>Light / Gravid</t>
  </si>
  <si>
    <t>Malfunction</t>
  </si>
  <si>
    <t>Cx tarsalis</t>
  </si>
  <si>
    <t>Cx pipiens</t>
  </si>
  <si>
    <t>Total CX</t>
  </si>
  <si>
    <t>Total Females</t>
  </si>
  <si>
    <t>Sum of Total CX</t>
  </si>
  <si>
    <t>Sum of Cx tarsalis</t>
  </si>
  <si>
    <t>Sum of Cx pipiens</t>
  </si>
  <si>
    <t>FROM WEEKLY DATA INPUT</t>
  </si>
  <si>
    <t>CSU Pool Number     (CMC enters)</t>
  </si>
  <si>
    <t>IDA Pool (CSU enters, leave blank)</t>
  </si>
  <si>
    <t>Collection Site (Trap ID)</t>
  </si>
  <si>
    <t>Method (Light or Gravid)</t>
  </si>
  <si>
    <t>Spp</t>
  </si>
  <si>
    <t>No. Gravid</t>
  </si>
  <si>
    <t>No. Deplete</t>
  </si>
  <si>
    <t>Test code (CSU enters)</t>
  </si>
  <si>
    <t>Test Result (CSU enters)</t>
  </si>
  <si>
    <t>FROM 009 FILE</t>
  </si>
  <si>
    <t>Corresponds to 2a</t>
  </si>
  <si>
    <t>Count of CSU Pool Number     (CMC enters)</t>
  </si>
  <si>
    <t>Sum of Test code (CSU enters)</t>
  </si>
  <si>
    <t>PIR-City</t>
  </si>
  <si>
    <t>PIR-Zone</t>
  </si>
  <si>
    <t>Things to note:</t>
  </si>
  <si>
    <t>Change all Loveland Zones to LV</t>
  </si>
  <si>
    <t>Copy and Paste the values from these files into the corresponding tabs each week and save a copy of original file</t>
  </si>
  <si>
    <t>Each Pivot Table directs you to the data set it is using and the graph it is sending data to</t>
  </si>
  <si>
    <t>Must make "PIR-City" and "PIR-Zone" each week and save them as values, not equations</t>
  </si>
  <si>
    <t>This weekly skeleton is built to incorporate the "009" data sheet and the "weekly" datasheet from CMC.</t>
  </si>
  <si>
    <t>Values in tabs are routed to values in graphs save the CITYINFRATE and ZONEINFRATE. You must copy and paste values from the "Pooled Inf Rate" software into the appropriate places in the worksheet.</t>
  </si>
  <si>
    <t>009 File does NOT include gravid traps or malfunction traps</t>
  </si>
  <si>
    <t>All "sp." are to be changed to pipiens in 009 AND data sheet</t>
  </si>
  <si>
    <t>Highlite all positives in Weekly Data Input</t>
  </si>
  <si>
    <t>NA</t>
  </si>
  <si>
    <t>N/A</t>
  </si>
  <si>
    <t>CSU-8636</t>
  </si>
  <si>
    <t>LC</t>
  </si>
  <si>
    <t>LV-020</t>
  </si>
  <si>
    <t>LIGHT</t>
  </si>
  <si>
    <t>Cx.</t>
  </si>
  <si>
    <t>F</t>
  </si>
  <si>
    <t xml:space="preserve">Positive </t>
  </si>
  <si>
    <t>LV-tars</t>
  </si>
  <si>
    <t>CSU-8637</t>
  </si>
  <si>
    <t>Negative</t>
  </si>
  <si>
    <t>CSU-8638</t>
  </si>
  <si>
    <t>LV-110</t>
  </si>
  <si>
    <t>CSU-8639</t>
  </si>
  <si>
    <t>LV-069</t>
  </si>
  <si>
    <t>CSU-8640</t>
  </si>
  <si>
    <t>LV-pipi</t>
  </si>
  <si>
    <t>CSU-8641</t>
  </si>
  <si>
    <t>LV-095</t>
  </si>
  <si>
    <t>CSU-8642</t>
  </si>
  <si>
    <t>CSU-8643</t>
  </si>
  <si>
    <t>LV-089</t>
  </si>
  <si>
    <t>CSU-8644</t>
  </si>
  <si>
    <t>LV-104</t>
  </si>
  <si>
    <t>CSU-8645</t>
  </si>
  <si>
    <t>FC-067</t>
  </si>
  <si>
    <t>FC-tars</t>
  </si>
  <si>
    <t>NE-tars</t>
  </si>
  <si>
    <t>CSU-8646</t>
  </si>
  <si>
    <t>FC-014</t>
  </si>
  <si>
    <t>CSU-8647</t>
  </si>
  <si>
    <t>FC-pipi</t>
  </si>
  <si>
    <t>NE-pipi</t>
  </si>
  <si>
    <t>CSU-8648</t>
  </si>
  <si>
    <t>FC-053</t>
  </si>
  <si>
    <t>SE-tars</t>
  </si>
  <si>
    <t>CSU-8649</t>
  </si>
  <si>
    <t>SE-pipi</t>
  </si>
  <si>
    <t>CSU-8650</t>
  </si>
  <si>
    <t>FC-004</t>
  </si>
  <si>
    <t>CSU-8651</t>
  </si>
  <si>
    <t>CSU-8652</t>
  </si>
  <si>
    <t>FC-038</t>
  </si>
  <si>
    <t>CSU-8653</t>
  </si>
  <si>
    <t>CSU-8654</t>
  </si>
  <si>
    <t>FC-034</t>
  </si>
  <si>
    <t>CSU-8655</t>
  </si>
  <si>
    <t>CSU-8656</t>
  </si>
  <si>
    <t>FC-069</t>
  </si>
  <si>
    <t>CSU-8657</t>
  </si>
  <si>
    <t>FC-040</t>
  </si>
  <si>
    <t>CSU-8658</t>
  </si>
  <si>
    <t>CSU-8659</t>
  </si>
  <si>
    <t>FC-040gr</t>
  </si>
  <si>
    <t>GRAVID</t>
  </si>
  <si>
    <t>CSU-8660</t>
  </si>
  <si>
    <t>CSU-8661</t>
  </si>
  <si>
    <t>CSU-8662</t>
  </si>
  <si>
    <t>FC-036</t>
  </si>
  <si>
    <t>NW-tars</t>
  </si>
  <si>
    <t>CSU-8663</t>
  </si>
  <si>
    <t>NW-pipi</t>
  </si>
  <si>
    <t>CSU-8664</t>
  </si>
  <si>
    <t>FC-006</t>
  </si>
  <si>
    <t>CSU-8665</t>
  </si>
  <si>
    <t>CSU-8666</t>
  </si>
  <si>
    <t>FC-092gr</t>
  </si>
  <si>
    <t>CSU-8667</t>
  </si>
  <si>
    <t>CSU-8668</t>
  </si>
  <si>
    <t>CSU-8669</t>
  </si>
  <si>
    <t>FC-072</t>
  </si>
  <si>
    <t>CSU-8670</t>
  </si>
  <si>
    <t>CSU-8671</t>
  </si>
  <si>
    <t>FC-091gr</t>
  </si>
  <si>
    <t>CSU-8672</t>
  </si>
  <si>
    <t>FC-019</t>
  </si>
  <si>
    <t>CSU-8673</t>
  </si>
  <si>
    <t>CSU-8674</t>
  </si>
  <si>
    <t>FC-066gr</t>
  </si>
  <si>
    <t>CSU-8675</t>
  </si>
  <si>
    <t>FC-066</t>
  </si>
  <si>
    <t>CSU-8676</t>
  </si>
  <si>
    <t>CSU-8677</t>
  </si>
  <si>
    <t>CSU-8678</t>
  </si>
  <si>
    <t>FC-039</t>
  </si>
  <si>
    <t>CSU-8679</t>
  </si>
  <si>
    <t>CSU-8680</t>
  </si>
  <si>
    <t>FC-064</t>
  </si>
  <si>
    <t>CSU-8681</t>
  </si>
  <si>
    <t>CSU-8682</t>
  </si>
  <si>
    <t>FC-075</t>
  </si>
  <si>
    <t>CSU-8683</t>
  </si>
  <si>
    <t>CSU-8684</t>
  </si>
  <si>
    <t>FC-075gr</t>
  </si>
  <si>
    <t>CSU-8685</t>
  </si>
  <si>
    <t>CSU-8686</t>
  </si>
  <si>
    <t>FC-074</t>
  </si>
  <si>
    <t>CSU-8687</t>
  </si>
  <si>
    <t>CSU-8688</t>
  </si>
  <si>
    <t>FC-088gr</t>
  </si>
  <si>
    <t>CSU-8689</t>
  </si>
  <si>
    <t>CSU-8690</t>
  </si>
  <si>
    <t>CSU-8691</t>
  </si>
  <si>
    <t>FC-027</t>
  </si>
  <si>
    <t>CSU-8692</t>
  </si>
  <si>
    <t>CSU-8693</t>
  </si>
  <si>
    <t>FC-059</t>
  </si>
  <si>
    <t>CSU-8694</t>
  </si>
  <si>
    <t>CSU-8695</t>
  </si>
  <si>
    <t>FC-023</t>
  </si>
  <si>
    <t>CSU-8696</t>
  </si>
  <si>
    <t>CSU-8697</t>
  </si>
  <si>
    <t>FC-050</t>
  </si>
  <si>
    <t>CSU-8698</t>
  </si>
  <si>
    <t>CSU-8699</t>
  </si>
  <si>
    <t>CSU-8700</t>
  </si>
  <si>
    <t>FC-046</t>
  </si>
  <si>
    <t>CSU-8701</t>
  </si>
  <si>
    <t>CSU-8702</t>
  </si>
  <si>
    <t>FC-047</t>
  </si>
  <si>
    <t>CSU-8703</t>
  </si>
  <si>
    <t>CSU-8704</t>
  </si>
  <si>
    <t>FC-031</t>
  </si>
  <si>
    <t>CSU-8705</t>
  </si>
  <si>
    <t>CSU-8706</t>
  </si>
  <si>
    <t>FC-052</t>
  </si>
  <si>
    <t>CSU-8707</t>
  </si>
  <si>
    <t>FC-061</t>
  </si>
  <si>
    <t>CSU-8708</t>
  </si>
  <si>
    <t>CSU-8709</t>
  </si>
  <si>
    <t>FC-073</t>
  </si>
  <si>
    <t>CSU-8710</t>
  </si>
  <si>
    <t>FC-041</t>
  </si>
  <si>
    <t>CSU-8711</t>
  </si>
  <si>
    <t>CSU-8712</t>
  </si>
  <si>
    <t>FC-090gr</t>
  </si>
  <si>
    <t>CSU-8713</t>
  </si>
  <si>
    <t>FC-060</t>
  </si>
  <si>
    <t>CSU-8714</t>
  </si>
  <si>
    <t>CSU-8715</t>
  </si>
  <si>
    <t>FC-011</t>
  </si>
  <si>
    <t>CSU-8716</t>
  </si>
  <si>
    <t>FC-063</t>
  </si>
  <si>
    <t>CSU-8717</t>
  </si>
  <si>
    <t>FC-015</t>
  </si>
  <si>
    <t>CSU-8718</t>
  </si>
  <si>
    <t>CSU-8719</t>
  </si>
  <si>
    <t>FC-058</t>
  </si>
  <si>
    <t>SW-tars</t>
  </si>
  <si>
    <t>CSU-8720</t>
  </si>
  <si>
    <t>FC-049</t>
  </si>
  <si>
    <t>SW-pipi</t>
  </si>
  <si>
    <t>CSU-8721</t>
  </si>
  <si>
    <t>FC-063gr</t>
  </si>
  <si>
    <t>CSU-8722</t>
  </si>
  <si>
    <t>CSU-8723</t>
  </si>
  <si>
    <t>CSU-8724</t>
  </si>
  <si>
    <t>FC-089gr</t>
  </si>
  <si>
    <t>CSU-8725</t>
  </si>
  <si>
    <t>CSU-8726</t>
  </si>
  <si>
    <t>CSU-8727</t>
  </si>
  <si>
    <t>FC-029gr</t>
  </si>
  <si>
    <t>CSU-8728</t>
  </si>
  <si>
    <t>CSU-8729</t>
  </si>
  <si>
    <t>CSU-8730</t>
  </si>
  <si>
    <t>FC-093</t>
  </si>
  <si>
    <t>CSU-8731</t>
  </si>
  <si>
    <t>CSU-8732</t>
  </si>
  <si>
    <t>FC-062</t>
  </si>
  <si>
    <t>CSU-8733</t>
  </si>
  <si>
    <t>CSU-8734</t>
  </si>
  <si>
    <t>FC-068</t>
  </si>
  <si>
    <t>CSU-8735</t>
  </si>
  <si>
    <t>FC-054</t>
  </si>
  <si>
    <t>CSU-8736</t>
  </si>
  <si>
    <t>CSU-8737</t>
  </si>
  <si>
    <t>FC-029</t>
  </si>
  <si>
    <t>CSU-8738</t>
  </si>
  <si>
    <t>CSU-8739</t>
  </si>
  <si>
    <t>FC-001</t>
  </si>
  <si>
    <t>CSU-8740</t>
  </si>
  <si>
    <t>FC-071</t>
  </si>
  <si>
    <t>CSU-8741</t>
  </si>
  <si>
    <t>CSU-8742</t>
  </si>
  <si>
    <t>FC-037</t>
  </si>
  <si>
    <t>08/31/2015</t>
  </si>
  <si>
    <t>North Linden</t>
  </si>
  <si>
    <t>NO</t>
  </si>
  <si>
    <t>Fort Collins Vistors Center</t>
  </si>
  <si>
    <t>Edora Park</t>
  </si>
  <si>
    <t>Country Club</t>
  </si>
  <si>
    <t>Lochside Lane</t>
  </si>
  <si>
    <t>Redwood</t>
  </si>
  <si>
    <t>Prospect Ponds @ Drake Water</t>
  </si>
  <si>
    <t>Poudre River Drive at bike trail</t>
  </si>
  <si>
    <t>Linden Lake Rd</t>
  </si>
  <si>
    <t>422 Lake Drive Alley</t>
  </si>
  <si>
    <t>09/02/2015</t>
  </si>
  <si>
    <t>Golden Currant</t>
  </si>
  <si>
    <t>Stuart and Dorset</t>
  </si>
  <si>
    <t>Hemlock</t>
  </si>
  <si>
    <t>Fishback</t>
  </si>
  <si>
    <t>603 Gilgalad Way</t>
  </si>
  <si>
    <t>808 Pondersosa</t>
  </si>
  <si>
    <t>Holley Environ. Plant Research Ctr</t>
  </si>
  <si>
    <t>Red Fox Meadows FCNA</t>
  </si>
  <si>
    <t>118 Grant</t>
  </si>
  <si>
    <t>Bighorn Drive</t>
  </si>
  <si>
    <t>09/01/2015</t>
  </si>
  <si>
    <t>Boltz</t>
  </si>
  <si>
    <t>San Luis</t>
  </si>
  <si>
    <t>09/03/2015</t>
  </si>
  <si>
    <t>Bens Park</t>
  </si>
  <si>
    <t>Willow Springs</t>
  </si>
  <si>
    <t>Fossil Creek South (Greenstone)</t>
  </si>
  <si>
    <t>725 Westshore Court</t>
  </si>
  <si>
    <t>Keenland &amp; Twin Oak</t>
  </si>
  <si>
    <t>Golden Meadows Ditch</t>
  </si>
  <si>
    <t>Egret and Rookery</t>
  </si>
  <si>
    <t>737 Parliament Court</t>
  </si>
  <si>
    <t>Springwood and Lockwood</t>
  </si>
  <si>
    <t>West Chase @ Kechter Farm</t>
  </si>
  <si>
    <t>Rockcreek</t>
  </si>
  <si>
    <t>North Sage Creek</t>
  </si>
  <si>
    <t>Magic Carpet</t>
  </si>
  <si>
    <t>Chelsea Ridge</t>
  </si>
  <si>
    <t>Casa Grande and Downing</t>
  </si>
  <si>
    <t>FC-057</t>
  </si>
  <si>
    <t>Registry Ridge- End of Ranger Dr</t>
  </si>
  <si>
    <t>Spring Creek Trail @ Michener Dr</t>
  </si>
  <si>
    <t>Waters Edge at Blue Mesa</t>
  </si>
  <si>
    <t>502 Crest Drive</t>
  </si>
  <si>
    <t>Silvergate Road</t>
  </si>
  <si>
    <t>Lopez Elementary School</t>
  </si>
  <si>
    <t>LC-001</t>
  </si>
  <si>
    <t>Berthoud</t>
  </si>
  <si>
    <t>LC-010</t>
  </si>
  <si>
    <t>Timnath-Downtown</t>
  </si>
  <si>
    <t>LC-017</t>
  </si>
  <si>
    <t>Bonnell West 2</t>
  </si>
  <si>
    <t>LC-022</t>
  </si>
  <si>
    <t>Timnath-Golf Course</t>
  </si>
  <si>
    <t>LC-032</t>
  </si>
  <si>
    <t>River Lakes Estates/Paradise Acres</t>
  </si>
  <si>
    <t>LC-038</t>
  </si>
  <si>
    <t>Turman Bruns HOA</t>
  </si>
  <si>
    <t>LC-046</t>
  </si>
  <si>
    <t>Eagle Ranch Estates</t>
  </si>
  <si>
    <t>LC-048</t>
  </si>
  <si>
    <t>Timnath-Summerfields</t>
  </si>
  <si>
    <t>LC-049</t>
  </si>
  <si>
    <t>Berthoud North of Bunyan</t>
  </si>
  <si>
    <t>LC-050</t>
  </si>
  <si>
    <t>Timnath-Wildwing</t>
  </si>
  <si>
    <t>LC-051</t>
  </si>
  <si>
    <t>Timnath-Saratoga Falls</t>
  </si>
  <si>
    <t>LC-052</t>
  </si>
  <si>
    <t>Walmart East at Poudre River</t>
  </si>
  <si>
    <t>Cattail Pond</t>
  </si>
  <si>
    <t>Horseshoe Peninsula</t>
  </si>
  <si>
    <t>9th and Des Moines</t>
  </si>
  <si>
    <t>Waterfront at Boyd Lake</t>
  </si>
  <si>
    <t>County Road 20C and County Road 9</t>
  </si>
  <si>
    <t>Big Thompson Natural Area</t>
  </si>
  <si>
    <t>Infection Rate</t>
  </si>
  <si>
    <t>Lower Limit</t>
  </si>
  <si>
    <t>Upper Limit</t>
  </si>
  <si>
    <t>Scale</t>
  </si>
  <si>
    <t>Point Est Method</t>
  </si>
  <si>
    <t>CI Method</t>
  </si>
  <si>
    <t>Num Pools</t>
  </si>
  <si>
    <t>Num Pos Pools</t>
  </si>
  <si>
    <t>Num Individuals</t>
  </si>
  <si>
    <t>Bias Corrected MLE</t>
  </si>
  <si>
    <t>Corrected Score</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</si>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</sst>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d/yy;@"/>
    <numFmt numFmtId="165" formatCode="00"/>
    <numFmt numFmtId="166" formatCode="0.0"/>
    <numFmt numFmtId="167" formatCode="#,###,###"/>
    <numFmt numFmtId="168" formatCode="0.000000"/>
  </numFmts>
  <fonts count="17" x14ac:knownFonts="1">
    <font>
      <sz val="11"/>
      <color theme="1"/>
      <name val="Calibri"/>
      <family val="2"/>
      <scheme val="minor"/>
    </font>
    <font>
      <sz val="10"/>
      <name val="Arial"/>
      <family val="2"/>
      <charset val="1"/>
    </font>
    <font>
      <sz val="10"/>
      <color theme="1"/>
      <name val="Arial"/>
      <family val="2"/>
    </font>
    <font>
      <vertAlign val="superscript"/>
      <sz val="10"/>
      <color theme="1"/>
      <name val="Arial"/>
      <family val="2"/>
    </font>
    <font>
      <b/>
      <sz val="10"/>
      <color theme="1"/>
      <name val="Arial"/>
      <family val="2"/>
    </font>
    <font>
      <i/>
      <sz val="10"/>
      <color theme="1"/>
      <name val="Arial"/>
      <family val="2"/>
    </font>
    <font>
      <b/>
      <i/>
      <sz val="10"/>
      <color theme="1"/>
      <name val="Arial"/>
      <family val="2"/>
    </font>
    <font>
      <b/>
      <i/>
      <vertAlign val="superscript"/>
      <sz val="10"/>
      <color theme="1"/>
      <name val="Arial"/>
      <family val="2"/>
    </font>
    <font>
      <sz val="9"/>
      <color theme="1"/>
      <name val="Arial"/>
      <family val="2"/>
    </font>
    <font>
      <vertAlign val="superscript"/>
      <sz val="9"/>
      <color theme="1"/>
      <name val="Arial"/>
      <family val="2"/>
    </font>
    <font>
      <i/>
      <vertAlign val="superscript"/>
      <sz val="10"/>
      <color theme="1"/>
      <name val="Arial"/>
      <family val="2"/>
    </font>
    <font>
      <i/>
      <sz val="9"/>
      <color theme="1"/>
      <name val="Arial"/>
      <family val="2"/>
    </font>
    <font>
      <b/>
      <sz val="11"/>
      <color theme="1"/>
      <name val="Calibri"/>
      <family val="2"/>
      <scheme val="minor"/>
    </font>
    <font>
      <b/>
      <sz val="8"/>
      <name val="Arial"/>
      <family val="2"/>
    </font>
    <font>
      <sz val="8"/>
      <name val="Arial"/>
      <family val="2"/>
    </font>
    <font>
      <b/>
      <u/>
      <sz val="11"/>
      <color theme="1"/>
      <name val="Calibri"/>
      <family val="2"/>
      <scheme val="minor"/>
    </font>
    <font>
      <sz val="9"/>
      <color rgb="FF000000"/>
      <name val="Arial"/>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99">
    <xf numFmtId="0" fontId="0" fillId="0" borderId="0" xfId="0"/>
    <xf numFmtId="0" fontId="0" fillId="0" borderId="0" xfId="0" applyAlignment="1">
      <alignment horizontal="left"/>
    </xf>
    <xf numFmtId="0" fontId="0" fillId="0" borderId="0" xfId="0" applyNumberFormat="1"/>
    <xf numFmtId="0" fontId="0" fillId="0" borderId="0" xfId="0" pivotButton="1"/>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 fillId="0" borderId="3" xfId="0" applyFont="1" applyBorder="1" applyAlignment="1">
      <alignment vertical="center" wrapText="1"/>
    </xf>
    <xf numFmtId="0" fontId="0" fillId="0" borderId="8" xfId="0"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vertical="top" wrapText="1"/>
    </xf>
    <xf numFmtId="0" fontId="11" fillId="0" borderId="8" xfId="0" applyFont="1" applyBorder="1" applyAlignment="1">
      <alignment horizontal="center" vertical="center" wrapText="1"/>
    </xf>
    <xf numFmtId="0" fontId="12" fillId="2" borderId="0" xfId="0" applyFont="1" applyFill="1"/>
    <xf numFmtId="0" fontId="12" fillId="2" borderId="12" xfId="0" applyFont="1" applyFill="1" applyBorder="1"/>
    <xf numFmtId="2" fontId="2" fillId="0" borderId="8"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2" fontId="8" fillId="0" borderId="8" xfId="0" applyNumberFormat="1" applyFont="1" applyBorder="1" applyAlignment="1">
      <alignment horizontal="center" vertical="center" wrapText="1"/>
    </xf>
    <xf numFmtId="2" fontId="0" fillId="0" borderId="0" xfId="0" applyNumberFormat="1"/>
    <xf numFmtId="0" fontId="0" fillId="3" borderId="0" xfId="0" applyFill="1"/>
    <xf numFmtId="0" fontId="15" fillId="0" borderId="0" xfId="0" applyFont="1"/>
    <xf numFmtId="0" fontId="14" fillId="0" borderId="14" xfId="0" applyFont="1" applyBorder="1" applyAlignment="1">
      <alignment horizontal="left" vertical="center"/>
    </xf>
    <xf numFmtId="0" fontId="14" fillId="0" borderId="13" xfId="0" applyFont="1" applyFill="1" applyBorder="1" applyAlignment="1">
      <alignment horizontal="left" vertical="center"/>
    </xf>
    <xf numFmtId="0" fontId="14" fillId="0" borderId="13" xfId="0" applyFont="1" applyBorder="1" applyAlignment="1">
      <alignment horizontal="left" vertical="center"/>
    </xf>
    <xf numFmtId="164" fontId="14" fillId="0" borderId="13" xfId="0" applyNumberFormat="1" applyFont="1" applyBorder="1" applyAlignment="1">
      <alignment horizontal="left" vertical="center"/>
    </xf>
    <xf numFmtId="0" fontId="14" fillId="0" borderId="15" xfId="0" applyFont="1" applyBorder="1" applyAlignment="1">
      <alignment horizontal="left" vertical="center"/>
    </xf>
    <xf numFmtId="165" fontId="13" fillId="4" borderId="13" xfId="0" applyNumberFormat="1" applyFont="1" applyFill="1" applyBorder="1" applyAlignment="1">
      <alignment horizontal="left" vertical="center" wrapText="1"/>
    </xf>
    <xf numFmtId="0" fontId="13" fillId="4" borderId="13" xfId="0" applyFont="1" applyFill="1" applyBorder="1" applyAlignment="1">
      <alignment horizontal="left" vertical="center" wrapText="1"/>
    </xf>
    <xf numFmtId="164" fontId="13" fillId="4" borderId="13" xfId="0" applyNumberFormat="1" applyFont="1" applyFill="1" applyBorder="1" applyAlignment="1">
      <alignment horizontal="left" vertical="center" wrapText="1"/>
    </xf>
    <xf numFmtId="14" fontId="13" fillId="4" borderId="13" xfId="0" applyNumberFormat="1" applyFont="1" applyFill="1" applyBorder="1" applyAlignment="1">
      <alignment horizontal="left" vertical="center" wrapText="1"/>
    </xf>
    <xf numFmtId="0" fontId="13" fillId="4" borderId="14" xfId="0" applyFont="1" applyFill="1" applyBorder="1" applyAlignment="1">
      <alignment horizontal="left" vertical="center"/>
    </xf>
    <xf numFmtId="0" fontId="12" fillId="4" borderId="13" xfId="0" applyFont="1" applyFill="1" applyBorder="1"/>
    <xf numFmtId="0" fontId="0" fillId="0" borderId="0" xfId="0" applyAlignment="1">
      <alignment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6" xfId="0" applyFont="1" applyBorder="1" applyAlignment="1">
      <alignment horizontal="right" vertical="center" wrapText="1"/>
    </xf>
    <xf numFmtId="2" fontId="8" fillId="0" borderId="3" xfId="0" applyNumberFormat="1" applyFont="1" applyBorder="1" applyAlignment="1">
      <alignment horizontal="right" vertical="center" wrapText="1"/>
    </xf>
    <xf numFmtId="2" fontId="16" fillId="0" borderId="16" xfId="0" applyNumberFormat="1" applyFont="1" applyBorder="1" applyAlignment="1">
      <alignment horizontal="right" vertical="center" wrapText="1"/>
    </xf>
    <xf numFmtId="2" fontId="16" fillId="0" borderId="3" xfId="0" applyNumberFormat="1" applyFont="1" applyBorder="1" applyAlignment="1">
      <alignment horizontal="right" vertical="center" wrapText="1"/>
    </xf>
    <xf numFmtId="0" fontId="16" fillId="0" borderId="3" xfId="0" applyFont="1" applyBorder="1" applyAlignment="1">
      <alignment horizontal="right" vertical="center" wrapText="1"/>
    </xf>
    <xf numFmtId="167" fontId="0" fillId="0" borderId="0" xfId="0" applyNumberFormat="1"/>
    <xf numFmtId="0" fontId="0" fillId="0" borderId="0" xfId="0" applyAlignment="1">
      <alignment horizontal="right"/>
    </xf>
    <xf numFmtId="0" fontId="12" fillId="0" borderId="0" xfId="0" applyFont="1" applyAlignment="1">
      <alignment horizontal="center"/>
    </xf>
    <xf numFmtId="2" fontId="12" fillId="0" borderId="0" xfId="0" applyNumberFormat="1" applyFont="1" applyAlignment="1">
      <alignment horizontal="center"/>
    </xf>
    <xf numFmtId="1" fontId="2" fillId="0" borderId="8" xfId="0" applyNumberFormat="1" applyFont="1" applyBorder="1" applyAlignment="1">
      <alignment horizontal="center" vertical="center" wrapText="1"/>
    </xf>
    <xf numFmtId="0" fontId="14" fillId="3" borderId="15" xfId="0" applyFont="1" applyFill="1" applyBorder="1" applyAlignment="1">
      <alignment horizontal="left" vertical="center"/>
    </xf>
    <xf numFmtId="0" fontId="14" fillId="3" borderId="13" xfId="0" applyFont="1" applyFill="1" applyBorder="1" applyAlignment="1">
      <alignment horizontal="left" vertical="center"/>
    </xf>
    <xf numFmtId="164" fontId="14" fillId="3" borderId="13" xfId="0" applyNumberFormat="1" applyFont="1" applyFill="1" applyBorder="1" applyAlignment="1">
      <alignment horizontal="left" vertical="center"/>
    </xf>
    <xf numFmtId="1" fontId="8" fillId="0" borderId="8" xfId="0" applyNumberFormat="1" applyFont="1" applyBorder="1" applyAlignment="1">
      <alignment horizontal="center" vertical="center" wrapText="1"/>
    </xf>
    <xf numFmtId="168" fontId="4" fillId="0" borderId="8" xfId="0" applyNumberFormat="1" applyFont="1" applyBorder="1" applyAlignment="1">
      <alignment horizontal="center" vertical="center" wrapText="1"/>
    </xf>
    <xf numFmtId="0" fontId="0" fillId="3" borderId="0" xfId="0" applyFill="1" applyAlignment="1">
      <alignment horizont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vertical="top" wrapText="1"/>
    </xf>
    <xf numFmtId="0" fontId="0" fillId="0" borderId="8" xfId="0" applyBorder="1" applyAlignment="1">
      <alignment vertical="top"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vertical="top"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66" fontId="5" fillId="0" borderId="1" xfId="0"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eyes Murrieta" refreshedDate="42251.761429745369" createdVersion="5" refreshedVersion="5" minRefreshableVersion="3" recordCount="61">
  <cacheSource type="worksheet">
    <worksheetSource ref="A1:K62" sheet="Weekly 009 input (- Grav, Mal)"/>
  </cacheSource>
  <cacheFields count="11">
    <cacheField name="Week" numFmtId="0">
      <sharedItems containsSemiMixedTypes="0" containsString="0" containsNumber="1" containsInteger="1" minValue="35" maxValue="35" count="1">
        <n v="35"/>
      </sharedItems>
    </cacheField>
    <cacheField name="Trap Date" numFmtId="0">
      <sharedItems/>
    </cacheField>
    <cacheField name="Trap Number" numFmtId="0">
      <sharedItems/>
    </cacheField>
    <cacheField name="Zone" numFmtId="0">
      <sharedItems count="6">
        <s v="NE"/>
        <s v="NW"/>
        <s v="SE"/>
        <s v="SW"/>
        <s v="LC"/>
        <s v="LV"/>
      </sharedItems>
    </cacheField>
    <cacheField name="Trap Description" numFmtId="0">
      <sharedItems/>
    </cacheField>
    <cacheField name="Light / Gravid" numFmtId="0">
      <sharedItems/>
    </cacheField>
    <cacheField name="Malfunction" numFmtId="0">
      <sharedItems/>
    </cacheField>
    <cacheField name="Cx tarsalis" numFmtId="0">
      <sharedItems containsSemiMixedTypes="0" containsString="0" containsNumber="1" containsInteger="1" minValue="0" maxValue="54"/>
    </cacheField>
    <cacheField name="Cx pipiens" numFmtId="0">
      <sharedItems containsSemiMixedTypes="0" containsString="0" containsNumber="1" containsInteger="1" minValue="0" maxValue="70"/>
    </cacheField>
    <cacheField name="Total CX" numFmtId="0">
      <sharedItems containsSemiMixedTypes="0" containsString="0" containsNumber="1" containsInteger="1" minValue="0" maxValue="88"/>
    </cacheField>
    <cacheField name="Total Females" numFmtId="0">
      <sharedItems containsSemiMixedTypes="0" containsString="0" containsNumber="1" containsInteger="1" minValue="2" maxValue="3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eyes Murrieta" refreshedDate="42251.761622800928" createdVersion="5" refreshedVersion="5" minRefreshableVersion="3" recordCount="107">
  <cacheSource type="worksheet">
    <worksheetSource ref="A1:R108" sheet="Weekly Data Input"/>
  </cacheSource>
  <cacheFields count="18">
    <cacheField name="Year" numFmtId="0">
      <sharedItems containsSemiMixedTypes="0" containsString="0" containsNumber="1" containsInteger="1" minValue="2015" maxValue="2015"/>
    </cacheField>
    <cacheField name="CSU Pool Number     (CMC enters)" numFmtId="0">
      <sharedItems/>
    </cacheField>
    <cacheField name="IDA Pool (CSU enters, leave blank)" numFmtId="0">
      <sharedItems containsSemiMixedTypes="0" containsString="0" containsNumber="1" containsInteger="1" minValue="18242" maxValue="18348"/>
    </cacheField>
    <cacheField name="Week" numFmtId="0">
      <sharedItems containsSemiMixedTypes="0" containsString="0" containsNumber="1" containsInteger="1" minValue="35" maxValue="35" count="1">
        <n v="35"/>
      </sharedItems>
    </cacheField>
    <cacheField name="Trap Date" numFmtId="0">
      <sharedItems containsSemiMixedTypes="0" containsDate="1" containsString="0" containsMixedTypes="1" minDate="2015-08-31T00:00:00" maxDate="1900-01-06T20:49:04" count="5">
        <d v="2015-08-31T00:00:00"/>
        <d v="2015-09-01T00:00:00"/>
        <n v="42248"/>
        <n v="42249"/>
        <n v="42250"/>
      </sharedItems>
    </cacheField>
    <cacheField name="County" numFmtId="0">
      <sharedItems/>
    </cacheField>
    <cacheField name="Account" numFmtId="0">
      <sharedItems/>
    </cacheField>
    <cacheField name="Collection Site (Trap ID)" numFmtId="0">
      <sharedItems/>
    </cacheField>
    <cacheField name="Zone" numFmtId="0">
      <sharedItems count="5">
        <s v="LV"/>
        <s v="NE"/>
        <s v="SE"/>
        <s v="NW"/>
        <s v="SW"/>
      </sharedItems>
    </cacheField>
    <cacheField name="Method (Light or Gravid)" numFmtId="0">
      <sharedItems/>
    </cacheField>
    <cacheField name="Genus" numFmtId="0">
      <sharedItems/>
    </cacheField>
    <cacheField name="Spp" numFmtId="0">
      <sharedItems count="2">
        <s v="tarsalis"/>
        <s v="pipiens"/>
      </sharedItems>
    </cacheField>
    <cacheField name="Sex" numFmtId="0">
      <sharedItems/>
    </cacheField>
    <cacheField name="No. Gravid" numFmtId="0">
      <sharedItems containsSemiMixedTypes="0" containsString="0" containsNumber="1" containsInteger="1" minValue="0" maxValue="50"/>
    </cacheField>
    <cacheField name="No. Deplete" numFmtId="0">
      <sharedItems containsSemiMixedTypes="0" containsString="0" containsNumber="1" containsInteger="1" minValue="0" maxValue="50"/>
    </cacheField>
    <cacheField name="Total" numFmtId="0">
      <sharedItems containsSemiMixedTypes="0" containsString="0" containsNumber="1" containsInteger="1" minValue="1" maxValue="50"/>
    </cacheField>
    <cacheField name="Test code (CSU enters)" numFmtId="0">
      <sharedItems containsSemiMixedTypes="0" containsString="0" containsNumber="1" containsInteger="1" minValue="0" maxValue="1"/>
    </cacheField>
    <cacheField name="Test Result (CSU en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
  <r>
    <x v="0"/>
    <s v="08/31/2015"/>
    <s v="FC-006"/>
    <x v="0"/>
    <s v="North Linden"/>
    <s v="LIGHT"/>
    <s v="NO"/>
    <n v="12"/>
    <n v="12"/>
    <n v="24"/>
    <n v="128"/>
  </r>
  <r>
    <x v="0"/>
    <s v="08/31/2015"/>
    <s v="FC-014"/>
    <x v="0"/>
    <s v="Fort Collins Vistors Center"/>
    <s v="LIGHT"/>
    <s v="NO"/>
    <n v="7"/>
    <n v="16"/>
    <n v="23"/>
    <n v="77"/>
  </r>
  <r>
    <x v="0"/>
    <s v="08/31/2015"/>
    <s v="FC-019"/>
    <x v="0"/>
    <s v="Edora Park"/>
    <s v="LIGHT"/>
    <s v="NO"/>
    <n v="10"/>
    <n v="9"/>
    <n v="19"/>
    <n v="53"/>
  </r>
  <r>
    <x v="0"/>
    <s v="08/31/2015"/>
    <s v="FC-034"/>
    <x v="0"/>
    <s v="Country Club"/>
    <s v="LIGHT"/>
    <s v="NO"/>
    <n v="5"/>
    <n v="5"/>
    <n v="10"/>
    <n v="35"/>
  </r>
  <r>
    <x v="0"/>
    <s v="08/31/2015"/>
    <s v="FC-038"/>
    <x v="0"/>
    <s v="Lochside Lane"/>
    <s v="LIGHT"/>
    <s v="NO"/>
    <n v="26"/>
    <n v="13"/>
    <n v="39"/>
    <n v="84"/>
  </r>
  <r>
    <x v="0"/>
    <s v="08/31/2015"/>
    <s v="FC-040"/>
    <x v="0"/>
    <s v="Redwood"/>
    <s v="LIGHT"/>
    <s v="NO"/>
    <n v="7"/>
    <n v="12"/>
    <n v="19"/>
    <n v="131"/>
  </r>
  <r>
    <x v="0"/>
    <s v="08/31/2015"/>
    <s v="FC-066"/>
    <x v="0"/>
    <s v="Prospect Ponds @ Drake Water"/>
    <s v="LIGHT"/>
    <s v="NO"/>
    <n v="18"/>
    <n v="70"/>
    <n v="88"/>
    <n v="345"/>
  </r>
  <r>
    <x v="0"/>
    <s v="08/31/2015"/>
    <s v="FC-067"/>
    <x v="0"/>
    <s v="Poudre River Drive at bike trail"/>
    <s v="LIGHT"/>
    <s v="NO"/>
    <n v="12"/>
    <n v="0"/>
    <n v="12"/>
    <n v="61"/>
  </r>
  <r>
    <x v="0"/>
    <s v="08/31/2015"/>
    <s v="FC-069"/>
    <x v="0"/>
    <s v="Linden Lake Rd"/>
    <s v="LIGHT"/>
    <s v="NO"/>
    <n v="3"/>
    <n v="0"/>
    <n v="3"/>
    <n v="31"/>
  </r>
  <r>
    <x v="0"/>
    <s v="08/31/2015"/>
    <s v="FC-072"/>
    <x v="0"/>
    <s v="422 Lake Drive Alley"/>
    <s v="LIGHT"/>
    <s v="NO"/>
    <n v="13"/>
    <n v="4"/>
    <n v="17"/>
    <n v="35"/>
  </r>
  <r>
    <x v="0"/>
    <s v="09/02/2015"/>
    <s v="FC-011"/>
    <x v="1"/>
    <s v="Golden Currant"/>
    <s v="LIGHT"/>
    <s v="NO"/>
    <n v="0"/>
    <n v="3"/>
    <n v="3"/>
    <n v="6"/>
  </r>
  <r>
    <x v="0"/>
    <s v="09/02/2015"/>
    <s v="FC-015"/>
    <x v="1"/>
    <s v="Stuart and Dorset"/>
    <s v="LIGHT"/>
    <s v="NO"/>
    <n v="1"/>
    <n v="3"/>
    <n v="4"/>
    <n v="7"/>
  </r>
  <r>
    <x v="0"/>
    <s v="08/31/2015"/>
    <s v="FC-036"/>
    <x v="1"/>
    <s v="Hemlock"/>
    <s v="LIGHT"/>
    <s v="NO"/>
    <n v="10"/>
    <n v="2"/>
    <n v="12"/>
    <n v="75"/>
  </r>
  <r>
    <x v="0"/>
    <s v="09/02/2015"/>
    <s v="FC-041"/>
    <x v="1"/>
    <s v="Fishback"/>
    <s v="LIGHT"/>
    <s v="NO"/>
    <n v="4"/>
    <n v="8"/>
    <n v="12"/>
    <n v="18"/>
  </r>
  <r>
    <x v="0"/>
    <s v="09/02/2015"/>
    <s v="FC-052"/>
    <x v="1"/>
    <s v="603 Gilgalad Way"/>
    <s v="LIGHT"/>
    <s v="NO"/>
    <n v="3"/>
    <n v="0"/>
    <n v="3"/>
    <n v="11"/>
  </r>
  <r>
    <x v="0"/>
    <s v="09/02/2015"/>
    <s v="FC-060"/>
    <x v="1"/>
    <s v="808 Pondersosa"/>
    <s v="LIGHT"/>
    <s v="NO"/>
    <n v="2"/>
    <n v="2"/>
    <n v="4"/>
    <n v="6"/>
  </r>
  <r>
    <x v="0"/>
    <s v="09/02/2015"/>
    <s v="FC-061"/>
    <x v="1"/>
    <s v="Holley Environ. Plant Research Ctr"/>
    <s v="LIGHT"/>
    <s v="NO"/>
    <n v="4"/>
    <n v="4"/>
    <n v="8"/>
    <n v="13"/>
  </r>
  <r>
    <x v="0"/>
    <s v="09/02/2015"/>
    <s v="FC-063"/>
    <x v="1"/>
    <s v="Red Fox Meadows FCNA"/>
    <s v="LIGHT"/>
    <s v="NO"/>
    <n v="0"/>
    <n v="1"/>
    <n v="1"/>
    <n v="11"/>
  </r>
  <r>
    <x v="0"/>
    <s v="09/02/2015"/>
    <s v="FC-073"/>
    <x v="1"/>
    <s v="118 Grant"/>
    <s v="LIGHT"/>
    <s v="NO"/>
    <n v="0"/>
    <n v="1"/>
    <n v="1"/>
    <n v="6"/>
  </r>
  <r>
    <x v="0"/>
    <s v="08/31/2015"/>
    <s v="FC-004"/>
    <x v="2"/>
    <s v="Bighorn Drive"/>
    <s v="LIGHT"/>
    <s v="NO"/>
    <n v="3"/>
    <n v="16"/>
    <n v="19"/>
    <n v="109"/>
  </r>
  <r>
    <x v="0"/>
    <s v="09/01/2015"/>
    <s v="FC-023"/>
    <x v="2"/>
    <s v="Boltz"/>
    <s v="LIGHT"/>
    <s v="NO"/>
    <n v="5"/>
    <n v="15"/>
    <n v="20"/>
    <n v="40"/>
  </r>
  <r>
    <x v="0"/>
    <s v="09/01/2015"/>
    <s v="FC-027"/>
    <x v="2"/>
    <s v="San Luis"/>
    <s v="LIGHT"/>
    <s v="NO"/>
    <n v="8"/>
    <n v="25"/>
    <n v="33"/>
    <n v="63"/>
  </r>
  <r>
    <x v="0"/>
    <s v="09/03/2015"/>
    <s v="FC-029"/>
    <x v="2"/>
    <s v="Bens Park"/>
    <s v="LIGHT"/>
    <s v="NO"/>
    <n v="3"/>
    <n v="15"/>
    <n v="18"/>
    <n v="43"/>
  </r>
  <r>
    <x v="0"/>
    <s v="09/01/2015"/>
    <s v="FC-031"/>
    <x v="2"/>
    <s v="Willow Springs"/>
    <s v="LIGHT"/>
    <s v="NO"/>
    <n v="4"/>
    <n v="4"/>
    <n v="8"/>
    <n v="20"/>
  </r>
  <r>
    <x v="0"/>
    <s v="09/01/2015"/>
    <s v="FC-039"/>
    <x v="2"/>
    <s v="Fossil Creek South (Greenstone)"/>
    <s v="LIGHT"/>
    <s v="NO"/>
    <n v="5"/>
    <n v="3"/>
    <n v="8"/>
    <n v="43"/>
  </r>
  <r>
    <x v="0"/>
    <s v="09/01/2015"/>
    <s v="FC-046"/>
    <x v="2"/>
    <s v="725 Westshore Court"/>
    <s v="LIGHT"/>
    <s v="NO"/>
    <n v="5"/>
    <n v="15"/>
    <n v="20"/>
    <n v="52"/>
  </r>
  <r>
    <x v="0"/>
    <s v="09/01/2015"/>
    <s v="FC-047"/>
    <x v="2"/>
    <s v="Keenland &amp; Twin Oak"/>
    <s v="LIGHT"/>
    <s v="NO"/>
    <n v="1"/>
    <n v="5"/>
    <n v="6"/>
    <n v="9"/>
  </r>
  <r>
    <x v="0"/>
    <s v="09/01/2015"/>
    <s v="FC-050"/>
    <x v="2"/>
    <s v="Golden Meadows Ditch"/>
    <s v="LIGHT"/>
    <s v="NO"/>
    <n v="2"/>
    <n v="57"/>
    <n v="59"/>
    <n v="105"/>
  </r>
  <r>
    <x v="0"/>
    <s v="08/31/2015"/>
    <s v="FC-053"/>
    <x v="2"/>
    <s v="Egret and Rookery"/>
    <s v="LIGHT"/>
    <s v="NO"/>
    <n v="4"/>
    <n v="1"/>
    <n v="5"/>
    <n v="121"/>
  </r>
  <r>
    <x v="0"/>
    <s v="09/03/2015"/>
    <s v="FC-054"/>
    <x v="2"/>
    <s v="737 Parliament Court"/>
    <s v="LIGHT"/>
    <s v="NO"/>
    <n v="4"/>
    <n v="2"/>
    <n v="6"/>
    <n v="38"/>
  </r>
  <r>
    <x v="0"/>
    <s v="09/01/2015"/>
    <s v="FC-059"/>
    <x v="2"/>
    <s v="Springwood and Lockwood"/>
    <s v="LIGHT"/>
    <s v="NO"/>
    <n v="7"/>
    <n v="14"/>
    <n v="21"/>
    <n v="106"/>
  </r>
  <r>
    <x v="0"/>
    <s v="09/01/2015"/>
    <s v="FC-064"/>
    <x v="2"/>
    <s v="West Chase @ Kechter Farm"/>
    <s v="LIGHT"/>
    <s v="NO"/>
    <n v="7"/>
    <n v="2"/>
    <n v="9"/>
    <n v="29"/>
  </r>
  <r>
    <x v="0"/>
    <s v="09/01/2015"/>
    <s v="FC-074"/>
    <x v="2"/>
    <s v="Rockcreek"/>
    <s v="LIGHT"/>
    <s v="NO"/>
    <n v="11"/>
    <n v="4"/>
    <n v="15"/>
    <n v="172"/>
  </r>
  <r>
    <x v="0"/>
    <s v="09/01/2015"/>
    <s v="FC-075"/>
    <x v="2"/>
    <s v="North Sage Creek"/>
    <s v="LIGHT"/>
    <s v="NO"/>
    <n v="3"/>
    <n v="9"/>
    <n v="12"/>
    <n v="30"/>
  </r>
  <r>
    <x v="0"/>
    <s v="09/03/2015"/>
    <s v="FC-001"/>
    <x v="3"/>
    <s v="Magic Carpet"/>
    <s v="LIGHT"/>
    <s v="NO"/>
    <n v="2"/>
    <n v="0"/>
    <n v="2"/>
    <n v="2"/>
  </r>
  <r>
    <x v="0"/>
    <s v="09/03/2015"/>
    <s v="FC-037"/>
    <x v="3"/>
    <s v="Chelsea Ridge"/>
    <s v="LIGHT"/>
    <s v="NO"/>
    <n v="4"/>
    <n v="0"/>
    <n v="4"/>
    <n v="14"/>
  </r>
  <r>
    <x v="0"/>
    <s v="09/02/2015"/>
    <s v="FC-049"/>
    <x v="3"/>
    <s v="Casa Grande and Downing"/>
    <s v="LIGHT"/>
    <s v="NO"/>
    <n v="0"/>
    <n v="4"/>
    <n v="4"/>
    <n v="6"/>
  </r>
  <r>
    <x v="0"/>
    <s v="09/03/2015"/>
    <s v="FC-057"/>
    <x v="3"/>
    <s v="Registry Ridge- End of Ranger Dr"/>
    <s v="LIGHT"/>
    <s v="NO"/>
    <n v="0"/>
    <n v="0"/>
    <n v="0"/>
    <n v="13"/>
  </r>
  <r>
    <x v="0"/>
    <s v="09/02/2015"/>
    <s v="FC-058"/>
    <x v="3"/>
    <s v="Spring Creek Trail @ Michener Dr"/>
    <s v="LIGHT"/>
    <s v="NO"/>
    <n v="2"/>
    <n v="0"/>
    <n v="2"/>
    <n v="4"/>
  </r>
  <r>
    <x v="0"/>
    <s v="09/03/2015"/>
    <s v="FC-062"/>
    <x v="3"/>
    <s v="Waters Edge at Blue Mesa"/>
    <s v="LIGHT"/>
    <s v="NO"/>
    <n v="1"/>
    <n v="1"/>
    <n v="2"/>
    <n v="3"/>
  </r>
  <r>
    <x v="0"/>
    <s v="09/03/2015"/>
    <s v="FC-068"/>
    <x v="3"/>
    <s v="502 Crest Drive"/>
    <s v="LIGHT"/>
    <s v="NO"/>
    <n v="0"/>
    <n v="1"/>
    <n v="1"/>
    <n v="5"/>
  </r>
  <r>
    <x v="0"/>
    <s v="09/03/2015"/>
    <s v="FC-071"/>
    <x v="3"/>
    <s v="Silvergate Road"/>
    <s v="LIGHT"/>
    <s v="NO"/>
    <n v="1"/>
    <n v="1"/>
    <n v="2"/>
    <n v="15"/>
  </r>
  <r>
    <x v="0"/>
    <s v="09/03/2015"/>
    <s v="FC-093"/>
    <x v="3"/>
    <s v="Lopez Elementary School"/>
    <s v="LIGHT"/>
    <s v="NO"/>
    <n v="3"/>
    <n v="3"/>
    <n v="6"/>
    <n v="18"/>
  </r>
  <r>
    <x v="0"/>
    <s v="08/31/2015"/>
    <s v="LC-001"/>
    <x v="4"/>
    <s v="Berthoud"/>
    <s v="LIGHT"/>
    <s v="NO"/>
    <n v="7"/>
    <n v="0"/>
    <n v="7"/>
    <n v="12"/>
  </r>
  <r>
    <x v="0"/>
    <s v="09/01/2015"/>
    <s v="LC-010"/>
    <x v="4"/>
    <s v="Timnath-Downtown"/>
    <s v="LIGHT"/>
    <s v="NO"/>
    <n v="1"/>
    <n v="2"/>
    <n v="3"/>
    <n v="192"/>
  </r>
  <r>
    <x v="0"/>
    <s v="08/31/2015"/>
    <s v="LC-017"/>
    <x v="4"/>
    <s v="Bonnell West 2"/>
    <s v="LIGHT"/>
    <s v="NO"/>
    <n v="7"/>
    <n v="0"/>
    <n v="7"/>
    <n v="12"/>
  </r>
  <r>
    <x v="0"/>
    <s v="09/01/2015"/>
    <s v="LC-022"/>
    <x v="4"/>
    <s v="Timnath-Golf Course"/>
    <s v="LIGHT"/>
    <s v="NO"/>
    <n v="2"/>
    <n v="0"/>
    <n v="2"/>
    <n v="78"/>
  </r>
  <r>
    <x v="0"/>
    <s v="09/01/2015"/>
    <s v="LC-032"/>
    <x v="4"/>
    <s v="River Lakes Estates/Paradise Acres"/>
    <s v="LIGHT"/>
    <s v="NO"/>
    <n v="4"/>
    <n v="0"/>
    <n v="4"/>
    <n v="18"/>
  </r>
  <r>
    <x v="0"/>
    <s v="09/01/2015"/>
    <s v="LC-038"/>
    <x v="4"/>
    <s v="Turman Bruns HOA"/>
    <s v="LIGHT"/>
    <s v="NO"/>
    <n v="1"/>
    <n v="0"/>
    <n v="1"/>
    <n v="8"/>
  </r>
  <r>
    <x v="0"/>
    <s v="09/01/2015"/>
    <s v="LC-046"/>
    <x v="4"/>
    <s v="Eagle Ranch Estates"/>
    <s v="LIGHT"/>
    <s v="NO"/>
    <n v="11"/>
    <n v="0"/>
    <n v="11"/>
    <n v="32"/>
  </r>
  <r>
    <x v="0"/>
    <s v="09/01/2015"/>
    <s v="LC-048"/>
    <x v="4"/>
    <s v="Timnath-Summerfields"/>
    <s v="LIGHT"/>
    <s v="NO"/>
    <n v="3"/>
    <n v="0"/>
    <n v="3"/>
    <n v="39"/>
  </r>
  <r>
    <x v="0"/>
    <s v="08/31/2015"/>
    <s v="LC-049"/>
    <x v="4"/>
    <s v="Berthoud North of Bunyan"/>
    <s v="LIGHT"/>
    <s v="NO"/>
    <n v="18"/>
    <n v="0"/>
    <n v="18"/>
    <n v="50"/>
  </r>
  <r>
    <x v="0"/>
    <s v="09/01/2015"/>
    <s v="LC-050"/>
    <x v="4"/>
    <s v="Timnath-Wildwing"/>
    <s v="LIGHT"/>
    <s v="NO"/>
    <n v="2"/>
    <n v="5"/>
    <n v="7"/>
    <n v="75"/>
  </r>
  <r>
    <x v="0"/>
    <s v="09/01/2015"/>
    <s v="LC-051"/>
    <x v="4"/>
    <s v="Timnath-Saratoga Falls"/>
    <s v="LIGHT"/>
    <s v="NO"/>
    <n v="3"/>
    <n v="0"/>
    <n v="3"/>
    <n v="64"/>
  </r>
  <r>
    <x v="0"/>
    <s v="09/01/2015"/>
    <s v="LC-052"/>
    <x v="4"/>
    <s v="Walmart East at Poudre River"/>
    <s v="LIGHT"/>
    <s v="NO"/>
    <n v="0"/>
    <n v="0"/>
    <n v="0"/>
    <n v="39"/>
  </r>
  <r>
    <x v="0"/>
    <s v="08/31/2015"/>
    <s v="LV-020"/>
    <x v="5"/>
    <s v="Cattail Pond"/>
    <s v="LIGHT"/>
    <s v="NO"/>
    <n v="54"/>
    <n v="0"/>
    <n v="54"/>
    <n v="233"/>
  </r>
  <r>
    <x v="0"/>
    <s v="08/31/2015"/>
    <s v="LV-069"/>
    <x v="5"/>
    <s v="Horseshoe Peninsula"/>
    <s v="LIGHT"/>
    <s v="NO"/>
    <n v="6"/>
    <n v="1"/>
    <n v="7"/>
    <n v="16"/>
  </r>
  <r>
    <x v="0"/>
    <s v="08/31/2015"/>
    <s v="LV-089"/>
    <x v="5"/>
    <s v="9th and Des Moines"/>
    <s v="LIGHT"/>
    <s v="NO"/>
    <n v="4"/>
    <n v="0"/>
    <n v="4"/>
    <n v="205"/>
  </r>
  <r>
    <x v="0"/>
    <s v="08/31/2015"/>
    <s v="LV-095"/>
    <x v="5"/>
    <s v="Waterfront at Boyd Lake"/>
    <s v="LIGHT"/>
    <s v="NO"/>
    <n v="43"/>
    <n v="3"/>
    <n v="46"/>
    <n v="152"/>
  </r>
  <r>
    <x v="0"/>
    <s v="08/31/2015"/>
    <s v="LV-104"/>
    <x v="5"/>
    <s v="County Road 20C and County Road 9"/>
    <s v="LIGHT"/>
    <s v="NO"/>
    <n v="7"/>
    <n v="0"/>
    <n v="7"/>
    <n v="35"/>
  </r>
  <r>
    <x v="0"/>
    <s v="08/31/2015"/>
    <s v="LV-110"/>
    <x v="5"/>
    <s v="Big Thompson Natural Area"/>
    <s v="LIGHT"/>
    <s v="NO"/>
    <n v="4"/>
    <n v="0"/>
    <n v="4"/>
    <n v="49"/>
  </r>
</pivotCacheRecords>
</file>

<file path=xl/pivotCache/pivotCacheRecords2.xml><?xml version="1.0" encoding="utf-8"?>
<pivotCacheRecords xmlns="http://schemas.openxmlformats.org/spreadsheetml/2006/main" xmlns:r="http://schemas.openxmlformats.org/officeDocument/2006/relationships" count="107">
  <r>
    <n v="2015"/>
    <s v="CSU-8636"/>
    <n v="18242"/>
    <x v="0"/>
    <x v="0"/>
    <s v="LC"/>
    <s v="LV"/>
    <s v="LV-020"/>
    <x v="0"/>
    <s v="LIGHT"/>
    <s v="Cx."/>
    <x v="0"/>
    <s v="F"/>
    <n v="0"/>
    <n v="50"/>
    <n v="50"/>
    <n v="1"/>
    <s v="Positive "/>
  </r>
  <r>
    <n v="2015"/>
    <s v="CSU-8637"/>
    <n v="18243"/>
    <x v="0"/>
    <x v="0"/>
    <s v="LC"/>
    <s v="LV"/>
    <s v="LV-020"/>
    <x v="0"/>
    <s v="LIGHT"/>
    <s v="Cx."/>
    <x v="0"/>
    <s v="F"/>
    <n v="0"/>
    <n v="4"/>
    <n v="4"/>
    <n v="0"/>
    <s v="Negative"/>
  </r>
  <r>
    <n v="2015"/>
    <s v="CSU-8638"/>
    <n v="18244"/>
    <x v="0"/>
    <x v="0"/>
    <s v="LC"/>
    <s v="LV"/>
    <s v="LV-110"/>
    <x v="0"/>
    <s v="LIGHT"/>
    <s v="Cx."/>
    <x v="0"/>
    <s v="F"/>
    <n v="0"/>
    <n v="4"/>
    <n v="4"/>
    <n v="0"/>
    <s v="Negative"/>
  </r>
  <r>
    <n v="2015"/>
    <s v="CSU-8639"/>
    <n v="18245"/>
    <x v="0"/>
    <x v="0"/>
    <s v="LC"/>
    <s v="LV"/>
    <s v="LV-069"/>
    <x v="0"/>
    <s v="LIGHT"/>
    <s v="Cx."/>
    <x v="0"/>
    <s v="F"/>
    <n v="0"/>
    <n v="6"/>
    <n v="6"/>
    <n v="1"/>
    <s v="Positive "/>
  </r>
  <r>
    <n v="2015"/>
    <s v="CSU-8640"/>
    <n v="18246"/>
    <x v="0"/>
    <x v="0"/>
    <s v="LC"/>
    <s v="LV"/>
    <s v="LV-069"/>
    <x v="0"/>
    <s v="LIGHT"/>
    <s v="Cx."/>
    <x v="1"/>
    <s v="F"/>
    <n v="0"/>
    <n v="1"/>
    <n v="1"/>
    <n v="0"/>
    <s v="Negative"/>
  </r>
  <r>
    <n v="2015"/>
    <s v="CSU-8641"/>
    <n v="18247"/>
    <x v="0"/>
    <x v="0"/>
    <s v="LC"/>
    <s v="LV"/>
    <s v="LV-095"/>
    <x v="0"/>
    <s v="LIGHT"/>
    <s v="Cx."/>
    <x v="0"/>
    <s v="F"/>
    <n v="0"/>
    <n v="43"/>
    <n v="43"/>
    <n v="0"/>
    <s v="Negative"/>
  </r>
  <r>
    <n v="2015"/>
    <s v="CSU-8642"/>
    <n v="18248"/>
    <x v="0"/>
    <x v="0"/>
    <s v="LC"/>
    <s v="LV"/>
    <s v="LV-095"/>
    <x v="0"/>
    <s v="LIGHT"/>
    <s v="Cx."/>
    <x v="1"/>
    <s v="F"/>
    <n v="0"/>
    <n v="3"/>
    <n v="3"/>
    <n v="0"/>
    <s v="Negative"/>
  </r>
  <r>
    <n v="2015"/>
    <s v="CSU-8643"/>
    <n v="18249"/>
    <x v="0"/>
    <x v="0"/>
    <s v="LC"/>
    <s v="LV"/>
    <s v="LV-089"/>
    <x v="0"/>
    <s v="LIGHT"/>
    <s v="Cx."/>
    <x v="0"/>
    <s v="F"/>
    <n v="0"/>
    <n v="4"/>
    <n v="4"/>
    <n v="0"/>
    <s v="Negative"/>
  </r>
  <r>
    <n v="2015"/>
    <s v="CSU-8644"/>
    <n v="18250"/>
    <x v="0"/>
    <x v="0"/>
    <s v="LC"/>
    <s v="LV"/>
    <s v="LV-104"/>
    <x v="0"/>
    <s v="LIGHT"/>
    <s v="Cx."/>
    <x v="0"/>
    <s v="F"/>
    <n v="0"/>
    <n v="7"/>
    <n v="7"/>
    <n v="0"/>
    <s v="Negative"/>
  </r>
  <r>
    <n v="2015"/>
    <s v="CSU-8645"/>
    <n v="18251"/>
    <x v="0"/>
    <x v="0"/>
    <s v="LC"/>
    <s v="FC"/>
    <s v="FC-067"/>
    <x v="1"/>
    <s v="LIGHT"/>
    <s v="Cx."/>
    <x v="0"/>
    <s v="F"/>
    <n v="0"/>
    <n v="12"/>
    <n v="12"/>
    <n v="0"/>
    <s v="Negative"/>
  </r>
  <r>
    <n v="2015"/>
    <s v="CSU-8646"/>
    <n v="18252"/>
    <x v="0"/>
    <x v="0"/>
    <s v="LC"/>
    <s v="FC"/>
    <s v="FC-014"/>
    <x v="1"/>
    <s v="LIGHT"/>
    <s v="Cx."/>
    <x v="0"/>
    <s v="F"/>
    <n v="0"/>
    <n v="7"/>
    <n v="7"/>
    <n v="0"/>
    <s v="Negative"/>
  </r>
  <r>
    <n v="2015"/>
    <s v="CSU-8647"/>
    <n v="18253"/>
    <x v="0"/>
    <x v="0"/>
    <s v="LC"/>
    <s v="FC"/>
    <s v="FC-014"/>
    <x v="1"/>
    <s v="LIGHT"/>
    <s v="Cx."/>
    <x v="1"/>
    <s v="F"/>
    <n v="0"/>
    <n v="16"/>
    <n v="16"/>
    <n v="0"/>
    <s v="Negative"/>
  </r>
  <r>
    <n v="2015"/>
    <s v="CSU-8648"/>
    <n v="18254"/>
    <x v="0"/>
    <x v="0"/>
    <s v="LC"/>
    <s v="FC"/>
    <s v="FC-053"/>
    <x v="2"/>
    <s v="LIGHT"/>
    <s v="Cx."/>
    <x v="0"/>
    <s v="F"/>
    <n v="0"/>
    <n v="4"/>
    <n v="4"/>
    <n v="0"/>
    <s v="Negative"/>
  </r>
  <r>
    <n v="2015"/>
    <s v="CSU-8649"/>
    <n v="18255"/>
    <x v="0"/>
    <x v="0"/>
    <s v="LC"/>
    <s v="FC"/>
    <s v="FC-053"/>
    <x v="2"/>
    <s v="LIGHT"/>
    <s v="Cx."/>
    <x v="1"/>
    <s v="F"/>
    <n v="0"/>
    <n v="1"/>
    <n v="1"/>
    <n v="1"/>
    <s v="Positive "/>
  </r>
  <r>
    <n v="2015"/>
    <s v="CSU-8650"/>
    <n v="18256"/>
    <x v="0"/>
    <x v="0"/>
    <s v="LC"/>
    <s v="FC"/>
    <s v="FC-004"/>
    <x v="2"/>
    <s v="LIGHT"/>
    <s v="Cx."/>
    <x v="0"/>
    <s v="F"/>
    <n v="0"/>
    <n v="3"/>
    <n v="3"/>
    <n v="0"/>
    <s v="Negative"/>
  </r>
  <r>
    <n v="2015"/>
    <s v="CSU-8651"/>
    <n v="18257"/>
    <x v="0"/>
    <x v="0"/>
    <s v="LC"/>
    <s v="FC"/>
    <s v="FC-004"/>
    <x v="2"/>
    <s v="LIGHT"/>
    <s v="Cx."/>
    <x v="1"/>
    <s v="F"/>
    <n v="0"/>
    <n v="16"/>
    <n v="16"/>
    <n v="0"/>
    <s v="Negative"/>
  </r>
  <r>
    <n v="2015"/>
    <s v="CSU-8652"/>
    <n v="18258"/>
    <x v="0"/>
    <x v="0"/>
    <s v="LC"/>
    <s v="FC"/>
    <s v="FC-038"/>
    <x v="1"/>
    <s v="LIGHT"/>
    <s v="Cx."/>
    <x v="0"/>
    <s v="F"/>
    <n v="0"/>
    <n v="26"/>
    <n v="26"/>
    <n v="0"/>
    <s v="Negative"/>
  </r>
  <r>
    <n v="2015"/>
    <s v="CSU-8653"/>
    <n v="18259"/>
    <x v="0"/>
    <x v="0"/>
    <s v="LC"/>
    <s v="FC"/>
    <s v="FC-038"/>
    <x v="1"/>
    <s v="LIGHT"/>
    <s v="Cx."/>
    <x v="1"/>
    <s v="F"/>
    <n v="0"/>
    <n v="13"/>
    <n v="13"/>
    <n v="0"/>
    <s v="Negative"/>
  </r>
  <r>
    <n v="2015"/>
    <s v="CSU-8654"/>
    <n v="18260"/>
    <x v="0"/>
    <x v="0"/>
    <s v="LC"/>
    <s v="FC"/>
    <s v="FC-034"/>
    <x v="1"/>
    <s v="LIGHT"/>
    <s v="Cx."/>
    <x v="0"/>
    <s v="F"/>
    <n v="0"/>
    <n v="5"/>
    <n v="5"/>
    <n v="0"/>
    <s v="Negative"/>
  </r>
  <r>
    <n v="2015"/>
    <s v="CSU-8655"/>
    <n v="18261"/>
    <x v="0"/>
    <x v="0"/>
    <s v="LC"/>
    <s v="FC"/>
    <s v="FC-034"/>
    <x v="1"/>
    <s v="LIGHT"/>
    <s v="Cx."/>
    <x v="1"/>
    <s v="F"/>
    <n v="0"/>
    <n v="5"/>
    <n v="5"/>
    <n v="0"/>
    <s v="Negative"/>
  </r>
  <r>
    <n v="2015"/>
    <s v="CSU-8656"/>
    <n v="18262"/>
    <x v="0"/>
    <x v="0"/>
    <s v="LC"/>
    <s v="FC"/>
    <s v="FC-069"/>
    <x v="1"/>
    <s v="LIGHT"/>
    <s v="Cx."/>
    <x v="0"/>
    <s v="F"/>
    <n v="0"/>
    <n v="3"/>
    <n v="3"/>
    <n v="0"/>
    <s v="Negative"/>
  </r>
  <r>
    <n v="2015"/>
    <s v="CSU-8657"/>
    <n v="18263"/>
    <x v="0"/>
    <x v="0"/>
    <s v="LC"/>
    <s v="FC"/>
    <s v="FC-040"/>
    <x v="1"/>
    <s v="LIGHT"/>
    <s v="Cx."/>
    <x v="0"/>
    <s v="F"/>
    <n v="0"/>
    <n v="7"/>
    <n v="7"/>
    <n v="1"/>
    <s v="Positive "/>
  </r>
  <r>
    <n v="2015"/>
    <s v="CSU-8658"/>
    <n v="18264"/>
    <x v="0"/>
    <x v="0"/>
    <s v="LC"/>
    <s v="FC"/>
    <s v="FC-040"/>
    <x v="1"/>
    <s v="LIGHT"/>
    <s v="Cx."/>
    <x v="1"/>
    <s v="F"/>
    <n v="0"/>
    <n v="12"/>
    <n v="12"/>
    <n v="1"/>
    <s v="Positive "/>
  </r>
  <r>
    <n v="2015"/>
    <s v="CSU-8659"/>
    <n v="18265"/>
    <x v="0"/>
    <x v="0"/>
    <s v="LC"/>
    <s v="FC"/>
    <s v="FC-040gr"/>
    <x v="1"/>
    <s v="GRAVID"/>
    <s v="Cx."/>
    <x v="1"/>
    <s v="F"/>
    <n v="50"/>
    <n v="0"/>
    <n v="50"/>
    <n v="1"/>
    <s v="Positive "/>
  </r>
  <r>
    <n v="2015"/>
    <s v="CSU-8660"/>
    <n v="18266"/>
    <x v="0"/>
    <x v="0"/>
    <s v="LC"/>
    <s v="FC"/>
    <s v="FC-040gr"/>
    <x v="1"/>
    <s v="GRAVID"/>
    <s v="Cx."/>
    <x v="1"/>
    <s v="F"/>
    <n v="50"/>
    <n v="0"/>
    <n v="50"/>
    <n v="1"/>
    <s v="Positive "/>
  </r>
  <r>
    <n v="2015"/>
    <s v="CSU-8661"/>
    <n v="18267"/>
    <x v="0"/>
    <x v="0"/>
    <s v="LC"/>
    <s v="FC"/>
    <s v="FC-040gr"/>
    <x v="1"/>
    <s v="GRAVID"/>
    <s v="Cx."/>
    <x v="1"/>
    <s v="F"/>
    <n v="3"/>
    <n v="0"/>
    <n v="3"/>
    <n v="0"/>
    <s v="Negative"/>
  </r>
  <r>
    <n v="2015"/>
    <s v="CSU-8662"/>
    <n v="18268"/>
    <x v="0"/>
    <x v="0"/>
    <s v="LC"/>
    <s v="FC"/>
    <s v="FC-036"/>
    <x v="3"/>
    <s v="LIGHT"/>
    <s v="Cx."/>
    <x v="0"/>
    <s v="F"/>
    <n v="0"/>
    <n v="10"/>
    <n v="10"/>
    <n v="0"/>
    <s v="Negative"/>
  </r>
  <r>
    <n v="2015"/>
    <s v="CSU-8663"/>
    <n v="18269"/>
    <x v="0"/>
    <x v="0"/>
    <s v="LC"/>
    <s v="FC"/>
    <s v="FC-036"/>
    <x v="3"/>
    <s v="LIGHT"/>
    <s v="Cx."/>
    <x v="1"/>
    <s v="F"/>
    <n v="0"/>
    <n v="2"/>
    <n v="2"/>
    <n v="0"/>
    <s v="Negative"/>
  </r>
  <r>
    <n v="2015"/>
    <s v="CSU-8664"/>
    <n v="18270"/>
    <x v="0"/>
    <x v="0"/>
    <s v="LC"/>
    <s v="FC"/>
    <s v="FC-006"/>
    <x v="1"/>
    <s v="LIGHT"/>
    <s v="Cx."/>
    <x v="0"/>
    <s v="F"/>
    <n v="0"/>
    <n v="12"/>
    <n v="12"/>
    <n v="0"/>
    <s v="Negative"/>
  </r>
  <r>
    <n v="2015"/>
    <s v="CSU-8665"/>
    <n v="18271"/>
    <x v="0"/>
    <x v="0"/>
    <s v="LC"/>
    <s v="FC"/>
    <s v="FC-006"/>
    <x v="1"/>
    <s v="LIGHT"/>
    <s v="Cx."/>
    <x v="1"/>
    <s v="F"/>
    <n v="0"/>
    <n v="12"/>
    <n v="12"/>
    <n v="0"/>
    <s v="Negative"/>
  </r>
  <r>
    <n v="2015"/>
    <s v="CSU-8666"/>
    <n v="18272"/>
    <x v="0"/>
    <x v="0"/>
    <s v="LC"/>
    <s v="FC"/>
    <s v="FC-092gr"/>
    <x v="1"/>
    <s v="GRAVID"/>
    <s v="Cx."/>
    <x v="1"/>
    <s v="F"/>
    <n v="50"/>
    <n v="0"/>
    <n v="50"/>
    <n v="1"/>
    <s v="Positive "/>
  </r>
  <r>
    <n v="2015"/>
    <s v="CSU-8667"/>
    <n v="18273"/>
    <x v="0"/>
    <x v="0"/>
    <s v="LC"/>
    <s v="FC"/>
    <s v="FC-092gr"/>
    <x v="1"/>
    <s v="GRAVID"/>
    <s v="Cx."/>
    <x v="1"/>
    <s v="F"/>
    <n v="50"/>
    <n v="0"/>
    <n v="50"/>
    <n v="1"/>
    <s v="Positive "/>
  </r>
  <r>
    <n v="2015"/>
    <s v="CSU-8668"/>
    <n v="18274"/>
    <x v="0"/>
    <x v="0"/>
    <s v="LC"/>
    <s v="FC"/>
    <s v="FC-092gr"/>
    <x v="1"/>
    <s v="GRAVID"/>
    <s v="Cx."/>
    <x v="1"/>
    <s v="F"/>
    <n v="15"/>
    <n v="0"/>
    <n v="15"/>
    <n v="1"/>
    <s v="Positive "/>
  </r>
  <r>
    <n v="2015"/>
    <s v="CSU-8669"/>
    <n v="18275"/>
    <x v="0"/>
    <x v="0"/>
    <s v="LC"/>
    <s v="FC"/>
    <s v="FC-072"/>
    <x v="1"/>
    <s v="LIGHT"/>
    <s v="Cx."/>
    <x v="0"/>
    <s v="F"/>
    <n v="0"/>
    <n v="13"/>
    <n v="13"/>
    <n v="0"/>
    <s v="Negative"/>
  </r>
  <r>
    <n v="2015"/>
    <s v="CSU-8670"/>
    <n v="18276"/>
    <x v="0"/>
    <x v="0"/>
    <s v="LC"/>
    <s v="FC"/>
    <s v="FC-072"/>
    <x v="1"/>
    <s v="LIGHT"/>
    <s v="Cx."/>
    <x v="1"/>
    <s v="F"/>
    <n v="0"/>
    <n v="4"/>
    <n v="4"/>
    <n v="0"/>
    <s v="Negative"/>
  </r>
  <r>
    <n v="2015"/>
    <s v="CSU-8671"/>
    <n v="18277"/>
    <x v="0"/>
    <x v="0"/>
    <s v="LC"/>
    <s v="FC"/>
    <s v="FC-091gr"/>
    <x v="1"/>
    <s v="GRAVID"/>
    <s v="Cx."/>
    <x v="1"/>
    <s v="F"/>
    <n v="8"/>
    <n v="0"/>
    <n v="8"/>
    <n v="0"/>
    <s v="Negative"/>
  </r>
  <r>
    <n v="2015"/>
    <s v="CSU-8672"/>
    <n v="18278"/>
    <x v="0"/>
    <x v="0"/>
    <s v="LC"/>
    <s v="FC"/>
    <s v="FC-019"/>
    <x v="1"/>
    <s v="LIGHT"/>
    <s v="Cx."/>
    <x v="0"/>
    <s v="F"/>
    <n v="0"/>
    <n v="10"/>
    <n v="10"/>
    <n v="0"/>
    <s v="Negative"/>
  </r>
  <r>
    <n v="2015"/>
    <s v="CSU-8673"/>
    <n v="18279"/>
    <x v="0"/>
    <x v="0"/>
    <s v="LC"/>
    <s v="FC"/>
    <s v="FC-019"/>
    <x v="1"/>
    <s v="LIGHT"/>
    <s v="Cx."/>
    <x v="1"/>
    <s v="F"/>
    <n v="0"/>
    <n v="9"/>
    <n v="9"/>
    <n v="0"/>
    <s v="Negative"/>
  </r>
  <r>
    <n v="2015"/>
    <s v="CSU-8674"/>
    <n v="18280"/>
    <x v="0"/>
    <x v="0"/>
    <s v="LC"/>
    <s v="FC"/>
    <s v="FC-066gr"/>
    <x v="1"/>
    <s v="GRAVID"/>
    <s v="Cx."/>
    <x v="1"/>
    <s v="F"/>
    <n v="31"/>
    <n v="0"/>
    <n v="31"/>
    <n v="0"/>
    <s v="Negative"/>
  </r>
  <r>
    <n v="2015"/>
    <s v="CSU-8675"/>
    <n v="18281"/>
    <x v="0"/>
    <x v="0"/>
    <s v="LC"/>
    <s v="FC"/>
    <s v="FC-066"/>
    <x v="1"/>
    <s v="LIGHT"/>
    <s v="Cx."/>
    <x v="0"/>
    <s v="F"/>
    <n v="0"/>
    <n v="18"/>
    <n v="18"/>
    <n v="0"/>
    <s v="Negative"/>
  </r>
  <r>
    <n v="2015"/>
    <s v="CSU-8676"/>
    <n v="18282"/>
    <x v="0"/>
    <x v="0"/>
    <s v="LC"/>
    <s v="FC"/>
    <s v="FC-066"/>
    <x v="1"/>
    <s v="LIGHT"/>
    <s v="Cx."/>
    <x v="1"/>
    <s v="F"/>
    <n v="0"/>
    <n v="50"/>
    <n v="50"/>
    <n v="0"/>
    <s v="Negative"/>
  </r>
  <r>
    <n v="2015"/>
    <s v="CSU-8677"/>
    <n v="18283"/>
    <x v="0"/>
    <x v="0"/>
    <s v="LC"/>
    <s v="FC"/>
    <s v="FC-066"/>
    <x v="1"/>
    <s v="LIGHT"/>
    <s v="Cx."/>
    <x v="1"/>
    <s v="F"/>
    <n v="0"/>
    <n v="20"/>
    <n v="20"/>
    <n v="0"/>
    <s v="Negative"/>
  </r>
  <r>
    <n v="2015"/>
    <s v="CSU-8678"/>
    <n v="18284"/>
    <x v="0"/>
    <x v="1"/>
    <s v="LC"/>
    <s v="FC"/>
    <s v="FC-039"/>
    <x v="2"/>
    <s v="LIGHT"/>
    <s v="Cx."/>
    <x v="0"/>
    <s v="F"/>
    <n v="0"/>
    <n v="5"/>
    <n v="5"/>
    <n v="0"/>
    <s v="Negative"/>
  </r>
  <r>
    <n v="2015"/>
    <s v="CSU-8679"/>
    <n v="18285"/>
    <x v="0"/>
    <x v="1"/>
    <s v="LC"/>
    <s v="FC"/>
    <s v="FC-039"/>
    <x v="2"/>
    <s v="LIGHT"/>
    <s v="Cx."/>
    <x v="1"/>
    <s v="F"/>
    <n v="0"/>
    <n v="3"/>
    <n v="3"/>
    <n v="0"/>
    <s v="Negative"/>
  </r>
  <r>
    <n v="2015"/>
    <s v="CSU-8680"/>
    <n v="18286"/>
    <x v="0"/>
    <x v="1"/>
    <s v="LC"/>
    <s v="FC"/>
    <s v="FC-064"/>
    <x v="2"/>
    <s v="LIGHT"/>
    <s v="Cx."/>
    <x v="0"/>
    <s v="F"/>
    <n v="0"/>
    <n v="7"/>
    <n v="7"/>
    <n v="0"/>
    <s v="Negative"/>
  </r>
  <r>
    <n v="2015"/>
    <s v="CSU-8681"/>
    <n v="18287"/>
    <x v="0"/>
    <x v="1"/>
    <s v="LC"/>
    <s v="FC"/>
    <s v="FC-064"/>
    <x v="2"/>
    <s v="LIGHT"/>
    <s v="Cx."/>
    <x v="1"/>
    <s v="F"/>
    <n v="0"/>
    <n v="2"/>
    <n v="2"/>
    <n v="0"/>
    <s v="Negative"/>
  </r>
  <r>
    <n v="2015"/>
    <s v="CSU-8682"/>
    <n v="18288"/>
    <x v="0"/>
    <x v="1"/>
    <s v="LC"/>
    <s v="FC"/>
    <s v="FC-075"/>
    <x v="2"/>
    <s v="LIGHT"/>
    <s v="Cx."/>
    <x v="0"/>
    <s v="F"/>
    <n v="0"/>
    <n v="3"/>
    <n v="3"/>
    <n v="0"/>
    <s v="Negative"/>
  </r>
  <r>
    <n v="2015"/>
    <s v="CSU-8683"/>
    <n v="18289"/>
    <x v="0"/>
    <x v="1"/>
    <s v="LC"/>
    <s v="FC"/>
    <s v="FC-075"/>
    <x v="2"/>
    <s v="LIGHT"/>
    <s v="Cx."/>
    <x v="1"/>
    <s v="F"/>
    <n v="0"/>
    <n v="9"/>
    <n v="9"/>
    <n v="0"/>
    <s v="Negative"/>
  </r>
  <r>
    <n v="2015"/>
    <s v="CSU-8684"/>
    <n v="18290"/>
    <x v="0"/>
    <x v="1"/>
    <s v="LC"/>
    <s v="FC"/>
    <s v="FC-075gr"/>
    <x v="2"/>
    <s v="GRAVID"/>
    <s v="Cx."/>
    <x v="1"/>
    <s v="F"/>
    <n v="50"/>
    <n v="0"/>
    <n v="50"/>
    <n v="1"/>
    <s v="Positive "/>
  </r>
  <r>
    <n v="2015"/>
    <s v="CSU-8685"/>
    <n v="18291"/>
    <x v="0"/>
    <x v="1"/>
    <s v="LC"/>
    <s v="FC"/>
    <s v="FC-075gr"/>
    <x v="2"/>
    <s v="GRAVID"/>
    <s v="Cx."/>
    <x v="1"/>
    <s v="F"/>
    <n v="13"/>
    <n v="0"/>
    <n v="13"/>
    <n v="0"/>
    <s v="Negative"/>
  </r>
  <r>
    <n v="2015"/>
    <s v="CSU-8686"/>
    <n v="18292"/>
    <x v="0"/>
    <x v="1"/>
    <s v="LC"/>
    <s v="FC"/>
    <s v="FC-074"/>
    <x v="2"/>
    <s v="LIGHT"/>
    <s v="Cx."/>
    <x v="0"/>
    <s v="F"/>
    <n v="0"/>
    <n v="11"/>
    <n v="11"/>
    <n v="0"/>
    <s v="Negative"/>
  </r>
  <r>
    <n v="2015"/>
    <s v="CSU-8687"/>
    <n v="18293"/>
    <x v="0"/>
    <x v="1"/>
    <s v="LC"/>
    <s v="FC"/>
    <s v="FC-074"/>
    <x v="2"/>
    <s v="LIGHT"/>
    <s v="Cx."/>
    <x v="1"/>
    <s v="F"/>
    <n v="0"/>
    <n v="4"/>
    <n v="4"/>
    <n v="0"/>
    <s v="Negative"/>
  </r>
  <r>
    <n v="2015"/>
    <s v="CSU-8688"/>
    <n v="18294"/>
    <x v="0"/>
    <x v="1"/>
    <s v="LC"/>
    <s v="FC"/>
    <s v="FC-088gr"/>
    <x v="2"/>
    <s v="GRAVID"/>
    <s v="Cx."/>
    <x v="1"/>
    <s v="F"/>
    <n v="50"/>
    <n v="0"/>
    <n v="50"/>
    <n v="1"/>
    <s v="Positive "/>
  </r>
  <r>
    <n v="2015"/>
    <s v="CSU-8689"/>
    <n v="18295"/>
    <x v="0"/>
    <x v="1"/>
    <s v="LC"/>
    <s v="FC"/>
    <s v="FC-088gr"/>
    <x v="2"/>
    <s v="GRAVID"/>
    <s v="Cx."/>
    <x v="1"/>
    <s v="F"/>
    <n v="50"/>
    <n v="0"/>
    <n v="50"/>
    <n v="1"/>
    <s v="Positive "/>
  </r>
  <r>
    <n v="2015"/>
    <s v="CSU-8690"/>
    <n v="18296"/>
    <x v="0"/>
    <x v="1"/>
    <s v="LC"/>
    <s v="FC"/>
    <s v="FC-088gr"/>
    <x v="2"/>
    <s v="GRAVID"/>
    <s v="Cx."/>
    <x v="1"/>
    <s v="F"/>
    <n v="3"/>
    <n v="0"/>
    <n v="3"/>
    <n v="0"/>
    <s v="Negative"/>
  </r>
  <r>
    <n v="2015"/>
    <s v="CSU-8691"/>
    <n v="18297"/>
    <x v="0"/>
    <x v="1"/>
    <s v="LC"/>
    <s v="FC"/>
    <s v="FC-027"/>
    <x v="2"/>
    <s v="LIGHT"/>
    <s v="Cx."/>
    <x v="0"/>
    <s v="F"/>
    <n v="0"/>
    <n v="8"/>
    <n v="8"/>
    <n v="1"/>
    <s v="Positive "/>
  </r>
  <r>
    <n v="2015"/>
    <s v="CSU-8692"/>
    <n v="18298"/>
    <x v="0"/>
    <x v="1"/>
    <s v="LC"/>
    <s v="FC"/>
    <s v="FC-027"/>
    <x v="2"/>
    <s v="LIGHT"/>
    <s v="Cx."/>
    <x v="1"/>
    <s v="F"/>
    <n v="0"/>
    <n v="25"/>
    <n v="25"/>
    <n v="0"/>
    <s v="Negative"/>
  </r>
  <r>
    <n v="2015"/>
    <s v="CSU-8693"/>
    <n v="18299"/>
    <x v="0"/>
    <x v="1"/>
    <s v="LC"/>
    <s v="FC"/>
    <s v="FC-059"/>
    <x v="2"/>
    <s v="LIGHT"/>
    <s v="Cx."/>
    <x v="0"/>
    <s v="F"/>
    <n v="0"/>
    <n v="7"/>
    <n v="7"/>
    <n v="0"/>
    <s v="Negative"/>
  </r>
  <r>
    <n v="2015"/>
    <s v="CSU-8694"/>
    <n v="18300"/>
    <x v="0"/>
    <x v="1"/>
    <s v="LC"/>
    <s v="FC"/>
    <s v="FC-059"/>
    <x v="2"/>
    <s v="LIGHT"/>
    <s v="Cx."/>
    <x v="1"/>
    <s v="F"/>
    <n v="0"/>
    <n v="14"/>
    <n v="14"/>
    <n v="0"/>
    <s v="Negative"/>
  </r>
  <r>
    <n v="2015"/>
    <s v="CSU-8695"/>
    <n v="18301"/>
    <x v="0"/>
    <x v="1"/>
    <s v="LC"/>
    <s v="FC"/>
    <s v="FC-023"/>
    <x v="2"/>
    <s v="LIGHT"/>
    <s v="Cx."/>
    <x v="0"/>
    <s v="F"/>
    <n v="0"/>
    <n v="5"/>
    <n v="5"/>
    <n v="0"/>
    <s v="Negative"/>
  </r>
  <r>
    <n v="2015"/>
    <s v="CSU-8696"/>
    <n v="18302"/>
    <x v="0"/>
    <x v="1"/>
    <s v="LC"/>
    <s v="FC"/>
    <s v="FC-023"/>
    <x v="2"/>
    <s v="LIGHT"/>
    <s v="Cx."/>
    <x v="1"/>
    <s v="F"/>
    <n v="0"/>
    <n v="15"/>
    <n v="15"/>
    <n v="0"/>
    <s v="Negative"/>
  </r>
  <r>
    <n v="2015"/>
    <s v="CSU-8697"/>
    <n v="18303"/>
    <x v="0"/>
    <x v="1"/>
    <s v="LC"/>
    <s v="FC"/>
    <s v="FC-050"/>
    <x v="2"/>
    <s v="LIGHT"/>
    <s v="Cx."/>
    <x v="0"/>
    <s v="F"/>
    <n v="0"/>
    <n v="2"/>
    <n v="2"/>
    <n v="0"/>
    <s v="Negative"/>
  </r>
  <r>
    <n v="2015"/>
    <s v="CSU-8698"/>
    <n v="18304"/>
    <x v="0"/>
    <x v="1"/>
    <s v="LC"/>
    <s v="FC"/>
    <s v="FC-050"/>
    <x v="2"/>
    <s v="LIGHT"/>
    <s v="Cx."/>
    <x v="1"/>
    <s v="F"/>
    <n v="0"/>
    <n v="50"/>
    <n v="50"/>
    <n v="0"/>
    <s v="Negative"/>
  </r>
  <r>
    <n v="2015"/>
    <s v="CSU-8699"/>
    <n v="18305"/>
    <x v="0"/>
    <x v="1"/>
    <s v="LC"/>
    <s v="FC"/>
    <s v="FC-050"/>
    <x v="2"/>
    <s v="LIGHT"/>
    <s v="Cx."/>
    <x v="1"/>
    <s v="F"/>
    <n v="0"/>
    <n v="7"/>
    <n v="7"/>
    <n v="0"/>
    <s v="Negative"/>
  </r>
  <r>
    <n v="2015"/>
    <s v="CSU-8700"/>
    <n v="18306"/>
    <x v="0"/>
    <x v="1"/>
    <s v="LC"/>
    <s v="FC"/>
    <s v="FC-046"/>
    <x v="2"/>
    <s v="LIGHT"/>
    <s v="Cx."/>
    <x v="0"/>
    <s v="F"/>
    <n v="0"/>
    <n v="5"/>
    <n v="5"/>
    <n v="1"/>
    <s v="Positive "/>
  </r>
  <r>
    <n v="2015"/>
    <s v="CSU-8701"/>
    <n v="18307"/>
    <x v="0"/>
    <x v="1"/>
    <s v="LC"/>
    <s v="FC"/>
    <s v="FC-046"/>
    <x v="2"/>
    <s v="LIGHT"/>
    <s v="Cx."/>
    <x v="1"/>
    <s v="F"/>
    <n v="0"/>
    <n v="15"/>
    <n v="15"/>
    <n v="1"/>
    <s v="Positive "/>
  </r>
  <r>
    <n v="2015"/>
    <s v="CSU-8702"/>
    <n v="18308"/>
    <x v="0"/>
    <x v="1"/>
    <s v="LC"/>
    <s v="FC"/>
    <s v="FC-047"/>
    <x v="2"/>
    <s v="LIGHT"/>
    <s v="Cx."/>
    <x v="0"/>
    <s v="F"/>
    <n v="0"/>
    <n v="1"/>
    <n v="1"/>
    <n v="0"/>
    <s v="Negative"/>
  </r>
  <r>
    <n v="2015"/>
    <s v="CSU-8703"/>
    <n v="18309"/>
    <x v="0"/>
    <x v="1"/>
    <s v="LC"/>
    <s v="FC"/>
    <s v="FC-047"/>
    <x v="2"/>
    <s v="LIGHT"/>
    <s v="Cx."/>
    <x v="1"/>
    <s v="F"/>
    <n v="0"/>
    <n v="5"/>
    <n v="5"/>
    <n v="0"/>
    <s v="Negative"/>
  </r>
  <r>
    <n v="2015"/>
    <s v="CSU-8704"/>
    <n v="18310"/>
    <x v="0"/>
    <x v="1"/>
    <s v="LC"/>
    <s v="FC"/>
    <s v="FC-031"/>
    <x v="2"/>
    <s v="LIGHT"/>
    <s v="Cx."/>
    <x v="0"/>
    <s v="F"/>
    <n v="0"/>
    <n v="4"/>
    <n v="4"/>
    <n v="0"/>
    <s v="Negative"/>
  </r>
  <r>
    <n v="2015"/>
    <s v="CSU-8705"/>
    <n v="18311"/>
    <x v="0"/>
    <x v="2"/>
    <s v="LC"/>
    <s v="FC"/>
    <s v="FC-031"/>
    <x v="2"/>
    <s v="LIGHT"/>
    <s v="Cx."/>
    <x v="1"/>
    <s v="F"/>
    <n v="0"/>
    <n v="4"/>
    <n v="4"/>
    <n v="0"/>
    <s v="Negative"/>
  </r>
  <r>
    <n v="2015"/>
    <s v="CSU-8706"/>
    <n v="18312"/>
    <x v="0"/>
    <x v="3"/>
    <s v="LC"/>
    <s v="FC"/>
    <s v="FC-052"/>
    <x v="3"/>
    <s v="LIGHT"/>
    <s v="Cx."/>
    <x v="0"/>
    <s v="F"/>
    <n v="0"/>
    <n v="3"/>
    <n v="3"/>
    <n v="0"/>
    <s v="Negative"/>
  </r>
  <r>
    <n v="2015"/>
    <s v="CSU-8707"/>
    <n v="18313"/>
    <x v="0"/>
    <x v="3"/>
    <s v="LC"/>
    <s v="FC"/>
    <s v="FC-061"/>
    <x v="3"/>
    <s v="LIGHT"/>
    <s v="Cx."/>
    <x v="0"/>
    <s v="F"/>
    <n v="0"/>
    <n v="4"/>
    <n v="4"/>
    <n v="0"/>
    <s v="Negative"/>
  </r>
  <r>
    <n v="2015"/>
    <s v="CSU-8708"/>
    <n v="18314"/>
    <x v="0"/>
    <x v="3"/>
    <s v="LC"/>
    <s v="FC"/>
    <s v="FC-061"/>
    <x v="3"/>
    <s v="LIGHT"/>
    <s v="Cx."/>
    <x v="1"/>
    <s v="F"/>
    <n v="0"/>
    <n v="4"/>
    <n v="4"/>
    <n v="0"/>
    <s v="Negative"/>
  </r>
  <r>
    <n v="2015"/>
    <s v="CSU-8709"/>
    <n v="18315"/>
    <x v="0"/>
    <x v="3"/>
    <s v="LC"/>
    <s v="FC"/>
    <s v="FC-073"/>
    <x v="3"/>
    <s v="LIGHT"/>
    <s v="Cx."/>
    <x v="1"/>
    <s v="F"/>
    <n v="0"/>
    <n v="1"/>
    <n v="1"/>
    <n v="0"/>
    <s v="Negative"/>
  </r>
  <r>
    <n v="2015"/>
    <s v="CSU-8710"/>
    <n v="18316"/>
    <x v="0"/>
    <x v="3"/>
    <s v="LC"/>
    <s v="FC"/>
    <s v="FC-041"/>
    <x v="3"/>
    <s v="LIGHT"/>
    <s v="Cx."/>
    <x v="0"/>
    <s v="F"/>
    <n v="0"/>
    <n v="4"/>
    <n v="4"/>
    <n v="0"/>
    <s v="Negative"/>
  </r>
  <r>
    <n v="2015"/>
    <s v="CSU-8711"/>
    <n v="18317"/>
    <x v="0"/>
    <x v="3"/>
    <s v="LC"/>
    <s v="FC"/>
    <s v="FC-041"/>
    <x v="3"/>
    <s v="LIGHT"/>
    <s v="Cx."/>
    <x v="1"/>
    <s v="F"/>
    <n v="0"/>
    <n v="8"/>
    <n v="8"/>
    <n v="0"/>
    <s v="Negative"/>
  </r>
  <r>
    <n v="2015"/>
    <s v="CSU-8712"/>
    <n v="18318"/>
    <x v="0"/>
    <x v="3"/>
    <s v="LC"/>
    <s v="FC"/>
    <s v="FC-090gr"/>
    <x v="3"/>
    <s v="GRAVID"/>
    <s v="Cx."/>
    <x v="1"/>
    <s v="F"/>
    <n v="7"/>
    <n v="0"/>
    <n v="7"/>
    <n v="0"/>
    <s v="Negative"/>
  </r>
  <r>
    <n v="2015"/>
    <s v="CSU-8713"/>
    <n v="18319"/>
    <x v="0"/>
    <x v="3"/>
    <s v="LC"/>
    <s v="FC"/>
    <s v="FC-060"/>
    <x v="3"/>
    <s v="LIGHT"/>
    <s v="Cx."/>
    <x v="0"/>
    <s v="F"/>
    <n v="0"/>
    <n v="2"/>
    <n v="2"/>
    <n v="0"/>
    <s v="Negative"/>
  </r>
  <r>
    <n v="2015"/>
    <s v="CSU-8714"/>
    <n v="18320"/>
    <x v="0"/>
    <x v="3"/>
    <s v="LC"/>
    <s v="FC"/>
    <s v="FC-060"/>
    <x v="3"/>
    <s v="LIGHT"/>
    <s v="Cx."/>
    <x v="1"/>
    <s v="F"/>
    <n v="0"/>
    <n v="2"/>
    <n v="2"/>
    <n v="0"/>
    <s v="Negative"/>
  </r>
  <r>
    <n v="2015"/>
    <s v="CSU-8715"/>
    <n v="18321"/>
    <x v="0"/>
    <x v="3"/>
    <s v="LC"/>
    <s v="FC"/>
    <s v="FC-011"/>
    <x v="3"/>
    <s v="LIGHT"/>
    <s v="Cx."/>
    <x v="1"/>
    <s v="F"/>
    <n v="0"/>
    <n v="3"/>
    <n v="3"/>
    <n v="0"/>
    <s v="Negative"/>
  </r>
  <r>
    <n v="2015"/>
    <s v="CSU-8716"/>
    <n v="18322"/>
    <x v="0"/>
    <x v="3"/>
    <s v="LC"/>
    <s v="FC"/>
    <s v="FC-063"/>
    <x v="3"/>
    <s v="LIGHT"/>
    <s v="Cx."/>
    <x v="1"/>
    <s v="F"/>
    <n v="0"/>
    <n v="1"/>
    <n v="1"/>
    <n v="0"/>
    <s v="Negative"/>
  </r>
  <r>
    <n v="2015"/>
    <s v="CSU-8717"/>
    <n v="18323"/>
    <x v="0"/>
    <x v="3"/>
    <s v="LC"/>
    <s v="FC"/>
    <s v="FC-015"/>
    <x v="3"/>
    <s v="LIGHT"/>
    <s v="Cx."/>
    <x v="0"/>
    <s v="F"/>
    <n v="0"/>
    <n v="1"/>
    <n v="1"/>
    <n v="0"/>
    <s v="Negative"/>
  </r>
  <r>
    <n v="2015"/>
    <s v="CSU-8718"/>
    <n v="18324"/>
    <x v="0"/>
    <x v="3"/>
    <s v="LC"/>
    <s v="FC"/>
    <s v="FC-015"/>
    <x v="3"/>
    <s v="LIGHT"/>
    <s v="Cx."/>
    <x v="1"/>
    <s v="F"/>
    <n v="0"/>
    <n v="3"/>
    <n v="3"/>
    <n v="1"/>
    <s v="Positive "/>
  </r>
  <r>
    <n v="2015"/>
    <s v="CSU-8719"/>
    <n v="18325"/>
    <x v="0"/>
    <x v="3"/>
    <s v="LC"/>
    <s v="FC"/>
    <s v="FC-058"/>
    <x v="4"/>
    <s v="LIGHT"/>
    <s v="Cx."/>
    <x v="0"/>
    <s v="F"/>
    <n v="0"/>
    <n v="2"/>
    <n v="2"/>
    <n v="0"/>
    <s v="Negative"/>
  </r>
  <r>
    <n v="2015"/>
    <s v="CSU-8720"/>
    <n v="18326"/>
    <x v="0"/>
    <x v="3"/>
    <s v="LC"/>
    <s v="FC"/>
    <s v="FC-049"/>
    <x v="4"/>
    <s v="LIGHT"/>
    <s v="Cx."/>
    <x v="1"/>
    <s v="F"/>
    <n v="0"/>
    <n v="4"/>
    <n v="4"/>
    <n v="0"/>
    <s v="Negative"/>
  </r>
  <r>
    <n v="2015"/>
    <s v="CSU-8721"/>
    <n v="18327"/>
    <x v="0"/>
    <x v="3"/>
    <s v="LC"/>
    <s v="FC"/>
    <s v="FC-063gr"/>
    <x v="3"/>
    <s v="GRAVID"/>
    <s v="Cx."/>
    <x v="1"/>
    <s v="F"/>
    <n v="50"/>
    <n v="0"/>
    <n v="50"/>
    <n v="1"/>
    <s v="Positive "/>
  </r>
  <r>
    <n v="2015"/>
    <s v="CSU-8722"/>
    <n v="18328"/>
    <x v="0"/>
    <x v="3"/>
    <s v="LC"/>
    <s v="FC"/>
    <s v="FC-063gr"/>
    <x v="3"/>
    <s v="GRAVID"/>
    <s v="Cx."/>
    <x v="1"/>
    <s v="F"/>
    <n v="50"/>
    <n v="0"/>
    <n v="50"/>
    <n v="1"/>
    <s v="Positive "/>
  </r>
  <r>
    <n v="2015"/>
    <s v="CSU-8723"/>
    <n v="18329"/>
    <x v="0"/>
    <x v="3"/>
    <s v="LC"/>
    <s v="FC"/>
    <s v="FC-063gr"/>
    <x v="3"/>
    <s v="GRAVID"/>
    <s v="Cx."/>
    <x v="1"/>
    <s v="F"/>
    <n v="23"/>
    <n v="0"/>
    <n v="23"/>
    <n v="1"/>
    <s v="Positive "/>
  </r>
  <r>
    <n v="2015"/>
    <s v="CSU-8724"/>
    <n v="18330"/>
    <x v="0"/>
    <x v="4"/>
    <s v="LC"/>
    <s v="FC"/>
    <s v="FC-089gr"/>
    <x v="4"/>
    <s v="GRAVID"/>
    <s v="Cx."/>
    <x v="1"/>
    <s v="F"/>
    <n v="50"/>
    <n v="0"/>
    <n v="50"/>
    <n v="1"/>
    <s v="Positive "/>
  </r>
  <r>
    <n v="2015"/>
    <s v="CSU-8725"/>
    <n v="18331"/>
    <x v="0"/>
    <x v="4"/>
    <s v="LC"/>
    <s v="FC"/>
    <s v="FC-089gr"/>
    <x v="4"/>
    <s v="GRAVID"/>
    <s v="Cx."/>
    <x v="1"/>
    <s v="F"/>
    <n v="50"/>
    <n v="0"/>
    <n v="50"/>
    <n v="1"/>
    <s v="Positive "/>
  </r>
  <r>
    <n v="2015"/>
    <s v="CSU-8726"/>
    <n v="18332"/>
    <x v="0"/>
    <x v="4"/>
    <s v="LC"/>
    <s v="FC"/>
    <s v="FC-089gr"/>
    <x v="4"/>
    <s v="GRAVID"/>
    <s v="Cx."/>
    <x v="1"/>
    <s v="F"/>
    <n v="49"/>
    <n v="0"/>
    <n v="49"/>
    <n v="0"/>
    <s v="Negative"/>
  </r>
  <r>
    <n v="2015"/>
    <s v="CSU-8727"/>
    <n v="18333"/>
    <x v="0"/>
    <x v="4"/>
    <s v="LC"/>
    <s v="FC"/>
    <s v="FC-029gr"/>
    <x v="2"/>
    <s v="GRAVID"/>
    <s v="Cx."/>
    <x v="1"/>
    <s v="F"/>
    <n v="50"/>
    <n v="0"/>
    <n v="50"/>
    <n v="1"/>
    <s v="Positive "/>
  </r>
  <r>
    <n v="2015"/>
    <s v="CSU-8728"/>
    <n v="18334"/>
    <x v="0"/>
    <x v="4"/>
    <s v="LC"/>
    <s v="FC"/>
    <s v="FC-029gr"/>
    <x v="2"/>
    <s v="GRAVID"/>
    <s v="Cx."/>
    <x v="1"/>
    <s v="F"/>
    <n v="50"/>
    <n v="0"/>
    <n v="50"/>
    <n v="1"/>
    <s v="Positive "/>
  </r>
  <r>
    <n v="2015"/>
    <s v="CSU-8729"/>
    <n v="18335"/>
    <x v="0"/>
    <x v="4"/>
    <s v="LC"/>
    <s v="FC"/>
    <s v="FC-029gr"/>
    <x v="2"/>
    <s v="GRAVID"/>
    <s v="Cx."/>
    <x v="1"/>
    <s v="F"/>
    <n v="5"/>
    <n v="0"/>
    <n v="5"/>
    <n v="0"/>
    <s v="Negative"/>
  </r>
  <r>
    <n v="2015"/>
    <s v="CSU-8730"/>
    <n v="18336"/>
    <x v="0"/>
    <x v="4"/>
    <s v="LC"/>
    <s v="FC"/>
    <s v="FC-093"/>
    <x v="4"/>
    <s v="LIGHT"/>
    <s v="Cx."/>
    <x v="0"/>
    <s v="F"/>
    <n v="0"/>
    <n v="3"/>
    <n v="3"/>
    <n v="0"/>
    <s v="Negative"/>
  </r>
  <r>
    <n v="2015"/>
    <s v="CSU-8731"/>
    <n v="18337"/>
    <x v="0"/>
    <x v="4"/>
    <s v="LC"/>
    <s v="FC"/>
    <s v="FC-093"/>
    <x v="4"/>
    <s v="LIGHT"/>
    <s v="Cx."/>
    <x v="1"/>
    <s v="F"/>
    <n v="0"/>
    <n v="3"/>
    <n v="3"/>
    <n v="0"/>
    <s v="Negative"/>
  </r>
  <r>
    <n v="2015"/>
    <s v="CSU-8732"/>
    <n v="18338"/>
    <x v="0"/>
    <x v="4"/>
    <s v="LC"/>
    <s v="FC"/>
    <s v="FC-062"/>
    <x v="4"/>
    <s v="LIGHT"/>
    <s v="Cx."/>
    <x v="0"/>
    <s v="F"/>
    <n v="0"/>
    <n v="1"/>
    <n v="1"/>
    <n v="0"/>
    <s v="Negative"/>
  </r>
  <r>
    <n v="2015"/>
    <s v="CSU-8733"/>
    <n v="18339"/>
    <x v="0"/>
    <x v="4"/>
    <s v="LC"/>
    <s v="FC"/>
    <s v="FC-062"/>
    <x v="4"/>
    <s v="LIGHT"/>
    <s v="Cx."/>
    <x v="1"/>
    <s v="F"/>
    <n v="0"/>
    <n v="1"/>
    <n v="1"/>
    <n v="0"/>
    <s v="Negative"/>
  </r>
  <r>
    <n v="2015"/>
    <s v="CSU-8734"/>
    <n v="18340"/>
    <x v="0"/>
    <x v="4"/>
    <s v="LC"/>
    <s v="FC"/>
    <s v="FC-068"/>
    <x v="4"/>
    <s v="LIGHT"/>
    <s v="Cx."/>
    <x v="1"/>
    <s v="F"/>
    <n v="0"/>
    <n v="1"/>
    <n v="1"/>
    <n v="0"/>
    <s v="Negative"/>
  </r>
  <r>
    <n v="2015"/>
    <s v="CSU-8735"/>
    <n v="18341"/>
    <x v="0"/>
    <x v="4"/>
    <s v="LC"/>
    <s v="FC"/>
    <s v="FC-054"/>
    <x v="2"/>
    <s v="LIGHT"/>
    <s v="Cx."/>
    <x v="0"/>
    <s v="F"/>
    <n v="0"/>
    <n v="4"/>
    <n v="4"/>
    <n v="0"/>
    <s v="Negative"/>
  </r>
  <r>
    <n v="2015"/>
    <s v="CSU-8736"/>
    <n v="18342"/>
    <x v="0"/>
    <x v="4"/>
    <s v="LC"/>
    <s v="FC"/>
    <s v="FC-054"/>
    <x v="2"/>
    <s v="LIGHT"/>
    <s v="Cx."/>
    <x v="1"/>
    <s v="F"/>
    <n v="0"/>
    <n v="2"/>
    <n v="2"/>
    <n v="0"/>
    <s v="Negative"/>
  </r>
  <r>
    <n v="2015"/>
    <s v="CSU-8737"/>
    <n v="18343"/>
    <x v="0"/>
    <x v="4"/>
    <s v="LC"/>
    <s v="FC"/>
    <s v="FC-029"/>
    <x v="2"/>
    <s v="LIGHT"/>
    <s v="Cx."/>
    <x v="0"/>
    <s v="F"/>
    <n v="0"/>
    <n v="3"/>
    <n v="3"/>
    <n v="0"/>
    <s v="Negative"/>
  </r>
  <r>
    <n v="2015"/>
    <s v="CSU-8738"/>
    <n v="18344"/>
    <x v="0"/>
    <x v="4"/>
    <s v="LC"/>
    <s v="FC"/>
    <s v="FC-029"/>
    <x v="2"/>
    <s v="LIGHT"/>
    <s v="Cx."/>
    <x v="1"/>
    <s v="F"/>
    <n v="0"/>
    <n v="15"/>
    <n v="15"/>
    <n v="0"/>
    <s v="Negative"/>
  </r>
  <r>
    <n v="2015"/>
    <s v="CSU-8739"/>
    <n v="18345"/>
    <x v="0"/>
    <x v="4"/>
    <s v="LC"/>
    <s v="FC"/>
    <s v="FC-001"/>
    <x v="4"/>
    <s v="LIGHT"/>
    <s v="Cx."/>
    <x v="0"/>
    <s v="F"/>
    <n v="0"/>
    <n v="2"/>
    <n v="2"/>
    <n v="0"/>
    <s v="Negative"/>
  </r>
  <r>
    <n v="2015"/>
    <s v="CSU-8740"/>
    <n v="18346"/>
    <x v="0"/>
    <x v="4"/>
    <s v="LC"/>
    <s v="FC"/>
    <s v="FC-071"/>
    <x v="4"/>
    <s v="LIGHT"/>
    <s v="Cx."/>
    <x v="0"/>
    <s v="F"/>
    <n v="0"/>
    <n v="1"/>
    <n v="1"/>
    <n v="0"/>
    <s v="Negative"/>
  </r>
  <r>
    <n v="2015"/>
    <s v="CSU-8741"/>
    <n v="18347"/>
    <x v="0"/>
    <x v="4"/>
    <s v="LC"/>
    <s v="FC"/>
    <s v="FC-071"/>
    <x v="4"/>
    <s v="LIGHT"/>
    <s v="Cx."/>
    <x v="1"/>
    <s v="F"/>
    <n v="0"/>
    <n v="1"/>
    <n v="1"/>
    <n v="0"/>
    <s v="Negative"/>
  </r>
  <r>
    <n v="2015"/>
    <s v="CSU-8742"/>
    <n v="18348"/>
    <x v="0"/>
    <x v="4"/>
    <s v="LC"/>
    <s v="FC"/>
    <s v="FC-037"/>
    <x v="4"/>
    <s v="LIGHT"/>
    <s v="Cx."/>
    <x v="0"/>
    <s v="F"/>
    <n v="0"/>
    <n v="4"/>
    <n v="4"/>
    <n v="0"/>
    <s v="Nega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D11" firstHeaderRow="0" firstDataRow="1" firstDataCol="1" rowPageCount="1" colPageCount="1"/>
  <pivotFields count="11">
    <pivotField axis="axisPage" showAll="0">
      <items count="2">
        <item x="0"/>
        <item t="default"/>
      </items>
    </pivotField>
    <pivotField showAll="0"/>
    <pivotField showAll="0"/>
    <pivotField axis="axisRow" showAll="0">
      <items count="7">
        <item x="5"/>
        <item x="0"/>
        <item x="1"/>
        <item x="2"/>
        <item x="3"/>
        <item x="4"/>
        <item t="default"/>
      </items>
    </pivotField>
    <pivotField showAll="0"/>
    <pivotField showAll="0"/>
    <pivotField showAll="0"/>
    <pivotField dataField="1" showAll="0"/>
    <pivotField dataField="1" showAll="0"/>
    <pivotField dataField="1" showAll="0"/>
    <pivotField showAll="0" defaultSubtotal="0"/>
  </pivotFields>
  <rowFields count="1">
    <field x="3"/>
  </rowFields>
  <rowItems count="7">
    <i>
      <x/>
    </i>
    <i>
      <x v="1"/>
    </i>
    <i>
      <x v="2"/>
    </i>
    <i>
      <x v="3"/>
    </i>
    <i>
      <x v="4"/>
    </i>
    <i>
      <x v="5"/>
    </i>
    <i t="grand">
      <x/>
    </i>
  </rowItems>
  <colFields count="1">
    <field x="-2"/>
  </colFields>
  <colItems count="3">
    <i>
      <x/>
    </i>
    <i i="1">
      <x v="1"/>
    </i>
    <i i="2">
      <x v="2"/>
    </i>
  </colItems>
  <pageFields count="1">
    <pageField fld="0" hier="-1"/>
  </pageFields>
  <dataFields count="3">
    <dataField name="Sum of Cx pipiens" fld="8" baseField="0" baseItem="0"/>
    <dataField name="Sum of Cx tarsalis" fld="7" baseField="0" baseItem="0"/>
    <dataField name="Sum of Total CX"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D11" firstHeaderRow="1" firstDataRow="2" firstDataCol="1" rowPageCount="1" colPageCount="1"/>
  <pivotFields count="18">
    <pivotField showAll="0" defaultSubtotal="0"/>
    <pivotField showAll="0" defaultSubtotal="0"/>
    <pivotField showAll="0" defaultSubtotal="0"/>
    <pivotField axis="axisPage" showAll="0">
      <items count="2">
        <item x="0"/>
        <item t="default"/>
      </items>
    </pivotField>
    <pivotField showAll="0"/>
    <pivotField showAll="0" defaultSubtotal="0"/>
    <pivotField showAll="0" defaultSubtotal="0"/>
    <pivotField showAll="0" defaultSubtotal="0"/>
    <pivotField axis="axisRow" showAll="0">
      <items count="6">
        <item x="0"/>
        <item x="1"/>
        <item x="3"/>
        <item x="2"/>
        <item x="4"/>
        <item t="default"/>
      </items>
    </pivotField>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dataField="1" showAll="0" defaultSubtotal="0"/>
    <pivotField showAll="0" defaultSubtotal="0"/>
    <pivotField showAll="0" defaultSubtotal="0"/>
  </pivotFields>
  <rowFields count="1">
    <field x="8"/>
  </rowFields>
  <rowItems count="6">
    <i>
      <x/>
    </i>
    <i>
      <x v="1"/>
    </i>
    <i>
      <x v="2"/>
    </i>
    <i>
      <x v="3"/>
    </i>
    <i>
      <x v="4"/>
    </i>
    <i t="grand">
      <x/>
    </i>
  </rowItems>
  <colFields count="1">
    <field x="11"/>
  </colFields>
  <colItems count="3">
    <i>
      <x/>
    </i>
    <i>
      <x v="1"/>
    </i>
    <i t="grand">
      <x/>
    </i>
  </colItems>
  <pageFields count="1">
    <pageField fld="3" hier="-1"/>
  </pageField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D11" firstHeaderRow="1" firstDataRow="2" firstDataCol="1" rowPageCount="1" colPageCount="1"/>
  <pivotFields count="18">
    <pivotField showAll="0"/>
    <pivotField dataField="1" showAll="0"/>
    <pivotField showAll="0"/>
    <pivotField axis="axisPage" showAll="0">
      <items count="2">
        <item x="0"/>
        <item t="default"/>
      </items>
    </pivotField>
    <pivotField numFmtId="164" showAll="0"/>
    <pivotField showAll="0"/>
    <pivotField showAll="0"/>
    <pivotField showAll="0"/>
    <pivotField axis="axisRow" showAll="0">
      <items count="6">
        <item x="0"/>
        <item x="1"/>
        <item x="3"/>
        <item x="2"/>
        <item x="4"/>
        <item t="default"/>
      </items>
    </pivotField>
    <pivotField showAll="0"/>
    <pivotField showAll="0"/>
    <pivotField axis="axisCol" showAll="0">
      <items count="3">
        <item x="1"/>
        <item x="0"/>
        <item t="default"/>
      </items>
    </pivotField>
    <pivotField showAll="0"/>
    <pivotField showAll="0"/>
    <pivotField showAll="0"/>
    <pivotField showAll="0"/>
    <pivotField showAll="0"/>
    <pivotField showAll="0"/>
  </pivotFields>
  <rowFields count="1">
    <field x="8"/>
  </rowFields>
  <rowItems count="6">
    <i>
      <x/>
    </i>
    <i>
      <x v="1"/>
    </i>
    <i>
      <x v="2"/>
    </i>
    <i>
      <x v="3"/>
    </i>
    <i>
      <x v="4"/>
    </i>
    <i t="grand">
      <x/>
    </i>
  </rowItems>
  <colFields count="1">
    <field x="11"/>
  </colFields>
  <colItems count="3">
    <i>
      <x/>
    </i>
    <i>
      <x v="1"/>
    </i>
    <i t="grand">
      <x/>
    </i>
  </colItems>
  <pageFields count="1">
    <pageField fld="3" hier="-1"/>
  </pageFields>
  <dataFields count="1">
    <dataField name="Count of CSU Pool Number     (CMC ent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5:D12" firstHeaderRow="1" firstDataRow="2" firstDataCol="1" rowPageCount="1" colPageCount="1"/>
  <pivotFields count="18">
    <pivotField showAll="0"/>
    <pivotField showAll="0" defaultSubtotal="0"/>
    <pivotField showAll="0" defaultSubtotal="0"/>
    <pivotField showAll="0"/>
    <pivotField axis="axisPage" numFmtId="164" showAll="0">
      <items count="6">
        <item x="0"/>
        <item x="1"/>
        <item x="2"/>
        <item x="3"/>
        <item x="4"/>
        <item t="default"/>
      </items>
    </pivotField>
    <pivotField showAll="0"/>
    <pivotField showAll="0"/>
    <pivotField showAll="0" defaultSubtotal="0"/>
    <pivotField axis="axisRow" showAll="0">
      <items count="6">
        <item x="3"/>
        <item x="1"/>
        <item x="2"/>
        <item x="4"/>
        <item x="0"/>
        <item t="default"/>
      </items>
    </pivotField>
    <pivotField showAll="0" defaultSubtotal="0"/>
    <pivotField showAll="0"/>
    <pivotField axis="axisCol" showAll="0" defaultSubtotal="0">
      <items count="2">
        <item x="1"/>
        <item x="0"/>
      </items>
    </pivotField>
    <pivotField showAll="0"/>
    <pivotField showAll="0" defaultSubtotal="0"/>
    <pivotField showAll="0" defaultSubtotal="0"/>
    <pivotField showAll="0"/>
    <pivotField dataField="1" showAll="0" defaultSubtotal="0"/>
    <pivotField showAll="0" defaultSubtotal="0"/>
  </pivotFields>
  <rowFields count="1">
    <field x="8"/>
  </rowFields>
  <rowItems count="6">
    <i>
      <x/>
    </i>
    <i>
      <x v="1"/>
    </i>
    <i>
      <x v="2"/>
    </i>
    <i>
      <x v="3"/>
    </i>
    <i>
      <x v="4"/>
    </i>
    <i t="grand">
      <x/>
    </i>
  </rowItems>
  <colFields count="1">
    <field x="11"/>
  </colFields>
  <colItems count="3">
    <i>
      <x/>
    </i>
    <i>
      <x v="1"/>
    </i>
    <i t="grand">
      <x/>
    </i>
  </colItems>
  <pageFields count="1">
    <pageField fld="4" hier="-1"/>
  </pageFields>
  <dataFields count="1">
    <dataField name="Sum of Test code (CSU enter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5" x14ac:dyDescent="0.25"/>
  <sheetData>
    <row r="1" spans="1:1" x14ac:dyDescent="0.25">
      <c r="A1" t="s">
        <v>100</v>
      </c>
    </row>
    <row r="2" spans="1:1" x14ac:dyDescent="0.25">
      <c r="A2" t="s">
        <v>97</v>
      </c>
    </row>
    <row r="3" spans="1:1" x14ac:dyDescent="0.25">
      <c r="A3" t="s">
        <v>98</v>
      </c>
    </row>
    <row r="5" spans="1:1" x14ac:dyDescent="0.25">
      <c r="A5" t="s">
        <v>95</v>
      </c>
    </row>
    <row r="6" spans="1:1" x14ac:dyDescent="0.25">
      <c r="A6" t="s">
        <v>102</v>
      </c>
    </row>
    <row r="7" spans="1:1" x14ac:dyDescent="0.25">
      <c r="A7" t="s">
        <v>96</v>
      </c>
    </row>
    <row r="8" spans="1:1" x14ac:dyDescent="0.25">
      <c r="A8" t="s">
        <v>103</v>
      </c>
    </row>
    <row r="9" spans="1:1" x14ac:dyDescent="0.25">
      <c r="A9" t="s">
        <v>99</v>
      </c>
    </row>
    <row r="10" spans="1:1" x14ac:dyDescent="0.25">
      <c r="A10" t="s">
        <v>101</v>
      </c>
    </row>
    <row r="11" spans="1:1" x14ac:dyDescent="0.25">
      <c r="A1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05"/>
  <sheetViews>
    <sheetView tabSelected="1" topLeftCell="A73" workbookViewId="0">
      <selection activeCell="A93" sqref="A93:XFD94"/>
    </sheetView>
  </sheetViews>
  <sheetFormatPr defaultRowHeight="11.25" x14ac:dyDescent="0.25"/>
  <cols>
    <col min="1" max="1" width="4.5703125" style="36" bestFit="1" customWidth="1"/>
    <col min="2" max="2" width="11.5703125" style="34" bestFit="1" customWidth="1"/>
    <col min="3" max="3" width="9.42578125" style="34" bestFit="1" customWidth="1"/>
    <col min="4" max="4" width="6.5703125" style="34" bestFit="1" customWidth="1"/>
    <col min="5" max="5" width="7.7109375" style="35" bestFit="1" customWidth="1"/>
    <col min="6" max="6" width="6.5703125" style="34" bestFit="1" customWidth="1"/>
    <col min="7" max="7" width="10.85546875" style="34" customWidth="1"/>
    <col min="8" max="8" width="12.85546875" style="34" customWidth="1"/>
    <col min="9" max="9" width="7.140625" style="34" customWidth="1"/>
    <col min="10" max="10" width="10.85546875" style="34" customWidth="1"/>
    <col min="11" max="11" width="8.42578125" style="34" customWidth="1"/>
    <col min="12" max="12" width="6.28515625" style="34" bestFit="1" customWidth="1"/>
    <col min="13" max="13" width="5.42578125" style="34" customWidth="1"/>
    <col min="14" max="14" width="6.7109375" style="34" customWidth="1"/>
    <col min="15" max="15" width="7.42578125" style="34" customWidth="1"/>
    <col min="16" max="16" width="7.140625" style="34" customWidth="1"/>
    <col min="17" max="17" width="11.140625" style="34" customWidth="1"/>
    <col min="18" max="18" width="10.7109375" style="34" customWidth="1"/>
    <col min="19" max="19" width="13.7109375" style="34" customWidth="1"/>
    <col min="20" max="256" width="9.140625" style="34"/>
    <col min="257" max="257" width="4.5703125" style="34" bestFit="1" customWidth="1"/>
    <col min="258" max="258" width="11.5703125" style="34" bestFit="1" customWidth="1"/>
    <col min="259" max="259" width="9.42578125" style="34" bestFit="1" customWidth="1"/>
    <col min="260" max="260" width="6.5703125" style="34" bestFit="1" customWidth="1"/>
    <col min="261" max="261" width="7.7109375" style="34" bestFit="1" customWidth="1"/>
    <col min="262" max="262" width="6.5703125" style="34" bestFit="1" customWidth="1"/>
    <col min="263" max="263" width="6.42578125" style="34" bestFit="1" customWidth="1"/>
    <col min="264" max="264" width="10" style="34" bestFit="1" customWidth="1"/>
    <col min="265" max="265" width="7.140625" style="34" customWidth="1"/>
    <col min="266" max="266" width="6.7109375" style="34" bestFit="1" customWidth="1"/>
    <col min="267" max="267" width="5.42578125" style="34" bestFit="1" customWidth="1"/>
    <col min="268" max="268" width="6.28515625" style="34" bestFit="1" customWidth="1"/>
    <col min="269" max="269" width="5.42578125" style="34" customWidth="1"/>
    <col min="270" max="270" width="6.7109375" style="34" customWidth="1"/>
    <col min="271" max="271" width="7.42578125" style="34" customWidth="1"/>
    <col min="272" max="272" width="7.140625" style="34" customWidth="1"/>
    <col min="273" max="273" width="9.28515625" style="34" customWidth="1"/>
    <col min="274" max="274" width="10.7109375" style="34" customWidth="1"/>
    <col min="275" max="275" width="9.140625" style="34" customWidth="1"/>
    <col min="276" max="512" width="9.140625" style="34"/>
    <col min="513" max="513" width="4.5703125" style="34" bestFit="1" customWidth="1"/>
    <col min="514" max="514" width="11.5703125" style="34" bestFit="1" customWidth="1"/>
    <col min="515" max="515" width="9.42578125" style="34" bestFit="1" customWidth="1"/>
    <col min="516" max="516" width="6.5703125" style="34" bestFit="1" customWidth="1"/>
    <col min="517" max="517" width="7.7109375" style="34" bestFit="1" customWidth="1"/>
    <col min="518" max="518" width="6.5703125" style="34" bestFit="1" customWidth="1"/>
    <col min="519" max="519" width="6.42578125" style="34" bestFit="1" customWidth="1"/>
    <col min="520" max="520" width="10" style="34" bestFit="1" customWidth="1"/>
    <col min="521" max="521" width="7.140625" style="34" customWidth="1"/>
    <col min="522" max="522" width="6.7109375" style="34" bestFit="1" customWidth="1"/>
    <col min="523" max="523" width="5.42578125" style="34" bestFit="1" customWidth="1"/>
    <col min="524" max="524" width="6.28515625" style="34" bestFit="1" customWidth="1"/>
    <col min="525" max="525" width="5.42578125" style="34" customWidth="1"/>
    <col min="526" max="526" width="6.7109375" style="34" customWidth="1"/>
    <col min="527" max="527" width="7.42578125" style="34" customWidth="1"/>
    <col min="528" max="528" width="7.140625" style="34" customWidth="1"/>
    <col min="529" max="529" width="9.28515625" style="34" customWidth="1"/>
    <col min="530" max="530" width="10.7109375" style="34" customWidth="1"/>
    <col min="531" max="531" width="9.140625" style="34" customWidth="1"/>
    <col min="532" max="768" width="9.140625" style="34"/>
    <col min="769" max="769" width="4.5703125" style="34" bestFit="1" customWidth="1"/>
    <col min="770" max="770" width="11.5703125" style="34" bestFit="1" customWidth="1"/>
    <col min="771" max="771" width="9.42578125" style="34" bestFit="1" customWidth="1"/>
    <col min="772" max="772" width="6.5703125" style="34" bestFit="1" customWidth="1"/>
    <col min="773" max="773" width="7.7109375" style="34" bestFit="1" customWidth="1"/>
    <col min="774" max="774" width="6.5703125" style="34" bestFit="1" customWidth="1"/>
    <col min="775" max="775" width="6.42578125" style="34" bestFit="1" customWidth="1"/>
    <col min="776" max="776" width="10" style="34" bestFit="1" customWidth="1"/>
    <col min="777" max="777" width="7.140625" style="34" customWidth="1"/>
    <col min="778" max="778" width="6.7109375" style="34" bestFit="1" customWidth="1"/>
    <col min="779" max="779" width="5.42578125" style="34" bestFit="1" customWidth="1"/>
    <col min="780" max="780" width="6.28515625" style="34" bestFit="1" customWidth="1"/>
    <col min="781" max="781" width="5.42578125" style="34" customWidth="1"/>
    <col min="782" max="782" width="6.7109375" style="34" customWidth="1"/>
    <col min="783" max="783" width="7.42578125" style="34" customWidth="1"/>
    <col min="784" max="784" width="7.140625" style="34" customWidth="1"/>
    <col min="785" max="785" width="9.28515625" style="34" customWidth="1"/>
    <col min="786" max="786" width="10.7109375" style="34" customWidth="1"/>
    <col min="787" max="787" width="9.140625" style="34" customWidth="1"/>
    <col min="788" max="1024" width="9.140625" style="34"/>
    <col min="1025" max="1025" width="4.5703125" style="34" bestFit="1" customWidth="1"/>
    <col min="1026" max="1026" width="11.5703125" style="34" bestFit="1" customWidth="1"/>
    <col min="1027" max="1027" width="9.42578125" style="34" bestFit="1" customWidth="1"/>
    <col min="1028" max="1028" width="6.5703125" style="34" bestFit="1" customWidth="1"/>
    <col min="1029" max="1029" width="7.7109375" style="34" bestFit="1" customWidth="1"/>
    <col min="1030" max="1030" width="6.5703125" style="34" bestFit="1" customWidth="1"/>
    <col min="1031" max="1031" width="6.42578125" style="34" bestFit="1" customWidth="1"/>
    <col min="1032" max="1032" width="10" style="34" bestFit="1" customWidth="1"/>
    <col min="1033" max="1033" width="7.140625" style="34" customWidth="1"/>
    <col min="1034" max="1034" width="6.7109375" style="34" bestFit="1" customWidth="1"/>
    <col min="1035" max="1035" width="5.42578125" style="34" bestFit="1" customWidth="1"/>
    <col min="1036" max="1036" width="6.28515625" style="34" bestFit="1" customWidth="1"/>
    <col min="1037" max="1037" width="5.42578125" style="34" customWidth="1"/>
    <col min="1038" max="1038" width="6.7109375" style="34" customWidth="1"/>
    <col min="1039" max="1039" width="7.42578125" style="34" customWidth="1"/>
    <col min="1040" max="1040" width="7.140625" style="34" customWidth="1"/>
    <col min="1041" max="1041" width="9.28515625" style="34" customWidth="1"/>
    <col min="1042" max="1042" width="10.7109375" style="34" customWidth="1"/>
    <col min="1043" max="1043" width="9.140625" style="34" customWidth="1"/>
    <col min="1044" max="1280" width="9.140625" style="34"/>
    <col min="1281" max="1281" width="4.5703125" style="34" bestFit="1" customWidth="1"/>
    <col min="1282" max="1282" width="11.5703125" style="34" bestFit="1" customWidth="1"/>
    <col min="1283" max="1283" width="9.42578125" style="34" bestFit="1" customWidth="1"/>
    <col min="1284" max="1284" width="6.5703125" style="34" bestFit="1" customWidth="1"/>
    <col min="1285" max="1285" width="7.7109375" style="34" bestFit="1" customWidth="1"/>
    <col min="1286" max="1286" width="6.5703125" style="34" bestFit="1" customWidth="1"/>
    <col min="1287" max="1287" width="6.42578125" style="34" bestFit="1" customWidth="1"/>
    <col min="1288" max="1288" width="10" style="34" bestFit="1" customWidth="1"/>
    <col min="1289" max="1289" width="7.140625" style="34" customWidth="1"/>
    <col min="1290" max="1290" width="6.7109375" style="34" bestFit="1" customWidth="1"/>
    <col min="1291" max="1291" width="5.42578125" style="34" bestFit="1" customWidth="1"/>
    <col min="1292" max="1292" width="6.28515625" style="34" bestFit="1" customWidth="1"/>
    <col min="1293" max="1293" width="5.42578125" style="34" customWidth="1"/>
    <col min="1294" max="1294" width="6.7109375" style="34" customWidth="1"/>
    <col min="1295" max="1295" width="7.42578125" style="34" customWidth="1"/>
    <col min="1296" max="1296" width="7.140625" style="34" customWidth="1"/>
    <col min="1297" max="1297" width="9.28515625" style="34" customWidth="1"/>
    <col min="1298" max="1298" width="10.7109375" style="34" customWidth="1"/>
    <col min="1299" max="1299" width="9.140625" style="34" customWidth="1"/>
    <col min="1300" max="1536" width="9.140625" style="34"/>
    <col min="1537" max="1537" width="4.5703125" style="34" bestFit="1" customWidth="1"/>
    <col min="1538" max="1538" width="11.5703125" style="34" bestFit="1" customWidth="1"/>
    <col min="1539" max="1539" width="9.42578125" style="34" bestFit="1" customWidth="1"/>
    <col min="1540" max="1540" width="6.5703125" style="34" bestFit="1" customWidth="1"/>
    <col min="1541" max="1541" width="7.7109375" style="34" bestFit="1" customWidth="1"/>
    <col min="1542" max="1542" width="6.5703125" style="34" bestFit="1" customWidth="1"/>
    <col min="1543" max="1543" width="6.42578125" style="34" bestFit="1" customWidth="1"/>
    <col min="1544" max="1544" width="10" style="34" bestFit="1" customWidth="1"/>
    <col min="1545" max="1545" width="7.140625" style="34" customWidth="1"/>
    <col min="1546" max="1546" width="6.7109375" style="34" bestFit="1" customWidth="1"/>
    <col min="1547" max="1547" width="5.42578125" style="34" bestFit="1" customWidth="1"/>
    <col min="1548" max="1548" width="6.28515625" style="34" bestFit="1" customWidth="1"/>
    <col min="1549" max="1549" width="5.42578125" style="34" customWidth="1"/>
    <col min="1550" max="1550" width="6.7109375" style="34" customWidth="1"/>
    <col min="1551" max="1551" width="7.42578125" style="34" customWidth="1"/>
    <col min="1552" max="1552" width="7.140625" style="34" customWidth="1"/>
    <col min="1553" max="1553" width="9.28515625" style="34" customWidth="1"/>
    <col min="1554" max="1554" width="10.7109375" style="34" customWidth="1"/>
    <col min="1555" max="1555" width="9.140625" style="34" customWidth="1"/>
    <col min="1556" max="1792" width="9.140625" style="34"/>
    <col min="1793" max="1793" width="4.5703125" style="34" bestFit="1" customWidth="1"/>
    <col min="1794" max="1794" width="11.5703125" style="34" bestFit="1" customWidth="1"/>
    <col min="1795" max="1795" width="9.42578125" style="34" bestFit="1" customWidth="1"/>
    <col min="1796" max="1796" width="6.5703125" style="34" bestFit="1" customWidth="1"/>
    <col min="1797" max="1797" width="7.7109375" style="34" bestFit="1" customWidth="1"/>
    <col min="1798" max="1798" width="6.5703125" style="34" bestFit="1" customWidth="1"/>
    <col min="1799" max="1799" width="6.42578125" style="34" bestFit="1" customWidth="1"/>
    <col min="1800" max="1800" width="10" style="34" bestFit="1" customWidth="1"/>
    <col min="1801" max="1801" width="7.140625" style="34" customWidth="1"/>
    <col min="1802" max="1802" width="6.7109375" style="34" bestFit="1" customWidth="1"/>
    <col min="1803" max="1803" width="5.42578125" style="34" bestFit="1" customWidth="1"/>
    <col min="1804" max="1804" width="6.28515625" style="34" bestFit="1" customWidth="1"/>
    <col min="1805" max="1805" width="5.42578125" style="34" customWidth="1"/>
    <col min="1806" max="1806" width="6.7109375" style="34" customWidth="1"/>
    <col min="1807" max="1807" width="7.42578125" style="34" customWidth="1"/>
    <col min="1808" max="1808" width="7.140625" style="34" customWidth="1"/>
    <col min="1809" max="1809" width="9.28515625" style="34" customWidth="1"/>
    <col min="1810" max="1810" width="10.7109375" style="34" customWidth="1"/>
    <col min="1811" max="1811" width="9.140625" style="34" customWidth="1"/>
    <col min="1812" max="2048" width="9.140625" style="34"/>
    <col min="2049" max="2049" width="4.5703125" style="34" bestFit="1" customWidth="1"/>
    <col min="2050" max="2050" width="11.5703125" style="34" bestFit="1" customWidth="1"/>
    <col min="2051" max="2051" width="9.42578125" style="34" bestFit="1" customWidth="1"/>
    <col min="2052" max="2052" width="6.5703125" style="34" bestFit="1" customWidth="1"/>
    <col min="2053" max="2053" width="7.7109375" style="34" bestFit="1" customWidth="1"/>
    <col min="2054" max="2054" width="6.5703125" style="34" bestFit="1" customWidth="1"/>
    <col min="2055" max="2055" width="6.42578125" style="34" bestFit="1" customWidth="1"/>
    <col min="2056" max="2056" width="10" style="34" bestFit="1" customWidth="1"/>
    <col min="2057" max="2057" width="7.140625" style="34" customWidth="1"/>
    <col min="2058" max="2058" width="6.7109375" style="34" bestFit="1" customWidth="1"/>
    <col min="2059" max="2059" width="5.42578125" style="34" bestFit="1" customWidth="1"/>
    <col min="2060" max="2060" width="6.28515625" style="34" bestFit="1" customWidth="1"/>
    <col min="2061" max="2061" width="5.42578125" style="34" customWidth="1"/>
    <col min="2062" max="2062" width="6.7109375" style="34" customWidth="1"/>
    <col min="2063" max="2063" width="7.42578125" style="34" customWidth="1"/>
    <col min="2064" max="2064" width="7.140625" style="34" customWidth="1"/>
    <col min="2065" max="2065" width="9.28515625" style="34" customWidth="1"/>
    <col min="2066" max="2066" width="10.7109375" style="34" customWidth="1"/>
    <col min="2067" max="2067" width="9.140625" style="34" customWidth="1"/>
    <col min="2068" max="2304" width="9.140625" style="34"/>
    <col min="2305" max="2305" width="4.5703125" style="34" bestFit="1" customWidth="1"/>
    <col min="2306" max="2306" width="11.5703125" style="34" bestFit="1" customWidth="1"/>
    <col min="2307" max="2307" width="9.42578125" style="34" bestFit="1" customWidth="1"/>
    <col min="2308" max="2308" width="6.5703125" style="34" bestFit="1" customWidth="1"/>
    <col min="2309" max="2309" width="7.7109375" style="34" bestFit="1" customWidth="1"/>
    <col min="2310" max="2310" width="6.5703125" style="34" bestFit="1" customWidth="1"/>
    <col min="2311" max="2311" width="6.42578125" style="34" bestFit="1" customWidth="1"/>
    <col min="2312" max="2312" width="10" style="34" bestFit="1" customWidth="1"/>
    <col min="2313" max="2313" width="7.140625" style="34" customWidth="1"/>
    <col min="2314" max="2314" width="6.7109375" style="34" bestFit="1" customWidth="1"/>
    <col min="2315" max="2315" width="5.42578125" style="34" bestFit="1" customWidth="1"/>
    <col min="2316" max="2316" width="6.28515625" style="34" bestFit="1" customWidth="1"/>
    <col min="2317" max="2317" width="5.42578125" style="34" customWidth="1"/>
    <col min="2318" max="2318" width="6.7109375" style="34" customWidth="1"/>
    <col min="2319" max="2319" width="7.42578125" style="34" customWidth="1"/>
    <col min="2320" max="2320" width="7.140625" style="34" customWidth="1"/>
    <col min="2321" max="2321" width="9.28515625" style="34" customWidth="1"/>
    <col min="2322" max="2322" width="10.7109375" style="34" customWidth="1"/>
    <col min="2323" max="2323" width="9.140625" style="34" customWidth="1"/>
    <col min="2324" max="2560" width="9.140625" style="34"/>
    <col min="2561" max="2561" width="4.5703125" style="34" bestFit="1" customWidth="1"/>
    <col min="2562" max="2562" width="11.5703125" style="34" bestFit="1" customWidth="1"/>
    <col min="2563" max="2563" width="9.42578125" style="34" bestFit="1" customWidth="1"/>
    <col min="2564" max="2564" width="6.5703125" style="34" bestFit="1" customWidth="1"/>
    <col min="2565" max="2565" width="7.7109375" style="34" bestFit="1" customWidth="1"/>
    <col min="2566" max="2566" width="6.5703125" style="34" bestFit="1" customWidth="1"/>
    <col min="2567" max="2567" width="6.42578125" style="34" bestFit="1" customWidth="1"/>
    <col min="2568" max="2568" width="10" style="34" bestFit="1" customWidth="1"/>
    <col min="2569" max="2569" width="7.140625" style="34" customWidth="1"/>
    <col min="2570" max="2570" width="6.7109375" style="34" bestFit="1" customWidth="1"/>
    <col min="2571" max="2571" width="5.42578125" style="34" bestFit="1" customWidth="1"/>
    <col min="2572" max="2572" width="6.28515625" style="34" bestFit="1" customWidth="1"/>
    <col min="2573" max="2573" width="5.42578125" style="34" customWidth="1"/>
    <col min="2574" max="2574" width="6.7109375" style="34" customWidth="1"/>
    <col min="2575" max="2575" width="7.42578125" style="34" customWidth="1"/>
    <col min="2576" max="2576" width="7.140625" style="34" customWidth="1"/>
    <col min="2577" max="2577" width="9.28515625" style="34" customWidth="1"/>
    <col min="2578" max="2578" width="10.7109375" style="34" customWidth="1"/>
    <col min="2579" max="2579" width="9.140625" style="34" customWidth="1"/>
    <col min="2580" max="2816" width="9.140625" style="34"/>
    <col min="2817" max="2817" width="4.5703125" style="34" bestFit="1" customWidth="1"/>
    <col min="2818" max="2818" width="11.5703125" style="34" bestFit="1" customWidth="1"/>
    <col min="2819" max="2819" width="9.42578125" style="34" bestFit="1" customWidth="1"/>
    <col min="2820" max="2820" width="6.5703125" style="34" bestFit="1" customWidth="1"/>
    <col min="2821" max="2821" width="7.7109375" style="34" bestFit="1" customWidth="1"/>
    <col min="2822" max="2822" width="6.5703125" style="34" bestFit="1" customWidth="1"/>
    <col min="2823" max="2823" width="6.42578125" style="34" bestFit="1" customWidth="1"/>
    <col min="2824" max="2824" width="10" style="34" bestFit="1" customWidth="1"/>
    <col min="2825" max="2825" width="7.140625" style="34" customWidth="1"/>
    <col min="2826" max="2826" width="6.7109375" style="34" bestFit="1" customWidth="1"/>
    <col min="2827" max="2827" width="5.42578125" style="34" bestFit="1" customWidth="1"/>
    <col min="2828" max="2828" width="6.28515625" style="34" bestFit="1" customWidth="1"/>
    <col min="2829" max="2829" width="5.42578125" style="34" customWidth="1"/>
    <col min="2830" max="2830" width="6.7109375" style="34" customWidth="1"/>
    <col min="2831" max="2831" width="7.42578125" style="34" customWidth="1"/>
    <col min="2832" max="2832" width="7.140625" style="34" customWidth="1"/>
    <col min="2833" max="2833" width="9.28515625" style="34" customWidth="1"/>
    <col min="2834" max="2834" width="10.7109375" style="34" customWidth="1"/>
    <col min="2835" max="2835" width="9.140625" style="34" customWidth="1"/>
    <col min="2836" max="3072" width="9.140625" style="34"/>
    <col min="3073" max="3073" width="4.5703125" style="34" bestFit="1" customWidth="1"/>
    <col min="3074" max="3074" width="11.5703125" style="34" bestFit="1" customWidth="1"/>
    <col min="3075" max="3075" width="9.42578125" style="34" bestFit="1" customWidth="1"/>
    <col min="3076" max="3076" width="6.5703125" style="34" bestFit="1" customWidth="1"/>
    <col min="3077" max="3077" width="7.7109375" style="34" bestFit="1" customWidth="1"/>
    <col min="3078" max="3078" width="6.5703125" style="34" bestFit="1" customWidth="1"/>
    <col min="3079" max="3079" width="6.42578125" style="34" bestFit="1" customWidth="1"/>
    <col min="3080" max="3080" width="10" style="34" bestFit="1" customWidth="1"/>
    <col min="3081" max="3081" width="7.140625" style="34" customWidth="1"/>
    <col min="3082" max="3082" width="6.7109375" style="34" bestFit="1" customWidth="1"/>
    <col min="3083" max="3083" width="5.42578125" style="34" bestFit="1" customWidth="1"/>
    <col min="3084" max="3084" width="6.28515625" style="34" bestFit="1" customWidth="1"/>
    <col min="3085" max="3085" width="5.42578125" style="34" customWidth="1"/>
    <col min="3086" max="3086" width="6.7109375" style="34" customWidth="1"/>
    <col min="3087" max="3087" width="7.42578125" style="34" customWidth="1"/>
    <col min="3088" max="3088" width="7.140625" style="34" customWidth="1"/>
    <col min="3089" max="3089" width="9.28515625" style="34" customWidth="1"/>
    <col min="3090" max="3090" width="10.7109375" style="34" customWidth="1"/>
    <col min="3091" max="3091" width="9.140625" style="34" customWidth="1"/>
    <col min="3092" max="3328" width="9.140625" style="34"/>
    <col min="3329" max="3329" width="4.5703125" style="34" bestFit="1" customWidth="1"/>
    <col min="3330" max="3330" width="11.5703125" style="34" bestFit="1" customWidth="1"/>
    <col min="3331" max="3331" width="9.42578125" style="34" bestFit="1" customWidth="1"/>
    <col min="3332" max="3332" width="6.5703125" style="34" bestFit="1" customWidth="1"/>
    <col min="3333" max="3333" width="7.7109375" style="34" bestFit="1" customWidth="1"/>
    <col min="3334" max="3334" width="6.5703125" style="34" bestFit="1" customWidth="1"/>
    <col min="3335" max="3335" width="6.42578125" style="34" bestFit="1" customWidth="1"/>
    <col min="3336" max="3336" width="10" style="34" bestFit="1" customWidth="1"/>
    <col min="3337" max="3337" width="7.140625" style="34" customWidth="1"/>
    <col min="3338" max="3338" width="6.7109375" style="34" bestFit="1" customWidth="1"/>
    <col min="3339" max="3339" width="5.42578125" style="34" bestFit="1" customWidth="1"/>
    <col min="3340" max="3340" width="6.28515625" style="34" bestFit="1" customWidth="1"/>
    <col min="3341" max="3341" width="5.42578125" style="34" customWidth="1"/>
    <col min="3342" max="3342" width="6.7109375" style="34" customWidth="1"/>
    <col min="3343" max="3343" width="7.42578125" style="34" customWidth="1"/>
    <col min="3344" max="3344" width="7.140625" style="34" customWidth="1"/>
    <col min="3345" max="3345" width="9.28515625" style="34" customWidth="1"/>
    <col min="3346" max="3346" width="10.7109375" style="34" customWidth="1"/>
    <col min="3347" max="3347" width="9.140625" style="34" customWidth="1"/>
    <col min="3348" max="3584" width="9.140625" style="34"/>
    <col min="3585" max="3585" width="4.5703125" style="34" bestFit="1" customWidth="1"/>
    <col min="3586" max="3586" width="11.5703125" style="34" bestFit="1" customWidth="1"/>
    <col min="3587" max="3587" width="9.42578125" style="34" bestFit="1" customWidth="1"/>
    <col min="3588" max="3588" width="6.5703125" style="34" bestFit="1" customWidth="1"/>
    <col min="3589" max="3589" width="7.7109375" style="34" bestFit="1" customWidth="1"/>
    <col min="3590" max="3590" width="6.5703125" style="34" bestFit="1" customWidth="1"/>
    <col min="3591" max="3591" width="6.42578125" style="34" bestFit="1" customWidth="1"/>
    <col min="3592" max="3592" width="10" style="34" bestFit="1" customWidth="1"/>
    <col min="3593" max="3593" width="7.140625" style="34" customWidth="1"/>
    <col min="3594" max="3594" width="6.7109375" style="34" bestFit="1" customWidth="1"/>
    <col min="3595" max="3595" width="5.42578125" style="34" bestFit="1" customWidth="1"/>
    <col min="3596" max="3596" width="6.28515625" style="34" bestFit="1" customWidth="1"/>
    <col min="3597" max="3597" width="5.42578125" style="34" customWidth="1"/>
    <col min="3598" max="3598" width="6.7109375" style="34" customWidth="1"/>
    <col min="3599" max="3599" width="7.42578125" style="34" customWidth="1"/>
    <col min="3600" max="3600" width="7.140625" style="34" customWidth="1"/>
    <col min="3601" max="3601" width="9.28515625" style="34" customWidth="1"/>
    <col min="3602" max="3602" width="10.7109375" style="34" customWidth="1"/>
    <col min="3603" max="3603" width="9.140625" style="34" customWidth="1"/>
    <col min="3604" max="3840" width="9.140625" style="34"/>
    <col min="3841" max="3841" width="4.5703125" style="34" bestFit="1" customWidth="1"/>
    <col min="3842" max="3842" width="11.5703125" style="34" bestFit="1" customWidth="1"/>
    <col min="3843" max="3843" width="9.42578125" style="34" bestFit="1" customWidth="1"/>
    <col min="3844" max="3844" width="6.5703125" style="34" bestFit="1" customWidth="1"/>
    <col min="3845" max="3845" width="7.7109375" style="34" bestFit="1" customWidth="1"/>
    <col min="3846" max="3846" width="6.5703125" style="34" bestFit="1" customWidth="1"/>
    <col min="3847" max="3847" width="6.42578125" style="34" bestFit="1" customWidth="1"/>
    <col min="3848" max="3848" width="10" style="34" bestFit="1" customWidth="1"/>
    <col min="3849" max="3849" width="7.140625" style="34" customWidth="1"/>
    <col min="3850" max="3850" width="6.7109375" style="34" bestFit="1" customWidth="1"/>
    <col min="3851" max="3851" width="5.42578125" style="34" bestFit="1" customWidth="1"/>
    <col min="3852" max="3852" width="6.28515625" style="34" bestFit="1" customWidth="1"/>
    <col min="3853" max="3853" width="5.42578125" style="34" customWidth="1"/>
    <col min="3854" max="3854" width="6.7109375" style="34" customWidth="1"/>
    <col min="3855" max="3855" width="7.42578125" style="34" customWidth="1"/>
    <col min="3856" max="3856" width="7.140625" style="34" customWidth="1"/>
    <col min="3857" max="3857" width="9.28515625" style="34" customWidth="1"/>
    <col min="3858" max="3858" width="10.7109375" style="34" customWidth="1"/>
    <col min="3859" max="3859" width="9.140625" style="34" customWidth="1"/>
    <col min="3860" max="4096" width="9.140625" style="34"/>
    <col min="4097" max="4097" width="4.5703125" style="34" bestFit="1" customWidth="1"/>
    <col min="4098" max="4098" width="11.5703125" style="34" bestFit="1" customWidth="1"/>
    <col min="4099" max="4099" width="9.42578125" style="34" bestFit="1" customWidth="1"/>
    <col min="4100" max="4100" width="6.5703125" style="34" bestFit="1" customWidth="1"/>
    <col min="4101" max="4101" width="7.7109375" style="34" bestFit="1" customWidth="1"/>
    <col min="4102" max="4102" width="6.5703125" style="34" bestFit="1" customWidth="1"/>
    <col min="4103" max="4103" width="6.42578125" style="34" bestFit="1" customWidth="1"/>
    <col min="4104" max="4104" width="10" style="34" bestFit="1" customWidth="1"/>
    <col min="4105" max="4105" width="7.140625" style="34" customWidth="1"/>
    <col min="4106" max="4106" width="6.7109375" style="34" bestFit="1" customWidth="1"/>
    <col min="4107" max="4107" width="5.42578125" style="34" bestFit="1" customWidth="1"/>
    <col min="4108" max="4108" width="6.28515625" style="34" bestFit="1" customWidth="1"/>
    <col min="4109" max="4109" width="5.42578125" style="34" customWidth="1"/>
    <col min="4110" max="4110" width="6.7109375" style="34" customWidth="1"/>
    <col min="4111" max="4111" width="7.42578125" style="34" customWidth="1"/>
    <col min="4112" max="4112" width="7.140625" style="34" customWidth="1"/>
    <col min="4113" max="4113" width="9.28515625" style="34" customWidth="1"/>
    <col min="4114" max="4114" width="10.7109375" style="34" customWidth="1"/>
    <col min="4115" max="4115" width="9.140625" style="34" customWidth="1"/>
    <col min="4116" max="4352" width="9.140625" style="34"/>
    <col min="4353" max="4353" width="4.5703125" style="34" bestFit="1" customWidth="1"/>
    <col min="4354" max="4354" width="11.5703125" style="34" bestFit="1" customWidth="1"/>
    <col min="4355" max="4355" width="9.42578125" style="34" bestFit="1" customWidth="1"/>
    <col min="4356" max="4356" width="6.5703125" style="34" bestFit="1" customWidth="1"/>
    <col min="4357" max="4357" width="7.7109375" style="34" bestFit="1" customWidth="1"/>
    <col min="4358" max="4358" width="6.5703125" style="34" bestFit="1" customWidth="1"/>
    <col min="4359" max="4359" width="6.42578125" style="34" bestFit="1" customWidth="1"/>
    <col min="4360" max="4360" width="10" style="34" bestFit="1" customWidth="1"/>
    <col min="4361" max="4361" width="7.140625" style="34" customWidth="1"/>
    <col min="4362" max="4362" width="6.7109375" style="34" bestFit="1" customWidth="1"/>
    <col min="4363" max="4363" width="5.42578125" style="34" bestFit="1" customWidth="1"/>
    <col min="4364" max="4364" width="6.28515625" style="34" bestFit="1" customWidth="1"/>
    <col min="4365" max="4365" width="5.42578125" style="34" customWidth="1"/>
    <col min="4366" max="4366" width="6.7109375" style="34" customWidth="1"/>
    <col min="4367" max="4367" width="7.42578125" style="34" customWidth="1"/>
    <col min="4368" max="4368" width="7.140625" style="34" customWidth="1"/>
    <col min="4369" max="4369" width="9.28515625" style="34" customWidth="1"/>
    <col min="4370" max="4370" width="10.7109375" style="34" customWidth="1"/>
    <col min="4371" max="4371" width="9.140625" style="34" customWidth="1"/>
    <col min="4372" max="4608" width="9.140625" style="34"/>
    <col min="4609" max="4609" width="4.5703125" style="34" bestFit="1" customWidth="1"/>
    <col min="4610" max="4610" width="11.5703125" style="34" bestFit="1" customWidth="1"/>
    <col min="4611" max="4611" width="9.42578125" style="34" bestFit="1" customWidth="1"/>
    <col min="4612" max="4612" width="6.5703125" style="34" bestFit="1" customWidth="1"/>
    <col min="4613" max="4613" width="7.7109375" style="34" bestFit="1" customWidth="1"/>
    <col min="4614" max="4614" width="6.5703125" style="34" bestFit="1" customWidth="1"/>
    <col min="4615" max="4615" width="6.42578125" style="34" bestFit="1" customWidth="1"/>
    <col min="4616" max="4616" width="10" style="34" bestFit="1" customWidth="1"/>
    <col min="4617" max="4617" width="7.140625" style="34" customWidth="1"/>
    <col min="4618" max="4618" width="6.7109375" style="34" bestFit="1" customWidth="1"/>
    <col min="4619" max="4619" width="5.42578125" style="34" bestFit="1" customWidth="1"/>
    <col min="4620" max="4620" width="6.28515625" style="34" bestFit="1" customWidth="1"/>
    <col min="4621" max="4621" width="5.42578125" style="34" customWidth="1"/>
    <col min="4622" max="4622" width="6.7109375" style="34" customWidth="1"/>
    <col min="4623" max="4623" width="7.42578125" style="34" customWidth="1"/>
    <col min="4624" max="4624" width="7.140625" style="34" customWidth="1"/>
    <col min="4625" max="4625" width="9.28515625" style="34" customWidth="1"/>
    <col min="4626" max="4626" width="10.7109375" style="34" customWidth="1"/>
    <col min="4627" max="4627" width="9.140625" style="34" customWidth="1"/>
    <col min="4628" max="4864" width="9.140625" style="34"/>
    <col min="4865" max="4865" width="4.5703125" style="34" bestFit="1" customWidth="1"/>
    <col min="4866" max="4866" width="11.5703125" style="34" bestFit="1" customWidth="1"/>
    <col min="4867" max="4867" width="9.42578125" style="34" bestFit="1" customWidth="1"/>
    <col min="4868" max="4868" width="6.5703125" style="34" bestFit="1" customWidth="1"/>
    <col min="4869" max="4869" width="7.7109375" style="34" bestFit="1" customWidth="1"/>
    <col min="4870" max="4870" width="6.5703125" style="34" bestFit="1" customWidth="1"/>
    <col min="4871" max="4871" width="6.42578125" style="34" bestFit="1" customWidth="1"/>
    <col min="4872" max="4872" width="10" style="34" bestFit="1" customWidth="1"/>
    <col min="4873" max="4873" width="7.140625" style="34" customWidth="1"/>
    <col min="4874" max="4874" width="6.7109375" style="34" bestFit="1" customWidth="1"/>
    <col min="4875" max="4875" width="5.42578125" style="34" bestFit="1" customWidth="1"/>
    <col min="4876" max="4876" width="6.28515625" style="34" bestFit="1" customWidth="1"/>
    <col min="4877" max="4877" width="5.42578125" style="34" customWidth="1"/>
    <col min="4878" max="4878" width="6.7109375" style="34" customWidth="1"/>
    <col min="4879" max="4879" width="7.42578125" style="34" customWidth="1"/>
    <col min="4880" max="4880" width="7.140625" style="34" customWidth="1"/>
    <col min="4881" max="4881" width="9.28515625" style="34" customWidth="1"/>
    <col min="4882" max="4882" width="10.7109375" style="34" customWidth="1"/>
    <col min="4883" max="4883" width="9.140625" style="34" customWidth="1"/>
    <col min="4884" max="5120" width="9.140625" style="34"/>
    <col min="5121" max="5121" width="4.5703125" style="34" bestFit="1" customWidth="1"/>
    <col min="5122" max="5122" width="11.5703125" style="34" bestFit="1" customWidth="1"/>
    <col min="5123" max="5123" width="9.42578125" style="34" bestFit="1" customWidth="1"/>
    <col min="5124" max="5124" width="6.5703125" style="34" bestFit="1" customWidth="1"/>
    <col min="5125" max="5125" width="7.7109375" style="34" bestFit="1" customWidth="1"/>
    <col min="5126" max="5126" width="6.5703125" style="34" bestFit="1" customWidth="1"/>
    <col min="5127" max="5127" width="6.42578125" style="34" bestFit="1" customWidth="1"/>
    <col min="5128" max="5128" width="10" style="34" bestFit="1" customWidth="1"/>
    <col min="5129" max="5129" width="7.140625" style="34" customWidth="1"/>
    <col min="5130" max="5130" width="6.7109375" style="34" bestFit="1" customWidth="1"/>
    <col min="5131" max="5131" width="5.42578125" style="34" bestFit="1" customWidth="1"/>
    <col min="5132" max="5132" width="6.28515625" style="34" bestFit="1" customWidth="1"/>
    <col min="5133" max="5133" width="5.42578125" style="34" customWidth="1"/>
    <col min="5134" max="5134" width="6.7109375" style="34" customWidth="1"/>
    <col min="5135" max="5135" width="7.42578125" style="34" customWidth="1"/>
    <col min="5136" max="5136" width="7.140625" style="34" customWidth="1"/>
    <col min="5137" max="5137" width="9.28515625" style="34" customWidth="1"/>
    <col min="5138" max="5138" width="10.7109375" style="34" customWidth="1"/>
    <col min="5139" max="5139" width="9.140625" style="34" customWidth="1"/>
    <col min="5140" max="5376" width="9.140625" style="34"/>
    <col min="5377" max="5377" width="4.5703125" style="34" bestFit="1" customWidth="1"/>
    <col min="5378" max="5378" width="11.5703125" style="34" bestFit="1" customWidth="1"/>
    <col min="5379" max="5379" width="9.42578125" style="34" bestFit="1" customWidth="1"/>
    <col min="5380" max="5380" width="6.5703125" style="34" bestFit="1" customWidth="1"/>
    <col min="5381" max="5381" width="7.7109375" style="34" bestFit="1" customWidth="1"/>
    <col min="5382" max="5382" width="6.5703125" style="34" bestFit="1" customWidth="1"/>
    <col min="5383" max="5383" width="6.42578125" style="34" bestFit="1" customWidth="1"/>
    <col min="5384" max="5384" width="10" style="34" bestFit="1" customWidth="1"/>
    <col min="5385" max="5385" width="7.140625" style="34" customWidth="1"/>
    <col min="5386" max="5386" width="6.7109375" style="34" bestFit="1" customWidth="1"/>
    <col min="5387" max="5387" width="5.42578125" style="34" bestFit="1" customWidth="1"/>
    <col min="5388" max="5388" width="6.28515625" style="34" bestFit="1" customWidth="1"/>
    <col min="5389" max="5389" width="5.42578125" style="34" customWidth="1"/>
    <col min="5390" max="5390" width="6.7109375" style="34" customWidth="1"/>
    <col min="5391" max="5391" width="7.42578125" style="34" customWidth="1"/>
    <col min="5392" max="5392" width="7.140625" style="34" customWidth="1"/>
    <col min="5393" max="5393" width="9.28515625" style="34" customWidth="1"/>
    <col min="5394" max="5394" width="10.7109375" style="34" customWidth="1"/>
    <col min="5395" max="5395" width="9.140625" style="34" customWidth="1"/>
    <col min="5396" max="5632" width="9.140625" style="34"/>
    <col min="5633" max="5633" width="4.5703125" style="34" bestFit="1" customWidth="1"/>
    <col min="5634" max="5634" width="11.5703125" style="34" bestFit="1" customWidth="1"/>
    <col min="5635" max="5635" width="9.42578125" style="34" bestFit="1" customWidth="1"/>
    <col min="5636" max="5636" width="6.5703125" style="34" bestFit="1" customWidth="1"/>
    <col min="5637" max="5637" width="7.7109375" style="34" bestFit="1" customWidth="1"/>
    <col min="5638" max="5638" width="6.5703125" style="34" bestFit="1" customWidth="1"/>
    <col min="5639" max="5639" width="6.42578125" style="34" bestFit="1" customWidth="1"/>
    <col min="5640" max="5640" width="10" style="34" bestFit="1" customWidth="1"/>
    <col min="5641" max="5641" width="7.140625" style="34" customWidth="1"/>
    <col min="5642" max="5642" width="6.7109375" style="34" bestFit="1" customWidth="1"/>
    <col min="5643" max="5643" width="5.42578125" style="34" bestFit="1" customWidth="1"/>
    <col min="5644" max="5644" width="6.28515625" style="34" bestFit="1" customWidth="1"/>
    <col min="5645" max="5645" width="5.42578125" style="34" customWidth="1"/>
    <col min="5646" max="5646" width="6.7109375" style="34" customWidth="1"/>
    <col min="5647" max="5647" width="7.42578125" style="34" customWidth="1"/>
    <col min="5648" max="5648" width="7.140625" style="34" customWidth="1"/>
    <col min="5649" max="5649" width="9.28515625" style="34" customWidth="1"/>
    <col min="5650" max="5650" width="10.7109375" style="34" customWidth="1"/>
    <col min="5651" max="5651" width="9.140625" style="34" customWidth="1"/>
    <col min="5652" max="5888" width="9.140625" style="34"/>
    <col min="5889" max="5889" width="4.5703125" style="34" bestFit="1" customWidth="1"/>
    <col min="5890" max="5890" width="11.5703125" style="34" bestFit="1" customWidth="1"/>
    <col min="5891" max="5891" width="9.42578125" style="34" bestFit="1" customWidth="1"/>
    <col min="5892" max="5892" width="6.5703125" style="34" bestFit="1" customWidth="1"/>
    <col min="5893" max="5893" width="7.7109375" style="34" bestFit="1" customWidth="1"/>
    <col min="5894" max="5894" width="6.5703125" style="34" bestFit="1" customWidth="1"/>
    <col min="5895" max="5895" width="6.42578125" style="34" bestFit="1" customWidth="1"/>
    <col min="5896" max="5896" width="10" style="34" bestFit="1" customWidth="1"/>
    <col min="5897" max="5897" width="7.140625" style="34" customWidth="1"/>
    <col min="5898" max="5898" width="6.7109375" style="34" bestFit="1" customWidth="1"/>
    <col min="5899" max="5899" width="5.42578125" style="34" bestFit="1" customWidth="1"/>
    <col min="5900" max="5900" width="6.28515625" style="34" bestFit="1" customWidth="1"/>
    <col min="5901" max="5901" width="5.42578125" style="34" customWidth="1"/>
    <col min="5902" max="5902" width="6.7109375" style="34" customWidth="1"/>
    <col min="5903" max="5903" width="7.42578125" style="34" customWidth="1"/>
    <col min="5904" max="5904" width="7.140625" style="34" customWidth="1"/>
    <col min="5905" max="5905" width="9.28515625" style="34" customWidth="1"/>
    <col min="5906" max="5906" width="10.7109375" style="34" customWidth="1"/>
    <col min="5907" max="5907" width="9.140625" style="34" customWidth="1"/>
    <col min="5908" max="6144" width="9.140625" style="34"/>
    <col min="6145" max="6145" width="4.5703125" style="34" bestFit="1" customWidth="1"/>
    <col min="6146" max="6146" width="11.5703125" style="34" bestFit="1" customWidth="1"/>
    <col min="6147" max="6147" width="9.42578125" style="34" bestFit="1" customWidth="1"/>
    <col min="6148" max="6148" width="6.5703125" style="34" bestFit="1" customWidth="1"/>
    <col min="6149" max="6149" width="7.7109375" style="34" bestFit="1" customWidth="1"/>
    <col min="6150" max="6150" width="6.5703125" style="34" bestFit="1" customWidth="1"/>
    <col min="6151" max="6151" width="6.42578125" style="34" bestFit="1" customWidth="1"/>
    <col min="6152" max="6152" width="10" style="34" bestFit="1" customWidth="1"/>
    <col min="6153" max="6153" width="7.140625" style="34" customWidth="1"/>
    <col min="6154" max="6154" width="6.7109375" style="34" bestFit="1" customWidth="1"/>
    <col min="6155" max="6155" width="5.42578125" style="34" bestFit="1" customWidth="1"/>
    <col min="6156" max="6156" width="6.28515625" style="34" bestFit="1" customWidth="1"/>
    <col min="6157" max="6157" width="5.42578125" style="34" customWidth="1"/>
    <col min="6158" max="6158" width="6.7109375" style="34" customWidth="1"/>
    <col min="6159" max="6159" width="7.42578125" style="34" customWidth="1"/>
    <col min="6160" max="6160" width="7.140625" style="34" customWidth="1"/>
    <col min="6161" max="6161" width="9.28515625" style="34" customWidth="1"/>
    <col min="6162" max="6162" width="10.7109375" style="34" customWidth="1"/>
    <col min="6163" max="6163" width="9.140625" style="34" customWidth="1"/>
    <col min="6164" max="6400" width="9.140625" style="34"/>
    <col min="6401" max="6401" width="4.5703125" style="34" bestFit="1" customWidth="1"/>
    <col min="6402" max="6402" width="11.5703125" style="34" bestFit="1" customWidth="1"/>
    <col min="6403" max="6403" width="9.42578125" style="34" bestFit="1" customWidth="1"/>
    <col min="6404" max="6404" width="6.5703125" style="34" bestFit="1" customWidth="1"/>
    <col min="6405" max="6405" width="7.7109375" style="34" bestFit="1" customWidth="1"/>
    <col min="6406" max="6406" width="6.5703125" style="34" bestFit="1" customWidth="1"/>
    <col min="6407" max="6407" width="6.42578125" style="34" bestFit="1" customWidth="1"/>
    <col min="6408" max="6408" width="10" style="34" bestFit="1" customWidth="1"/>
    <col min="6409" max="6409" width="7.140625" style="34" customWidth="1"/>
    <col min="6410" max="6410" width="6.7109375" style="34" bestFit="1" customWidth="1"/>
    <col min="6411" max="6411" width="5.42578125" style="34" bestFit="1" customWidth="1"/>
    <col min="6412" max="6412" width="6.28515625" style="34" bestFit="1" customWidth="1"/>
    <col min="6413" max="6413" width="5.42578125" style="34" customWidth="1"/>
    <col min="6414" max="6414" width="6.7109375" style="34" customWidth="1"/>
    <col min="6415" max="6415" width="7.42578125" style="34" customWidth="1"/>
    <col min="6416" max="6416" width="7.140625" style="34" customWidth="1"/>
    <col min="6417" max="6417" width="9.28515625" style="34" customWidth="1"/>
    <col min="6418" max="6418" width="10.7109375" style="34" customWidth="1"/>
    <col min="6419" max="6419" width="9.140625" style="34" customWidth="1"/>
    <col min="6420" max="6656" width="9.140625" style="34"/>
    <col min="6657" max="6657" width="4.5703125" style="34" bestFit="1" customWidth="1"/>
    <col min="6658" max="6658" width="11.5703125" style="34" bestFit="1" customWidth="1"/>
    <col min="6659" max="6659" width="9.42578125" style="34" bestFit="1" customWidth="1"/>
    <col min="6660" max="6660" width="6.5703125" style="34" bestFit="1" customWidth="1"/>
    <col min="6661" max="6661" width="7.7109375" style="34" bestFit="1" customWidth="1"/>
    <col min="6662" max="6662" width="6.5703125" style="34" bestFit="1" customWidth="1"/>
    <col min="6663" max="6663" width="6.42578125" style="34" bestFit="1" customWidth="1"/>
    <col min="6664" max="6664" width="10" style="34" bestFit="1" customWidth="1"/>
    <col min="6665" max="6665" width="7.140625" style="34" customWidth="1"/>
    <col min="6666" max="6666" width="6.7109375" style="34" bestFit="1" customWidth="1"/>
    <col min="6667" max="6667" width="5.42578125" style="34" bestFit="1" customWidth="1"/>
    <col min="6668" max="6668" width="6.28515625" style="34" bestFit="1" customWidth="1"/>
    <col min="6669" max="6669" width="5.42578125" style="34" customWidth="1"/>
    <col min="6670" max="6670" width="6.7109375" style="34" customWidth="1"/>
    <col min="6671" max="6671" width="7.42578125" style="34" customWidth="1"/>
    <col min="6672" max="6672" width="7.140625" style="34" customWidth="1"/>
    <col min="6673" max="6673" width="9.28515625" style="34" customWidth="1"/>
    <col min="6674" max="6674" width="10.7109375" style="34" customWidth="1"/>
    <col min="6675" max="6675" width="9.140625" style="34" customWidth="1"/>
    <col min="6676" max="6912" width="9.140625" style="34"/>
    <col min="6913" max="6913" width="4.5703125" style="34" bestFit="1" customWidth="1"/>
    <col min="6914" max="6914" width="11.5703125" style="34" bestFit="1" customWidth="1"/>
    <col min="6915" max="6915" width="9.42578125" style="34" bestFit="1" customWidth="1"/>
    <col min="6916" max="6916" width="6.5703125" style="34" bestFit="1" customWidth="1"/>
    <col min="6917" max="6917" width="7.7109375" style="34" bestFit="1" customWidth="1"/>
    <col min="6918" max="6918" width="6.5703125" style="34" bestFit="1" customWidth="1"/>
    <col min="6919" max="6919" width="6.42578125" style="34" bestFit="1" customWidth="1"/>
    <col min="6920" max="6920" width="10" style="34" bestFit="1" customWidth="1"/>
    <col min="6921" max="6921" width="7.140625" style="34" customWidth="1"/>
    <col min="6922" max="6922" width="6.7109375" style="34" bestFit="1" customWidth="1"/>
    <col min="6923" max="6923" width="5.42578125" style="34" bestFit="1" customWidth="1"/>
    <col min="6924" max="6924" width="6.28515625" style="34" bestFit="1" customWidth="1"/>
    <col min="6925" max="6925" width="5.42578125" style="34" customWidth="1"/>
    <col min="6926" max="6926" width="6.7109375" style="34" customWidth="1"/>
    <col min="6927" max="6927" width="7.42578125" style="34" customWidth="1"/>
    <col min="6928" max="6928" width="7.140625" style="34" customWidth="1"/>
    <col min="6929" max="6929" width="9.28515625" style="34" customWidth="1"/>
    <col min="6930" max="6930" width="10.7109375" style="34" customWidth="1"/>
    <col min="6931" max="6931" width="9.140625" style="34" customWidth="1"/>
    <col min="6932" max="7168" width="9.140625" style="34"/>
    <col min="7169" max="7169" width="4.5703125" style="34" bestFit="1" customWidth="1"/>
    <col min="7170" max="7170" width="11.5703125" style="34" bestFit="1" customWidth="1"/>
    <col min="7171" max="7171" width="9.42578125" style="34" bestFit="1" customWidth="1"/>
    <col min="7172" max="7172" width="6.5703125" style="34" bestFit="1" customWidth="1"/>
    <col min="7173" max="7173" width="7.7109375" style="34" bestFit="1" customWidth="1"/>
    <col min="7174" max="7174" width="6.5703125" style="34" bestFit="1" customWidth="1"/>
    <col min="7175" max="7175" width="6.42578125" style="34" bestFit="1" customWidth="1"/>
    <col min="7176" max="7176" width="10" style="34" bestFit="1" customWidth="1"/>
    <col min="7177" max="7177" width="7.140625" style="34" customWidth="1"/>
    <col min="7178" max="7178" width="6.7109375" style="34" bestFit="1" customWidth="1"/>
    <col min="7179" max="7179" width="5.42578125" style="34" bestFit="1" customWidth="1"/>
    <col min="7180" max="7180" width="6.28515625" style="34" bestFit="1" customWidth="1"/>
    <col min="7181" max="7181" width="5.42578125" style="34" customWidth="1"/>
    <col min="7182" max="7182" width="6.7109375" style="34" customWidth="1"/>
    <col min="7183" max="7183" width="7.42578125" style="34" customWidth="1"/>
    <col min="7184" max="7184" width="7.140625" style="34" customWidth="1"/>
    <col min="7185" max="7185" width="9.28515625" style="34" customWidth="1"/>
    <col min="7186" max="7186" width="10.7109375" style="34" customWidth="1"/>
    <col min="7187" max="7187" width="9.140625" style="34" customWidth="1"/>
    <col min="7188" max="7424" width="9.140625" style="34"/>
    <col min="7425" max="7425" width="4.5703125" style="34" bestFit="1" customWidth="1"/>
    <col min="7426" max="7426" width="11.5703125" style="34" bestFit="1" customWidth="1"/>
    <col min="7427" max="7427" width="9.42578125" style="34" bestFit="1" customWidth="1"/>
    <col min="7428" max="7428" width="6.5703125" style="34" bestFit="1" customWidth="1"/>
    <col min="7429" max="7429" width="7.7109375" style="34" bestFit="1" customWidth="1"/>
    <col min="7430" max="7430" width="6.5703125" style="34" bestFit="1" customWidth="1"/>
    <col min="7431" max="7431" width="6.42578125" style="34" bestFit="1" customWidth="1"/>
    <col min="7432" max="7432" width="10" style="34" bestFit="1" customWidth="1"/>
    <col min="7433" max="7433" width="7.140625" style="34" customWidth="1"/>
    <col min="7434" max="7434" width="6.7109375" style="34" bestFit="1" customWidth="1"/>
    <col min="7435" max="7435" width="5.42578125" style="34" bestFit="1" customWidth="1"/>
    <col min="7436" max="7436" width="6.28515625" style="34" bestFit="1" customWidth="1"/>
    <col min="7437" max="7437" width="5.42578125" style="34" customWidth="1"/>
    <col min="7438" max="7438" width="6.7109375" style="34" customWidth="1"/>
    <col min="7439" max="7439" width="7.42578125" style="34" customWidth="1"/>
    <col min="7440" max="7440" width="7.140625" style="34" customWidth="1"/>
    <col min="7441" max="7441" width="9.28515625" style="34" customWidth="1"/>
    <col min="7442" max="7442" width="10.7109375" style="34" customWidth="1"/>
    <col min="7443" max="7443" width="9.140625" style="34" customWidth="1"/>
    <col min="7444" max="7680" width="9.140625" style="34"/>
    <col min="7681" max="7681" width="4.5703125" style="34" bestFit="1" customWidth="1"/>
    <col min="7682" max="7682" width="11.5703125" style="34" bestFit="1" customWidth="1"/>
    <col min="7683" max="7683" width="9.42578125" style="34" bestFit="1" customWidth="1"/>
    <col min="7684" max="7684" width="6.5703125" style="34" bestFit="1" customWidth="1"/>
    <col min="7685" max="7685" width="7.7109375" style="34" bestFit="1" customWidth="1"/>
    <col min="7686" max="7686" width="6.5703125" style="34" bestFit="1" customWidth="1"/>
    <col min="7687" max="7687" width="6.42578125" style="34" bestFit="1" customWidth="1"/>
    <col min="7688" max="7688" width="10" style="34" bestFit="1" customWidth="1"/>
    <col min="7689" max="7689" width="7.140625" style="34" customWidth="1"/>
    <col min="7690" max="7690" width="6.7109375" style="34" bestFit="1" customWidth="1"/>
    <col min="7691" max="7691" width="5.42578125" style="34" bestFit="1" customWidth="1"/>
    <col min="7692" max="7692" width="6.28515625" style="34" bestFit="1" customWidth="1"/>
    <col min="7693" max="7693" width="5.42578125" style="34" customWidth="1"/>
    <col min="7694" max="7694" width="6.7109375" style="34" customWidth="1"/>
    <col min="7695" max="7695" width="7.42578125" style="34" customWidth="1"/>
    <col min="7696" max="7696" width="7.140625" style="34" customWidth="1"/>
    <col min="7697" max="7697" width="9.28515625" style="34" customWidth="1"/>
    <col min="7698" max="7698" width="10.7109375" style="34" customWidth="1"/>
    <col min="7699" max="7699" width="9.140625" style="34" customWidth="1"/>
    <col min="7700" max="7936" width="9.140625" style="34"/>
    <col min="7937" max="7937" width="4.5703125" style="34" bestFit="1" customWidth="1"/>
    <col min="7938" max="7938" width="11.5703125" style="34" bestFit="1" customWidth="1"/>
    <col min="7939" max="7939" width="9.42578125" style="34" bestFit="1" customWidth="1"/>
    <col min="7940" max="7940" width="6.5703125" style="34" bestFit="1" customWidth="1"/>
    <col min="7941" max="7941" width="7.7109375" style="34" bestFit="1" customWidth="1"/>
    <col min="7942" max="7942" width="6.5703125" style="34" bestFit="1" customWidth="1"/>
    <col min="7943" max="7943" width="6.42578125" style="34" bestFit="1" customWidth="1"/>
    <col min="7944" max="7944" width="10" style="34" bestFit="1" customWidth="1"/>
    <col min="7945" max="7945" width="7.140625" style="34" customWidth="1"/>
    <col min="7946" max="7946" width="6.7109375" style="34" bestFit="1" customWidth="1"/>
    <col min="7947" max="7947" width="5.42578125" style="34" bestFit="1" customWidth="1"/>
    <col min="7948" max="7948" width="6.28515625" style="34" bestFit="1" customWidth="1"/>
    <col min="7949" max="7949" width="5.42578125" style="34" customWidth="1"/>
    <col min="7950" max="7950" width="6.7109375" style="34" customWidth="1"/>
    <col min="7951" max="7951" width="7.42578125" style="34" customWidth="1"/>
    <col min="7952" max="7952" width="7.140625" style="34" customWidth="1"/>
    <col min="7953" max="7953" width="9.28515625" style="34" customWidth="1"/>
    <col min="7954" max="7954" width="10.7109375" style="34" customWidth="1"/>
    <col min="7955" max="7955" width="9.140625" style="34" customWidth="1"/>
    <col min="7956" max="8192" width="9.140625" style="34"/>
    <col min="8193" max="8193" width="4.5703125" style="34" bestFit="1" customWidth="1"/>
    <col min="8194" max="8194" width="11.5703125" style="34" bestFit="1" customWidth="1"/>
    <col min="8195" max="8195" width="9.42578125" style="34" bestFit="1" customWidth="1"/>
    <col min="8196" max="8196" width="6.5703125" style="34" bestFit="1" customWidth="1"/>
    <col min="8197" max="8197" width="7.7109375" style="34" bestFit="1" customWidth="1"/>
    <col min="8198" max="8198" width="6.5703125" style="34" bestFit="1" customWidth="1"/>
    <col min="8199" max="8199" width="6.42578125" style="34" bestFit="1" customWidth="1"/>
    <col min="8200" max="8200" width="10" style="34" bestFit="1" customWidth="1"/>
    <col min="8201" max="8201" width="7.140625" style="34" customWidth="1"/>
    <col min="8202" max="8202" width="6.7109375" style="34" bestFit="1" customWidth="1"/>
    <col min="8203" max="8203" width="5.42578125" style="34" bestFit="1" customWidth="1"/>
    <col min="8204" max="8204" width="6.28515625" style="34" bestFit="1" customWidth="1"/>
    <col min="8205" max="8205" width="5.42578125" style="34" customWidth="1"/>
    <col min="8206" max="8206" width="6.7109375" style="34" customWidth="1"/>
    <col min="8207" max="8207" width="7.42578125" style="34" customWidth="1"/>
    <col min="8208" max="8208" width="7.140625" style="34" customWidth="1"/>
    <col min="8209" max="8209" width="9.28515625" style="34" customWidth="1"/>
    <col min="8210" max="8210" width="10.7109375" style="34" customWidth="1"/>
    <col min="8211" max="8211" width="9.140625" style="34" customWidth="1"/>
    <col min="8212" max="8448" width="9.140625" style="34"/>
    <col min="8449" max="8449" width="4.5703125" style="34" bestFit="1" customWidth="1"/>
    <col min="8450" max="8450" width="11.5703125" style="34" bestFit="1" customWidth="1"/>
    <col min="8451" max="8451" width="9.42578125" style="34" bestFit="1" customWidth="1"/>
    <col min="8452" max="8452" width="6.5703125" style="34" bestFit="1" customWidth="1"/>
    <col min="8453" max="8453" width="7.7109375" style="34" bestFit="1" customWidth="1"/>
    <col min="8454" max="8454" width="6.5703125" style="34" bestFit="1" customWidth="1"/>
    <col min="8455" max="8455" width="6.42578125" style="34" bestFit="1" customWidth="1"/>
    <col min="8456" max="8456" width="10" style="34" bestFit="1" customWidth="1"/>
    <col min="8457" max="8457" width="7.140625" style="34" customWidth="1"/>
    <col min="8458" max="8458" width="6.7109375" style="34" bestFit="1" customWidth="1"/>
    <col min="8459" max="8459" width="5.42578125" style="34" bestFit="1" customWidth="1"/>
    <col min="8460" max="8460" width="6.28515625" style="34" bestFit="1" customWidth="1"/>
    <col min="8461" max="8461" width="5.42578125" style="34" customWidth="1"/>
    <col min="8462" max="8462" width="6.7109375" style="34" customWidth="1"/>
    <col min="8463" max="8463" width="7.42578125" style="34" customWidth="1"/>
    <col min="8464" max="8464" width="7.140625" style="34" customWidth="1"/>
    <col min="8465" max="8465" width="9.28515625" style="34" customWidth="1"/>
    <col min="8466" max="8466" width="10.7109375" style="34" customWidth="1"/>
    <col min="8467" max="8467" width="9.140625" style="34" customWidth="1"/>
    <col min="8468" max="8704" width="9.140625" style="34"/>
    <col min="8705" max="8705" width="4.5703125" style="34" bestFit="1" customWidth="1"/>
    <col min="8706" max="8706" width="11.5703125" style="34" bestFit="1" customWidth="1"/>
    <col min="8707" max="8707" width="9.42578125" style="34" bestFit="1" customWidth="1"/>
    <col min="8708" max="8708" width="6.5703125" style="34" bestFit="1" customWidth="1"/>
    <col min="8709" max="8709" width="7.7109375" style="34" bestFit="1" customWidth="1"/>
    <col min="8710" max="8710" width="6.5703125" style="34" bestFit="1" customWidth="1"/>
    <col min="8711" max="8711" width="6.42578125" style="34" bestFit="1" customWidth="1"/>
    <col min="8712" max="8712" width="10" style="34" bestFit="1" customWidth="1"/>
    <col min="8713" max="8713" width="7.140625" style="34" customWidth="1"/>
    <col min="8714" max="8714" width="6.7109375" style="34" bestFit="1" customWidth="1"/>
    <col min="8715" max="8715" width="5.42578125" style="34" bestFit="1" customWidth="1"/>
    <col min="8716" max="8716" width="6.28515625" style="34" bestFit="1" customWidth="1"/>
    <col min="8717" max="8717" width="5.42578125" style="34" customWidth="1"/>
    <col min="8718" max="8718" width="6.7109375" style="34" customWidth="1"/>
    <col min="8719" max="8719" width="7.42578125" style="34" customWidth="1"/>
    <col min="8720" max="8720" width="7.140625" style="34" customWidth="1"/>
    <col min="8721" max="8721" width="9.28515625" style="34" customWidth="1"/>
    <col min="8722" max="8722" width="10.7109375" style="34" customWidth="1"/>
    <col min="8723" max="8723" width="9.140625" style="34" customWidth="1"/>
    <col min="8724" max="8960" width="9.140625" style="34"/>
    <col min="8961" max="8961" width="4.5703125" style="34" bestFit="1" customWidth="1"/>
    <col min="8962" max="8962" width="11.5703125" style="34" bestFit="1" customWidth="1"/>
    <col min="8963" max="8963" width="9.42578125" style="34" bestFit="1" customWidth="1"/>
    <col min="8964" max="8964" width="6.5703125" style="34" bestFit="1" customWidth="1"/>
    <col min="8965" max="8965" width="7.7109375" style="34" bestFit="1" customWidth="1"/>
    <col min="8966" max="8966" width="6.5703125" style="34" bestFit="1" customWidth="1"/>
    <col min="8967" max="8967" width="6.42578125" style="34" bestFit="1" customWidth="1"/>
    <col min="8968" max="8968" width="10" style="34" bestFit="1" customWidth="1"/>
    <col min="8969" max="8969" width="7.140625" style="34" customWidth="1"/>
    <col min="8970" max="8970" width="6.7109375" style="34" bestFit="1" customWidth="1"/>
    <col min="8971" max="8971" width="5.42578125" style="34" bestFit="1" customWidth="1"/>
    <col min="8972" max="8972" width="6.28515625" style="34" bestFit="1" customWidth="1"/>
    <col min="8973" max="8973" width="5.42578125" style="34" customWidth="1"/>
    <col min="8974" max="8974" width="6.7109375" style="34" customWidth="1"/>
    <col min="8975" max="8975" width="7.42578125" style="34" customWidth="1"/>
    <col min="8976" max="8976" width="7.140625" style="34" customWidth="1"/>
    <col min="8977" max="8977" width="9.28515625" style="34" customWidth="1"/>
    <col min="8978" max="8978" width="10.7109375" style="34" customWidth="1"/>
    <col min="8979" max="8979" width="9.140625" style="34" customWidth="1"/>
    <col min="8980" max="9216" width="9.140625" style="34"/>
    <col min="9217" max="9217" width="4.5703125" style="34" bestFit="1" customWidth="1"/>
    <col min="9218" max="9218" width="11.5703125" style="34" bestFit="1" customWidth="1"/>
    <col min="9219" max="9219" width="9.42578125" style="34" bestFit="1" customWidth="1"/>
    <col min="9220" max="9220" width="6.5703125" style="34" bestFit="1" customWidth="1"/>
    <col min="9221" max="9221" width="7.7109375" style="34" bestFit="1" customWidth="1"/>
    <col min="9222" max="9222" width="6.5703125" style="34" bestFit="1" customWidth="1"/>
    <col min="9223" max="9223" width="6.42578125" style="34" bestFit="1" customWidth="1"/>
    <col min="9224" max="9224" width="10" style="34" bestFit="1" customWidth="1"/>
    <col min="9225" max="9225" width="7.140625" style="34" customWidth="1"/>
    <col min="9226" max="9226" width="6.7109375" style="34" bestFit="1" customWidth="1"/>
    <col min="9227" max="9227" width="5.42578125" style="34" bestFit="1" customWidth="1"/>
    <col min="9228" max="9228" width="6.28515625" style="34" bestFit="1" customWidth="1"/>
    <col min="9229" max="9229" width="5.42578125" style="34" customWidth="1"/>
    <col min="9230" max="9230" width="6.7109375" style="34" customWidth="1"/>
    <col min="9231" max="9231" width="7.42578125" style="34" customWidth="1"/>
    <col min="9232" max="9232" width="7.140625" style="34" customWidth="1"/>
    <col min="9233" max="9233" width="9.28515625" style="34" customWidth="1"/>
    <col min="9234" max="9234" width="10.7109375" style="34" customWidth="1"/>
    <col min="9235" max="9235" width="9.140625" style="34" customWidth="1"/>
    <col min="9236" max="9472" width="9.140625" style="34"/>
    <col min="9473" max="9473" width="4.5703125" style="34" bestFit="1" customWidth="1"/>
    <col min="9474" max="9474" width="11.5703125" style="34" bestFit="1" customWidth="1"/>
    <col min="9475" max="9475" width="9.42578125" style="34" bestFit="1" customWidth="1"/>
    <col min="9476" max="9476" width="6.5703125" style="34" bestFit="1" customWidth="1"/>
    <col min="9477" max="9477" width="7.7109375" style="34" bestFit="1" customWidth="1"/>
    <col min="9478" max="9478" width="6.5703125" style="34" bestFit="1" customWidth="1"/>
    <col min="9479" max="9479" width="6.42578125" style="34" bestFit="1" customWidth="1"/>
    <col min="9480" max="9480" width="10" style="34" bestFit="1" customWidth="1"/>
    <col min="9481" max="9481" width="7.140625" style="34" customWidth="1"/>
    <col min="9482" max="9482" width="6.7109375" style="34" bestFit="1" customWidth="1"/>
    <col min="9483" max="9483" width="5.42578125" style="34" bestFit="1" customWidth="1"/>
    <col min="9484" max="9484" width="6.28515625" style="34" bestFit="1" customWidth="1"/>
    <col min="9485" max="9485" width="5.42578125" style="34" customWidth="1"/>
    <col min="9486" max="9486" width="6.7109375" style="34" customWidth="1"/>
    <col min="9487" max="9487" width="7.42578125" style="34" customWidth="1"/>
    <col min="9488" max="9488" width="7.140625" style="34" customWidth="1"/>
    <col min="9489" max="9489" width="9.28515625" style="34" customWidth="1"/>
    <col min="9490" max="9490" width="10.7109375" style="34" customWidth="1"/>
    <col min="9491" max="9491" width="9.140625" style="34" customWidth="1"/>
    <col min="9492" max="9728" width="9.140625" style="34"/>
    <col min="9729" max="9729" width="4.5703125" style="34" bestFit="1" customWidth="1"/>
    <col min="9730" max="9730" width="11.5703125" style="34" bestFit="1" customWidth="1"/>
    <col min="9731" max="9731" width="9.42578125" style="34" bestFit="1" customWidth="1"/>
    <col min="9732" max="9732" width="6.5703125" style="34" bestFit="1" customWidth="1"/>
    <col min="9733" max="9733" width="7.7109375" style="34" bestFit="1" customWidth="1"/>
    <col min="9734" max="9734" width="6.5703125" style="34" bestFit="1" customWidth="1"/>
    <col min="9735" max="9735" width="6.42578125" style="34" bestFit="1" customWidth="1"/>
    <col min="9736" max="9736" width="10" style="34" bestFit="1" customWidth="1"/>
    <col min="9737" max="9737" width="7.140625" style="34" customWidth="1"/>
    <col min="9738" max="9738" width="6.7109375" style="34" bestFit="1" customWidth="1"/>
    <col min="9739" max="9739" width="5.42578125" style="34" bestFit="1" customWidth="1"/>
    <col min="9740" max="9740" width="6.28515625" style="34" bestFit="1" customWidth="1"/>
    <col min="9741" max="9741" width="5.42578125" style="34" customWidth="1"/>
    <col min="9742" max="9742" width="6.7109375" style="34" customWidth="1"/>
    <col min="9743" max="9743" width="7.42578125" style="34" customWidth="1"/>
    <col min="9744" max="9744" width="7.140625" style="34" customWidth="1"/>
    <col min="9745" max="9745" width="9.28515625" style="34" customWidth="1"/>
    <col min="9746" max="9746" width="10.7109375" style="34" customWidth="1"/>
    <col min="9747" max="9747" width="9.140625" style="34" customWidth="1"/>
    <col min="9748" max="9984" width="9.140625" style="34"/>
    <col min="9985" max="9985" width="4.5703125" style="34" bestFit="1" customWidth="1"/>
    <col min="9986" max="9986" width="11.5703125" style="34" bestFit="1" customWidth="1"/>
    <col min="9987" max="9987" width="9.42578125" style="34" bestFit="1" customWidth="1"/>
    <col min="9988" max="9988" width="6.5703125" style="34" bestFit="1" customWidth="1"/>
    <col min="9989" max="9989" width="7.7109375" style="34" bestFit="1" customWidth="1"/>
    <col min="9990" max="9990" width="6.5703125" style="34" bestFit="1" customWidth="1"/>
    <col min="9991" max="9991" width="6.42578125" style="34" bestFit="1" customWidth="1"/>
    <col min="9992" max="9992" width="10" style="34" bestFit="1" customWidth="1"/>
    <col min="9993" max="9993" width="7.140625" style="34" customWidth="1"/>
    <col min="9994" max="9994" width="6.7109375" style="34" bestFit="1" customWidth="1"/>
    <col min="9995" max="9995" width="5.42578125" style="34" bestFit="1" customWidth="1"/>
    <col min="9996" max="9996" width="6.28515625" style="34" bestFit="1" customWidth="1"/>
    <col min="9997" max="9997" width="5.42578125" style="34" customWidth="1"/>
    <col min="9998" max="9998" width="6.7109375" style="34" customWidth="1"/>
    <col min="9999" max="9999" width="7.42578125" style="34" customWidth="1"/>
    <col min="10000" max="10000" width="7.140625" style="34" customWidth="1"/>
    <col min="10001" max="10001" width="9.28515625" style="34" customWidth="1"/>
    <col min="10002" max="10002" width="10.7109375" style="34" customWidth="1"/>
    <col min="10003" max="10003" width="9.140625" style="34" customWidth="1"/>
    <col min="10004" max="10240" width="9.140625" style="34"/>
    <col min="10241" max="10241" width="4.5703125" style="34" bestFit="1" customWidth="1"/>
    <col min="10242" max="10242" width="11.5703125" style="34" bestFit="1" customWidth="1"/>
    <col min="10243" max="10243" width="9.42578125" style="34" bestFit="1" customWidth="1"/>
    <col min="10244" max="10244" width="6.5703125" style="34" bestFit="1" customWidth="1"/>
    <col min="10245" max="10245" width="7.7109375" style="34" bestFit="1" customWidth="1"/>
    <col min="10246" max="10246" width="6.5703125" style="34" bestFit="1" customWidth="1"/>
    <col min="10247" max="10247" width="6.42578125" style="34" bestFit="1" customWidth="1"/>
    <col min="10248" max="10248" width="10" style="34" bestFit="1" customWidth="1"/>
    <col min="10249" max="10249" width="7.140625" style="34" customWidth="1"/>
    <col min="10250" max="10250" width="6.7109375" style="34" bestFit="1" customWidth="1"/>
    <col min="10251" max="10251" width="5.42578125" style="34" bestFit="1" customWidth="1"/>
    <col min="10252" max="10252" width="6.28515625" style="34" bestFit="1" customWidth="1"/>
    <col min="10253" max="10253" width="5.42578125" style="34" customWidth="1"/>
    <col min="10254" max="10254" width="6.7109375" style="34" customWidth="1"/>
    <col min="10255" max="10255" width="7.42578125" style="34" customWidth="1"/>
    <col min="10256" max="10256" width="7.140625" style="34" customWidth="1"/>
    <col min="10257" max="10257" width="9.28515625" style="34" customWidth="1"/>
    <col min="10258" max="10258" width="10.7109375" style="34" customWidth="1"/>
    <col min="10259" max="10259" width="9.140625" style="34" customWidth="1"/>
    <col min="10260" max="10496" width="9.140625" style="34"/>
    <col min="10497" max="10497" width="4.5703125" style="34" bestFit="1" customWidth="1"/>
    <col min="10498" max="10498" width="11.5703125" style="34" bestFit="1" customWidth="1"/>
    <col min="10499" max="10499" width="9.42578125" style="34" bestFit="1" customWidth="1"/>
    <col min="10500" max="10500" width="6.5703125" style="34" bestFit="1" customWidth="1"/>
    <col min="10501" max="10501" width="7.7109375" style="34" bestFit="1" customWidth="1"/>
    <col min="10502" max="10502" width="6.5703125" style="34" bestFit="1" customWidth="1"/>
    <col min="10503" max="10503" width="6.42578125" style="34" bestFit="1" customWidth="1"/>
    <col min="10504" max="10504" width="10" style="34" bestFit="1" customWidth="1"/>
    <col min="10505" max="10505" width="7.140625" style="34" customWidth="1"/>
    <col min="10506" max="10506" width="6.7109375" style="34" bestFit="1" customWidth="1"/>
    <col min="10507" max="10507" width="5.42578125" style="34" bestFit="1" customWidth="1"/>
    <col min="10508" max="10508" width="6.28515625" style="34" bestFit="1" customWidth="1"/>
    <col min="10509" max="10509" width="5.42578125" style="34" customWidth="1"/>
    <col min="10510" max="10510" width="6.7109375" style="34" customWidth="1"/>
    <col min="10511" max="10511" width="7.42578125" style="34" customWidth="1"/>
    <col min="10512" max="10512" width="7.140625" style="34" customWidth="1"/>
    <col min="10513" max="10513" width="9.28515625" style="34" customWidth="1"/>
    <col min="10514" max="10514" width="10.7109375" style="34" customWidth="1"/>
    <col min="10515" max="10515" width="9.140625" style="34" customWidth="1"/>
    <col min="10516" max="10752" width="9.140625" style="34"/>
    <col min="10753" max="10753" width="4.5703125" style="34" bestFit="1" customWidth="1"/>
    <col min="10754" max="10754" width="11.5703125" style="34" bestFit="1" customWidth="1"/>
    <col min="10755" max="10755" width="9.42578125" style="34" bestFit="1" customWidth="1"/>
    <col min="10756" max="10756" width="6.5703125" style="34" bestFit="1" customWidth="1"/>
    <col min="10757" max="10757" width="7.7109375" style="34" bestFit="1" customWidth="1"/>
    <col min="10758" max="10758" width="6.5703125" style="34" bestFit="1" customWidth="1"/>
    <col min="10759" max="10759" width="6.42578125" style="34" bestFit="1" customWidth="1"/>
    <col min="10760" max="10760" width="10" style="34" bestFit="1" customWidth="1"/>
    <col min="10761" max="10761" width="7.140625" style="34" customWidth="1"/>
    <col min="10762" max="10762" width="6.7109375" style="34" bestFit="1" customWidth="1"/>
    <col min="10763" max="10763" width="5.42578125" style="34" bestFit="1" customWidth="1"/>
    <col min="10764" max="10764" width="6.28515625" style="34" bestFit="1" customWidth="1"/>
    <col min="10765" max="10765" width="5.42578125" style="34" customWidth="1"/>
    <col min="10766" max="10766" width="6.7109375" style="34" customWidth="1"/>
    <col min="10767" max="10767" width="7.42578125" style="34" customWidth="1"/>
    <col min="10768" max="10768" width="7.140625" style="34" customWidth="1"/>
    <col min="10769" max="10769" width="9.28515625" style="34" customWidth="1"/>
    <col min="10770" max="10770" width="10.7109375" style="34" customWidth="1"/>
    <col min="10771" max="10771" width="9.140625" style="34" customWidth="1"/>
    <col min="10772" max="11008" width="9.140625" style="34"/>
    <col min="11009" max="11009" width="4.5703125" style="34" bestFit="1" customWidth="1"/>
    <col min="11010" max="11010" width="11.5703125" style="34" bestFit="1" customWidth="1"/>
    <col min="11011" max="11011" width="9.42578125" style="34" bestFit="1" customWidth="1"/>
    <col min="11012" max="11012" width="6.5703125" style="34" bestFit="1" customWidth="1"/>
    <col min="11013" max="11013" width="7.7109375" style="34" bestFit="1" customWidth="1"/>
    <col min="11014" max="11014" width="6.5703125" style="34" bestFit="1" customWidth="1"/>
    <col min="11015" max="11015" width="6.42578125" style="34" bestFit="1" customWidth="1"/>
    <col min="11016" max="11016" width="10" style="34" bestFit="1" customWidth="1"/>
    <col min="11017" max="11017" width="7.140625" style="34" customWidth="1"/>
    <col min="11018" max="11018" width="6.7109375" style="34" bestFit="1" customWidth="1"/>
    <col min="11019" max="11019" width="5.42578125" style="34" bestFit="1" customWidth="1"/>
    <col min="11020" max="11020" width="6.28515625" style="34" bestFit="1" customWidth="1"/>
    <col min="11021" max="11021" width="5.42578125" style="34" customWidth="1"/>
    <col min="11022" max="11022" width="6.7109375" style="34" customWidth="1"/>
    <col min="11023" max="11023" width="7.42578125" style="34" customWidth="1"/>
    <col min="11024" max="11024" width="7.140625" style="34" customWidth="1"/>
    <col min="11025" max="11025" width="9.28515625" style="34" customWidth="1"/>
    <col min="11026" max="11026" width="10.7109375" style="34" customWidth="1"/>
    <col min="11027" max="11027" width="9.140625" style="34" customWidth="1"/>
    <col min="11028" max="11264" width="9.140625" style="34"/>
    <col min="11265" max="11265" width="4.5703125" style="34" bestFit="1" customWidth="1"/>
    <col min="11266" max="11266" width="11.5703125" style="34" bestFit="1" customWidth="1"/>
    <col min="11267" max="11267" width="9.42578125" style="34" bestFit="1" customWidth="1"/>
    <col min="11268" max="11268" width="6.5703125" style="34" bestFit="1" customWidth="1"/>
    <col min="11269" max="11269" width="7.7109375" style="34" bestFit="1" customWidth="1"/>
    <col min="11270" max="11270" width="6.5703125" style="34" bestFit="1" customWidth="1"/>
    <col min="11271" max="11271" width="6.42578125" style="34" bestFit="1" customWidth="1"/>
    <col min="11272" max="11272" width="10" style="34" bestFit="1" customWidth="1"/>
    <col min="11273" max="11273" width="7.140625" style="34" customWidth="1"/>
    <col min="11274" max="11274" width="6.7109375" style="34" bestFit="1" customWidth="1"/>
    <col min="11275" max="11275" width="5.42578125" style="34" bestFit="1" customWidth="1"/>
    <col min="11276" max="11276" width="6.28515625" style="34" bestFit="1" customWidth="1"/>
    <col min="11277" max="11277" width="5.42578125" style="34" customWidth="1"/>
    <col min="11278" max="11278" width="6.7109375" style="34" customWidth="1"/>
    <col min="11279" max="11279" width="7.42578125" style="34" customWidth="1"/>
    <col min="11280" max="11280" width="7.140625" style="34" customWidth="1"/>
    <col min="11281" max="11281" width="9.28515625" style="34" customWidth="1"/>
    <col min="11282" max="11282" width="10.7109375" style="34" customWidth="1"/>
    <col min="11283" max="11283" width="9.140625" style="34" customWidth="1"/>
    <col min="11284" max="11520" width="9.140625" style="34"/>
    <col min="11521" max="11521" width="4.5703125" style="34" bestFit="1" customWidth="1"/>
    <col min="11522" max="11522" width="11.5703125" style="34" bestFit="1" customWidth="1"/>
    <col min="11523" max="11523" width="9.42578125" style="34" bestFit="1" customWidth="1"/>
    <col min="11524" max="11524" width="6.5703125" style="34" bestFit="1" customWidth="1"/>
    <col min="11525" max="11525" width="7.7109375" style="34" bestFit="1" customWidth="1"/>
    <col min="11526" max="11526" width="6.5703125" style="34" bestFit="1" customWidth="1"/>
    <col min="11527" max="11527" width="6.42578125" style="34" bestFit="1" customWidth="1"/>
    <col min="11528" max="11528" width="10" style="34" bestFit="1" customWidth="1"/>
    <col min="11529" max="11529" width="7.140625" style="34" customWidth="1"/>
    <col min="11530" max="11530" width="6.7109375" style="34" bestFit="1" customWidth="1"/>
    <col min="11531" max="11531" width="5.42578125" style="34" bestFit="1" customWidth="1"/>
    <col min="11532" max="11532" width="6.28515625" style="34" bestFit="1" customWidth="1"/>
    <col min="11533" max="11533" width="5.42578125" style="34" customWidth="1"/>
    <col min="11534" max="11534" width="6.7109375" style="34" customWidth="1"/>
    <col min="11535" max="11535" width="7.42578125" style="34" customWidth="1"/>
    <col min="11536" max="11536" width="7.140625" style="34" customWidth="1"/>
    <col min="11537" max="11537" width="9.28515625" style="34" customWidth="1"/>
    <col min="11538" max="11538" width="10.7109375" style="34" customWidth="1"/>
    <col min="11539" max="11539" width="9.140625" style="34" customWidth="1"/>
    <col min="11540" max="11776" width="9.140625" style="34"/>
    <col min="11777" max="11777" width="4.5703125" style="34" bestFit="1" customWidth="1"/>
    <col min="11778" max="11778" width="11.5703125" style="34" bestFit="1" customWidth="1"/>
    <col min="11779" max="11779" width="9.42578125" style="34" bestFit="1" customWidth="1"/>
    <col min="11780" max="11780" width="6.5703125" style="34" bestFit="1" customWidth="1"/>
    <col min="11781" max="11781" width="7.7109375" style="34" bestFit="1" customWidth="1"/>
    <col min="11782" max="11782" width="6.5703125" style="34" bestFit="1" customWidth="1"/>
    <col min="11783" max="11783" width="6.42578125" style="34" bestFit="1" customWidth="1"/>
    <col min="11784" max="11784" width="10" style="34" bestFit="1" customWidth="1"/>
    <col min="11785" max="11785" width="7.140625" style="34" customWidth="1"/>
    <col min="11786" max="11786" width="6.7109375" style="34" bestFit="1" customWidth="1"/>
    <col min="11787" max="11787" width="5.42578125" style="34" bestFit="1" customWidth="1"/>
    <col min="11788" max="11788" width="6.28515625" style="34" bestFit="1" customWidth="1"/>
    <col min="11789" max="11789" width="5.42578125" style="34" customWidth="1"/>
    <col min="11790" max="11790" width="6.7109375" style="34" customWidth="1"/>
    <col min="11791" max="11791" width="7.42578125" style="34" customWidth="1"/>
    <col min="11792" max="11792" width="7.140625" style="34" customWidth="1"/>
    <col min="11793" max="11793" width="9.28515625" style="34" customWidth="1"/>
    <col min="11794" max="11794" width="10.7109375" style="34" customWidth="1"/>
    <col min="11795" max="11795" width="9.140625" style="34" customWidth="1"/>
    <col min="11796" max="12032" width="9.140625" style="34"/>
    <col min="12033" max="12033" width="4.5703125" style="34" bestFit="1" customWidth="1"/>
    <col min="12034" max="12034" width="11.5703125" style="34" bestFit="1" customWidth="1"/>
    <col min="12035" max="12035" width="9.42578125" style="34" bestFit="1" customWidth="1"/>
    <col min="12036" max="12036" width="6.5703125" style="34" bestFit="1" customWidth="1"/>
    <col min="12037" max="12037" width="7.7109375" style="34" bestFit="1" customWidth="1"/>
    <col min="12038" max="12038" width="6.5703125" style="34" bestFit="1" customWidth="1"/>
    <col min="12039" max="12039" width="6.42578125" style="34" bestFit="1" customWidth="1"/>
    <col min="12040" max="12040" width="10" style="34" bestFit="1" customWidth="1"/>
    <col min="12041" max="12041" width="7.140625" style="34" customWidth="1"/>
    <col min="12042" max="12042" width="6.7109375" style="34" bestFit="1" customWidth="1"/>
    <col min="12043" max="12043" width="5.42578125" style="34" bestFit="1" customWidth="1"/>
    <col min="12044" max="12044" width="6.28515625" style="34" bestFit="1" customWidth="1"/>
    <col min="12045" max="12045" width="5.42578125" style="34" customWidth="1"/>
    <col min="12046" max="12046" width="6.7109375" style="34" customWidth="1"/>
    <col min="12047" max="12047" width="7.42578125" style="34" customWidth="1"/>
    <col min="12048" max="12048" width="7.140625" style="34" customWidth="1"/>
    <col min="12049" max="12049" width="9.28515625" style="34" customWidth="1"/>
    <col min="12050" max="12050" width="10.7109375" style="34" customWidth="1"/>
    <col min="12051" max="12051" width="9.140625" style="34" customWidth="1"/>
    <col min="12052" max="12288" width="9.140625" style="34"/>
    <col min="12289" max="12289" width="4.5703125" style="34" bestFit="1" customWidth="1"/>
    <col min="12290" max="12290" width="11.5703125" style="34" bestFit="1" customWidth="1"/>
    <col min="12291" max="12291" width="9.42578125" style="34" bestFit="1" customWidth="1"/>
    <col min="12292" max="12292" width="6.5703125" style="34" bestFit="1" customWidth="1"/>
    <col min="12293" max="12293" width="7.7109375" style="34" bestFit="1" customWidth="1"/>
    <col min="12294" max="12294" width="6.5703125" style="34" bestFit="1" customWidth="1"/>
    <col min="12295" max="12295" width="6.42578125" style="34" bestFit="1" customWidth="1"/>
    <col min="12296" max="12296" width="10" style="34" bestFit="1" customWidth="1"/>
    <col min="12297" max="12297" width="7.140625" style="34" customWidth="1"/>
    <col min="12298" max="12298" width="6.7109375" style="34" bestFit="1" customWidth="1"/>
    <col min="12299" max="12299" width="5.42578125" style="34" bestFit="1" customWidth="1"/>
    <col min="12300" max="12300" width="6.28515625" style="34" bestFit="1" customWidth="1"/>
    <col min="12301" max="12301" width="5.42578125" style="34" customWidth="1"/>
    <col min="12302" max="12302" width="6.7109375" style="34" customWidth="1"/>
    <col min="12303" max="12303" width="7.42578125" style="34" customWidth="1"/>
    <col min="12304" max="12304" width="7.140625" style="34" customWidth="1"/>
    <col min="12305" max="12305" width="9.28515625" style="34" customWidth="1"/>
    <col min="12306" max="12306" width="10.7109375" style="34" customWidth="1"/>
    <col min="12307" max="12307" width="9.140625" style="34" customWidth="1"/>
    <col min="12308" max="12544" width="9.140625" style="34"/>
    <col min="12545" max="12545" width="4.5703125" style="34" bestFit="1" customWidth="1"/>
    <col min="12546" max="12546" width="11.5703125" style="34" bestFit="1" customWidth="1"/>
    <col min="12547" max="12547" width="9.42578125" style="34" bestFit="1" customWidth="1"/>
    <col min="12548" max="12548" width="6.5703125" style="34" bestFit="1" customWidth="1"/>
    <col min="12549" max="12549" width="7.7109375" style="34" bestFit="1" customWidth="1"/>
    <col min="12550" max="12550" width="6.5703125" style="34" bestFit="1" customWidth="1"/>
    <col min="12551" max="12551" width="6.42578125" style="34" bestFit="1" customWidth="1"/>
    <col min="12552" max="12552" width="10" style="34" bestFit="1" customWidth="1"/>
    <col min="12553" max="12553" width="7.140625" style="34" customWidth="1"/>
    <col min="12554" max="12554" width="6.7109375" style="34" bestFit="1" customWidth="1"/>
    <col min="12555" max="12555" width="5.42578125" style="34" bestFit="1" customWidth="1"/>
    <col min="12556" max="12556" width="6.28515625" style="34" bestFit="1" customWidth="1"/>
    <col min="12557" max="12557" width="5.42578125" style="34" customWidth="1"/>
    <col min="12558" max="12558" width="6.7109375" style="34" customWidth="1"/>
    <col min="12559" max="12559" width="7.42578125" style="34" customWidth="1"/>
    <col min="12560" max="12560" width="7.140625" style="34" customWidth="1"/>
    <col min="12561" max="12561" width="9.28515625" style="34" customWidth="1"/>
    <col min="12562" max="12562" width="10.7109375" style="34" customWidth="1"/>
    <col min="12563" max="12563" width="9.140625" style="34" customWidth="1"/>
    <col min="12564" max="12800" width="9.140625" style="34"/>
    <col min="12801" max="12801" width="4.5703125" style="34" bestFit="1" customWidth="1"/>
    <col min="12802" max="12802" width="11.5703125" style="34" bestFit="1" customWidth="1"/>
    <col min="12803" max="12803" width="9.42578125" style="34" bestFit="1" customWidth="1"/>
    <col min="12804" max="12804" width="6.5703125" style="34" bestFit="1" customWidth="1"/>
    <col min="12805" max="12805" width="7.7109375" style="34" bestFit="1" customWidth="1"/>
    <col min="12806" max="12806" width="6.5703125" style="34" bestFit="1" customWidth="1"/>
    <col min="12807" max="12807" width="6.42578125" style="34" bestFit="1" customWidth="1"/>
    <col min="12808" max="12808" width="10" style="34" bestFit="1" customWidth="1"/>
    <col min="12809" max="12809" width="7.140625" style="34" customWidth="1"/>
    <col min="12810" max="12810" width="6.7109375" style="34" bestFit="1" customWidth="1"/>
    <col min="12811" max="12811" width="5.42578125" style="34" bestFit="1" customWidth="1"/>
    <col min="12812" max="12812" width="6.28515625" style="34" bestFit="1" customWidth="1"/>
    <col min="12813" max="12813" width="5.42578125" style="34" customWidth="1"/>
    <col min="12814" max="12814" width="6.7109375" style="34" customWidth="1"/>
    <col min="12815" max="12815" width="7.42578125" style="34" customWidth="1"/>
    <col min="12816" max="12816" width="7.140625" style="34" customWidth="1"/>
    <col min="12817" max="12817" width="9.28515625" style="34" customWidth="1"/>
    <col min="12818" max="12818" width="10.7109375" style="34" customWidth="1"/>
    <col min="12819" max="12819" width="9.140625" style="34" customWidth="1"/>
    <col min="12820" max="13056" width="9.140625" style="34"/>
    <col min="13057" max="13057" width="4.5703125" style="34" bestFit="1" customWidth="1"/>
    <col min="13058" max="13058" width="11.5703125" style="34" bestFit="1" customWidth="1"/>
    <col min="13059" max="13059" width="9.42578125" style="34" bestFit="1" customWidth="1"/>
    <col min="13060" max="13060" width="6.5703125" style="34" bestFit="1" customWidth="1"/>
    <col min="13061" max="13061" width="7.7109375" style="34" bestFit="1" customWidth="1"/>
    <col min="13062" max="13062" width="6.5703125" style="34" bestFit="1" customWidth="1"/>
    <col min="13063" max="13063" width="6.42578125" style="34" bestFit="1" customWidth="1"/>
    <col min="13064" max="13064" width="10" style="34" bestFit="1" customWidth="1"/>
    <col min="13065" max="13065" width="7.140625" style="34" customWidth="1"/>
    <col min="13066" max="13066" width="6.7109375" style="34" bestFit="1" customWidth="1"/>
    <col min="13067" max="13067" width="5.42578125" style="34" bestFit="1" customWidth="1"/>
    <col min="13068" max="13068" width="6.28515625" style="34" bestFit="1" customWidth="1"/>
    <col min="13069" max="13069" width="5.42578125" style="34" customWidth="1"/>
    <col min="13070" max="13070" width="6.7109375" style="34" customWidth="1"/>
    <col min="13071" max="13071" width="7.42578125" style="34" customWidth="1"/>
    <col min="13072" max="13072" width="7.140625" style="34" customWidth="1"/>
    <col min="13073" max="13073" width="9.28515625" style="34" customWidth="1"/>
    <col min="13074" max="13074" width="10.7109375" style="34" customWidth="1"/>
    <col min="13075" max="13075" width="9.140625" style="34" customWidth="1"/>
    <col min="13076" max="13312" width="9.140625" style="34"/>
    <col min="13313" max="13313" width="4.5703125" style="34" bestFit="1" customWidth="1"/>
    <col min="13314" max="13314" width="11.5703125" style="34" bestFit="1" customWidth="1"/>
    <col min="13315" max="13315" width="9.42578125" style="34" bestFit="1" customWidth="1"/>
    <col min="13316" max="13316" width="6.5703125" style="34" bestFit="1" customWidth="1"/>
    <col min="13317" max="13317" width="7.7109375" style="34" bestFit="1" customWidth="1"/>
    <col min="13318" max="13318" width="6.5703125" style="34" bestFit="1" customWidth="1"/>
    <col min="13319" max="13319" width="6.42578125" style="34" bestFit="1" customWidth="1"/>
    <col min="13320" max="13320" width="10" style="34" bestFit="1" customWidth="1"/>
    <col min="13321" max="13321" width="7.140625" style="34" customWidth="1"/>
    <col min="13322" max="13322" width="6.7109375" style="34" bestFit="1" customWidth="1"/>
    <col min="13323" max="13323" width="5.42578125" style="34" bestFit="1" customWidth="1"/>
    <col min="13324" max="13324" width="6.28515625" style="34" bestFit="1" customWidth="1"/>
    <col min="13325" max="13325" width="5.42578125" style="34" customWidth="1"/>
    <col min="13326" max="13326" width="6.7109375" style="34" customWidth="1"/>
    <col min="13327" max="13327" width="7.42578125" style="34" customWidth="1"/>
    <col min="13328" max="13328" width="7.140625" style="34" customWidth="1"/>
    <col min="13329" max="13329" width="9.28515625" style="34" customWidth="1"/>
    <col min="13330" max="13330" width="10.7109375" style="34" customWidth="1"/>
    <col min="13331" max="13331" width="9.140625" style="34" customWidth="1"/>
    <col min="13332" max="13568" width="9.140625" style="34"/>
    <col min="13569" max="13569" width="4.5703125" style="34" bestFit="1" customWidth="1"/>
    <col min="13570" max="13570" width="11.5703125" style="34" bestFit="1" customWidth="1"/>
    <col min="13571" max="13571" width="9.42578125" style="34" bestFit="1" customWidth="1"/>
    <col min="13572" max="13572" width="6.5703125" style="34" bestFit="1" customWidth="1"/>
    <col min="13573" max="13573" width="7.7109375" style="34" bestFit="1" customWidth="1"/>
    <col min="13574" max="13574" width="6.5703125" style="34" bestFit="1" customWidth="1"/>
    <col min="13575" max="13575" width="6.42578125" style="34" bestFit="1" customWidth="1"/>
    <col min="13576" max="13576" width="10" style="34" bestFit="1" customWidth="1"/>
    <col min="13577" max="13577" width="7.140625" style="34" customWidth="1"/>
    <col min="13578" max="13578" width="6.7109375" style="34" bestFit="1" customWidth="1"/>
    <col min="13579" max="13579" width="5.42578125" style="34" bestFit="1" customWidth="1"/>
    <col min="13580" max="13580" width="6.28515625" style="34" bestFit="1" customWidth="1"/>
    <col min="13581" max="13581" width="5.42578125" style="34" customWidth="1"/>
    <col min="13582" max="13582" width="6.7109375" style="34" customWidth="1"/>
    <col min="13583" max="13583" width="7.42578125" style="34" customWidth="1"/>
    <col min="13584" max="13584" width="7.140625" style="34" customWidth="1"/>
    <col min="13585" max="13585" width="9.28515625" style="34" customWidth="1"/>
    <col min="13586" max="13586" width="10.7109375" style="34" customWidth="1"/>
    <col min="13587" max="13587" width="9.140625" style="34" customWidth="1"/>
    <col min="13588" max="13824" width="9.140625" style="34"/>
    <col min="13825" max="13825" width="4.5703125" style="34" bestFit="1" customWidth="1"/>
    <col min="13826" max="13826" width="11.5703125" style="34" bestFit="1" customWidth="1"/>
    <col min="13827" max="13827" width="9.42578125" style="34" bestFit="1" customWidth="1"/>
    <col min="13828" max="13828" width="6.5703125" style="34" bestFit="1" customWidth="1"/>
    <col min="13829" max="13829" width="7.7109375" style="34" bestFit="1" customWidth="1"/>
    <col min="13830" max="13830" width="6.5703125" style="34" bestFit="1" customWidth="1"/>
    <col min="13831" max="13831" width="6.42578125" style="34" bestFit="1" customWidth="1"/>
    <col min="13832" max="13832" width="10" style="34" bestFit="1" customWidth="1"/>
    <col min="13833" max="13833" width="7.140625" style="34" customWidth="1"/>
    <col min="13834" max="13834" width="6.7109375" style="34" bestFit="1" customWidth="1"/>
    <col min="13835" max="13835" width="5.42578125" style="34" bestFit="1" customWidth="1"/>
    <col min="13836" max="13836" width="6.28515625" style="34" bestFit="1" customWidth="1"/>
    <col min="13837" max="13837" width="5.42578125" style="34" customWidth="1"/>
    <col min="13838" max="13838" width="6.7109375" style="34" customWidth="1"/>
    <col min="13839" max="13839" width="7.42578125" style="34" customWidth="1"/>
    <col min="13840" max="13840" width="7.140625" style="34" customWidth="1"/>
    <col min="13841" max="13841" width="9.28515625" style="34" customWidth="1"/>
    <col min="13842" max="13842" width="10.7109375" style="34" customWidth="1"/>
    <col min="13843" max="13843" width="9.140625" style="34" customWidth="1"/>
    <col min="13844" max="14080" width="9.140625" style="34"/>
    <col min="14081" max="14081" width="4.5703125" style="34" bestFit="1" customWidth="1"/>
    <col min="14082" max="14082" width="11.5703125" style="34" bestFit="1" customWidth="1"/>
    <col min="14083" max="14083" width="9.42578125" style="34" bestFit="1" customWidth="1"/>
    <col min="14084" max="14084" width="6.5703125" style="34" bestFit="1" customWidth="1"/>
    <col min="14085" max="14085" width="7.7109375" style="34" bestFit="1" customWidth="1"/>
    <col min="14086" max="14086" width="6.5703125" style="34" bestFit="1" customWidth="1"/>
    <col min="14087" max="14087" width="6.42578125" style="34" bestFit="1" customWidth="1"/>
    <col min="14088" max="14088" width="10" style="34" bestFit="1" customWidth="1"/>
    <col min="14089" max="14089" width="7.140625" style="34" customWidth="1"/>
    <col min="14090" max="14090" width="6.7109375" style="34" bestFit="1" customWidth="1"/>
    <col min="14091" max="14091" width="5.42578125" style="34" bestFit="1" customWidth="1"/>
    <col min="14092" max="14092" width="6.28515625" style="34" bestFit="1" customWidth="1"/>
    <col min="14093" max="14093" width="5.42578125" style="34" customWidth="1"/>
    <col min="14094" max="14094" width="6.7109375" style="34" customWidth="1"/>
    <col min="14095" max="14095" width="7.42578125" style="34" customWidth="1"/>
    <col min="14096" max="14096" width="7.140625" style="34" customWidth="1"/>
    <col min="14097" max="14097" width="9.28515625" style="34" customWidth="1"/>
    <col min="14098" max="14098" width="10.7109375" style="34" customWidth="1"/>
    <col min="14099" max="14099" width="9.140625" style="34" customWidth="1"/>
    <col min="14100" max="14336" width="9.140625" style="34"/>
    <col min="14337" max="14337" width="4.5703125" style="34" bestFit="1" customWidth="1"/>
    <col min="14338" max="14338" width="11.5703125" style="34" bestFit="1" customWidth="1"/>
    <col min="14339" max="14339" width="9.42578125" style="34" bestFit="1" customWidth="1"/>
    <col min="14340" max="14340" width="6.5703125" style="34" bestFit="1" customWidth="1"/>
    <col min="14341" max="14341" width="7.7109375" style="34" bestFit="1" customWidth="1"/>
    <col min="14342" max="14342" width="6.5703125" style="34" bestFit="1" customWidth="1"/>
    <col min="14343" max="14343" width="6.42578125" style="34" bestFit="1" customWidth="1"/>
    <col min="14344" max="14344" width="10" style="34" bestFit="1" customWidth="1"/>
    <col min="14345" max="14345" width="7.140625" style="34" customWidth="1"/>
    <col min="14346" max="14346" width="6.7109375" style="34" bestFit="1" customWidth="1"/>
    <col min="14347" max="14347" width="5.42578125" style="34" bestFit="1" customWidth="1"/>
    <col min="14348" max="14348" width="6.28515625" style="34" bestFit="1" customWidth="1"/>
    <col min="14349" max="14349" width="5.42578125" style="34" customWidth="1"/>
    <col min="14350" max="14350" width="6.7109375" style="34" customWidth="1"/>
    <col min="14351" max="14351" width="7.42578125" style="34" customWidth="1"/>
    <col min="14352" max="14352" width="7.140625" style="34" customWidth="1"/>
    <col min="14353" max="14353" width="9.28515625" style="34" customWidth="1"/>
    <col min="14354" max="14354" width="10.7109375" style="34" customWidth="1"/>
    <col min="14355" max="14355" width="9.140625" style="34" customWidth="1"/>
    <col min="14356" max="14592" width="9.140625" style="34"/>
    <col min="14593" max="14593" width="4.5703125" style="34" bestFit="1" customWidth="1"/>
    <col min="14594" max="14594" width="11.5703125" style="34" bestFit="1" customWidth="1"/>
    <col min="14595" max="14595" width="9.42578125" style="34" bestFit="1" customWidth="1"/>
    <col min="14596" max="14596" width="6.5703125" style="34" bestFit="1" customWidth="1"/>
    <col min="14597" max="14597" width="7.7109375" style="34" bestFit="1" customWidth="1"/>
    <col min="14598" max="14598" width="6.5703125" style="34" bestFit="1" customWidth="1"/>
    <col min="14599" max="14599" width="6.42578125" style="34" bestFit="1" customWidth="1"/>
    <col min="14600" max="14600" width="10" style="34" bestFit="1" customWidth="1"/>
    <col min="14601" max="14601" width="7.140625" style="34" customWidth="1"/>
    <col min="14602" max="14602" width="6.7109375" style="34" bestFit="1" customWidth="1"/>
    <col min="14603" max="14603" width="5.42578125" style="34" bestFit="1" customWidth="1"/>
    <col min="14604" max="14604" width="6.28515625" style="34" bestFit="1" customWidth="1"/>
    <col min="14605" max="14605" width="5.42578125" style="34" customWidth="1"/>
    <col min="14606" max="14606" width="6.7109375" style="34" customWidth="1"/>
    <col min="14607" max="14607" width="7.42578125" style="34" customWidth="1"/>
    <col min="14608" max="14608" width="7.140625" style="34" customWidth="1"/>
    <col min="14609" max="14609" width="9.28515625" style="34" customWidth="1"/>
    <col min="14610" max="14610" width="10.7109375" style="34" customWidth="1"/>
    <col min="14611" max="14611" width="9.140625" style="34" customWidth="1"/>
    <col min="14612" max="14848" width="9.140625" style="34"/>
    <col min="14849" max="14849" width="4.5703125" style="34" bestFit="1" customWidth="1"/>
    <col min="14850" max="14850" width="11.5703125" style="34" bestFit="1" customWidth="1"/>
    <col min="14851" max="14851" width="9.42578125" style="34" bestFit="1" customWidth="1"/>
    <col min="14852" max="14852" width="6.5703125" style="34" bestFit="1" customWidth="1"/>
    <col min="14853" max="14853" width="7.7109375" style="34" bestFit="1" customWidth="1"/>
    <col min="14854" max="14854" width="6.5703125" style="34" bestFit="1" customWidth="1"/>
    <col min="14855" max="14855" width="6.42578125" style="34" bestFit="1" customWidth="1"/>
    <col min="14856" max="14856" width="10" style="34" bestFit="1" customWidth="1"/>
    <col min="14857" max="14857" width="7.140625" style="34" customWidth="1"/>
    <col min="14858" max="14858" width="6.7109375" style="34" bestFit="1" customWidth="1"/>
    <col min="14859" max="14859" width="5.42578125" style="34" bestFit="1" customWidth="1"/>
    <col min="14860" max="14860" width="6.28515625" style="34" bestFit="1" customWidth="1"/>
    <col min="14861" max="14861" width="5.42578125" style="34" customWidth="1"/>
    <col min="14862" max="14862" width="6.7109375" style="34" customWidth="1"/>
    <col min="14863" max="14863" width="7.42578125" style="34" customWidth="1"/>
    <col min="14864" max="14864" width="7.140625" style="34" customWidth="1"/>
    <col min="14865" max="14865" width="9.28515625" style="34" customWidth="1"/>
    <col min="14866" max="14866" width="10.7109375" style="34" customWidth="1"/>
    <col min="14867" max="14867" width="9.140625" style="34" customWidth="1"/>
    <col min="14868" max="15104" width="9.140625" style="34"/>
    <col min="15105" max="15105" width="4.5703125" style="34" bestFit="1" customWidth="1"/>
    <col min="15106" max="15106" width="11.5703125" style="34" bestFit="1" customWidth="1"/>
    <col min="15107" max="15107" width="9.42578125" style="34" bestFit="1" customWidth="1"/>
    <col min="15108" max="15108" width="6.5703125" style="34" bestFit="1" customWidth="1"/>
    <col min="15109" max="15109" width="7.7109375" style="34" bestFit="1" customWidth="1"/>
    <col min="15110" max="15110" width="6.5703125" style="34" bestFit="1" customWidth="1"/>
    <col min="15111" max="15111" width="6.42578125" style="34" bestFit="1" customWidth="1"/>
    <col min="15112" max="15112" width="10" style="34" bestFit="1" customWidth="1"/>
    <col min="15113" max="15113" width="7.140625" style="34" customWidth="1"/>
    <col min="15114" max="15114" width="6.7109375" style="34" bestFit="1" customWidth="1"/>
    <col min="15115" max="15115" width="5.42578125" style="34" bestFit="1" customWidth="1"/>
    <col min="15116" max="15116" width="6.28515625" style="34" bestFit="1" customWidth="1"/>
    <col min="15117" max="15117" width="5.42578125" style="34" customWidth="1"/>
    <col min="15118" max="15118" width="6.7109375" style="34" customWidth="1"/>
    <col min="15119" max="15119" width="7.42578125" style="34" customWidth="1"/>
    <col min="15120" max="15120" width="7.140625" style="34" customWidth="1"/>
    <col min="15121" max="15121" width="9.28515625" style="34" customWidth="1"/>
    <col min="15122" max="15122" width="10.7109375" style="34" customWidth="1"/>
    <col min="15123" max="15123" width="9.140625" style="34" customWidth="1"/>
    <col min="15124" max="15360" width="9.140625" style="34"/>
    <col min="15361" max="15361" width="4.5703125" style="34" bestFit="1" customWidth="1"/>
    <col min="15362" max="15362" width="11.5703125" style="34" bestFit="1" customWidth="1"/>
    <col min="15363" max="15363" width="9.42578125" style="34" bestFit="1" customWidth="1"/>
    <col min="15364" max="15364" width="6.5703125" style="34" bestFit="1" customWidth="1"/>
    <col min="15365" max="15365" width="7.7109375" style="34" bestFit="1" customWidth="1"/>
    <col min="15366" max="15366" width="6.5703125" style="34" bestFit="1" customWidth="1"/>
    <col min="15367" max="15367" width="6.42578125" style="34" bestFit="1" customWidth="1"/>
    <col min="15368" max="15368" width="10" style="34" bestFit="1" customWidth="1"/>
    <col min="15369" max="15369" width="7.140625" style="34" customWidth="1"/>
    <col min="15370" max="15370" width="6.7109375" style="34" bestFit="1" customWidth="1"/>
    <col min="15371" max="15371" width="5.42578125" style="34" bestFit="1" customWidth="1"/>
    <col min="15372" max="15372" width="6.28515625" style="34" bestFit="1" customWidth="1"/>
    <col min="15373" max="15373" width="5.42578125" style="34" customWidth="1"/>
    <col min="15374" max="15374" width="6.7109375" style="34" customWidth="1"/>
    <col min="15375" max="15375" width="7.42578125" style="34" customWidth="1"/>
    <col min="15376" max="15376" width="7.140625" style="34" customWidth="1"/>
    <col min="15377" max="15377" width="9.28515625" style="34" customWidth="1"/>
    <col min="15378" max="15378" width="10.7109375" style="34" customWidth="1"/>
    <col min="15379" max="15379" width="9.140625" style="34" customWidth="1"/>
    <col min="15380" max="15616" width="9.140625" style="34"/>
    <col min="15617" max="15617" width="4.5703125" style="34" bestFit="1" customWidth="1"/>
    <col min="15618" max="15618" width="11.5703125" style="34" bestFit="1" customWidth="1"/>
    <col min="15619" max="15619" width="9.42578125" style="34" bestFit="1" customWidth="1"/>
    <col min="15620" max="15620" width="6.5703125" style="34" bestFit="1" customWidth="1"/>
    <col min="15621" max="15621" width="7.7109375" style="34" bestFit="1" customWidth="1"/>
    <col min="15622" max="15622" width="6.5703125" style="34" bestFit="1" customWidth="1"/>
    <col min="15623" max="15623" width="6.42578125" style="34" bestFit="1" customWidth="1"/>
    <col min="15624" max="15624" width="10" style="34" bestFit="1" customWidth="1"/>
    <col min="15625" max="15625" width="7.140625" style="34" customWidth="1"/>
    <col min="15626" max="15626" width="6.7109375" style="34" bestFit="1" customWidth="1"/>
    <col min="15627" max="15627" width="5.42578125" style="34" bestFit="1" customWidth="1"/>
    <col min="15628" max="15628" width="6.28515625" style="34" bestFit="1" customWidth="1"/>
    <col min="15629" max="15629" width="5.42578125" style="34" customWidth="1"/>
    <col min="15630" max="15630" width="6.7109375" style="34" customWidth="1"/>
    <col min="15631" max="15631" width="7.42578125" style="34" customWidth="1"/>
    <col min="15632" max="15632" width="7.140625" style="34" customWidth="1"/>
    <col min="15633" max="15633" width="9.28515625" style="34" customWidth="1"/>
    <col min="15634" max="15634" width="10.7109375" style="34" customWidth="1"/>
    <col min="15635" max="15635" width="9.140625" style="34" customWidth="1"/>
    <col min="15636" max="15872" width="9.140625" style="34"/>
    <col min="15873" max="15873" width="4.5703125" style="34" bestFit="1" customWidth="1"/>
    <col min="15874" max="15874" width="11.5703125" style="34" bestFit="1" customWidth="1"/>
    <col min="15875" max="15875" width="9.42578125" style="34" bestFit="1" customWidth="1"/>
    <col min="15876" max="15876" width="6.5703125" style="34" bestFit="1" customWidth="1"/>
    <col min="15877" max="15877" width="7.7109375" style="34" bestFit="1" customWidth="1"/>
    <col min="15878" max="15878" width="6.5703125" style="34" bestFit="1" customWidth="1"/>
    <col min="15879" max="15879" width="6.42578125" style="34" bestFit="1" customWidth="1"/>
    <col min="15880" max="15880" width="10" style="34" bestFit="1" customWidth="1"/>
    <col min="15881" max="15881" width="7.140625" style="34" customWidth="1"/>
    <col min="15882" max="15882" width="6.7109375" style="34" bestFit="1" customWidth="1"/>
    <col min="15883" max="15883" width="5.42578125" style="34" bestFit="1" customWidth="1"/>
    <col min="15884" max="15884" width="6.28515625" style="34" bestFit="1" customWidth="1"/>
    <col min="15885" max="15885" width="5.42578125" style="34" customWidth="1"/>
    <col min="15886" max="15886" width="6.7109375" style="34" customWidth="1"/>
    <col min="15887" max="15887" width="7.42578125" style="34" customWidth="1"/>
    <col min="15888" max="15888" width="7.140625" style="34" customWidth="1"/>
    <col min="15889" max="15889" width="9.28515625" style="34" customWidth="1"/>
    <col min="15890" max="15890" width="10.7109375" style="34" customWidth="1"/>
    <col min="15891" max="15891" width="9.140625" style="34" customWidth="1"/>
    <col min="15892" max="16128" width="9.140625" style="34"/>
    <col min="16129" max="16129" width="4.5703125" style="34" bestFit="1" customWidth="1"/>
    <col min="16130" max="16130" width="11.5703125" style="34" bestFit="1" customWidth="1"/>
    <col min="16131" max="16131" width="9.42578125" style="34" bestFit="1" customWidth="1"/>
    <col min="16132" max="16132" width="6.5703125" style="34" bestFit="1" customWidth="1"/>
    <col min="16133" max="16133" width="7.7109375" style="34" bestFit="1" customWidth="1"/>
    <col min="16134" max="16134" width="6.5703125" style="34" bestFit="1" customWidth="1"/>
    <col min="16135" max="16135" width="6.42578125" style="34" bestFit="1" customWidth="1"/>
    <col min="16136" max="16136" width="10" style="34" bestFit="1" customWidth="1"/>
    <col min="16137" max="16137" width="7.140625" style="34" customWidth="1"/>
    <col min="16138" max="16138" width="6.7109375" style="34" bestFit="1" customWidth="1"/>
    <col min="16139" max="16139" width="5.42578125" style="34" bestFit="1" customWidth="1"/>
    <col min="16140" max="16140" width="6.28515625" style="34" bestFit="1" customWidth="1"/>
    <col min="16141" max="16141" width="5.42578125" style="34" customWidth="1"/>
    <col min="16142" max="16142" width="6.7109375" style="34" customWidth="1"/>
    <col min="16143" max="16143" width="7.42578125" style="34" customWidth="1"/>
    <col min="16144" max="16144" width="7.140625" style="34" customWidth="1"/>
    <col min="16145" max="16145" width="9.28515625" style="34" customWidth="1"/>
    <col min="16146" max="16146" width="10.7109375" style="34" customWidth="1"/>
    <col min="16147" max="16147" width="9.140625" style="34" customWidth="1"/>
    <col min="16148" max="16384" width="9.140625" style="34"/>
  </cols>
  <sheetData>
    <row r="1" spans="1:21" s="32" customFormat="1" ht="43.9" customHeight="1" x14ac:dyDescent="0.25">
      <c r="A1" s="37" t="s">
        <v>39</v>
      </c>
      <c r="B1" s="38" t="s">
        <v>80</v>
      </c>
      <c r="C1" s="38" t="s">
        <v>81</v>
      </c>
      <c r="D1" s="38" t="s">
        <v>8</v>
      </c>
      <c r="E1" s="39" t="s">
        <v>0</v>
      </c>
      <c r="F1" s="40" t="s">
        <v>40</v>
      </c>
      <c r="G1" s="40" t="s">
        <v>41</v>
      </c>
      <c r="H1" s="38" t="s">
        <v>82</v>
      </c>
      <c r="I1" s="38" t="s">
        <v>46</v>
      </c>
      <c r="J1" s="38" t="s">
        <v>83</v>
      </c>
      <c r="K1" s="38" t="s">
        <v>42</v>
      </c>
      <c r="L1" s="38" t="s">
        <v>84</v>
      </c>
      <c r="M1" s="38" t="s">
        <v>43</v>
      </c>
      <c r="N1" s="38" t="s">
        <v>85</v>
      </c>
      <c r="O1" s="38" t="s">
        <v>86</v>
      </c>
      <c r="P1" s="38" t="s">
        <v>44</v>
      </c>
      <c r="Q1" s="38" t="s">
        <v>87</v>
      </c>
      <c r="R1" s="38" t="s">
        <v>88</v>
      </c>
      <c r="S1" s="38" t="s">
        <v>45</v>
      </c>
      <c r="T1" s="41" t="s">
        <v>93</v>
      </c>
      <c r="U1" s="41" t="s">
        <v>94</v>
      </c>
    </row>
    <row r="2" spans="1:21" s="57" customFormat="1" x14ac:dyDescent="0.25">
      <c r="A2" s="56">
        <v>2015</v>
      </c>
      <c r="B2" s="57" t="s">
        <v>107</v>
      </c>
      <c r="C2" s="57">
        <v>18242</v>
      </c>
      <c r="D2" s="57">
        <v>35</v>
      </c>
      <c r="E2" s="58">
        <v>42247</v>
      </c>
      <c r="F2" s="57" t="s">
        <v>108</v>
      </c>
      <c r="G2" s="57" t="s">
        <v>9</v>
      </c>
      <c r="H2" s="57" t="s">
        <v>109</v>
      </c>
      <c r="I2" s="57" t="s">
        <v>9</v>
      </c>
      <c r="J2" s="57" t="s">
        <v>110</v>
      </c>
      <c r="K2" s="57" t="s">
        <v>111</v>
      </c>
      <c r="L2" s="57" t="s">
        <v>6</v>
      </c>
      <c r="M2" s="57" t="s">
        <v>112</v>
      </c>
      <c r="N2" s="57">
        <v>0</v>
      </c>
      <c r="O2" s="57">
        <v>50</v>
      </c>
      <c r="P2" s="57">
        <v>50</v>
      </c>
      <c r="Q2" s="57">
        <v>1</v>
      </c>
      <c r="R2" s="57" t="s">
        <v>113</v>
      </c>
      <c r="T2" s="57" t="s">
        <v>114</v>
      </c>
      <c r="U2" s="57" t="s">
        <v>114</v>
      </c>
    </row>
    <row r="3" spans="1:21" x14ac:dyDescent="0.25">
      <c r="A3" s="36">
        <v>2015</v>
      </c>
      <c r="B3" s="34" t="s">
        <v>115</v>
      </c>
      <c r="C3" s="34">
        <v>18243</v>
      </c>
      <c r="D3" s="34">
        <v>35</v>
      </c>
      <c r="E3" s="35">
        <v>42247</v>
      </c>
      <c r="F3" s="34" t="s">
        <v>108</v>
      </c>
      <c r="G3" s="34" t="s">
        <v>9</v>
      </c>
      <c r="H3" s="34" t="s">
        <v>109</v>
      </c>
      <c r="I3" s="34" t="s">
        <v>9</v>
      </c>
      <c r="J3" s="34" t="s">
        <v>110</v>
      </c>
      <c r="K3" s="34" t="s">
        <v>111</v>
      </c>
      <c r="L3" s="34" t="s">
        <v>6</v>
      </c>
      <c r="M3" s="34" t="s">
        <v>112</v>
      </c>
      <c r="N3" s="34">
        <v>0</v>
      </c>
      <c r="O3" s="34">
        <v>4</v>
      </c>
      <c r="P3" s="34">
        <v>4</v>
      </c>
      <c r="Q3" s="34">
        <v>0</v>
      </c>
      <c r="R3" s="34" t="s">
        <v>116</v>
      </c>
      <c r="T3" s="34" t="s">
        <v>114</v>
      </c>
      <c r="U3" s="34" t="s">
        <v>114</v>
      </c>
    </row>
    <row r="4" spans="1:21" x14ac:dyDescent="0.25">
      <c r="A4" s="36">
        <v>2015</v>
      </c>
      <c r="B4" s="34" t="s">
        <v>117</v>
      </c>
      <c r="C4" s="34">
        <v>18244</v>
      </c>
      <c r="D4" s="34">
        <v>35</v>
      </c>
      <c r="E4" s="35">
        <v>42247</v>
      </c>
      <c r="F4" s="34" t="s">
        <v>108</v>
      </c>
      <c r="G4" s="34" t="s">
        <v>9</v>
      </c>
      <c r="H4" s="34" t="s">
        <v>118</v>
      </c>
      <c r="I4" s="34" t="s">
        <v>9</v>
      </c>
      <c r="J4" s="34" t="s">
        <v>110</v>
      </c>
      <c r="K4" s="34" t="s">
        <v>111</v>
      </c>
      <c r="L4" s="34" t="s">
        <v>6</v>
      </c>
      <c r="M4" s="34" t="s">
        <v>112</v>
      </c>
      <c r="N4" s="34">
        <v>0</v>
      </c>
      <c r="O4" s="34">
        <v>4</v>
      </c>
      <c r="P4" s="34">
        <v>4</v>
      </c>
      <c r="Q4" s="34">
        <v>0</v>
      </c>
      <c r="R4" s="34" t="s">
        <v>116</v>
      </c>
      <c r="T4" s="34" t="s">
        <v>114</v>
      </c>
      <c r="U4" s="34" t="s">
        <v>114</v>
      </c>
    </row>
    <row r="5" spans="1:21" s="57" customFormat="1" x14ac:dyDescent="0.25">
      <c r="A5" s="56">
        <v>2015</v>
      </c>
      <c r="B5" s="57" t="s">
        <v>119</v>
      </c>
      <c r="C5" s="57">
        <v>18245</v>
      </c>
      <c r="D5" s="57">
        <v>35</v>
      </c>
      <c r="E5" s="58">
        <v>42247</v>
      </c>
      <c r="F5" s="57" t="s">
        <v>108</v>
      </c>
      <c r="G5" s="57" t="s">
        <v>9</v>
      </c>
      <c r="H5" s="57" t="s">
        <v>120</v>
      </c>
      <c r="I5" s="57" t="s">
        <v>9</v>
      </c>
      <c r="J5" s="57" t="s">
        <v>110</v>
      </c>
      <c r="K5" s="57" t="s">
        <v>111</v>
      </c>
      <c r="L5" s="57" t="s">
        <v>6</v>
      </c>
      <c r="M5" s="57" t="s">
        <v>112</v>
      </c>
      <c r="N5" s="57">
        <v>0</v>
      </c>
      <c r="O5" s="57">
        <v>6</v>
      </c>
      <c r="P5" s="57">
        <v>6</v>
      </c>
      <c r="Q5" s="57">
        <v>1</v>
      </c>
      <c r="R5" s="57" t="s">
        <v>113</v>
      </c>
      <c r="T5" s="57" t="s">
        <v>114</v>
      </c>
      <c r="U5" s="57" t="s">
        <v>114</v>
      </c>
    </row>
    <row r="6" spans="1:21" x14ac:dyDescent="0.25">
      <c r="A6" s="36">
        <v>2015</v>
      </c>
      <c r="B6" s="34" t="s">
        <v>121</v>
      </c>
      <c r="C6" s="34">
        <v>18246</v>
      </c>
      <c r="D6" s="34">
        <v>35</v>
      </c>
      <c r="E6" s="35">
        <v>42247</v>
      </c>
      <c r="F6" s="34" t="s">
        <v>108</v>
      </c>
      <c r="G6" s="34" t="s">
        <v>9</v>
      </c>
      <c r="H6" s="34" t="s">
        <v>120</v>
      </c>
      <c r="I6" s="34" t="s">
        <v>9</v>
      </c>
      <c r="J6" s="34" t="s">
        <v>110</v>
      </c>
      <c r="K6" s="34" t="s">
        <v>111</v>
      </c>
      <c r="L6" s="34" t="s">
        <v>5</v>
      </c>
      <c r="M6" s="34" t="s">
        <v>112</v>
      </c>
      <c r="N6" s="34">
        <v>0</v>
      </c>
      <c r="O6" s="34">
        <v>1</v>
      </c>
      <c r="P6" s="34">
        <v>1</v>
      </c>
      <c r="Q6" s="34">
        <v>0</v>
      </c>
      <c r="R6" s="34" t="s">
        <v>116</v>
      </c>
      <c r="T6" s="34" t="s">
        <v>122</v>
      </c>
      <c r="U6" s="34" t="s">
        <v>122</v>
      </c>
    </row>
    <row r="7" spans="1:21" x14ac:dyDescent="0.25">
      <c r="A7" s="36">
        <v>2015</v>
      </c>
      <c r="B7" s="34" t="s">
        <v>123</v>
      </c>
      <c r="C7" s="34">
        <v>18247</v>
      </c>
      <c r="D7" s="34">
        <v>35</v>
      </c>
      <c r="E7" s="35">
        <v>42247</v>
      </c>
      <c r="F7" s="34" t="s">
        <v>108</v>
      </c>
      <c r="G7" s="34" t="s">
        <v>9</v>
      </c>
      <c r="H7" s="34" t="s">
        <v>124</v>
      </c>
      <c r="I7" s="34" t="s">
        <v>9</v>
      </c>
      <c r="J7" s="34" t="s">
        <v>110</v>
      </c>
      <c r="K7" s="34" t="s">
        <v>111</v>
      </c>
      <c r="L7" s="34" t="s">
        <v>6</v>
      </c>
      <c r="M7" s="34" t="s">
        <v>112</v>
      </c>
      <c r="N7" s="34">
        <v>0</v>
      </c>
      <c r="O7" s="34">
        <v>43</v>
      </c>
      <c r="P7" s="34">
        <v>43</v>
      </c>
      <c r="Q7" s="34">
        <v>0</v>
      </c>
      <c r="R7" s="34" t="s">
        <v>116</v>
      </c>
      <c r="T7" s="34" t="s">
        <v>114</v>
      </c>
      <c r="U7" s="34" t="s">
        <v>114</v>
      </c>
    </row>
    <row r="8" spans="1:21" x14ac:dyDescent="0.25">
      <c r="A8" s="36">
        <v>2015</v>
      </c>
      <c r="B8" s="34" t="s">
        <v>125</v>
      </c>
      <c r="C8" s="34">
        <v>18248</v>
      </c>
      <c r="D8" s="34">
        <v>35</v>
      </c>
      <c r="E8" s="35">
        <v>42247</v>
      </c>
      <c r="F8" s="34" t="s">
        <v>108</v>
      </c>
      <c r="G8" s="34" t="s">
        <v>9</v>
      </c>
      <c r="H8" s="34" t="s">
        <v>124</v>
      </c>
      <c r="I8" s="34" t="s">
        <v>9</v>
      </c>
      <c r="J8" s="34" t="s">
        <v>110</v>
      </c>
      <c r="K8" s="34" t="s">
        <v>111</v>
      </c>
      <c r="L8" s="34" t="s">
        <v>5</v>
      </c>
      <c r="M8" s="34" t="s">
        <v>112</v>
      </c>
      <c r="N8" s="34">
        <v>0</v>
      </c>
      <c r="O8" s="34">
        <v>3</v>
      </c>
      <c r="P8" s="34">
        <v>3</v>
      </c>
      <c r="Q8" s="34">
        <v>0</v>
      </c>
      <c r="R8" s="34" t="s">
        <v>116</v>
      </c>
      <c r="T8" s="34" t="s">
        <v>122</v>
      </c>
      <c r="U8" s="34" t="s">
        <v>122</v>
      </c>
    </row>
    <row r="9" spans="1:21" x14ac:dyDescent="0.25">
      <c r="A9" s="36">
        <v>2015</v>
      </c>
      <c r="B9" s="34" t="s">
        <v>126</v>
      </c>
      <c r="C9" s="34">
        <v>18249</v>
      </c>
      <c r="D9" s="34">
        <v>35</v>
      </c>
      <c r="E9" s="35">
        <v>42247</v>
      </c>
      <c r="F9" s="34" t="s">
        <v>108</v>
      </c>
      <c r="G9" s="34" t="s">
        <v>9</v>
      </c>
      <c r="H9" s="34" t="s">
        <v>127</v>
      </c>
      <c r="I9" s="34" t="s">
        <v>9</v>
      </c>
      <c r="J9" s="34" t="s">
        <v>110</v>
      </c>
      <c r="K9" s="34" t="s">
        <v>111</v>
      </c>
      <c r="L9" s="34" t="s">
        <v>6</v>
      </c>
      <c r="M9" s="34" t="s">
        <v>112</v>
      </c>
      <c r="N9" s="34">
        <v>0</v>
      </c>
      <c r="O9" s="34">
        <v>4</v>
      </c>
      <c r="P9" s="34">
        <v>4</v>
      </c>
      <c r="Q9" s="34">
        <v>0</v>
      </c>
      <c r="R9" s="34" t="s">
        <v>116</v>
      </c>
      <c r="T9" s="34" t="s">
        <v>114</v>
      </c>
      <c r="U9" s="34" t="s">
        <v>114</v>
      </c>
    </row>
    <row r="10" spans="1:21" x14ac:dyDescent="0.25">
      <c r="A10" s="36">
        <v>2015</v>
      </c>
      <c r="B10" s="34" t="s">
        <v>128</v>
      </c>
      <c r="C10" s="34">
        <v>18250</v>
      </c>
      <c r="D10" s="34">
        <v>35</v>
      </c>
      <c r="E10" s="35">
        <v>42247</v>
      </c>
      <c r="F10" s="34" t="s">
        <v>108</v>
      </c>
      <c r="G10" s="34" t="s">
        <v>9</v>
      </c>
      <c r="H10" s="34" t="s">
        <v>129</v>
      </c>
      <c r="I10" s="34" t="s">
        <v>9</v>
      </c>
      <c r="J10" s="34" t="s">
        <v>110</v>
      </c>
      <c r="K10" s="34" t="s">
        <v>111</v>
      </c>
      <c r="L10" s="34" t="s">
        <v>6</v>
      </c>
      <c r="M10" s="34" t="s">
        <v>112</v>
      </c>
      <c r="N10" s="34">
        <v>0</v>
      </c>
      <c r="O10" s="34">
        <v>7</v>
      </c>
      <c r="P10" s="34">
        <v>7</v>
      </c>
      <c r="Q10" s="34">
        <v>0</v>
      </c>
      <c r="R10" s="34" t="s">
        <v>116</v>
      </c>
      <c r="T10" s="34" t="s">
        <v>114</v>
      </c>
      <c r="U10" s="34" t="s">
        <v>114</v>
      </c>
    </row>
    <row r="11" spans="1:21" x14ac:dyDescent="0.25">
      <c r="A11" s="36">
        <v>2015</v>
      </c>
      <c r="B11" s="34" t="s">
        <v>130</v>
      </c>
      <c r="C11" s="34">
        <v>18251</v>
      </c>
      <c r="D11" s="34">
        <v>35</v>
      </c>
      <c r="E11" s="35">
        <v>42247</v>
      </c>
      <c r="F11" s="34" t="s">
        <v>108</v>
      </c>
      <c r="G11" s="34" t="s">
        <v>47</v>
      </c>
      <c r="H11" s="34" t="s">
        <v>131</v>
      </c>
      <c r="I11" s="34" t="s">
        <v>61</v>
      </c>
      <c r="J11" s="34" t="s">
        <v>110</v>
      </c>
      <c r="K11" s="34" t="s">
        <v>111</v>
      </c>
      <c r="L11" s="34" t="s">
        <v>6</v>
      </c>
      <c r="M11" s="34" t="s">
        <v>112</v>
      </c>
      <c r="N11" s="34">
        <v>0</v>
      </c>
      <c r="O11" s="34">
        <v>12</v>
      </c>
      <c r="P11" s="34">
        <v>12</v>
      </c>
      <c r="Q11" s="34">
        <v>0</v>
      </c>
      <c r="R11" s="34" t="s">
        <v>116</v>
      </c>
      <c r="T11" s="34" t="s">
        <v>132</v>
      </c>
      <c r="U11" s="34" t="s">
        <v>133</v>
      </c>
    </row>
    <row r="12" spans="1:21" x14ac:dyDescent="0.25">
      <c r="A12" s="36">
        <v>2015</v>
      </c>
      <c r="B12" s="34" t="s">
        <v>134</v>
      </c>
      <c r="C12" s="34">
        <v>18252</v>
      </c>
      <c r="D12" s="34">
        <v>35</v>
      </c>
      <c r="E12" s="35">
        <v>42247</v>
      </c>
      <c r="F12" s="34" t="s">
        <v>108</v>
      </c>
      <c r="G12" s="34" t="s">
        <v>47</v>
      </c>
      <c r="H12" s="34" t="s">
        <v>135</v>
      </c>
      <c r="I12" s="34" t="s">
        <v>61</v>
      </c>
      <c r="J12" s="34" t="s">
        <v>110</v>
      </c>
      <c r="K12" s="34" t="s">
        <v>111</v>
      </c>
      <c r="L12" s="34" t="s">
        <v>6</v>
      </c>
      <c r="M12" s="34" t="s">
        <v>112</v>
      </c>
      <c r="N12" s="34">
        <v>0</v>
      </c>
      <c r="O12" s="34">
        <v>7</v>
      </c>
      <c r="P12" s="34">
        <v>7</v>
      </c>
      <c r="Q12" s="34">
        <v>0</v>
      </c>
      <c r="R12" s="34" t="s">
        <v>116</v>
      </c>
      <c r="T12" s="34" t="s">
        <v>132</v>
      </c>
      <c r="U12" s="34" t="s">
        <v>133</v>
      </c>
    </row>
    <row r="13" spans="1:21" x14ac:dyDescent="0.25">
      <c r="A13" s="36">
        <v>2015</v>
      </c>
      <c r="B13" s="34" t="s">
        <v>136</v>
      </c>
      <c r="C13" s="34">
        <v>18253</v>
      </c>
      <c r="D13" s="34">
        <v>35</v>
      </c>
      <c r="E13" s="35">
        <v>42247</v>
      </c>
      <c r="F13" s="34" t="s">
        <v>108</v>
      </c>
      <c r="G13" s="34" t="s">
        <v>47</v>
      </c>
      <c r="H13" s="34" t="s">
        <v>135</v>
      </c>
      <c r="I13" s="34" t="s">
        <v>61</v>
      </c>
      <c r="J13" s="34" t="s">
        <v>110</v>
      </c>
      <c r="K13" s="34" t="s">
        <v>111</v>
      </c>
      <c r="L13" s="34" t="s">
        <v>5</v>
      </c>
      <c r="M13" s="34" t="s">
        <v>112</v>
      </c>
      <c r="N13" s="34">
        <v>0</v>
      </c>
      <c r="O13" s="34">
        <v>16</v>
      </c>
      <c r="P13" s="34">
        <v>16</v>
      </c>
      <c r="Q13" s="34">
        <v>0</v>
      </c>
      <c r="R13" s="34" t="s">
        <v>116</v>
      </c>
      <c r="T13" s="34" t="s">
        <v>137</v>
      </c>
      <c r="U13" s="34" t="s">
        <v>138</v>
      </c>
    </row>
    <row r="14" spans="1:21" x14ac:dyDescent="0.25">
      <c r="A14" s="36">
        <v>2015</v>
      </c>
      <c r="B14" s="34" t="s">
        <v>139</v>
      </c>
      <c r="C14" s="34">
        <v>18254</v>
      </c>
      <c r="D14" s="34">
        <v>35</v>
      </c>
      <c r="E14" s="35">
        <v>42247</v>
      </c>
      <c r="F14" s="34" t="s">
        <v>108</v>
      </c>
      <c r="G14" s="34" t="s">
        <v>47</v>
      </c>
      <c r="H14" s="34" t="s">
        <v>140</v>
      </c>
      <c r="I14" s="34" t="s">
        <v>62</v>
      </c>
      <c r="J14" s="34" t="s">
        <v>110</v>
      </c>
      <c r="K14" s="34" t="s">
        <v>111</v>
      </c>
      <c r="L14" s="34" t="s">
        <v>6</v>
      </c>
      <c r="M14" s="34" t="s">
        <v>112</v>
      </c>
      <c r="N14" s="34">
        <v>0</v>
      </c>
      <c r="O14" s="34">
        <v>4</v>
      </c>
      <c r="P14" s="34">
        <v>4</v>
      </c>
      <c r="Q14" s="34">
        <v>0</v>
      </c>
      <c r="R14" s="34" t="s">
        <v>116</v>
      </c>
      <c r="T14" s="34" t="s">
        <v>132</v>
      </c>
      <c r="U14" s="34" t="s">
        <v>141</v>
      </c>
    </row>
    <row r="15" spans="1:21" s="57" customFormat="1" x14ac:dyDescent="0.25">
      <c r="A15" s="56">
        <v>2015</v>
      </c>
      <c r="B15" s="57" t="s">
        <v>142</v>
      </c>
      <c r="C15" s="57">
        <v>18255</v>
      </c>
      <c r="D15" s="57">
        <v>35</v>
      </c>
      <c r="E15" s="58">
        <v>42247</v>
      </c>
      <c r="F15" s="57" t="s">
        <v>108</v>
      </c>
      <c r="G15" s="57" t="s">
        <v>47</v>
      </c>
      <c r="H15" s="57" t="s">
        <v>140</v>
      </c>
      <c r="I15" s="57" t="s">
        <v>62</v>
      </c>
      <c r="J15" s="57" t="s">
        <v>110</v>
      </c>
      <c r="K15" s="57" t="s">
        <v>111</v>
      </c>
      <c r="L15" s="57" t="s">
        <v>5</v>
      </c>
      <c r="M15" s="57" t="s">
        <v>112</v>
      </c>
      <c r="N15" s="57">
        <v>0</v>
      </c>
      <c r="O15" s="57">
        <v>1</v>
      </c>
      <c r="P15" s="57">
        <v>1</v>
      </c>
      <c r="Q15" s="57">
        <v>1</v>
      </c>
      <c r="R15" s="57" t="s">
        <v>113</v>
      </c>
      <c r="T15" s="57" t="s">
        <v>137</v>
      </c>
      <c r="U15" s="57" t="s">
        <v>143</v>
      </c>
    </row>
    <row r="16" spans="1:21" x14ac:dyDescent="0.25">
      <c r="A16" s="36">
        <v>2015</v>
      </c>
      <c r="B16" s="34" t="s">
        <v>144</v>
      </c>
      <c r="C16" s="34">
        <v>18256</v>
      </c>
      <c r="D16" s="34">
        <v>35</v>
      </c>
      <c r="E16" s="35">
        <v>42247</v>
      </c>
      <c r="F16" s="34" t="s">
        <v>108</v>
      </c>
      <c r="G16" s="34" t="s">
        <v>47</v>
      </c>
      <c r="H16" s="34" t="s">
        <v>145</v>
      </c>
      <c r="I16" s="34" t="s">
        <v>62</v>
      </c>
      <c r="J16" s="34" t="s">
        <v>110</v>
      </c>
      <c r="K16" s="34" t="s">
        <v>111</v>
      </c>
      <c r="L16" s="34" t="s">
        <v>6</v>
      </c>
      <c r="M16" s="34" t="s">
        <v>112</v>
      </c>
      <c r="N16" s="34">
        <v>0</v>
      </c>
      <c r="O16" s="34">
        <v>3</v>
      </c>
      <c r="P16" s="34">
        <v>3</v>
      </c>
      <c r="Q16" s="34">
        <v>0</v>
      </c>
      <c r="R16" s="34" t="s">
        <v>116</v>
      </c>
      <c r="T16" s="34" t="s">
        <v>132</v>
      </c>
      <c r="U16" s="34" t="s">
        <v>141</v>
      </c>
    </row>
    <row r="17" spans="1:21" x14ac:dyDescent="0.25">
      <c r="A17" s="36">
        <v>2015</v>
      </c>
      <c r="B17" s="34" t="s">
        <v>146</v>
      </c>
      <c r="C17" s="34">
        <v>18257</v>
      </c>
      <c r="D17" s="34">
        <v>35</v>
      </c>
      <c r="E17" s="35">
        <v>42247</v>
      </c>
      <c r="F17" s="34" t="s">
        <v>108</v>
      </c>
      <c r="G17" s="34" t="s">
        <v>47</v>
      </c>
      <c r="H17" s="34" t="s">
        <v>145</v>
      </c>
      <c r="I17" s="34" t="s">
        <v>62</v>
      </c>
      <c r="J17" s="34" t="s">
        <v>110</v>
      </c>
      <c r="K17" s="34" t="s">
        <v>111</v>
      </c>
      <c r="L17" s="34" t="s">
        <v>5</v>
      </c>
      <c r="M17" s="34" t="s">
        <v>112</v>
      </c>
      <c r="N17" s="34">
        <v>0</v>
      </c>
      <c r="O17" s="34">
        <v>16</v>
      </c>
      <c r="P17" s="34">
        <v>16</v>
      </c>
      <c r="Q17" s="34">
        <v>0</v>
      </c>
      <c r="R17" s="34" t="s">
        <v>116</v>
      </c>
      <c r="T17" s="34" t="s">
        <v>137</v>
      </c>
      <c r="U17" s="34" t="s">
        <v>143</v>
      </c>
    </row>
    <row r="18" spans="1:21" x14ac:dyDescent="0.25">
      <c r="A18" s="36">
        <v>2015</v>
      </c>
      <c r="B18" s="34" t="s">
        <v>147</v>
      </c>
      <c r="C18" s="34">
        <v>18258</v>
      </c>
      <c r="D18" s="34">
        <v>35</v>
      </c>
      <c r="E18" s="35">
        <v>42247</v>
      </c>
      <c r="F18" s="34" t="s">
        <v>108</v>
      </c>
      <c r="G18" s="34" t="s">
        <v>47</v>
      </c>
      <c r="H18" s="34" t="s">
        <v>148</v>
      </c>
      <c r="I18" s="34" t="s">
        <v>61</v>
      </c>
      <c r="J18" s="34" t="s">
        <v>110</v>
      </c>
      <c r="K18" s="34" t="s">
        <v>111</v>
      </c>
      <c r="L18" s="34" t="s">
        <v>6</v>
      </c>
      <c r="M18" s="34" t="s">
        <v>112</v>
      </c>
      <c r="N18" s="34">
        <v>0</v>
      </c>
      <c r="O18" s="34">
        <v>26</v>
      </c>
      <c r="P18" s="34">
        <v>26</v>
      </c>
      <c r="Q18" s="34">
        <v>0</v>
      </c>
      <c r="R18" s="34" t="s">
        <v>116</v>
      </c>
      <c r="T18" s="34" t="s">
        <v>132</v>
      </c>
      <c r="U18" s="34" t="s">
        <v>133</v>
      </c>
    </row>
    <row r="19" spans="1:21" x14ac:dyDescent="0.25">
      <c r="A19" s="36">
        <v>2015</v>
      </c>
      <c r="B19" s="34" t="s">
        <v>149</v>
      </c>
      <c r="C19" s="34">
        <v>18259</v>
      </c>
      <c r="D19" s="34">
        <v>35</v>
      </c>
      <c r="E19" s="35">
        <v>42247</v>
      </c>
      <c r="F19" s="34" t="s">
        <v>108</v>
      </c>
      <c r="G19" s="34" t="s">
        <v>47</v>
      </c>
      <c r="H19" s="34" t="s">
        <v>148</v>
      </c>
      <c r="I19" s="34" t="s">
        <v>61</v>
      </c>
      <c r="J19" s="34" t="s">
        <v>110</v>
      </c>
      <c r="K19" s="34" t="s">
        <v>111</v>
      </c>
      <c r="L19" s="34" t="s">
        <v>5</v>
      </c>
      <c r="M19" s="34" t="s">
        <v>112</v>
      </c>
      <c r="N19" s="34">
        <v>0</v>
      </c>
      <c r="O19" s="34">
        <v>13</v>
      </c>
      <c r="P19" s="34">
        <v>13</v>
      </c>
      <c r="Q19" s="34">
        <v>0</v>
      </c>
      <c r="R19" s="34" t="s">
        <v>116</v>
      </c>
      <c r="T19" s="34" t="s">
        <v>137</v>
      </c>
      <c r="U19" s="34" t="s">
        <v>138</v>
      </c>
    </row>
    <row r="20" spans="1:21" x14ac:dyDescent="0.25">
      <c r="A20" s="36">
        <v>2015</v>
      </c>
      <c r="B20" s="34" t="s">
        <v>150</v>
      </c>
      <c r="C20" s="34">
        <v>18260</v>
      </c>
      <c r="D20" s="34">
        <v>35</v>
      </c>
      <c r="E20" s="35">
        <v>42247</v>
      </c>
      <c r="F20" s="34" t="s">
        <v>108</v>
      </c>
      <c r="G20" s="34" t="s">
        <v>47</v>
      </c>
      <c r="H20" s="34" t="s">
        <v>151</v>
      </c>
      <c r="I20" s="34" t="s">
        <v>61</v>
      </c>
      <c r="J20" s="34" t="s">
        <v>110</v>
      </c>
      <c r="K20" s="34" t="s">
        <v>111</v>
      </c>
      <c r="L20" s="34" t="s">
        <v>6</v>
      </c>
      <c r="M20" s="34" t="s">
        <v>112</v>
      </c>
      <c r="N20" s="34">
        <v>0</v>
      </c>
      <c r="O20" s="34">
        <v>5</v>
      </c>
      <c r="P20" s="34">
        <v>5</v>
      </c>
      <c r="Q20" s="34">
        <v>0</v>
      </c>
      <c r="R20" s="34" t="s">
        <v>116</v>
      </c>
      <c r="T20" s="34" t="s">
        <v>132</v>
      </c>
      <c r="U20" s="34" t="s">
        <v>133</v>
      </c>
    </row>
    <row r="21" spans="1:21" x14ac:dyDescent="0.25">
      <c r="A21" s="36">
        <v>2015</v>
      </c>
      <c r="B21" s="34" t="s">
        <v>152</v>
      </c>
      <c r="C21" s="34">
        <v>18261</v>
      </c>
      <c r="D21" s="34">
        <v>35</v>
      </c>
      <c r="E21" s="35">
        <v>42247</v>
      </c>
      <c r="F21" s="34" t="s">
        <v>108</v>
      </c>
      <c r="G21" s="34" t="s">
        <v>47</v>
      </c>
      <c r="H21" s="34" t="s">
        <v>151</v>
      </c>
      <c r="I21" s="34" t="s">
        <v>61</v>
      </c>
      <c r="J21" s="34" t="s">
        <v>110</v>
      </c>
      <c r="K21" s="34" t="s">
        <v>111</v>
      </c>
      <c r="L21" s="34" t="s">
        <v>5</v>
      </c>
      <c r="M21" s="34" t="s">
        <v>112</v>
      </c>
      <c r="N21" s="34">
        <v>0</v>
      </c>
      <c r="O21" s="34">
        <v>5</v>
      </c>
      <c r="P21" s="34">
        <v>5</v>
      </c>
      <c r="Q21" s="34">
        <v>0</v>
      </c>
      <c r="R21" s="34" t="s">
        <v>116</v>
      </c>
      <c r="T21" s="34" t="s">
        <v>137</v>
      </c>
      <c r="U21" s="34" t="s">
        <v>138</v>
      </c>
    </row>
    <row r="22" spans="1:21" x14ac:dyDescent="0.25">
      <c r="A22" s="36">
        <v>2015</v>
      </c>
      <c r="B22" s="34" t="s">
        <v>153</v>
      </c>
      <c r="C22" s="34">
        <v>18262</v>
      </c>
      <c r="D22" s="34">
        <v>35</v>
      </c>
      <c r="E22" s="35">
        <v>42247</v>
      </c>
      <c r="F22" s="34" t="s">
        <v>108</v>
      </c>
      <c r="G22" s="34" t="s">
        <v>47</v>
      </c>
      <c r="H22" s="34" t="s">
        <v>154</v>
      </c>
      <c r="I22" s="34" t="s">
        <v>61</v>
      </c>
      <c r="J22" s="34" t="s">
        <v>110</v>
      </c>
      <c r="K22" s="34" t="s">
        <v>111</v>
      </c>
      <c r="L22" s="34" t="s">
        <v>6</v>
      </c>
      <c r="M22" s="34" t="s">
        <v>112</v>
      </c>
      <c r="N22" s="34">
        <v>0</v>
      </c>
      <c r="O22" s="34">
        <v>3</v>
      </c>
      <c r="P22" s="34">
        <v>3</v>
      </c>
      <c r="Q22" s="34">
        <v>0</v>
      </c>
      <c r="R22" s="34" t="s">
        <v>116</v>
      </c>
      <c r="T22" s="34" t="s">
        <v>132</v>
      </c>
      <c r="U22" s="34" t="s">
        <v>133</v>
      </c>
    </row>
    <row r="23" spans="1:21" s="57" customFormat="1" x14ac:dyDescent="0.25">
      <c r="A23" s="56">
        <v>2015</v>
      </c>
      <c r="B23" s="57" t="s">
        <v>155</v>
      </c>
      <c r="C23" s="57">
        <v>18263</v>
      </c>
      <c r="D23" s="57">
        <v>35</v>
      </c>
      <c r="E23" s="58">
        <v>42247</v>
      </c>
      <c r="F23" s="57" t="s">
        <v>108</v>
      </c>
      <c r="G23" s="57" t="s">
        <v>47</v>
      </c>
      <c r="H23" s="57" t="s">
        <v>156</v>
      </c>
      <c r="I23" s="57" t="s">
        <v>61</v>
      </c>
      <c r="J23" s="57" t="s">
        <v>110</v>
      </c>
      <c r="K23" s="57" t="s">
        <v>111</v>
      </c>
      <c r="L23" s="57" t="s">
        <v>6</v>
      </c>
      <c r="M23" s="57" t="s">
        <v>112</v>
      </c>
      <c r="N23" s="57">
        <v>0</v>
      </c>
      <c r="O23" s="57">
        <v>7</v>
      </c>
      <c r="P23" s="57">
        <v>7</v>
      </c>
      <c r="Q23" s="57">
        <v>1</v>
      </c>
      <c r="R23" s="57" t="s">
        <v>113</v>
      </c>
      <c r="T23" s="57" t="s">
        <v>132</v>
      </c>
      <c r="U23" s="57" t="s">
        <v>133</v>
      </c>
    </row>
    <row r="24" spans="1:21" s="57" customFormat="1" x14ac:dyDescent="0.25">
      <c r="A24" s="56">
        <v>2015</v>
      </c>
      <c r="B24" s="57" t="s">
        <v>157</v>
      </c>
      <c r="C24" s="57">
        <v>18264</v>
      </c>
      <c r="D24" s="57">
        <v>35</v>
      </c>
      <c r="E24" s="58">
        <v>42247</v>
      </c>
      <c r="F24" s="57" t="s">
        <v>108</v>
      </c>
      <c r="G24" s="57" t="s">
        <v>47</v>
      </c>
      <c r="H24" s="57" t="s">
        <v>156</v>
      </c>
      <c r="I24" s="57" t="s">
        <v>61</v>
      </c>
      <c r="J24" s="57" t="s">
        <v>110</v>
      </c>
      <c r="K24" s="57" t="s">
        <v>111</v>
      </c>
      <c r="L24" s="57" t="s">
        <v>5</v>
      </c>
      <c r="M24" s="57" t="s">
        <v>112</v>
      </c>
      <c r="N24" s="57">
        <v>0</v>
      </c>
      <c r="O24" s="57">
        <v>12</v>
      </c>
      <c r="P24" s="57">
        <v>12</v>
      </c>
      <c r="Q24" s="57">
        <v>1</v>
      </c>
      <c r="R24" s="57" t="s">
        <v>113</v>
      </c>
      <c r="T24" s="57" t="s">
        <v>137</v>
      </c>
      <c r="U24" s="57" t="s">
        <v>138</v>
      </c>
    </row>
    <row r="25" spans="1:21" s="57" customFormat="1" x14ac:dyDescent="0.25">
      <c r="A25" s="56">
        <v>2015</v>
      </c>
      <c r="B25" s="57" t="s">
        <v>158</v>
      </c>
      <c r="C25" s="57">
        <v>18265</v>
      </c>
      <c r="D25" s="57">
        <v>35</v>
      </c>
      <c r="E25" s="58">
        <v>42247</v>
      </c>
      <c r="F25" s="57" t="s">
        <v>108</v>
      </c>
      <c r="G25" s="57" t="s">
        <v>47</v>
      </c>
      <c r="H25" s="57" t="s">
        <v>159</v>
      </c>
      <c r="I25" s="57" t="s">
        <v>61</v>
      </c>
      <c r="J25" s="57" t="s">
        <v>160</v>
      </c>
      <c r="K25" s="57" t="s">
        <v>111</v>
      </c>
      <c r="L25" s="57" t="s">
        <v>5</v>
      </c>
      <c r="M25" s="57" t="s">
        <v>112</v>
      </c>
      <c r="N25" s="57">
        <v>50</v>
      </c>
      <c r="O25" s="57">
        <v>0</v>
      </c>
      <c r="P25" s="57">
        <v>50</v>
      </c>
      <c r="Q25" s="57">
        <v>1</v>
      </c>
      <c r="R25" s="57" t="s">
        <v>113</v>
      </c>
      <c r="T25" s="57" t="s">
        <v>137</v>
      </c>
      <c r="U25" s="57" t="s">
        <v>138</v>
      </c>
    </row>
    <row r="26" spans="1:21" s="57" customFormat="1" x14ac:dyDescent="0.25">
      <c r="A26" s="56">
        <v>2015</v>
      </c>
      <c r="B26" s="57" t="s">
        <v>161</v>
      </c>
      <c r="C26" s="57">
        <v>18266</v>
      </c>
      <c r="D26" s="57">
        <v>35</v>
      </c>
      <c r="E26" s="58">
        <v>42247</v>
      </c>
      <c r="F26" s="57" t="s">
        <v>108</v>
      </c>
      <c r="G26" s="57" t="s">
        <v>47</v>
      </c>
      <c r="H26" s="57" t="s">
        <v>159</v>
      </c>
      <c r="I26" s="57" t="s">
        <v>61</v>
      </c>
      <c r="J26" s="57" t="s">
        <v>160</v>
      </c>
      <c r="K26" s="57" t="s">
        <v>111</v>
      </c>
      <c r="L26" s="57" t="s">
        <v>5</v>
      </c>
      <c r="M26" s="57" t="s">
        <v>112</v>
      </c>
      <c r="N26" s="57">
        <v>50</v>
      </c>
      <c r="O26" s="57">
        <v>0</v>
      </c>
      <c r="P26" s="57">
        <v>50</v>
      </c>
      <c r="Q26" s="57">
        <v>1</v>
      </c>
      <c r="R26" s="57" t="s">
        <v>113</v>
      </c>
      <c r="T26" s="57" t="s">
        <v>137</v>
      </c>
      <c r="U26" s="57" t="s">
        <v>138</v>
      </c>
    </row>
    <row r="27" spans="1:21" x14ac:dyDescent="0.25">
      <c r="A27" s="36">
        <v>2015</v>
      </c>
      <c r="B27" s="34" t="s">
        <v>162</v>
      </c>
      <c r="C27" s="34">
        <v>18267</v>
      </c>
      <c r="D27" s="34">
        <v>35</v>
      </c>
      <c r="E27" s="35">
        <v>42247</v>
      </c>
      <c r="F27" s="34" t="s">
        <v>108</v>
      </c>
      <c r="G27" s="34" t="s">
        <v>47</v>
      </c>
      <c r="H27" s="34" t="s">
        <v>159</v>
      </c>
      <c r="I27" s="34" t="s">
        <v>61</v>
      </c>
      <c r="J27" s="34" t="s">
        <v>160</v>
      </c>
      <c r="K27" s="34" t="s">
        <v>111</v>
      </c>
      <c r="L27" s="34" t="s">
        <v>5</v>
      </c>
      <c r="M27" s="34" t="s">
        <v>112</v>
      </c>
      <c r="N27" s="34">
        <v>3</v>
      </c>
      <c r="O27" s="34">
        <v>0</v>
      </c>
      <c r="P27" s="34">
        <v>3</v>
      </c>
      <c r="Q27" s="34">
        <v>0</v>
      </c>
      <c r="R27" s="34" t="s">
        <v>116</v>
      </c>
      <c r="T27" s="34" t="s">
        <v>137</v>
      </c>
      <c r="U27" s="34" t="s">
        <v>138</v>
      </c>
    </row>
    <row r="28" spans="1:21" x14ac:dyDescent="0.25">
      <c r="A28" s="36">
        <v>2015</v>
      </c>
      <c r="B28" s="34" t="s">
        <v>163</v>
      </c>
      <c r="C28" s="34">
        <v>18268</v>
      </c>
      <c r="D28" s="34">
        <v>35</v>
      </c>
      <c r="E28" s="35">
        <v>42247</v>
      </c>
      <c r="F28" s="34" t="s">
        <v>108</v>
      </c>
      <c r="G28" s="34" t="s">
        <v>47</v>
      </c>
      <c r="H28" s="34" t="s">
        <v>164</v>
      </c>
      <c r="I28" s="34" t="s">
        <v>60</v>
      </c>
      <c r="J28" s="34" t="s">
        <v>110</v>
      </c>
      <c r="K28" s="34" t="s">
        <v>111</v>
      </c>
      <c r="L28" s="34" t="s">
        <v>6</v>
      </c>
      <c r="M28" s="34" t="s">
        <v>112</v>
      </c>
      <c r="N28" s="34">
        <v>0</v>
      </c>
      <c r="O28" s="34">
        <v>10</v>
      </c>
      <c r="P28" s="34">
        <v>10</v>
      </c>
      <c r="Q28" s="34">
        <v>0</v>
      </c>
      <c r="R28" s="34" t="s">
        <v>116</v>
      </c>
      <c r="T28" s="34" t="s">
        <v>132</v>
      </c>
      <c r="U28" s="34" t="s">
        <v>165</v>
      </c>
    </row>
    <row r="29" spans="1:21" x14ac:dyDescent="0.25">
      <c r="A29" s="36">
        <v>2015</v>
      </c>
      <c r="B29" s="34" t="s">
        <v>166</v>
      </c>
      <c r="C29" s="34">
        <v>18269</v>
      </c>
      <c r="D29" s="34">
        <v>35</v>
      </c>
      <c r="E29" s="35">
        <v>42247</v>
      </c>
      <c r="F29" s="34" t="s">
        <v>108</v>
      </c>
      <c r="G29" s="34" t="s">
        <v>47</v>
      </c>
      <c r="H29" s="34" t="s">
        <v>164</v>
      </c>
      <c r="I29" s="34" t="s">
        <v>60</v>
      </c>
      <c r="J29" s="34" t="s">
        <v>110</v>
      </c>
      <c r="K29" s="34" t="s">
        <v>111</v>
      </c>
      <c r="L29" s="34" t="s">
        <v>5</v>
      </c>
      <c r="M29" s="34" t="s">
        <v>112</v>
      </c>
      <c r="N29" s="34">
        <v>0</v>
      </c>
      <c r="O29" s="34">
        <v>2</v>
      </c>
      <c r="P29" s="34">
        <v>2</v>
      </c>
      <c r="Q29" s="34">
        <v>0</v>
      </c>
      <c r="R29" s="34" t="s">
        <v>116</v>
      </c>
      <c r="T29" s="34" t="s">
        <v>137</v>
      </c>
      <c r="U29" s="34" t="s">
        <v>167</v>
      </c>
    </row>
    <row r="30" spans="1:21" x14ac:dyDescent="0.25">
      <c r="A30" s="36">
        <v>2015</v>
      </c>
      <c r="B30" s="34" t="s">
        <v>168</v>
      </c>
      <c r="C30" s="34">
        <v>18270</v>
      </c>
      <c r="D30" s="34">
        <v>35</v>
      </c>
      <c r="E30" s="35">
        <v>42247</v>
      </c>
      <c r="F30" s="34" t="s">
        <v>108</v>
      </c>
      <c r="G30" s="34" t="s">
        <v>47</v>
      </c>
      <c r="H30" s="34" t="s">
        <v>169</v>
      </c>
      <c r="I30" s="34" t="s">
        <v>61</v>
      </c>
      <c r="J30" s="34" t="s">
        <v>110</v>
      </c>
      <c r="K30" s="34" t="s">
        <v>111</v>
      </c>
      <c r="L30" s="34" t="s">
        <v>6</v>
      </c>
      <c r="M30" s="34" t="s">
        <v>112</v>
      </c>
      <c r="N30" s="34">
        <v>0</v>
      </c>
      <c r="O30" s="34">
        <v>12</v>
      </c>
      <c r="P30" s="34">
        <v>12</v>
      </c>
      <c r="Q30" s="34">
        <v>0</v>
      </c>
      <c r="R30" s="34" t="s">
        <v>116</v>
      </c>
      <c r="T30" s="34" t="s">
        <v>132</v>
      </c>
      <c r="U30" s="34" t="s">
        <v>133</v>
      </c>
    </row>
    <row r="31" spans="1:21" x14ac:dyDescent="0.25">
      <c r="A31" s="36">
        <v>2015</v>
      </c>
      <c r="B31" s="34" t="s">
        <v>170</v>
      </c>
      <c r="C31" s="34">
        <v>18271</v>
      </c>
      <c r="D31" s="34">
        <v>35</v>
      </c>
      <c r="E31" s="35">
        <v>42247</v>
      </c>
      <c r="F31" s="34" t="s">
        <v>108</v>
      </c>
      <c r="G31" s="34" t="s">
        <v>47</v>
      </c>
      <c r="H31" s="34" t="s">
        <v>169</v>
      </c>
      <c r="I31" s="34" t="s">
        <v>61</v>
      </c>
      <c r="J31" s="34" t="s">
        <v>110</v>
      </c>
      <c r="K31" s="34" t="s">
        <v>111</v>
      </c>
      <c r="L31" s="34" t="s">
        <v>5</v>
      </c>
      <c r="M31" s="34" t="s">
        <v>112</v>
      </c>
      <c r="N31" s="34">
        <v>0</v>
      </c>
      <c r="O31" s="34">
        <v>12</v>
      </c>
      <c r="P31" s="34">
        <v>12</v>
      </c>
      <c r="Q31" s="34">
        <v>0</v>
      </c>
      <c r="R31" s="34" t="s">
        <v>116</v>
      </c>
      <c r="T31" s="34" t="s">
        <v>137</v>
      </c>
      <c r="U31" s="34" t="s">
        <v>138</v>
      </c>
    </row>
    <row r="32" spans="1:21" s="57" customFormat="1" x14ac:dyDescent="0.25">
      <c r="A32" s="56">
        <v>2015</v>
      </c>
      <c r="B32" s="57" t="s">
        <v>171</v>
      </c>
      <c r="C32" s="57">
        <v>18272</v>
      </c>
      <c r="D32" s="57">
        <v>35</v>
      </c>
      <c r="E32" s="58">
        <v>42247</v>
      </c>
      <c r="F32" s="57" t="s">
        <v>108</v>
      </c>
      <c r="G32" s="57" t="s">
        <v>47</v>
      </c>
      <c r="H32" s="57" t="s">
        <v>172</v>
      </c>
      <c r="I32" s="57" t="s">
        <v>61</v>
      </c>
      <c r="J32" s="57" t="s">
        <v>160</v>
      </c>
      <c r="K32" s="57" t="s">
        <v>111</v>
      </c>
      <c r="L32" s="57" t="s">
        <v>5</v>
      </c>
      <c r="M32" s="57" t="s">
        <v>112</v>
      </c>
      <c r="N32" s="57">
        <v>50</v>
      </c>
      <c r="O32" s="57">
        <v>0</v>
      </c>
      <c r="P32" s="57">
        <v>50</v>
      </c>
      <c r="Q32" s="57">
        <v>1</v>
      </c>
      <c r="R32" s="57" t="s">
        <v>113</v>
      </c>
      <c r="T32" s="57" t="s">
        <v>137</v>
      </c>
      <c r="U32" s="57" t="s">
        <v>138</v>
      </c>
    </row>
    <row r="33" spans="1:21" s="57" customFormat="1" x14ac:dyDescent="0.25">
      <c r="A33" s="56">
        <v>2015</v>
      </c>
      <c r="B33" s="57" t="s">
        <v>173</v>
      </c>
      <c r="C33" s="57">
        <v>18273</v>
      </c>
      <c r="D33" s="57">
        <v>35</v>
      </c>
      <c r="E33" s="58">
        <v>42247</v>
      </c>
      <c r="F33" s="57" t="s">
        <v>108</v>
      </c>
      <c r="G33" s="57" t="s">
        <v>47</v>
      </c>
      <c r="H33" s="57" t="s">
        <v>172</v>
      </c>
      <c r="I33" s="57" t="s">
        <v>61</v>
      </c>
      <c r="J33" s="57" t="s">
        <v>160</v>
      </c>
      <c r="K33" s="57" t="s">
        <v>111</v>
      </c>
      <c r="L33" s="57" t="s">
        <v>5</v>
      </c>
      <c r="M33" s="57" t="s">
        <v>112</v>
      </c>
      <c r="N33" s="57">
        <v>50</v>
      </c>
      <c r="O33" s="57">
        <v>0</v>
      </c>
      <c r="P33" s="57">
        <v>50</v>
      </c>
      <c r="Q33" s="57">
        <v>1</v>
      </c>
      <c r="R33" s="57" t="s">
        <v>113</v>
      </c>
      <c r="T33" s="57" t="s">
        <v>137</v>
      </c>
      <c r="U33" s="57" t="s">
        <v>138</v>
      </c>
    </row>
    <row r="34" spans="1:21" s="57" customFormat="1" x14ac:dyDescent="0.25">
      <c r="A34" s="56">
        <v>2015</v>
      </c>
      <c r="B34" s="57" t="s">
        <v>174</v>
      </c>
      <c r="C34" s="57">
        <v>18274</v>
      </c>
      <c r="D34" s="57">
        <v>35</v>
      </c>
      <c r="E34" s="58">
        <v>42247</v>
      </c>
      <c r="F34" s="57" t="s">
        <v>108</v>
      </c>
      <c r="G34" s="57" t="s">
        <v>47</v>
      </c>
      <c r="H34" s="57" t="s">
        <v>172</v>
      </c>
      <c r="I34" s="57" t="s">
        <v>61</v>
      </c>
      <c r="J34" s="57" t="s">
        <v>160</v>
      </c>
      <c r="K34" s="57" t="s">
        <v>111</v>
      </c>
      <c r="L34" s="57" t="s">
        <v>5</v>
      </c>
      <c r="M34" s="57" t="s">
        <v>112</v>
      </c>
      <c r="N34" s="57">
        <v>15</v>
      </c>
      <c r="O34" s="57">
        <v>0</v>
      </c>
      <c r="P34" s="57">
        <v>15</v>
      </c>
      <c r="Q34" s="57">
        <v>1</v>
      </c>
      <c r="R34" s="57" t="s">
        <v>113</v>
      </c>
      <c r="T34" s="57" t="s">
        <v>137</v>
      </c>
      <c r="U34" s="57" t="s">
        <v>138</v>
      </c>
    </row>
    <row r="35" spans="1:21" x14ac:dyDescent="0.25">
      <c r="A35" s="36">
        <v>2015</v>
      </c>
      <c r="B35" s="34" t="s">
        <v>175</v>
      </c>
      <c r="C35" s="34">
        <v>18275</v>
      </c>
      <c r="D35" s="34">
        <v>35</v>
      </c>
      <c r="E35" s="35">
        <v>42247</v>
      </c>
      <c r="F35" s="34" t="s">
        <v>108</v>
      </c>
      <c r="G35" s="34" t="s">
        <v>47</v>
      </c>
      <c r="H35" s="34" t="s">
        <v>176</v>
      </c>
      <c r="I35" s="34" t="s">
        <v>61</v>
      </c>
      <c r="J35" s="34" t="s">
        <v>110</v>
      </c>
      <c r="K35" s="34" t="s">
        <v>111</v>
      </c>
      <c r="L35" s="34" t="s">
        <v>6</v>
      </c>
      <c r="M35" s="34" t="s">
        <v>112</v>
      </c>
      <c r="N35" s="34">
        <v>0</v>
      </c>
      <c r="O35" s="34">
        <v>13</v>
      </c>
      <c r="P35" s="34">
        <v>13</v>
      </c>
      <c r="Q35" s="34">
        <v>0</v>
      </c>
      <c r="R35" s="34" t="s">
        <v>116</v>
      </c>
      <c r="T35" s="34" t="s">
        <v>132</v>
      </c>
      <c r="U35" s="34" t="s">
        <v>133</v>
      </c>
    </row>
    <row r="36" spans="1:21" x14ac:dyDescent="0.25">
      <c r="A36" s="36">
        <v>2015</v>
      </c>
      <c r="B36" s="34" t="s">
        <v>177</v>
      </c>
      <c r="C36" s="34">
        <v>18276</v>
      </c>
      <c r="D36" s="34">
        <v>35</v>
      </c>
      <c r="E36" s="35">
        <v>42247</v>
      </c>
      <c r="F36" s="34" t="s">
        <v>108</v>
      </c>
      <c r="G36" s="34" t="s">
        <v>47</v>
      </c>
      <c r="H36" s="34" t="s">
        <v>176</v>
      </c>
      <c r="I36" s="34" t="s">
        <v>61</v>
      </c>
      <c r="J36" s="34" t="s">
        <v>110</v>
      </c>
      <c r="K36" s="34" t="s">
        <v>111</v>
      </c>
      <c r="L36" s="34" t="s">
        <v>5</v>
      </c>
      <c r="M36" s="34" t="s">
        <v>112</v>
      </c>
      <c r="N36" s="34">
        <v>0</v>
      </c>
      <c r="O36" s="34">
        <v>4</v>
      </c>
      <c r="P36" s="34">
        <v>4</v>
      </c>
      <c r="Q36" s="34">
        <v>0</v>
      </c>
      <c r="R36" s="34" t="s">
        <v>116</v>
      </c>
      <c r="T36" s="34" t="s">
        <v>137</v>
      </c>
      <c r="U36" s="34" t="s">
        <v>138</v>
      </c>
    </row>
    <row r="37" spans="1:21" x14ac:dyDescent="0.25">
      <c r="A37" s="36">
        <v>2015</v>
      </c>
      <c r="B37" s="34" t="s">
        <v>178</v>
      </c>
      <c r="C37" s="34">
        <v>18277</v>
      </c>
      <c r="D37" s="34">
        <v>35</v>
      </c>
      <c r="E37" s="35">
        <v>42247</v>
      </c>
      <c r="F37" s="34" t="s">
        <v>108</v>
      </c>
      <c r="G37" s="34" t="s">
        <v>47</v>
      </c>
      <c r="H37" s="34" t="s">
        <v>179</v>
      </c>
      <c r="I37" s="34" t="s">
        <v>61</v>
      </c>
      <c r="J37" s="34" t="s">
        <v>160</v>
      </c>
      <c r="K37" s="34" t="s">
        <v>111</v>
      </c>
      <c r="L37" s="34" t="s">
        <v>5</v>
      </c>
      <c r="M37" s="34" t="s">
        <v>112</v>
      </c>
      <c r="N37" s="34">
        <v>8</v>
      </c>
      <c r="O37" s="34">
        <v>0</v>
      </c>
      <c r="P37" s="34">
        <v>8</v>
      </c>
      <c r="Q37" s="34">
        <v>0</v>
      </c>
      <c r="R37" s="34" t="s">
        <v>116</v>
      </c>
      <c r="T37" s="34" t="s">
        <v>137</v>
      </c>
      <c r="U37" s="34" t="s">
        <v>138</v>
      </c>
    </row>
    <row r="38" spans="1:21" x14ac:dyDescent="0.25">
      <c r="A38" s="36">
        <v>2015</v>
      </c>
      <c r="B38" s="34" t="s">
        <v>180</v>
      </c>
      <c r="C38" s="34">
        <v>18278</v>
      </c>
      <c r="D38" s="34">
        <v>35</v>
      </c>
      <c r="E38" s="35">
        <v>42247</v>
      </c>
      <c r="F38" s="34" t="s">
        <v>108</v>
      </c>
      <c r="G38" s="34" t="s">
        <v>47</v>
      </c>
      <c r="H38" s="34" t="s">
        <v>181</v>
      </c>
      <c r="I38" s="34" t="s">
        <v>61</v>
      </c>
      <c r="J38" s="34" t="s">
        <v>110</v>
      </c>
      <c r="K38" s="34" t="s">
        <v>111</v>
      </c>
      <c r="L38" s="34" t="s">
        <v>6</v>
      </c>
      <c r="M38" s="34" t="s">
        <v>112</v>
      </c>
      <c r="N38" s="34">
        <v>0</v>
      </c>
      <c r="O38" s="34">
        <v>10</v>
      </c>
      <c r="P38" s="34">
        <v>10</v>
      </c>
      <c r="Q38" s="34">
        <v>0</v>
      </c>
      <c r="R38" s="34" t="s">
        <v>116</v>
      </c>
      <c r="T38" s="34" t="s">
        <v>132</v>
      </c>
      <c r="U38" s="34" t="s">
        <v>133</v>
      </c>
    </row>
    <row r="39" spans="1:21" x14ac:dyDescent="0.25">
      <c r="A39" s="36">
        <v>2015</v>
      </c>
      <c r="B39" s="34" t="s">
        <v>182</v>
      </c>
      <c r="C39" s="34">
        <v>18279</v>
      </c>
      <c r="D39" s="34">
        <v>35</v>
      </c>
      <c r="E39" s="35">
        <v>42247</v>
      </c>
      <c r="F39" s="34" t="s">
        <v>108</v>
      </c>
      <c r="G39" s="34" t="s">
        <v>47</v>
      </c>
      <c r="H39" s="34" t="s">
        <v>181</v>
      </c>
      <c r="I39" s="34" t="s">
        <v>61</v>
      </c>
      <c r="J39" s="34" t="s">
        <v>110</v>
      </c>
      <c r="K39" s="34" t="s">
        <v>111</v>
      </c>
      <c r="L39" s="34" t="s">
        <v>5</v>
      </c>
      <c r="M39" s="34" t="s">
        <v>112</v>
      </c>
      <c r="N39" s="34">
        <v>0</v>
      </c>
      <c r="O39" s="34">
        <v>9</v>
      </c>
      <c r="P39" s="34">
        <v>9</v>
      </c>
      <c r="Q39" s="34">
        <v>0</v>
      </c>
      <c r="R39" s="34" t="s">
        <v>116</v>
      </c>
      <c r="T39" s="34" t="s">
        <v>137</v>
      </c>
      <c r="U39" s="34" t="s">
        <v>138</v>
      </c>
    </row>
    <row r="40" spans="1:21" x14ac:dyDescent="0.25">
      <c r="A40" s="36">
        <v>2015</v>
      </c>
      <c r="B40" s="34" t="s">
        <v>183</v>
      </c>
      <c r="C40" s="34">
        <v>18280</v>
      </c>
      <c r="D40" s="34">
        <v>35</v>
      </c>
      <c r="E40" s="35">
        <v>42247</v>
      </c>
      <c r="F40" s="34" t="s">
        <v>108</v>
      </c>
      <c r="G40" s="34" t="s">
        <v>47</v>
      </c>
      <c r="H40" s="34" t="s">
        <v>184</v>
      </c>
      <c r="I40" s="34" t="s">
        <v>61</v>
      </c>
      <c r="J40" s="34" t="s">
        <v>160</v>
      </c>
      <c r="K40" s="34" t="s">
        <v>111</v>
      </c>
      <c r="L40" s="34" t="s">
        <v>5</v>
      </c>
      <c r="M40" s="34" t="s">
        <v>112</v>
      </c>
      <c r="N40" s="34">
        <v>31</v>
      </c>
      <c r="O40" s="34">
        <v>0</v>
      </c>
      <c r="P40" s="34">
        <v>31</v>
      </c>
      <c r="Q40" s="34">
        <v>0</v>
      </c>
      <c r="R40" s="34" t="s">
        <v>116</v>
      </c>
      <c r="T40" s="34" t="s">
        <v>137</v>
      </c>
      <c r="U40" s="34" t="s">
        <v>138</v>
      </c>
    </row>
    <row r="41" spans="1:21" x14ac:dyDescent="0.25">
      <c r="A41" s="36">
        <v>2015</v>
      </c>
      <c r="B41" s="34" t="s">
        <v>185</v>
      </c>
      <c r="C41" s="34">
        <v>18281</v>
      </c>
      <c r="D41" s="34">
        <v>35</v>
      </c>
      <c r="E41" s="35">
        <v>42247</v>
      </c>
      <c r="F41" s="34" t="s">
        <v>108</v>
      </c>
      <c r="G41" s="34" t="s">
        <v>47</v>
      </c>
      <c r="H41" s="34" t="s">
        <v>186</v>
      </c>
      <c r="I41" s="34" t="s">
        <v>61</v>
      </c>
      <c r="J41" s="34" t="s">
        <v>110</v>
      </c>
      <c r="K41" s="34" t="s">
        <v>111</v>
      </c>
      <c r="L41" s="34" t="s">
        <v>6</v>
      </c>
      <c r="M41" s="34" t="s">
        <v>112</v>
      </c>
      <c r="N41" s="34">
        <v>0</v>
      </c>
      <c r="O41" s="34">
        <v>18</v>
      </c>
      <c r="P41" s="34">
        <v>18</v>
      </c>
      <c r="Q41" s="34">
        <v>0</v>
      </c>
      <c r="R41" s="34" t="s">
        <v>116</v>
      </c>
      <c r="T41" s="34" t="s">
        <v>132</v>
      </c>
      <c r="U41" s="34" t="s">
        <v>133</v>
      </c>
    </row>
    <row r="42" spans="1:21" x14ac:dyDescent="0.25">
      <c r="A42" s="36">
        <v>2015</v>
      </c>
      <c r="B42" s="34" t="s">
        <v>187</v>
      </c>
      <c r="C42" s="34">
        <v>18282</v>
      </c>
      <c r="D42" s="34">
        <v>35</v>
      </c>
      <c r="E42" s="35">
        <v>42247</v>
      </c>
      <c r="F42" s="34" t="s">
        <v>108</v>
      </c>
      <c r="G42" s="34" t="s">
        <v>47</v>
      </c>
      <c r="H42" s="34" t="s">
        <v>186</v>
      </c>
      <c r="I42" s="34" t="s">
        <v>61</v>
      </c>
      <c r="J42" s="34" t="s">
        <v>110</v>
      </c>
      <c r="K42" s="34" t="s">
        <v>111</v>
      </c>
      <c r="L42" s="34" t="s">
        <v>5</v>
      </c>
      <c r="M42" s="34" t="s">
        <v>112</v>
      </c>
      <c r="N42" s="34">
        <v>0</v>
      </c>
      <c r="O42" s="34">
        <v>50</v>
      </c>
      <c r="P42" s="34">
        <v>50</v>
      </c>
      <c r="Q42" s="34">
        <v>0</v>
      </c>
      <c r="R42" s="34" t="s">
        <v>116</v>
      </c>
      <c r="T42" s="34" t="s">
        <v>137</v>
      </c>
      <c r="U42" s="34" t="s">
        <v>138</v>
      </c>
    </row>
    <row r="43" spans="1:21" x14ac:dyDescent="0.25">
      <c r="A43" s="36">
        <v>2015</v>
      </c>
      <c r="B43" s="34" t="s">
        <v>188</v>
      </c>
      <c r="C43" s="34">
        <v>18283</v>
      </c>
      <c r="D43" s="34">
        <v>35</v>
      </c>
      <c r="E43" s="35">
        <v>42247</v>
      </c>
      <c r="F43" s="34" t="s">
        <v>108</v>
      </c>
      <c r="G43" s="34" t="s">
        <v>47</v>
      </c>
      <c r="H43" s="34" t="s">
        <v>186</v>
      </c>
      <c r="I43" s="34" t="s">
        <v>61</v>
      </c>
      <c r="J43" s="34" t="s">
        <v>110</v>
      </c>
      <c r="K43" s="34" t="s">
        <v>111</v>
      </c>
      <c r="L43" s="34" t="s">
        <v>5</v>
      </c>
      <c r="M43" s="34" t="s">
        <v>112</v>
      </c>
      <c r="N43" s="34">
        <v>0</v>
      </c>
      <c r="O43" s="34">
        <v>20</v>
      </c>
      <c r="P43" s="34">
        <v>20</v>
      </c>
      <c r="Q43" s="34">
        <v>0</v>
      </c>
      <c r="R43" s="34" t="s">
        <v>116</v>
      </c>
      <c r="T43" s="34" t="s">
        <v>137</v>
      </c>
      <c r="U43" s="34" t="s">
        <v>138</v>
      </c>
    </row>
    <row r="44" spans="1:21" x14ac:dyDescent="0.25">
      <c r="A44" s="36">
        <v>2015</v>
      </c>
      <c r="B44" s="34" t="s">
        <v>189</v>
      </c>
      <c r="C44" s="34">
        <v>18284</v>
      </c>
      <c r="D44" s="34">
        <v>35</v>
      </c>
      <c r="E44" s="35">
        <v>42248</v>
      </c>
      <c r="F44" s="34" t="s">
        <v>108</v>
      </c>
      <c r="G44" s="34" t="s">
        <v>47</v>
      </c>
      <c r="H44" s="34" t="s">
        <v>190</v>
      </c>
      <c r="I44" s="34" t="s">
        <v>62</v>
      </c>
      <c r="J44" s="34" t="s">
        <v>110</v>
      </c>
      <c r="K44" s="34" t="s">
        <v>111</v>
      </c>
      <c r="L44" s="34" t="s">
        <v>6</v>
      </c>
      <c r="M44" s="34" t="s">
        <v>112</v>
      </c>
      <c r="N44" s="34">
        <v>0</v>
      </c>
      <c r="O44" s="34">
        <v>5</v>
      </c>
      <c r="P44" s="34">
        <v>5</v>
      </c>
      <c r="Q44" s="34">
        <v>0</v>
      </c>
      <c r="R44" s="34" t="s">
        <v>116</v>
      </c>
      <c r="T44" s="34" t="s">
        <v>132</v>
      </c>
      <c r="U44" s="34" t="s">
        <v>141</v>
      </c>
    </row>
    <row r="45" spans="1:21" x14ac:dyDescent="0.25">
      <c r="A45" s="36">
        <v>2015</v>
      </c>
      <c r="B45" s="34" t="s">
        <v>191</v>
      </c>
      <c r="C45" s="34">
        <v>18285</v>
      </c>
      <c r="D45" s="34">
        <v>35</v>
      </c>
      <c r="E45" s="35">
        <v>42248</v>
      </c>
      <c r="F45" s="34" t="s">
        <v>108</v>
      </c>
      <c r="G45" s="34" t="s">
        <v>47</v>
      </c>
      <c r="H45" s="34" t="s">
        <v>190</v>
      </c>
      <c r="I45" s="34" t="s">
        <v>62</v>
      </c>
      <c r="J45" s="34" t="s">
        <v>110</v>
      </c>
      <c r="K45" s="34" t="s">
        <v>111</v>
      </c>
      <c r="L45" s="34" t="s">
        <v>5</v>
      </c>
      <c r="M45" s="34" t="s">
        <v>112</v>
      </c>
      <c r="N45" s="34">
        <v>0</v>
      </c>
      <c r="O45" s="34">
        <v>3</v>
      </c>
      <c r="P45" s="34">
        <v>3</v>
      </c>
      <c r="Q45" s="34">
        <v>0</v>
      </c>
      <c r="R45" s="34" t="s">
        <v>116</v>
      </c>
      <c r="T45" s="34" t="s">
        <v>137</v>
      </c>
      <c r="U45" s="34" t="s">
        <v>143</v>
      </c>
    </row>
    <row r="46" spans="1:21" x14ac:dyDescent="0.25">
      <c r="A46" s="36">
        <v>2015</v>
      </c>
      <c r="B46" s="34" t="s">
        <v>192</v>
      </c>
      <c r="C46" s="34">
        <v>18286</v>
      </c>
      <c r="D46" s="34">
        <v>35</v>
      </c>
      <c r="E46" s="35">
        <v>42248</v>
      </c>
      <c r="F46" s="34" t="s">
        <v>108</v>
      </c>
      <c r="G46" s="34" t="s">
        <v>47</v>
      </c>
      <c r="H46" s="34" t="s">
        <v>193</v>
      </c>
      <c r="I46" s="34" t="s">
        <v>62</v>
      </c>
      <c r="J46" s="34" t="s">
        <v>110</v>
      </c>
      <c r="K46" s="34" t="s">
        <v>111</v>
      </c>
      <c r="L46" s="34" t="s">
        <v>6</v>
      </c>
      <c r="M46" s="34" t="s">
        <v>112</v>
      </c>
      <c r="N46" s="34">
        <v>0</v>
      </c>
      <c r="O46" s="34">
        <v>7</v>
      </c>
      <c r="P46" s="34">
        <v>7</v>
      </c>
      <c r="Q46" s="34">
        <v>0</v>
      </c>
      <c r="R46" s="34" t="s">
        <v>116</v>
      </c>
      <c r="T46" s="34" t="s">
        <v>132</v>
      </c>
      <c r="U46" s="34" t="s">
        <v>141</v>
      </c>
    </row>
    <row r="47" spans="1:21" x14ac:dyDescent="0.25">
      <c r="A47" s="36">
        <v>2015</v>
      </c>
      <c r="B47" s="34" t="s">
        <v>194</v>
      </c>
      <c r="C47" s="34">
        <v>18287</v>
      </c>
      <c r="D47" s="34">
        <v>35</v>
      </c>
      <c r="E47" s="35">
        <v>42248</v>
      </c>
      <c r="F47" s="34" t="s">
        <v>108</v>
      </c>
      <c r="G47" s="34" t="s">
        <v>47</v>
      </c>
      <c r="H47" s="34" t="s">
        <v>193</v>
      </c>
      <c r="I47" s="34" t="s">
        <v>62</v>
      </c>
      <c r="J47" s="34" t="s">
        <v>110</v>
      </c>
      <c r="K47" s="34" t="s">
        <v>111</v>
      </c>
      <c r="L47" s="34" t="s">
        <v>5</v>
      </c>
      <c r="M47" s="34" t="s">
        <v>112</v>
      </c>
      <c r="N47" s="34">
        <v>0</v>
      </c>
      <c r="O47" s="34">
        <v>2</v>
      </c>
      <c r="P47" s="34">
        <v>2</v>
      </c>
      <c r="Q47" s="34">
        <v>0</v>
      </c>
      <c r="R47" s="34" t="s">
        <v>116</v>
      </c>
      <c r="T47" s="34" t="s">
        <v>137</v>
      </c>
      <c r="U47" s="34" t="s">
        <v>143</v>
      </c>
    </row>
    <row r="48" spans="1:21" x14ac:dyDescent="0.25">
      <c r="A48" s="36">
        <v>2015</v>
      </c>
      <c r="B48" s="34" t="s">
        <v>195</v>
      </c>
      <c r="C48" s="34">
        <v>18288</v>
      </c>
      <c r="D48" s="34">
        <v>35</v>
      </c>
      <c r="E48" s="35">
        <v>42248</v>
      </c>
      <c r="F48" s="34" t="s">
        <v>108</v>
      </c>
      <c r="G48" s="34" t="s">
        <v>47</v>
      </c>
      <c r="H48" s="34" t="s">
        <v>196</v>
      </c>
      <c r="I48" s="34" t="s">
        <v>62</v>
      </c>
      <c r="J48" s="34" t="s">
        <v>110</v>
      </c>
      <c r="K48" s="34" t="s">
        <v>111</v>
      </c>
      <c r="L48" s="34" t="s">
        <v>6</v>
      </c>
      <c r="M48" s="34" t="s">
        <v>112</v>
      </c>
      <c r="N48" s="34">
        <v>0</v>
      </c>
      <c r="O48" s="34">
        <v>3</v>
      </c>
      <c r="P48" s="34">
        <v>3</v>
      </c>
      <c r="Q48" s="34">
        <v>0</v>
      </c>
      <c r="R48" s="34" t="s">
        <v>116</v>
      </c>
      <c r="T48" s="34" t="s">
        <v>132</v>
      </c>
      <c r="U48" s="34" t="s">
        <v>141</v>
      </c>
    </row>
    <row r="49" spans="1:21" x14ac:dyDescent="0.25">
      <c r="A49" s="36">
        <v>2015</v>
      </c>
      <c r="B49" s="34" t="s">
        <v>197</v>
      </c>
      <c r="C49" s="34">
        <v>18289</v>
      </c>
      <c r="D49" s="34">
        <v>35</v>
      </c>
      <c r="E49" s="35">
        <v>42248</v>
      </c>
      <c r="F49" s="34" t="s">
        <v>108</v>
      </c>
      <c r="G49" s="34" t="s">
        <v>47</v>
      </c>
      <c r="H49" s="34" t="s">
        <v>196</v>
      </c>
      <c r="I49" s="34" t="s">
        <v>62</v>
      </c>
      <c r="J49" s="34" t="s">
        <v>110</v>
      </c>
      <c r="K49" s="34" t="s">
        <v>111</v>
      </c>
      <c r="L49" s="34" t="s">
        <v>5</v>
      </c>
      <c r="M49" s="34" t="s">
        <v>112</v>
      </c>
      <c r="N49" s="34">
        <v>0</v>
      </c>
      <c r="O49" s="34">
        <v>9</v>
      </c>
      <c r="P49" s="34">
        <v>9</v>
      </c>
      <c r="Q49" s="34">
        <v>0</v>
      </c>
      <c r="R49" s="34" t="s">
        <v>116</v>
      </c>
      <c r="T49" s="34" t="s">
        <v>137</v>
      </c>
      <c r="U49" s="34" t="s">
        <v>143</v>
      </c>
    </row>
    <row r="50" spans="1:21" s="57" customFormat="1" x14ac:dyDescent="0.25">
      <c r="A50" s="56">
        <v>2015</v>
      </c>
      <c r="B50" s="57" t="s">
        <v>198</v>
      </c>
      <c r="C50" s="57">
        <v>18290</v>
      </c>
      <c r="D50" s="57">
        <v>35</v>
      </c>
      <c r="E50" s="58">
        <v>42248</v>
      </c>
      <c r="F50" s="57" t="s">
        <v>108</v>
      </c>
      <c r="G50" s="57" t="s">
        <v>47</v>
      </c>
      <c r="H50" s="57" t="s">
        <v>199</v>
      </c>
      <c r="I50" s="57" t="s">
        <v>62</v>
      </c>
      <c r="J50" s="57" t="s">
        <v>160</v>
      </c>
      <c r="K50" s="57" t="s">
        <v>111</v>
      </c>
      <c r="L50" s="57" t="s">
        <v>5</v>
      </c>
      <c r="M50" s="57" t="s">
        <v>112</v>
      </c>
      <c r="N50" s="57">
        <v>50</v>
      </c>
      <c r="O50" s="57">
        <v>0</v>
      </c>
      <c r="P50" s="57">
        <v>50</v>
      </c>
      <c r="Q50" s="57">
        <v>1</v>
      </c>
      <c r="R50" s="57" t="s">
        <v>113</v>
      </c>
      <c r="T50" s="57" t="s">
        <v>137</v>
      </c>
      <c r="U50" s="57" t="s">
        <v>143</v>
      </c>
    </row>
    <row r="51" spans="1:21" x14ac:dyDescent="0.25">
      <c r="A51" s="36">
        <v>2015</v>
      </c>
      <c r="B51" s="34" t="s">
        <v>200</v>
      </c>
      <c r="C51" s="34">
        <v>18291</v>
      </c>
      <c r="D51" s="34">
        <v>35</v>
      </c>
      <c r="E51" s="35">
        <v>42248</v>
      </c>
      <c r="F51" s="34" t="s">
        <v>108</v>
      </c>
      <c r="G51" s="34" t="s">
        <v>47</v>
      </c>
      <c r="H51" s="34" t="s">
        <v>199</v>
      </c>
      <c r="I51" s="34" t="s">
        <v>62</v>
      </c>
      <c r="J51" s="34" t="s">
        <v>160</v>
      </c>
      <c r="K51" s="34" t="s">
        <v>111</v>
      </c>
      <c r="L51" s="34" t="s">
        <v>5</v>
      </c>
      <c r="M51" s="34" t="s">
        <v>112</v>
      </c>
      <c r="N51" s="34">
        <v>13</v>
      </c>
      <c r="O51" s="34">
        <v>0</v>
      </c>
      <c r="P51" s="34">
        <v>13</v>
      </c>
      <c r="Q51" s="34">
        <v>0</v>
      </c>
      <c r="R51" s="34" t="s">
        <v>116</v>
      </c>
      <c r="T51" s="34" t="s">
        <v>137</v>
      </c>
      <c r="U51" s="34" t="s">
        <v>143</v>
      </c>
    </row>
    <row r="52" spans="1:21" x14ac:dyDescent="0.25">
      <c r="A52" s="36">
        <v>2015</v>
      </c>
      <c r="B52" s="34" t="s">
        <v>201</v>
      </c>
      <c r="C52" s="34">
        <v>18292</v>
      </c>
      <c r="D52" s="34">
        <v>35</v>
      </c>
      <c r="E52" s="35">
        <v>42248</v>
      </c>
      <c r="F52" s="34" t="s">
        <v>108</v>
      </c>
      <c r="G52" s="34" t="s">
        <v>47</v>
      </c>
      <c r="H52" s="34" t="s">
        <v>202</v>
      </c>
      <c r="I52" s="34" t="s">
        <v>62</v>
      </c>
      <c r="J52" s="34" t="s">
        <v>110</v>
      </c>
      <c r="K52" s="34" t="s">
        <v>111</v>
      </c>
      <c r="L52" s="34" t="s">
        <v>6</v>
      </c>
      <c r="M52" s="34" t="s">
        <v>112</v>
      </c>
      <c r="N52" s="34">
        <v>0</v>
      </c>
      <c r="O52" s="34">
        <v>11</v>
      </c>
      <c r="P52" s="34">
        <v>11</v>
      </c>
      <c r="Q52" s="34">
        <v>0</v>
      </c>
      <c r="R52" s="34" t="s">
        <v>116</v>
      </c>
      <c r="T52" s="34" t="s">
        <v>132</v>
      </c>
      <c r="U52" s="34" t="s">
        <v>141</v>
      </c>
    </row>
    <row r="53" spans="1:21" x14ac:dyDescent="0.25">
      <c r="A53" s="36">
        <v>2015</v>
      </c>
      <c r="B53" s="34" t="s">
        <v>203</v>
      </c>
      <c r="C53" s="34">
        <v>18293</v>
      </c>
      <c r="D53" s="34">
        <v>35</v>
      </c>
      <c r="E53" s="35">
        <v>42248</v>
      </c>
      <c r="F53" s="34" t="s">
        <v>108</v>
      </c>
      <c r="G53" s="34" t="s">
        <v>47</v>
      </c>
      <c r="H53" s="34" t="s">
        <v>202</v>
      </c>
      <c r="I53" s="34" t="s">
        <v>62</v>
      </c>
      <c r="J53" s="34" t="s">
        <v>110</v>
      </c>
      <c r="K53" s="34" t="s">
        <v>111</v>
      </c>
      <c r="L53" s="34" t="s">
        <v>5</v>
      </c>
      <c r="M53" s="34" t="s">
        <v>112</v>
      </c>
      <c r="N53" s="34">
        <v>0</v>
      </c>
      <c r="O53" s="34">
        <v>4</v>
      </c>
      <c r="P53" s="34">
        <v>4</v>
      </c>
      <c r="Q53" s="34">
        <v>0</v>
      </c>
      <c r="R53" s="34" t="s">
        <v>116</v>
      </c>
      <c r="T53" s="34" t="s">
        <v>137</v>
      </c>
      <c r="U53" s="34" t="s">
        <v>143</v>
      </c>
    </row>
    <row r="54" spans="1:21" s="57" customFormat="1" x14ac:dyDescent="0.25">
      <c r="A54" s="56">
        <v>2015</v>
      </c>
      <c r="B54" s="57" t="s">
        <v>204</v>
      </c>
      <c r="C54" s="57">
        <v>18294</v>
      </c>
      <c r="D54" s="57">
        <v>35</v>
      </c>
      <c r="E54" s="58">
        <v>42248</v>
      </c>
      <c r="F54" s="57" t="s">
        <v>108</v>
      </c>
      <c r="G54" s="57" t="s">
        <v>47</v>
      </c>
      <c r="H54" s="57" t="s">
        <v>205</v>
      </c>
      <c r="I54" s="57" t="s">
        <v>62</v>
      </c>
      <c r="J54" s="57" t="s">
        <v>160</v>
      </c>
      <c r="K54" s="57" t="s">
        <v>111</v>
      </c>
      <c r="L54" s="57" t="s">
        <v>5</v>
      </c>
      <c r="M54" s="57" t="s">
        <v>112</v>
      </c>
      <c r="N54" s="57">
        <v>50</v>
      </c>
      <c r="O54" s="57">
        <v>0</v>
      </c>
      <c r="P54" s="57">
        <v>50</v>
      </c>
      <c r="Q54" s="57">
        <v>1</v>
      </c>
      <c r="R54" s="57" t="s">
        <v>113</v>
      </c>
      <c r="T54" s="57" t="s">
        <v>137</v>
      </c>
      <c r="U54" s="57" t="s">
        <v>143</v>
      </c>
    </row>
    <row r="55" spans="1:21" s="57" customFormat="1" x14ac:dyDescent="0.25">
      <c r="A55" s="56">
        <v>2015</v>
      </c>
      <c r="B55" s="57" t="s">
        <v>206</v>
      </c>
      <c r="C55" s="57">
        <v>18295</v>
      </c>
      <c r="D55" s="57">
        <v>35</v>
      </c>
      <c r="E55" s="58">
        <v>42248</v>
      </c>
      <c r="F55" s="57" t="s">
        <v>108</v>
      </c>
      <c r="G55" s="57" t="s">
        <v>47</v>
      </c>
      <c r="H55" s="57" t="s">
        <v>205</v>
      </c>
      <c r="I55" s="57" t="s">
        <v>62</v>
      </c>
      <c r="J55" s="57" t="s">
        <v>160</v>
      </c>
      <c r="K55" s="57" t="s">
        <v>111</v>
      </c>
      <c r="L55" s="57" t="s">
        <v>5</v>
      </c>
      <c r="M55" s="57" t="s">
        <v>112</v>
      </c>
      <c r="N55" s="57">
        <v>50</v>
      </c>
      <c r="O55" s="57">
        <v>0</v>
      </c>
      <c r="P55" s="57">
        <v>50</v>
      </c>
      <c r="Q55" s="57">
        <v>1</v>
      </c>
      <c r="R55" s="57" t="s">
        <v>113</v>
      </c>
      <c r="T55" s="57" t="s">
        <v>137</v>
      </c>
      <c r="U55" s="57" t="s">
        <v>143</v>
      </c>
    </row>
    <row r="56" spans="1:21" x14ac:dyDescent="0.25">
      <c r="A56" s="36">
        <v>2015</v>
      </c>
      <c r="B56" s="34" t="s">
        <v>207</v>
      </c>
      <c r="C56" s="34">
        <v>18296</v>
      </c>
      <c r="D56" s="34">
        <v>35</v>
      </c>
      <c r="E56" s="35">
        <v>42248</v>
      </c>
      <c r="F56" s="34" t="s">
        <v>108</v>
      </c>
      <c r="G56" s="34" t="s">
        <v>47</v>
      </c>
      <c r="H56" s="34" t="s">
        <v>205</v>
      </c>
      <c r="I56" s="34" t="s">
        <v>62</v>
      </c>
      <c r="J56" s="34" t="s">
        <v>160</v>
      </c>
      <c r="K56" s="34" t="s">
        <v>111</v>
      </c>
      <c r="L56" s="34" t="s">
        <v>5</v>
      </c>
      <c r="M56" s="34" t="s">
        <v>112</v>
      </c>
      <c r="N56" s="34">
        <v>3</v>
      </c>
      <c r="O56" s="34">
        <v>0</v>
      </c>
      <c r="P56" s="34">
        <v>3</v>
      </c>
      <c r="Q56" s="34">
        <v>0</v>
      </c>
      <c r="R56" s="34" t="s">
        <v>116</v>
      </c>
      <c r="T56" s="34" t="s">
        <v>137</v>
      </c>
      <c r="U56" s="34" t="s">
        <v>143</v>
      </c>
    </row>
    <row r="57" spans="1:21" s="57" customFormat="1" x14ac:dyDescent="0.25">
      <c r="A57" s="56">
        <v>2015</v>
      </c>
      <c r="B57" s="57" t="s">
        <v>208</v>
      </c>
      <c r="C57" s="57">
        <v>18297</v>
      </c>
      <c r="D57" s="57">
        <v>35</v>
      </c>
      <c r="E57" s="58">
        <v>42248</v>
      </c>
      <c r="F57" s="57" t="s">
        <v>108</v>
      </c>
      <c r="G57" s="57" t="s">
        <v>47</v>
      </c>
      <c r="H57" s="57" t="s">
        <v>209</v>
      </c>
      <c r="I57" s="57" t="s">
        <v>62</v>
      </c>
      <c r="J57" s="57" t="s">
        <v>110</v>
      </c>
      <c r="K57" s="57" t="s">
        <v>111</v>
      </c>
      <c r="L57" s="57" t="s">
        <v>6</v>
      </c>
      <c r="M57" s="57" t="s">
        <v>112</v>
      </c>
      <c r="N57" s="57">
        <v>0</v>
      </c>
      <c r="O57" s="57">
        <v>8</v>
      </c>
      <c r="P57" s="57">
        <v>8</v>
      </c>
      <c r="Q57" s="57">
        <v>1</v>
      </c>
      <c r="R57" s="57" t="s">
        <v>113</v>
      </c>
      <c r="T57" s="57" t="s">
        <v>132</v>
      </c>
      <c r="U57" s="57" t="s">
        <v>141</v>
      </c>
    </row>
    <row r="58" spans="1:21" x14ac:dyDescent="0.25">
      <c r="A58" s="36">
        <v>2015</v>
      </c>
      <c r="B58" s="34" t="s">
        <v>210</v>
      </c>
      <c r="C58" s="34">
        <v>18298</v>
      </c>
      <c r="D58" s="34">
        <v>35</v>
      </c>
      <c r="E58" s="35">
        <v>42248</v>
      </c>
      <c r="F58" s="34" t="s">
        <v>108</v>
      </c>
      <c r="G58" s="34" t="s">
        <v>47</v>
      </c>
      <c r="H58" s="34" t="s">
        <v>209</v>
      </c>
      <c r="I58" s="34" t="s">
        <v>62</v>
      </c>
      <c r="J58" s="34" t="s">
        <v>110</v>
      </c>
      <c r="K58" s="34" t="s">
        <v>111</v>
      </c>
      <c r="L58" s="34" t="s">
        <v>5</v>
      </c>
      <c r="M58" s="34" t="s">
        <v>112</v>
      </c>
      <c r="N58" s="34">
        <v>0</v>
      </c>
      <c r="O58" s="34">
        <v>25</v>
      </c>
      <c r="P58" s="34">
        <v>25</v>
      </c>
      <c r="Q58" s="34">
        <v>0</v>
      </c>
      <c r="R58" s="34" t="s">
        <v>116</v>
      </c>
      <c r="T58" s="34" t="s">
        <v>137</v>
      </c>
      <c r="U58" s="34" t="s">
        <v>143</v>
      </c>
    </row>
    <row r="59" spans="1:21" x14ac:dyDescent="0.25">
      <c r="A59" s="36">
        <v>2015</v>
      </c>
      <c r="B59" s="34" t="s">
        <v>211</v>
      </c>
      <c r="C59" s="34">
        <v>18299</v>
      </c>
      <c r="D59" s="34">
        <v>35</v>
      </c>
      <c r="E59" s="35">
        <v>42248</v>
      </c>
      <c r="F59" s="34" t="s">
        <v>108</v>
      </c>
      <c r="G59" s="34" t="s">
        <v>47</v>
      </c>
      <c r="H59" s="34" t="s">
        <v>212</v>
      </c>
      <c r="I59" s="34" t="s">
        <v>62</v>
      </c>
      <c r="J59" s="34" t="s">
        <v>110</v>
      </c>
      <c r="K59" s="34" t="s">
        <v>111</v>
      </c>
      <c r="L59" s="34" t="s">
        <v>6</v>
      </c>
      <c r="M59" s="34" t="s">
        <v>112</v>
      </c>
      <c r="N59" s="34">
        <v>0</v>
      </c>
      <c r="O59" s="34">
        <v>7</v>
      </c>
      <c r="P59" s="34">
        <v>7</v>
      </c>
      <c r="Q59" s="34">
        <v>0</v>
      </c>
      <c r="R59" s="34" t="s">
        <v>116</v>
      </c>
      <c r="T59" s="34" t="s">
        <v>132</v>
      </c>
      <c r="U59" s="34" t="s">
        <v>141</v>
      </c>
    </row>
    <row r="60" spans="1:21" x14ac:dyDescent="0.25">
      <c r="A60" s="36">
        <v>2015</v>
      </c>
      <c r="B60" s="34" t="s">
        <v>213</v>
      </c>
      <c r="C60" s="34">
        <v>18300</v>
      </c>
      <c r="D60" s="34">
        <v>35</v>
      </c>
      <c r="E60" s="35">
        <v>42248</v>
      </c>
      <c r="F60" s="34" t="s">
        <v>108</v>
      </c>
      <c r="G60" s="34" t="s">
        <v>47</v>
      </c>
      <c r="H60" s="34" t="s">
        <v>212</v>
      </c>
      <c r="I60" s="34" t="s">
        <v>62</v>
      </c>
      <c r="J60" s="34" t="s">
        <v>110</v>
      </c>
      <c r="K60" s="34" t="s">
        <v>111</v>
      </c>
      <c r="L60" s="34" t="s">
        <v>5</v>
      </c>
      <c r="M60" s="34" t="s">
        <v>112</v>
      </c>
      <c r="N60" s="34">
        <v>0</v>
      </c>
      <c r="O60" s="34">
        <v>14</v>
      </c>
      <c r="P60" s="34">
        <v>14</v>
      </c>
      <c r="Q60" s="34">
        <v>0</v>
      </c>
      <c r="R60" s="34" t="s">
        <v>116</v>
      </c>
      <c r="T60" s="34" t="s">
        <v>137</v>
      </c>
      <c r="U60" s="34" t="s">
        <v>143</v>
      </c>
    </row>
    <row r="61" spans="1:21" x14ac:dyDescent="0.25">
      <c r="A61" s="36">
        <v>2015</v>
      </c>
      <c r="B61" s="34" t="s">
        <v>214</v>
      </c>
      <c r="C61" s="34">
        <v>18301</v>
      </c>
      <c r="D61" s="34">
        <v>35</v>
      </c>
      <c r="E61" s="35">
        <v>42248</v>
      </c>
      <c r="F61" s="34" t="s">
        <v>108</v>
      </c>
      <c r="G61" s="34" t="s">
        <v>47</v>
      </c>
      <c r="H61" s="34" t="s">
        <v>215</v>
      </c>
      <c r="I61" s="34" t="s">
        <v>62</v>
      </c>
      <c r="J61" s="34" t="s">
        <v>110</v>
      </c>
      <c r="K61" s="34" t="s">
        <v>111</v>
      </c>
      <c r="L61" s="34" t="s">
        <v>6</v>
      </c>
      <c r="M61" s="34" t="s">
        <v>112</v>
      </c>
      <c r="N61" s="34">
        <v>0</v>
      </c>
      <c r="O61" s="34">
        <v>5</v>
      </c>
      <c r="P61" s="34">
        <v>5</v>
      </c>
      <c r="Q61" s="34">
        <v>0</v>
      </c>
      <c r="R61" s="34" t="s">
        <v>116</v>
      </c>
      <c r="T61" s="34" t="s">
        <v>132</v>
      </c>
      <c r="U61" s="34" t="s">
        <v>141</v>
      </c>
    </row>
    <row r="62" spans="1:21" x14ac:dyDescent="0.25">
      <c r="A62" s="36">
        <v>2015</v>
      </c>
      <c r="B62" s="34" t="s">
        <v>216</v>
      </c>
      <c r="C62" s="34">
        <v>18302</v>
      </c>
      <c r="D62" s="34">
        <v>35</v>
      </c>
      <c r="E62" s="35">
        <v>42248</v>
      </c>
      <c r="F62" s="34" t="s">
        <v>108</v>
      </c>
      <c r="G62" s="34" t="s">
        <v>47</v>
      </c>
      <c r="H62" s="34" t="s">
        <v>215</v>
      </c>
      <c r="I62" s="34" t="s">
        <v>62</v>
      </c>
      <c r="J62" s="34" t="s">
        <v>110</v>
      </c>
      <c r="K62" s="34" t="s">
        <v>111</v>
      </c>
      <c r="L62" s="34" t="s">
        <v>5</v>
      </c>
      <c r="M62" s="34" t="s">
        <v>112</v>
      </c>
      <c r="N62" s="34">
        <v>0</v>
      </c>
      <c r="O62" s="34">
        <v>15</v>
      </c>
      <c r="P62" s="34">
        <v>15</v>
      </c>
      <c r="Q62" s="34">
        <v>0</v>
      </c>
      <c r="R62" s="34" t="s">
        <v>116</v>
      </c>
      <c r="T62" s="34" t="s">
        <v>137</v>
      </c>
      <c r="U62" s="34" t="s">
        <v>143</v>
      </c>
    </row>
    <row r="63" spans="1:21" x14ac:dyDescent="0.25">
      <c r="A63" s="36">
        <v>2015</v>
      </c>
      <c r="B63" s="34" t="s">
        <v>217</v>
      </c>
      <c r="C63" s="34">
        <v>18303</v>
      </c>
      <c r="D63" s="34">
        <v>35</v>
      </c>
      <c r="E63" s="35">
        <v>42248</v>
      </c>
      <c r="F63" s="34" t="s">
        <v>108</v>
      </c>
      <c r="G63" s="34" t="s">
        <v>47</v>
      </c>
      <c r="H63" s="34" t="s">
        <v>218</v>
      </c>
      <c r="I63" s="34" t="s">
        <v>62</v>
      </c>
      <c r="J63" s="34" t="s">
        <v>110</v>
      </c>
      <c r="K63" s="34" t="s">
        <v>111</v>
      </c>
      <c r="L63" s="34" t="s">
        <v>6</v>
      </c>
      <c r="M63" s="34" t="s">
        <v>112</v>
      </c>
      <c r="N63" s="34">
        <v>0</v>
      </c>
      <c r="O63" s="34">
        <v>2</v>
      </c>
      <c r="P63" s="34">
        <v>2</v>
      </c>
      <c r="Q63" s="34">
        <v>0</v>
      </c>
      <c r="R63" s="34" t="s">
        <v>116</v>
      </c>
      <c r="T63" s="34" t="s">
        <v>132</v>
      </c>
      <c r="U63" s="34" t="s">
        <v>141</v>
      </c>
    </row>
    <row r="64" spans="1:21" x14ac:dyDescent="0.25">
      <c r="A64" s="36">
        <v>2015</v>
      </c>
      <c r="B64" s="34" t="s">
        <v>219</v>
      </c>
      <c r="C64" s="34">
        <v>18304</v>
      </c>
      <c r="D64" s="34">
        <v>35</v>
      </c>
      <c r="E64" s="35">
        <v>42248</v>
      </c>
      <c r="F64" s="34" t="s">
        <v>108</v>
      </c>
      <c r="G64" s="34" t="s">
        <v>47</v>
      </c>
      <c r="H64" s="34" t="s">
        <v>218</v>
      </c>
      <c r="I64" s="34" t="s">
        <v>62</v>
      </c>
      <c r="J64" s="34" t="s">
        <v>110</v>
      </c>
      <c r="K64" s="34" t="s">
        <v>111</v>
      </c>
      <c r="L64" s="34" t="s">
        <v>5</v>
      </c>
      <c r="M64" s="34" t="s">
        <v>112</v>
      </c>
      <c r="N64" s="34">
        <v>0</v>
      </c>
      <c r="O64" s="34">
        <v>50</v>
      </c>
      <c r="P64" s="34">
        <v>50</v>
      </c>
      <c r="Q64" s="34">
        <v>0</v>
      </c>
      <c r="R64" s="34" t="s">
        <v>116</v>
      </c>
      <c r="T64" s="34" t="s">
        <v>137</v>
      </c>
      <c r="U64" s="34" t="s">
        <v>143</v>
      </c>
    </row>
    <row r="65" spans="1:21" x14ac:dyDescent="0.25">
      <c r="A65" s="36">
        <v>2015</v>
      </c>
      <c r="B65" s="34" t="s">
        <v>220</v>
      </c>
      <c r="C65" s="34">
        <v>18305</v>
      </c>
      <c r="D65" s="34">
        <v>35</v>
      </c>
      <c r="E65" s="35">
        <v>42248</v>
      </c>
      <c r="F65" s="34" t="s">
        <v>108</v>
      </c>
      <c r="G65" s="34" t="s">
        <v>47</v>
      </c>
      <c r="H65" s="34" t="s">
        <v>218</v>
      </c>
      <c r="I65" s="34" t="s">
        <v>62</v>
      </c>
      <c r="J65" s="34" t="s">
        <v>110</v>
      </c>
      <c r="K65" s="34" t="s">
        <v>111</v>
      </c>
      <c r="L65" s="34" t="s">
        <v>5</v>
      </c>
      <c r="M65" s="34" t="s">
        <v>112</v>
      </c>
      <c r="N65" s="34">
        <v>0</v>
      </c>
      <c r="O65" s="34">
        <v>7</v>
      </c>
      <c r="P65" s="34">
        <v>7</v>
      </c>
      <c r="Q65" s="34">
        <v>0</v>
      </c>
      <c r="R65" s="34" t="s">
        <v>116</v>
      </c>
      <c r="T65" s="34" t="s">
        <v>137</v>
      </c>
      <c r="U65" s="34" t="s">
        <v>143</v>
      </c>
    </row>
    <row r="66" spans="1:21" s="57" customFormat="1" x14ac:dyDescent="0.25">
      <c r="A66" s="56">
        <v>2015</v>
      </c>
      <c r="B66" s="57" t="s">
        <v>221</v>
      </c>
      <c r="C66" s="57">
        <v>18306</v>
      </c>
      <c r="D66" s="57">
        <v>35</v>
      </c>
      <c r="E66" s="58">
        <v>42248</v>
      </c>
      <c r="F66" s="57" t="s">
        <v>108</v>
      </c>
      <c r="G66" s="57" t="s">
        <v>47</v>
      </c>
      <c r="H66" s="57" t="s">
        <v>222</v>
      </c>
      <c r="I66" s="57" t="s">
        <v>62</v>
      </c>
      <c r="J66" s="57" t="s">
        <v>110</v>
      </c>
      <c r="K66" s="57" t="s">
        <v>111</v>
      </c>
      <c r="L66" s="57" t="s">
        <v>6</v>
      </c>
      <c r="M66" s="57" t="s">
        <v>112</v>
      </c>
      <c r="N66" s="57">
        <v>0</v>
      </c>
      <c r="O66" s="57">
        <v>5</v>
      </c>
      <c r="P66" s="57">
        <v>5</v>
      </c>
      <c r="Q66" s="57">
        <v>1</v>
      </c>
      <c r="R66" s="57" t="s">
        <v>113</v>
      </c>
      <c r="T66" s="57" t="s">
        <v>132</v>
      </c>
      <c r="U66" s="57" t="s">
        <v>141</v>
      </c>
    </row>
    <row r="67" spans="1:21" s="57" customFormat="1" x14ac:dyDescent="0.25">
      <c r="A67" s="56">
        <v>2015</v>
      </c>
      <c r="B67" s="57" t="s">
        <v>223</v>
      </c>
      <c r="C67" s="57">
        <v>18307</v>
      </c>
      <c r="D67" s="57">
        <v>35</v>
      </c>
      <c r="E67" s="58">
        <v>42248</v>
      </c>
      <c r="F67" s="57" t="s">
        <v>108</v>
      </c>
      <c r="G67" s="57" t="s">
        <v>47</v>
      </c>
      <c r="H67" s="57" t="s">
        <v>222</v>
      </c>
      <c r="I67" s="57" t="s">
        <v>62</v>
      </c>
      <c r="J67" s="57" t="s">
        <v>110</v>
      </c>
      <c r="K67" s="57" t="s">
        <v>111</v>
      </c>
      <c r="L67" s="57" t="s">
        <v>5</v>
      </c>
      <c r="M67" s="57" t="s">
        <v>112</v>
      </c>
      <c r="N67" s="57">
        <v>0</v>
      </c>
      <c r="O67" s="57">
        <v>15</v>
      </c>
      <c r="P67" s="57">
        <v>15</v>
      </c>
      <c r="Q67" s="57">
        <v>1</v>
      </c>
      <c r="R67" s="57" t="s">
        <v>113</v>
      </c>
      <c r="T67" s="57" t="s">
        <v>137</v>
      </c>
      <c r="U67" s="57" t="s">
        <v>143</v>
      </c>
    </row>
    <row r="68" spans="1:21" x14ac:dyDescent="0.25">
      <c r="A68" s="36">
        <v>2015</v>
      </c>
      <c r="B68" s="34" t="s">
        <v>224</v>
      </c>
      <c r="C68" s="34">
        <v>18308</v>
      </c>
      <c r="D68" s="34">
        <v>35</v>
      </c>
      <c r="E68" s="35">
        <v>42248</v>
      </c>
      <c r="F68" s="34" t="s">
        <v>108</v>
      </c>
      <c r="G68" s="34" t="s">
        <v>47</v>
      </c>
      <c r="H68" s="34" t="s">
        <v>225</v>
      </c>
      <c r="I68" s="34" t="s">
        <v>62</v>
      </c>
      <c r="J68" s="34" t="s">
        <v>110</v>
      </c>
      <c r="K68" s="34" t="s">
        <v>111</v>
      </c>
      <c r="L68" s="34" t="s">
        <v>6</v>
      </c>
      <c r="M68" s="34" t="s">
        <v>112</v>
      </c>
      <c r="N68" s="34">
        <v>0</v>
      </c>
      <c r="O68" s="34">
        <v>1</v>
      </c>
      <c r="P68" s="34">
        <v>1</v>
      </c>
      <c r="Q68" s="34">
        <v>0</v>
      </c>
      <c r="R68" s="34" t="s">
        <v>116</v>
      </c>
      <c r="T68" s="34" t="s">
        <v>132</v>
      </c>
      <c r="U68" s="34" t="s">
        <v>141</v>
      </c>
    </row>
    <row r="69" spans="1:21" x14ac:dyDescent="0.25">
      <c r="A69" s="36">
        <v>2015</v>
      </c>
      <c r="B69" s="34" t="s">
        <v>226</v>
      </c>
      <c r="C69" s="34">
        <v>18309</v>
      </c>
      <c r="D69" s="34">
        <v>35</v>
      </c>
      <c r="E69" s="35">
        <v>42248</v>
      </c>
      <c r="F69" s="34" t="s">
        <v>108</v>
      </c>
      <c r="G69" s="34" t="s">
        <v>47</v>
      </c>
      <c r="H69" s="34" t="s">
        <v>225</v>
      </c>
      <c r="I69" s="34" t="s">
        <v>62</v>
      </c>
      <c r="J69" s="34" t="s">
        <v>110</v>
      </c>
      <c r="K69" s="34" t="s">
        <v>111</v>
      </c>
      <c r="L69" s="34" t="s">
        <v>5</v>
      </c>
      <c r="M69" s="34" t="s">
        <v>112</v>
      </c>
      <c r="N69" s="34">
        <v>0</v>
      </c>
      <c r="O69" s="34">
        <v>5</v>
      </c>
      <c r="P69" s="34">
        <v>5</v>
      </c>
      <c r="Q69" s="34">
        <v>0</v>
      </c>
      <c r="R69" s="34" t="s">
        <v>116</v>
      </c>
      <c r="T69" s="34" t="s">
        <v>137</v>
      </c>
      <c r="U69" s="34" t="s">
        <v>143</v>
      </c>
    </row>
    <row r="70" spans="1:21" x14ac:dyDescent="0.25">
      <c r="A70" s="36">
        <v>2015</v>
      </c>
      <c r="B70" s="34" t="s">
        <v>227</v>
      </c>
      <c r="C70" s="34">
        <v>18310</v>
      </c>
      <c r="D70" s="34">
        <v>35</v>
      </c>
      <c r="E70" s="35">
        <v>42248</v>
      </c>
      <c r="F70" s="34" t="s">
        <v>108</v>
      </c>
      <c r="G70" s="34" t="s">
        <v>47</v>
      </c>
      <c r="H70" s="34" t="s">
        <v>228</v>
      </c>
      <c r="I70" s="34" t="s">
        <v>62</v>
      </c>
      <c r="J70" s="34" t="s">
        <v>110</v>
      </c>
      <c r="K70" s="34" t="s">
        <v>111</v>
      </c>
      <c r="L70" s="34" t="s">
        <v>6</v>
      </c>
      <c r="M70" s="34" t="s">
        <v>112</v>
      </c>
      <c r="N70" s="34">
        <v>0</v>
      </c>
      <c r="O70" s="34">
        <v>4</v>
      </c>
      <c r="P70" s="34">
        <v>4</v>
      </c>
      <c r="Q70" s="34">
        <v>0</v>
      </c>
      <c r="R70" s="34" t="s">
        <v>116</v>
      </c>
      <c r="T70" s="34" t="s">
        <v>132</v>
      </c>
      <c r="U70" s="34" t="s">
        <v>141</v>
      </c>
    </row>
    <row r="71" spans="1:21" x14ac:dyDescent="0.25">
      <c r="A71" s="34">
        <v>2015</v>
      </c>
      <c r="B71" s="34" t="s">
        <v>229</v>
      </c>
      <c r="C71" s="34">
        <v>18311</v>
      </c>
      <c r="D71" s="34">
        <v>35</v>
      </c>
      <c r="E71" s="34">
        <v>42248</v>
      </c>
      <c r="F71" s="34" t="s">
        <v>108</v>
      </c>
      <c r="G71" s="34" t="s">
        <v>47</v>
      </c>
      <c r="H71" s="34" t="s">
        <v>228</v>
      </c>
      <c r="I71" s="34" t="s">
        <v>62</v>
      </c>
      <c r="J71" s="34" t="s">
        <v>110</v>
      </c>
      <c r="K71" s="34" t="s">
        <v>111</v>
      </c>
      <c r="L71" s="34" t="s">
        <v>5</v>
      </c>
      <c r="M71" s="34" t="s">
        <v>112</v>
      </c>
      <c r="N71" s="34">
        <v>0</v>
      </c>
      <c r="O71" s="34">
        <v>4</v>
      </c>
      <c r="P71" s="34">
        <v>4</v>
      </c>
      <c r="Q71" s="34">
        <v>0</v>
      </c>
      <c r="R71" s="34" t="s">
        <v>116</v>
      </c>
      <c r="T71" s="34" t="s">
        <v>137</v>
      </c>
      <c r="U71" s="34" t="s">
        <v>143</v>
      </c>
    </row>
    <row r="72" spans="1:21" x14ac:dyDescent="0.25">
      <c r="A72" s="34">
        <v>2015</v>
      </c>
      <c r="B72" s="34" t="s">
        <v>230</v>
      </c>
      <c r="C72" s="34">
        <v>18312</v>
      </c>
      <c r="D72" s="34">
        <v>35</v>
      </c>
      <c r="E72" s="34">
        <v>42249</v>
      </c>
      <c r="F72" s="34" t="s">
        <v>108</v>
      </c>
      <c r="G72" s="34" t="s">
        <v>47</v>
      </c>
      <c r="H72" s="34" t="s">
        <v>231</v>
      </c>
      <c r="I72" s="34" t="s">
        <v>60</v>
      </c>
      <c r="J72" s="34" t="s">
        <v>110</v>
      </c>
      <c r="K72" s="34" t="s">
        <v>111</v>
      </c>
      <c r="L72" s="34" t="s">
        <v>6</v>
      </c>
      <c r="M72" s="34" t="s">
        <v>112</v>
      </c>
      <c r="N72" s="34">
        <v>0</v>
      </c>
      <c r="O72" s="34">
        <v>3</v>
      </c>
      <c r="P72" s="34">
        <v>3</v>
      </c>
      <c r="Q72" s="34">
        <v>0</v>
      </c>
      <c r="R72" s="34" t="s">
        <v>116</v>
      </c>
      <c r="T72" s="34" t="s">
        <v>132</v>
      </c>
      <c r="U72" s="34" t="s">
        <v>165</v>
      </c>
    </row>
    <row r="73" spans="1:21" x14ac:dyDescent="0.25">
      <c r="A73" s="34">
        <v>2015</v>
      </c>
      <c r="B73" s="34" t="s">
        <v>232</v>
      </c>
      <c r="C73" s="34">
        <v>18313</v>
      </c>
      <c r="D73" s="34">
        <v>35</v>
      </c>
      <c r="E73" s="34">
        <v>42249</v>
      </c>
      <c r="F73" s="34" t="s">
        <v>108</v>
      </c>
      <c r="G73" s="34" t="s">
        <v>47</v>
      </c>
      <c r="H73" s="34" t="s">
        <v>233</v>
      </c>
      <c r="I73" s="34" t="s">
        <v>60</v>
      </c>
      <c r="J73" s="34" t="s">
        <v>110</v>
      </c>
      <c r="K73" s="34" t="s">
        <v>111</v>
      </c>
      <c r="L73" s="34" t="s">
        <v>6</v>
      </c>
      <c r="M73" s="34" t="s">
        <v>112</v>
      </c>
      <c r="N73" s="34">
        <v>0</v>
      </c>
      <c r="O73" s="34">
        <v>4</v>
      </c>
      <c r="P73" s="34">
        <v>4</v>
      </c>
      <c r="Q73" s="34">
        <v>0</v>
      </c>
      <c r="R73" s="34" t="s">
        <v>116</v>
      </c>
      <c r="T73" s="34" t="s">
        <v>132</v>
      </c>
      <c r="U73" s="34" t="s">
        <v>165</v>
      </c>
    </row>
    <row r="74" spans="1:21" x14ac:dyDescent="0.25">
      <c r="A74" s="34">
        <v>2015</v>
      </c>
      <c r="B74" s="34" t="s">
        <v>234</v>
      </c>
      <c r="C74" s="34">
        <v>18314</v>
      </c>
      <c r="D74" s="34">
        <v>35</v>
      </c>
      <c r="E74" s="34">
        <v>42249</v>
      </c>
      <c r="F74" s="34" t="s">
        <v>108</v>
      </c>
      <c r="G74" s="34" t="s">
        <v>47</v>
      </c>
      <c r="H74" s="34" t="s">
        <v>233</v>
      </c>
      <c r="I74" s="34" t="s">
        <v>60</v>
      </c>
      <c r="J74" s="34" t="s">
        <v>110</v>
      </c>
      <c r="K74" s="34" t="s">
        <v>111</v>
      </c>
      <c r="L74" s="34" t="s">
        <v>5</v>
      </c>
      <c r="M74" s="34" t="s">
        <v>112</v>
      </c>
      <c r="N74" s="34">
        <v>0</v>
      </c>
      <c r="O74" s="34">
        <v>4</v>
      </c>
      <c r="P74" s="34">
        <v>4</v>
      </c>
      <c r="Q74" s="34">
        <v>0</v>
      </c>
      <c r="R74" s="34" t="s">
        <v>116</v>
      </c>
      <c r="T74" s="34" t="s">
        <v>137</v>
      </c>
      <c r="U74" s="34" t="s">
        <v>167</v>
      </c>
    </row>
    <row r="75" spans="1:21" x14ac:dyDescent="0.25">
      <c r="A75" s="34">
        <v>2015</v>
      </c>
      <c r="B75" s="34" t="s">
        <v>235</v>
      </c>
      <c r="C75" s="34">
        <v>18315</v>
      </c>
      <c r="D75" s="34">
        <v>35</v>
      </c>
      <c r="E75" s="34">
        <v>42249</v>
      </c>
      <c r="F75" s="34" t="s">
        <v>108</v>
      </c>
      <c r="G75" s="34" t="s">
        <v>47</v>
      </c>
      <c r="H75" s="34" t="s">
        <v>236</v>
      </c>
      <c r="I75" s="34" t="s">
        <v>60</v>
      </c>
      <c r="J75" s="34" t="s">
        <v>110</v>
      </c>
      <c r="K75" s="34" t="s">
        <v>111</v>
      </c>
      <c r="L75" s="34" t="s">
        <v>5</v>
      </c>
      <c r="M75" s="34" t="s">
        <v>112</v>
      </c>
      <c r="N75" s="34">
        <v>0</v>
      </c>
      <c r="O75" s="34">
        <v>1</v>
      </c>
      <c r="P75" s="34">
        <v>1</v>
      </c>
      <c r="Q75" s="34">
        <v>0</v>
      </c>
      <c r="R75" s="34" t="s">
        <v>116</v>
      </c>
      <c r="T75" s="34" t="s">
        <v>137</v>
      </c>
      <c r="U75" s="34" t="s">
        <v>167</v>
      </c>
    </row>
    <row r="76" spans="1:21" x14ac:dyDescent="0.25">
      <c r="A76" s="34">
        <v>2015</v>
      </c>
      <c r="B76" s="34" t="s">
        <v>237</v>
      </c>
      <c r="C76" s="34">
        <v>18316</v>
      </c>
      <c r="D76" s="34">
        <v>35</v>
      </c>
      <c r="E76" s="34">
        <v>42249</v>
      </c>
      <c r="F76" s="34" t="s">
        <v>108</v>
      </c>
      <c r="G76" s="34" t="s">
        <v>47</v>
      </c>
      <c r="H76" s="34" t="s">
        <v>238</v>
      </c>
      <c r="I76" s="34" t="s">
        <v>60</v>
      </c>
      <c r="J76" s="34" t="s">
        <v>110</v>
      </c>
      <c r="K76" s="34" t="s">
        <v>111</v>
      </c>
      <c r="L76" s="34" t="s">
        <v>6</v>
      </c>
      <c r="M76" s="34" t="s">
        <v>112</v>
      </c>
      <c r="N76" s="34">
        <v>0</v>
      </c>
      <c r="O76" s="34">
        <v>4</v>
      </c>
      <c r="P76" s="34">
        <v>4</v>
      </c>
      <c r="Q76" s="34">
        <v>0</v>
      </c>
      <c r="R76" s="34" t="s">
        <v>116</v>
      </c>
      <c r="T76" s="34" t="s">
        <v>132</v>
      </c>
      <c r="U76" s="34" t="s">
        <v>165</v>
      </c>
    </row>
    <row r="77" spans="1:21" x14ac:dyDescent="0.25">
      <c r="A77" s="34">
        <v>2015</v>
      </c>
      <c r="B77" s="34" t="s">
        <v>239</v>
      </c>
      <c r="C77" s="34">
        <v>18317</v>
      </c>
      <c r="D77" s="34">
        <v>35</v>
      </c>
      <c r="E77" s="34">
        <v>42249</v>
      </c>
      <c r="F77" s="34" t="s">
        <v>108</v>
      </c>
      <c r="G77" s="34" t="s">
        <v>47</v>
      </c>
      <c r="H77" s="34" t="s">
        <v>238</v>
      </c>
      <c r="I77" s="34" t="s">
        <v>60</v>
      </c>
      <c r="J77" s="34" t="s">
        <v>110</v>
      </c>
      <c r="K77" s="34" t="s">
        <v>111</v>
      </c>
      <c r="L77" s="34" t="s">
        <v>5</v>
      </c>
      <c r="M77" s="34" t="s">
        <v>112</v>
      </c>
      <c r="N77" s="34">
        <v>0</v>
      </c>
      <c r="O77" s="34">
        <v>8</v>
      </c>
      <c r="P77" s="34">
        <v>8</v>
      </c>
      <c r="Q77" s="34">
        <v>0</v>
      </c>
      <c r="R77" s="34" t="s">
        <v>116</v>
      </c>
      <c r="T77" s="34" t="s">
        <v>137</v>
      </c>
      <c r="U77" s="34" t="s">
        <v>167</v>
      </c>
    </row>
    <row r="78" spans="1:21" x14ac:dyDescent="0.25">
      <c r="A78" s="34">
        <v>2015</v>
      </c>
      <c r="B78" s="34" t="s">
        <v>240</v>
      </c>
      <c r="C78" s="34">
        <v>18318</v>
      </c>
      <c r="D78" s="34">
        <v>35</v>
      </c>
      <c r="E78" s="34">
        <v>42249</v>
      </c>
      <c r="F78" s="34" t="s">
        <v>108</v>
      </c>
      <c r="G78" s="34" t="s">
        <v>47</v>
      </c>
      <c r="H78" s="34" t="s">
        <v>241</v>
      </c>
      <c r="I78" s="34" t="s">
        <v>60</v>
      </c>
      <c r="J78" s="34" t="s">
        <v>160</v>
      </c>
      <c r="K78" s="34" t="s">
        <v>111</v>
      </c>
      <c r="L78" s="34" t="s">
        <v>5</v>
      </c>
      <c r="M78" s="34" t="s">
        <v>112</v>
      </c>
      <c r="N78" s="34">
        <v>7</v>
      </c>
      <c r="O78" s="34">
        <v>0</v>
      </c>
      <c r="P78" s="34">
        <v>7</v>
      </c>
      <c r="Q78" s="34">
        <v>0</v>
      </c>
      <c r="R78" s="34" t="s">
        <v>116</v>
      </c>
      <c r="T78" s="34" t="s">
        <v>137</v>
      </c>
      <c r="U78" s="34" t="s">
        <v>167</v>
      </c>
    </row>
    <row r="79" spans="1:21" x14ac:dyDescent="0.25">
      <c r="A79" s="34">
        <v>2015</v>
      </c>
      <c r="B79" s="34" t="s">
        <v>242</v>
      </c>
      <c r="C79" s="34">
        <v>18319</v>
      </c>
      <c r="D79" s="34">
        <v>35</v>
      </c>
      <c r="E79" s="34">
        <v>42249</v>
      </c>
      <c r="F79" s="34" t="s">
        <v>108</v>
      </c>
      <c r="G79" s="34" t="s">
        <v>47</v>
      </c>
      <c r="H79" s="34" t="s">
        <v>243</v>
      </c>
      <c r="I79" s="34" t="s">
        <v>60</v>
      </c>
      <c r="J79" s="34" t="s">
        <v>110</v>
      </c>
      <c r="K79" s="34" t="s">
        <v>111</v>
      </c>
      <c r="L79" s="34" t="s">
        <v>6</v>
      </c>
      <c r="M79" s="34" t="s">
        <v>112</v>
      </c>
      <c r="N79" s="34">
        <v>0</v>
      </c>
      <c r="O79" s="34">
        <v>2</v>
      </c>
      <c r="P79" s="34">
        <v>2</v>
      </c>
      <c r="Q79" s="34">
        <v>0</v>
      </c>
      <c r="R79" s="34" t="s">
        <v>116</v>
      </c>
      <c r="T79" s="34" t="s">
        <v>132</v>
      </c>
      <c r="U79" s="34" t="s">
        <v>165</v>
      </c>
    </row>
    <row r="80" spans="1:21" x14ac:dyDescent="0.25">
      <c r="A80" s="34">
        <v>2015</v>
      </c>
      <c r="B80" s="34" t="s">
        <v>244</v>
      </c>
      <c r="C80" s="34">
        <v>18320</v>
      </c>
      <c r="D80" s="34">
        <v>35</v>
      </c>
      <c r="E80" s="34">
        <v>42249</v>
      </c>
      <c r="F80" s="34" t="s">
        <v>108</v>
      </c>
      <c r="G80" s="34" t="s">
        <v>47</v>
      </c>
      <c r="H80" s="34" t="s">
        <v>243</v>
      </c>
      <c r="I80" s="34" t="s">
        <v>60</v>
      </c>
      <c r="J80" s="34" t="s">
        <v>110</v>
      </c>
      <c r="K80" s="34" t="s">
        <v>111</v>
      </c>
      <c r="L80" s="34" t="s">
        <v>5</v>
      </c>
      <c r="M80" s="34" t="s">
        <v>112</v>
      </c>
      <c r="N80" s="34">
        <v>0</v>
      </c>
      <c r="O80" s="34">
        <v>2</v>
      </c>
      <c r="P80" s="34">
        <v>2</v>
      </c>
      <c r="Q80" s="34">
        <v>0</v>
      </c>
      <c r="R80" s="34" t="s">
        <v>116</v>
      </c>
      <c r="T80" s="34" t="s">
        <v>137</v>
      </c>
      <c r="U80" s="34" t="s">
        <v>167</v>
      </c>
    </row>
    <row r="81" spans="1:21" x14ac:dyDescent="0.25">
      <c r="A81" s="34">
        <v>2015</v>
      </c>
      <c r="B81" s="34" t="s">
        <v>245</v>
      </c>
      <c r="C81" s="34">
        <v>18321</v>
      </c>
      <c r="D81" s="34">
        <v>35</v>
      </c>
      <c r="E81" s="34">
        <v>42249</v>
      </c>
      <c r="F81" s="34" t="s">
        <v>108</v>
      </c>
      <c r="G81" s="34" t="s">
        <v>47</v>
      </c>
      <c r="H81" s="34" t="s">
        <v>246</v>
      </c>
      <c r="I81" s="34" t="s">
        <v>60</v>
      </c>
      <c r="J81" s="34" t="s">
        <v>110</v>
      </c>
      <c r="K81" s="34" t="s">
        <v>111</v>
      </c>
      <c r="L81" s="34" t="s">
        <v>5</v>
      </c>
      <c r="M81" s="34" t="s">
        <v>112</v>
      </c>
      <c r="N81" s="34">
        <v>0</v>
      </c>
      <c r="O81" s="34">
        <v>3</v>
      </c>
      <c r="P81" s="34">
        <v>3</v>
      </c>
      <c r="Q81" s="34">
        <v>0</v>
      </c>
      <c r="R81" s="34" t="s">
        <v>116</v>
      </c>
      <c r="T81" s="34" t="s">
        <v>137</v>
      </c>
      <c r="U81" s="34" t="s">
        <v>167</v>
      </c>
    </row>
    <row r="82" spans="1:21" x14ac:dyDescent="0.25">
      <c r="A82" s="34">
        <v>2015</v>
      </c>
      <c r="B82" s="34" t="s">
        <v>247</v>
      </c>
      <c r="C82" s="34">
        <v>18322</v>
      </c>
      <c r="D82" s="34">
        <v>35</v>
      </c>
      <c r="E82" s="34">
        <v>42249</v>
      </c>
      <c r="F82" s="34" t="s">
        <v>108</v>
      </c>
      <c r="G82" s="34" t="s">
        <v>47</v>
      </c>
      <c r="H82" s="34" t="s">
        <v>248</v>
      </c>
      <c r="I82" s="34" t="s">
        <v>60</v>
      </c>
      <c r="J82" s="34" t="s">
        <v>110</v>
      </c>
      <c r="K82" s="34" t="s">
        <v>111</v>
      </c>
      <c r="L82" s="34" t="s">
        <v>5</v>
      </c>
      <c r="M82" s="34" t="s">
        <v>112</v>
      </c>
      <c r="N82" s="34">
        <v>0</v>
      </c>
      <c r="O82" s="34">
        <v>1</v>
      </c>
      <c r="P82" s="34">
        <v>1</v>
      </c>
      <c r="Q82" s="34">
        <v>0</v>
      </c>
      <c r="R82" s="34" t="s">
        <v>116</v>
      </c>
      <c r="T82" s="34" t="s">
        <v>137</v>
      </c>
      <c r="U82" s="34" t="s">
        <v>167</v>
      </c>
    </row>
    <row r="83" spans="1:21" x14ac:dyDescent="0.25">
      <c r="A83" s="34">
        <v>2015</v>
      </c>
      <c r="B83" s="34" t="s">
        <v>249</v>
      </c>
      <c r="C83" s="34">
        <v>18323</v>
      </c>
      <c r="D83" s="34">
        <v>35</v>
      </c>
      <c r="E83" s="34">
        <v>42249</v>
      </c>
      <c r="F83" s="34" t="s">
        <v>108</v>
      </c>
      <c r="G83" s="34" t="s">
        <v>47</v>
      </c>
      <c r="H83" s="34" t="s">
        <v>250</v>
      </c>
      <c r="I83" s="34" t="s">
        <v>60</v>
      </c>
      <c r="J83" s="34" t="s">
        <v>110</v>
      </c>
      <c r="K83" s="34" t="s">
        <v>111</v>
      </c>
      <c r="L83" s="34" t="s">
        <v>6</v>
      </c>
      <c r="M83" s="34" t="s">
        <v>112</v>
      </c>
      <c r="N83" s="34">
        <v>0</v>
      </c>
      <c r="O83" s="34">
        <v>1</v>
      </c>
      <c r="P83" s="34">
        <v>1</v>
      </c>
      <c r="Q83" s="34">
        <v>0</v>
      </c>
      <c r="R83" s="34" t="s">
        <v>116</v>
      </c>
      <c r="T83" s="34" t="s">
        <v>132</v>
      </c>
      <c r="U83" s="34" t="s">
        <v>165</v>
      </c>
    </row>
    <row r="84" spans="1:21" s="57" customFormat="1" x14ac:dyDescent="0.25">
      <c r="A84" s="57">
        <v>2015</v>
      </c>
      <c r="B84" s="57" t="s">
        <v>251</v>
      </c>
      <c r="C84" s="57">
        <v>18324</v>
      </c>
      <c r="D84" s="57">
        <v>35</v>
      </c>
      <c r="E84" s="57">
        <v>42249</v>
      </c>
      <c r="F84" s="57" t="s">
        <v>108</v>
      </c>
      <c r="G84" s="57" t="s">
        <v>47</v>
      </c>
      <c r="H84" s="57" t="s">
        <v>250</v>
      </c>
      <c r="I84" s="57" t="s">
        <v>60</v>
      </c>
      <c r="J84" s="57" t="s">
        <v>110</v>
      </c>
      <c r="K84" s="57" t="s">
        <v>111</v>
      </c>
      <c r="L84" s="57" t="s">
        <v>5</v>
      </c>
      <c r="M84" s="57" t="s">
        <v>112</v>
      </c>
      <c r="N84" s="57">
        <v>0</v>
      </c>
      <c r="O84" s="57">
        <v>3</v>
      </c>
      <c r="P84" s="57">
        <v>3</v>
      </c>
      <c r="Q84" s="57">
        <v>1</v>
      </c>
      <c r="R84" s="57" t="s">
        <v>113</v>
      </c>
      <c r="T84" s="57" t="s">
        <v>137</v>
      </c>
      <c r="U84" s="57" t="s">
        <v>167</v>
      </c>
    </row>
    <row r="85" spans="1:21" x14ac:dyDescent="0.25">
      <c r="A85" s="34">
        <v>2015</v>
      </c>
      <c r="B85" s="34" t="s">
        <v>252</v>
      </c>
      <c r="C85" s="34">
        <v>18325</v>
      </c>
      <c r="D85" s="34">
        <v>35</v>
      </c>
      <c r="E85" s="34">
        <v>42249</v>
      </c>
      <c r="F85" s="34" t="s">
        <v>108</v>
      </c>
      <c r="G85" s="34" t="s">
        <v>47</v>
      </c>
      <c r="H85" s="34" t="s">
        <v>253</v>
      </c>
      <c r="I85" s="34" t="s">
        <v>63</v>
      </c>
      <c r="J85" s="34" t="s">
        <v>110</v>
      </c>
      <c r="K85" s="34" t="s">
        <v>111</v>
      </c>
      <c r="L85" s="34" t="s">
        <v>6</v>
      </c>
      <c r="M85" s="34" t="s">
        <v>112</v>
      </c>
      <c r="N85" s="34">
        <v>0</v>
      </c>
      <c r="O85" s="34">
        <v>2</v>
      </c>
      <c r="P85" s="34">
        <v>2</v>
      </c>
      <c r="Q85" s="34">
        <v>0</v>
      </c>
      <c r="R85" s="34" t="s">
        <v>116</v>
      </c>
      <c r="T85" s="34" t="s">
        <v>132</v>
      </c>
      <c r="U85" s="34" t="s">
        <v>254</v>
      </c>
    </row>
    <row r="86" spans="1:21" x14ac:dyDescent="0.25">
      <c r="A86" s="34">
        <v>2015</v>
      </c>
      <c r="B86" s="34" t="s">
        <v>255</v>
      </c>
      <c r="C86" s="34">
        <v>18326</v>
      </c>
      <c r="D86" s="34">
        <v>35</v>
      </c>
      <c r="E86" s="34">
        <v>42249</v>
      </c>
      <c r="F86" s="34" t="s">
        <v>108</v>
      </c>
      <c r="G86" s="34" t="s">
        <v>47</v>
      </c>
      <c r="H86" s="34" t="s">
        <v>256</v>
      </c>
      <c r="I86" s="34" t="s">
        <v>63</v>
      </c>
      <c r="J86" s="34" t="s">
        <v>110</v>
      </c>
      <c r="K86" s="34" t="s">
        <v>111</v>
      </c>
      <c r="L86" s="34" t="s">
        <v>5</v>
      </c>
      <c r="M86" s="34" t="s">
        <v>112</v>
      </c>
      <c r="N86" s="34">
        <v>0</v>
      </c>
      <c r="O86" s="34">
        <v>4</v>
      </c>
      <c r="P86" s="34">
        <v>4</v>
      </c>
      <c r="Q86" s="34">
        <v>0</v>
      </c>
      <c r="R86" s="34" t="s">
        <v>116</v>
      </c>
      <c r="T86" s="34" t="s">
        <v>137</v>
      </c>
      <c r="U86" s="34" t="s">
        <v>257</v>
      </c>
    </row>
    <row r="87" spans="1:21" s="57" customFormat="1" x14ac:dyDescent="0.25">
      <c r="A87" s="57">
        <v>2015</v>
      </c>
      <c r="B87" s="57" t="s">
        <v>258</v>
      </c>
      <c r="C87" s="57">
        <v>18327</v>
      </c>
      <c r="D87" s="57">
        <v>35</v>
      </c>
      <c r="E87" s="57">
        <v>42249</v>
      </c>
      <c r="F87" s="57" t="s">
        <v>108</v>
      </c>
      <c r="G87" s="57" t="s">
        <v>47</v>
      </c>
      <c r="H87" s="57" t="s">
        <v>259</v>
      </c>
      <c r="I87" s="57" t="s">
        <v>60</v>
      </c>
      <c r="J87" s="57" t="s">
        <v>160</v>
      </c>
      <c r="K87" s="57" t="s">
        <v>111</v>
      </c>
      <c r="L87" s="57" t="s">
        <v>5</v>
      </c>
      <c r="M87" s="57" t="s">
        <v>112</v>
      </c>
      <c r="N87" s="57">
        <v>50</v>
      </c>
      <c r="O87" s="57">
        <v>0</v>
      </c>
      <c r="P87" s="57">
        <v>50</v>
      </c>
      <c r="Q87" s="57">
        <v>1</v>
      </c>
      <c r="R87" s="57" t="s">
        <v>113</v>
      </c>
      <c r="T87" s="57" t="s">
        <v>137</v>
      </c>
      <c r="U87" s="57" t="s">
        <v>167</v>
      </c>
    </row>
    <row r="88" spans="1:21" s="57" customFormat="1" x14ac:dyDescent="0.25">
      <c r="A88" s="57">
        <v>2015</v>
      </c>
      <c r="B88" s="57" t="s">
        <v>260</v>
      </c>
      <c r="C88" s="57">
        <v>18328</v>
      </c>
      <c r="D88" s="57">
        <v>35</v>
      </c>
      <c r="E88" s="57">
        <v>42249</v>
      </c>
      <c r="F88" s="57" t="s">
        <v>108</v>
      </c>
      <c r="G88" s="57" t="s">
        <v>47</v>
      </c>
      <c r="H88" s="57" t="s">
        <v>259</v>
      </c>
      <c r="I88" s="57" t="s">
        <v>60</v>
      </c>
      <c r="J88" s="57" t="s">
        <v>160</v>
      </c>
      <c r="K88" s="57" t="s">
        <v>111</v>
      </c>
      <c r="L88" s="57" t="s">
        <v>5</v>
      </c>
      <c r="M88" s="57" t="s">
        <v>112</v>
      </c>
      <c r="N88" s="57">
        <v>50</v>
      </c>
      <c r="O88" s="57">
        <v>0</v>
      </c>
      <c r="P88" s="57">
        <v>50</v>
      </c>
      <c r="Q88" s="57">
        <v>1</v>
      </c>
      <c r="R88" s="57" t="s">
        <v>113</v>
      </c>
      <c r="T88" s="57" t="s">
        <v>137</v>
      </c>
      <c r="U88" s="57" t="s">
        <v>167</v>
      </c>
    </row>
    <row r="89" spans="1:21" s="57" customFormat="1" x14ac:dyDescent="0.25">
      <c r="A89" s="57">
        <v>2015</v>
      </c>
      <c r="B89" s="57" t="s">
        <v>261</v>
      </c>
      <c r="C89" s="57">
        <v>18329</v>
      </c>
      <c r="D89" s="57">
        <v>35</v>
      </c>
      <c r="E89" s="57">
        <v>42249</v>
      </c>
      <c r="F89" s="57" t="s">
        <v>108</v>
      </c>
      <c r="G89" s="57" t="s">
        <v>47</v>
      </c>
      <c r="H89" s="57" t="s">
        <v>259</v>
      </c>
      <c r="I89" s="57" t="s">
        <v>60</v>
      </c>
      <c r="J89" s="57" t="s">
        <v>160</v>
      </c>
      <c r="K89" s="57" t="s">
        <v>111</v>
      </c>
      <c r="L89" s="57" t="s">
        <v>5</v>
      </c>
      <c r="M89" s="57" t="s">
        <v>112</v>
      </c>
      <c r="N89" s="57">
        <v>23</v>
      </c>
      <c r="O89" s="57">
        <v>0</v>
      </c>
      <c r="P89" s="57">
        <v>23</v>
      </c>
      <c r="Q89" s="57">
        <v>1</v>
      </c>
      <c r="R89" s="57" t="s">
        <v>113</v>
      </c>
      <c r="T89" s="57" t="s">
        <v>137</v>
      </c>
      <c r="U89" s="57" t="s">
        <v>167</v>
      </c>
    </row>
    <row r="90" spans="1:21" s="57" customFormat="1" x14ac:dyDescent="0.25">
      <c r="A90" s="57">
        <v>2015</v>
      </c>
      <c r="B90" s="57" t="s">
        <v>262</v>
      </c>
      <c r="C90" s="57">
        <v>18330</v>
      </c>
      <c r="D90" s="57">
        <v>35</v>
      </c>
      <c r="E90" s="57">
        <v>42250</v>
      </c>
      <c r="F90" s="57" t="s">
        <v>108</v>
      </c>
      <c r="G90" s="57" t="s">
        <v>47</v>
      </c>
      <c r="H90" s="57" t="s">
        <v>263</v>
      </c>
      <c r="I90" s="57" t="s">
        <v>63</v>
      </c>
      <c r="J90" s="57" t="s">
        <v>160</v>
      </c>
      <c r="K90" s="57" t="s">
        <v>111</v>
      </c>
      <c r="L90" s="57" t="s">
        <v>5</v>
      </c>
      <c r="M90" s="57" t="s">
        <v>112</v>
      </c>
      <c r="N90" s="57">
        <v>50</v>
      </c>
      <c r="O90" s="57">
        <v>0</v>
      </c>
      <c r="P90" s="57">
        <v>50</v>
      </c>
      <c r="Q90" s="57">
        <v>1</v>
      </c>
      <c r="R90" s="57" t="s">
        <v>113</v>
      </c>
      <c r="T90" s="57" t="s">
        <v>137</v>
      </c>
      <c r="U90" s="57" t="s">
        <v>257</v>
      </c>
    </row>
    <row r="91" spans="1:21" s="57" customFormat="1" x14ac:dyDescent="0.25">
      <c r="A91" s="57">
        <v>2015</v>
      </c>
      <c r="B91" s="57" t="s">
        <v>264</v>
      </c>
      <c r="C91" s="57">
        <v>18331</v>
      </c>
      <c r="D91" s="57">
        <v>35</v>
      </c>
      <c r="E91" s="57">
        <v>42250</v>
      </c>
      <c r="F91" s="57" t="s">
        <v>108</v>
      </c>
      <c r="G91" s="57" t="s">
        <v>47</v>
      </c>
      <c r="H91" s="57" t="s">
        <v>263</v>
      </c>
      <c r="I91" s="57" t="s">
        <v>63</v>
      </c>
      <c r="J91" s="57" t="s">
        <v>160</v>
      </c>
      <c r="K91" s="57" t="s">
        <v>111</v>
      </c>
      <c r="L91" s="57" t="s">
        <v>5</v>
      </c>
      <c r="M91" s="57" t="s">
        <v>112</v>
      </c>
      <c r="N91" s="57">
        <v>50</v>
      </c>
      <c r="O91" s="57">
        <v>0</v>
      </c>
      <c r="P91" s="57">
        <v>50</v>
      </c>
      <c r="Q91" s="57">
        <v>1</v>
      </c>
      <c r="R91" s="57" t="s">
        <v>113</v>
      </c>
      <c r="T91" s="57" t="s">
        <v>137</v>
      </c>
      <c r="U91" s="57" t="s">
        <v>257</v>
      </c>
    </row>
    <row r="92" spans="1:21" x14ac:dyDescent="0.25">
      <c r="A92" s="34">
        <v>2015</v>
      </c>
      <c r="B92" s="34" t="s">
        <v>265</v>
      </c>
      <c r="C92" s="34">
        <v>18332</v>
      </c>
      <c r="D92" s="34">
        <v>35</v>
      </c>
      <c r="E92" s="34">
        <v>42250</v>
      </c>
      <c r="F92" s="34" t="s">
        <v>108</v>
      </c>
      <c r="G92" s="34" t="s">
        <v>47</v>
      </c>
      <c r="H92" s="34" t="s">
        <v>263</v>
      </c>
      <c r="I92" s="34" t="s">
        <v>63</v>
      </c>
      <c r="J92" s="34" t="s">
        <v>160</v>
      </c>
      <c r="K92" s="34" t="s">
        <v>111</v>
      </c>
      <c r="L92" s="34" t="s">
        <v>5</v>
      </c>
      <c r="M92" s="34" t="s">
        <v>112</v>
      </c>
      <c r="N92" s="34">
        <v>49</v>
      </c>
      <c r="O92" s="34">
        <v>0</v>
      </c>
      <c r="P92" s="34">
        <v>49</v>
      </c>
      <c r="Q92" s="34">
        <v>0</v>
      </c>
      <c r="R92" s="34" t="s">
        <v>116</v>
      </c>
      <c r="T92" s="34" t="s">
        <v>137</v>
      </c>
      <c r="U92" s="34" t="s">
        <v>257</v>
      </c>
    </row>
    <row r="93" spans="1:21" s="57" customFormat="1" x14ac:dyDescent="0.25">
      <c r="A93" s="57">
        <v>2015</v>
      </c>
      <c r="B93" s="57" t="s">
        <v>266</v>
      </c>
      <c r="C93" s="57">
        <v>18333</v>
      </c>
      <c r="D93" s="57">
        <v>35</v>
      </c>
      <c r="E93" s="57">
        <v>42250</v>
      </c>
      <c r="F93" s="57" t="s">
        <v>108</v>
      </c>
      <c r="G93" s="57" t="s">
        <v>47</v>
      </c>
      <c r="H93" s="57" t="s">
        <v>267</v>
      </c>
      <c r="I93" s="57" t="s">
        <v>62</v>
      </c>
      <c r="J93" s="57" t="s">
        <v>160</v>
      </c>
      <c r="K93" s="57" t="s">
        <v>111</v>
      </c>
      <c r="L93" s="57" t="s">
        <v>5</v>
      </c>
      <c r="M93" s="57" t="s">
        <v>112</v>
      </c>
      <c r="N93" s="57">
        <v>50</v>
      </c>
      <c r="O93" s="57">
        <v>0</v>
      </c>
      <c r="P93" s="57">
        <v>50</v>
      </c>
      <c r="Q93" s="57">
        <v>1</v>
      </c>
      <c r="R93" s="57" t="s">
        <v>113</v>
      </c>
      <c r="T93" s="57" t="s">
        <v>137</v>
      </c>
      <c r="U93" s="57" t="s">
        <v>143</v>
      </c>
    </row>
    <row r="94" spans="1:21" s="57" customFormat="1" x14ac:dyDescent="0.25">
      <c r="A94" s="57">
        <v>2015</v>
      </c>
      <c r="B94" s="57" t="s">
        <v>268</v>
      </c>
      <c r="C94" s="57">
        <v>18334</v>
      </c>
      <c r="D94" s="57">
        <v>35</v>
      </c>
      <c r="E94" s="57">
        <v>42250</v>
      </c>
      <c r="F94" s="57" t="s">
        <v>108</v>
      </c>
      <c r="G94" s="57" t="s">
        <v>47</v>
      </c>
      <c r="H94" s="57" t="s">
        <v>267</v>
      </c>
      <c r="I94" s="57" t="s">
        <v>62</v>
      </c>
      <c r="J94" s="57" t="s">
        <v>160</v>
      </c>
      <c r="K94" s="57" t="s">
        <v>111</v>
      </c>
      <c r="L94" s="57" t="s">
        <v>5</v>
      </c>
      <c r="M94" s="57" t="s">
        <v>112</v>
      </c>
      <c r="N94" s="57">
        <v>50</v>
      </c>
      <c r="O94" s="57">
        <v>0</v>
      </c>
      <c r="P94" s="57">
        <v>50</v>
      </c>
      <c r="Q94" s="57">
        <v>1</v>
      </c>
      <c r="R94" s="57" t="s">
        <v>113</v>
      </c>
      <c r="T94" s="57" t="s">
        <v>137</v>
      </c>
      <c r="U94" s="57" t="s">
        <v>143</v>
      </c>
    </row>
    <row r="95" spans="1:21" x14ac:dyDescent="0.25">
      <c r="A95" s="34">
        <v>2015</v>
      </c>
      <c r="B95" s="34" t="s">
        <v>269</v>
      </c>
      <c r="C95" s="34">
        <v>18335</v>
      </c>
      <c r="D95" s="34">
        <v>35</v>
      </c>
      <c r="E95" s="34">
        <v>42250</v>
      </c>
      <c r="F95" s="34" t="s">
        <v>108</v>
      </c>
      <c r="G95" s="34" t="s">
        <v>47</v>
      </c>
      <c r="H95" s="34" t="s">
        <v>267</v>
      </c>
      <c r="I95" s="34" t="s">
        <v>62</v>
      </c>
      <c r="J95" s="34" t="s">
        <v>160</v>
      </c>
      <c r="K95" s="34" t="s">
        <v>111</v>
      </c>
      <c r="L95" s="34" t="s">
        <v>5</v>
      </c>
      <c r="M95" s="34" t="s">
        <v>112</v>
      </c>
      <c r="N95" s="34">
        <v>5</v>
      </c>
      <c r="O95" s="34">
        <v>0</v>
      </c>
      <c r="P95" s="34">
        <v>5</v>
      </c>
      <c r="Q95" s="34">
        <v>0</v>
      </c>
      <c r="R95" s="34" t="s">
        <v>116</v>
      </c>
      <c r="T95" s="34" t="s">
        <v>137</v>
      </c>
      <c r="U95" s="34" t="s">
        <v>143</v>
      </c>
    </row>
    <row r="96" spans="1:21" x14ac:dyDescent="0.25">
      <c r="A96" s="34">
        <v>2015</v>
      </c>
      <c r="B96" s="34" t="s">
        <v>270</v>
      </c>
      <c r="C96" s="34">
        <v>18336</v>
      </c>
      <c r="D96" s="34">
        <v>35</v>
      </c>
      <c r="E96" s="34">
        <v>42250</v>
      </c>
      <c r="F96" s="34" t="s">
        <v>108</v>
      </c>
      <c r="G96" s="34" t="s">
        <v>47</v>
      </c>
      <c r="H96" s="34" t="s">
        <v>271</v>
      </c>
      <c r="I96" s="34" t="s">
        <v>63</v>
      </c>
      <c r="J96" s="34" t="s">
        <v>110</v>
      </c>
      <c r="K96" s="34" t="s">
        <v>111</v>
      </c>
      <c r="L96" s="34" t="s">
        <v>6</v>
      </c>
      <c r="M96" s="34" t="s">
        <v>112</v>
      </c>
      <c r="N96" s="34">
        <v>0</v>
      </c>
      <c r="O96" s="34">
        <v>3</v>
      </c>
      <c r="P96" s="34">
        <v>3</v>
      </c>
      <c r="Q96" s="34">
        <v>0</v>
      </c>
      <c r="R96" s="34" t="s">
        <v>116</v>
      </c>
      <c r="T96" s="34" t="s">
        <v>132</v>
      </c>
      <c r="U96" s="34" t="s">
        <v>254</v>
      </c>
    </row>
    <row r="97" spans="1:21" x14ac:dyDescent="0.25">
      <c r="A97" s="34">
        <v>2015</v>
      </c>
      <c r="B97" s="34" t="s">
        <v>272</v>
      </c>
      <c r="C97" s="34">
        <v>18337</v>
      </c>
      <c r="D97" s="34">
        <v>35</v>
      </c>
      <c r="E97" s="34">
        <v>42250</v>
      </c>
      <c r="F97" s="34" t="s">
        <v>108</v>
      </c>
      <c r="G97" s="34" t="s">
        <v>47</v>
      </c>
      <c r="H97" s="34" t="s">
        <v>271</v>
      </c>
      <c r="I97" s="34" t="s">
        <v>63</v>
      </c>
      <c r="J97" s="34" t="s">
        <v>110</v>
      </c>
      <c r="K97" s="34" t="s">
        <v>111</v>
      </c>
      <c r="L97" s="34" t="s">
        <v>5</v>
      </c>
      <c r="M97" s="34" t="s">
        <v>112</v>
      </c>
      <c r="N97" s="34">
        <v>0</v>
      </c>
      <c r="O97" s="34">
        <v>3</v>
      </c>
      <c r="P97" s="34">
        <v>3</v>
      </c>
      <c r="Q97" s="34">
        <v>0</v>
      </c>
      <c r="R97" s="34" t="s">
        <v>116</v>
      </c>
      <c r="T97" s="34" t="s">
        <v>137</v>
      </c>
      <c r="U97" s="34" t="s">
        <v>257</v>
      </c>
    </row>
    <row r="98" spans="1:21" x14ac:dyDescent="0.25">
      <c r="A98" s="34">
        <v>2015</v>
      </c>
      <c r="B98" s="34" t="s">
        <v>273</v>
      </c>
      <c r="C98" s="34">
        <v>18338</v>
      </c>
      <c r="D98" s="34">
        <v>35</v>
      </c>
      <c r="E98" s="34">
        <v>42250</v>
      </c>
      <c r="F98" s="34" t="s">
        <v>108</v>
      </c>
      <c r="G98" s="34" t="s">
        <v>47</v>
      </c>
      <c r="H98" s="34" t="s">
        <v>274</v>
      </c>
      <c r="I98" s="34" t="s">
        <v>63</v>
      </c>
      <c r="J98" s="34" t="s">
        <v>110</v>
      </c>
      <c r="K98" s="34" t="s">
        <v>111</v>
      </c>
      <c r="L98" s="34" t="s">
        <v>6</v>
      </c>
      <c r="M98" s="34" t="s">
        <v>112</v>
      </c>
      <c r="N98" s="34">
        <v>0</v>
      </c>
      <c r="O98" s="34">
        <v>1</v>
      </c>
      <c r="P98" s="34">
        <v>1</v>
      </c>
      <c r="Q98" s="34">
        <v>0</v>
      </c>
      <c r="R98" s="34" t="s">
        <v>116</v>
      </c>
      <c r="T98" s="34" t="s">
        <v>132</v>
      </c>
      <c r="U98" s="34" t="s">
        <v>254</v>
      </c>
    </row>
    <row r="99" spans="1:21" x14ac:dyDescent="0.25">
      <c r="A99" s="34">
        <v>2015</v>
      </c>
      <c r="B99" s="34" t="s">
        <v>275</v>
      </c>
      <c r="C99" s="34">
        <v>18339</v>
      </c>
      <c r="D99" s="34">
        <v>35</v>
      </c>
      <c r="E99" s="34">
        <v>42250</v>
      </c>
      <c r="F99" s="34" t="s">
        <v>108</v>
      </c>
      <c r="G99" s="34" t="s">
        <v>47</v>
      </c>
      <c r="H99" s="34" t="s">
        <v>274</v>
      </c>
      <c r="I99" s="34" t="s">
        <v>63</v>
      </c>
      <c r="J99" s="34" t="s">
        <v>110</v>
      </c>
      <c r="K99" s="34" t="s">
        <v>111</v>
      </c>
      <c r="L99" s="34" t="s">
        <v>5</v>
      </c>
      <c r="M99" s="34" t="s">
        <v>112</v>
      </c>
      <c r="N99" s="34">
        <v>0</v>
      </c>
      <c r="O99" s="34">
        <v>1</v>
      </c>
      <c r="P99" s="34">
        <v>1</v>
      </c>
      <c r="Q99" s="34">
        <v>0</v>
      </c>
      <c r="R99" s="34" t="s">
        <v>116</v>
      </c>
      <c r="T99" s="34" t="s">
        <v>137</v>
      </c>
      <c r="U99" s="34" t="s">
        <v>257</v>
      </c>
    </row>
    <row r="100" spans="1:21" x14ac:dyDescent="0.25">
      <c r="A100" s="34">
        <v>2015</v>
      </c>
      <c r="B100" s="34" t="s">
        <v>276</v>
      </c>
      <c r="C100" s="34">
        <v>18340</v>
      </c>
      <c r="D100" s="34">
        <v>35</v>
      </c>
      <c r="E100" s="34">
        <v>42250</v>
      </c>
      <c r="F100" s="34" t="s">
        <v>108</v>
      </c>
      <c r="G100" s="34" t="s">
        <v>47</v>
      </c>
      <c r="H100" s="34" t="s">
        <v>277</v>
      </c>
      <c r="I100" s="34" t="s">
        <v>63</v>
      </c>
      <c r="J100" s="34" t="s">
        <v>110</v>
      </c>
      <c r="K100" s="34" t="s">
        <v>111</v>
      </c>
      <c r="L100" s="34" t="s">
        <v>5</v>
      </c>
      <c r="M100" s="34" t="s">
        <v>112</v>
      </c>
      <c r="N100" s="34">
        <v>0</v>
      </c>
      <c r="O100" s="34">
        <v>1</v>
      </c>
      <c r="P100" s="34">
        <v>1</v>
      </c>
      <c r="Q100" s="34">
        <v>0</v>
      </c>
      <c r="R100" s="34" t="s">
        <v>116</v>
      </c>
      <c r="T100" s="34" t="s">
        <v>137</v>
      </c>
      <c r="U100" s="34" t="s">
        <v>257</v>
      </c>
    </row>
    <row r="101" spans="1:21" x14ac:dyDescent="0.25">
      <c r="A101" s="34">
        <v>2015</v>
      </c>
      <c r="B101" s="34" t="s">
        <v>278</v>
      </c>
      <c r="C101" s="34">
        <v>18341</v>
      </c>
      <c r="D101" s="34">
        <v>35</v>
      </c>
      <c r="E101" s="34">
        <v>42250</v>
      </c>
      <c r="F101" s="34" t="s">
        <v>108</v>
      </c>
      <c r="G101" s="34" t="s">
        <v>47</v>
      </c>
      <c r="H101" s="34" t="s">
        <v>279</v>
      </c>
      <c r="I101" s="34" t="s">
        <v>62</v>
      </c>
      <c r="J101" s="34" t="s">
        <v>110</v>
      </c>
      <c r="K101" s="34" t="s">
        <v>111</v>
      </c>
      <c r="L101" s="34" t="s">
        <v>6</v>
      </c>
      <c r="M101" s="34" t="s">
        <v>112</v>
      </c>
      <c r="N101" s="34">
        <v>0</v>
      </c>
      <c r="O101" s="34">
        <v>4</v>
      </c>
      <c r="P101" s="34">
        <v>4</v>
      </c>
      <c r="Q101" s="34">
        <v>0</v>
      </c>
      <c r="R101" s="34" t="s">
        <v>116</v>
      </c>
      <c r="T101" s="34" t="s">
        <v>132</v>
      </c>
      <c r="U101" s="34" t="s">
        <v>141</v>
      </c>
    </row>
    <row r="102" spans="1:21" x14ac:dyDescent="0.25">
      <c r="A102" s="34">
        <v>2015</v>
      </c>
      <c r="B102" s="34" t="s">
        <v>280</v>
      </c>
      <c r="C102" s="34">
        <v>18342</v>
      </c>
      <c r="D102" s="34">
        <v>35</v>
      </c>
      <c r="E102" s="34">
        <v>42250</v>
      </c>
      <c r="F102" s="34" t="s">
        <v>108</v>
      </c>
      <c r="G102" s="34" t="s">
        <v>47</v>
      </c>
      <c r="H102" s="34" t="s">
        <v>279</v>
      </c>
      <c r="I102" s="34" t="s">
        <v>62</v>
      </c>
      <c r="J102" s="34" t="s">
        <v>110</v>
      </c>
      <c r="K102" s="34" t="s">
        <v>111</v>
      </c>
      <c r="L102" s="34" t="s">
        <v>5</v>
      </c>
      <c r="M102" s="34" t="s">
        <v>112</v>
      </c>
      <c r="N102" s="34">
        <v>0</v>
      </c>
      <c r="O102" s="34">
        <v>2</v>
      </c>
      <c r="P102" s="34">
        <v>2</v>
      </c>
      <c r="Q102" s="34">
        <v>0</v>
      </c>
      <c r="R102" s="34" t="s">
        <v>116</v>
      </c>
      <c r="T102" s="34" t="s">
        <v>137</v>
      </c>
      <c r="U102" s="34" t="s">
        <v>143</v>
      </c>
    </row>
    <row r="103" spans="1:21" x14ac:dyDescent="0.25">
      <c r="A103" s="34">
        <v>2015</v>
      </c>
      <c r="B103" s="34" t="s">
        <v>281</v>
      </c>
      <c r="C103" s="34">
        <v>18343</v>
      </c>
      <c r="D103" s="34">
        <v>35</v>
      </c>
      <c r="E103" s="34">
        <v>42250</v>
      </c>
      <c r="F103" s="34" t="s">
        <v>108</v>
      </c>
      <c r="G103" s="34" t="s">
        <v>47</v>
      </c>
      <c r="H103" s="34" t="s">
        <v>282</v>
      </c>
      <c r="I103" s="34" t="s">
        <v>62</v>
      </c>
      <c r="J103" s="34" t="s">
        <v>110</v>
      </c>
      <c r="K103" s="34" t="s">
        <v>111</v>
      </c>
      <c r="L103" s="34" t="s">
        <v>6</v>
      </c>
      <c r="M103" s="34" t="s">
        <v>112</v>
      </c>
      <c r="N103" s="34">
        <v>0</v>
      </c>
      <c r="O103" s="34">
        <v>3</v>
      </c>
      <c r="P103" s="34">
        <v>3</v>
      </c>
      <c r="Q103" s="34">
        <v>0</v>
      </c>
      <c r="R103" s="34" t="s">
        <v>116</v>
      </c>
      <c r="T103" s="34" t="s">
        <v>132</v>
      </c>
      <c r="U103" s="34" t="s">
        <v>141</v>
      </c>
    </row>
    <row r="104" spans="1:21" x14ac:dyDescent="0.25">
      <c r="A104" s="34">
        <v>2015</v>
      </c>
      <c r="B104" s="34" t="s">
        <v>283</v>
      </c>
      <c r="C104" s="34">
        <v>18344</v>
      </c>
      <c r="D104" s="34">
        <v>35</v>
      </c>
      <c r="E104" s="34">
        <v>42250</v>
      </c>
      <c r="F104" s="34" t="s">
        <v>108</v>
      </c>
      <c r="G104" s="34" t="s">
        <v>47</v>
      </c>
      <c r="H104" s="34" t="s">
        <v>282</v>
      </c>
      <c r="I104" s="34" t="s">
        <v>62</v>
      </c>
      <c r="J104" s="34" t="s">
        <v>110</v>
      </c>
      <c r="K104" s="34" t="s">
        <v>111</v>
      </c>
      <c r="L104" s="34" t="s">
        <v>5</v>
      </c>
      <c r="M104" s="34" t="s">
        <v>112</v>
      </c>
      <c r="N104" s="34">
        <v>0</v>
      </c>
      <c r="O104" s="34">
        <v>15</v>
      </c>
      <c r="P104" s="34">
        <v>15</v>
      </c>
      <c r="Q104" s="34">
        <v>0</v>
      </c>
      <c r="R104" s="34" t="s">
        <v>116</v>
      </c>
      <c r="T104" s="34" t="s">
        <v>137</v>
      </c>
      <c r="U104" s="34" t="s">
        <v>143</v>
      </c>
    </row>
    <row r="105" spans="1:21" x14ac:dyDescent="0.25">
      <c r="A105" s="34">
        <v>2015</v>
      </c>
      <c r="B105" s="34" t="s">
        <v>284</v>
      </c>
      <c r="C105" s="34">
        <v>18345</v>
      </c>
      <c r="D105" s="34">
        <v>35</v>
      </c>
      <c r="E105" s="34">
        <v>42250</v>
      </c>
      <c r="F105" s="34" t="s">
        <v>108</v>
      </c>
      <c r="G105" s="34" t="s">
        <v>47</v>
      </c>
      <c r="H105" s="34" t="s">
        <v>285</v>
      </c>
      <c r="I105" s="34" t="s">
        <v>63</v>
      </c>
      <c r="J105" s="34" t="s">
        <v>110</v>
      </c>
      <c r="K105" s="34" t="s">
        <v>111</v>
      </c>
      <c r="L105" s="34" t="s">
        <v>6</v>
      </c>
      <c r="M105" s="34" t="s">
        <v>112</v>
      </c>
      <c r="N105" s="34">
        <v>0</v>
      </c>
      <c r="O105" s="34">
        <v>2</v>
      </c>
      <c r="P105" s="34">
        <v>2</v>
      </c>
      <c r="Q105" s="34">
        <v>0</v>
      </c>
      <c r="R105" s="34" t="s">
        <v>116</v>
      </c>
      <c r="T105" s="34" t="s">
        <v>132</v>
      </c>
      <c r="U105" s="34" t="s">
        <v>254</v>
      </c>
    </row>
    <row r="106" spans="1:21" x14ac:dyDescent="0.25">
      <c r="A106" s="34">
        <v>2015</v>
      </c>
      <c r="B106" s="34" t="s">
        <v>286</v>
      </c>
      <c r="C106" s="34">
        <v>18346</v>
      </c>
      <c r="D106" s="34">
        <v>35</v>
      </c>
      <c r="E106" s="34">
        <v>42250</v>
      </c>
      <c r="F106" s="34" t="s">
        <v>108</v>
      </c>
      <c r="G106" s="34" t="s">
        <v>47</v>
      </c>
      <c r="H106" s="34" t="s">
        <v>287</v>
      </c>
      <c r="I106" s="34" t="s">
        <v>63</v>
      </c>
      <c r="J106" s="34" t="s">
        <v>110</v>
      </c>
      <c r="K106" s="34" t="s">
        <v>111</v>
      </c>
      <c r="L106" s="34" t="s">
        <v>6</v>
      </c>
      <c r="M106" s="34" t="s">
        <v>112</v>
      </c>
      <c r="N106" s="34">
        <v>0</v>
      </c>
      <c r="O106" s="34">
        <v>1</v>
      </c>
      <c r="P106" s="34">
        <v>1</v>
      </c>
      <c r="Q106" s="34">
        <v>0</v>
      </c>
      <c r="R106" s="34" t="s">
        <v>116</v>
      </c>
      <c r="T106" s="34" t="s">
        <v>132</v>
      </c>
      <c r="U106" s="34" t="s">
        <v>254</v>
      </c>
    </row>
    <row r="107" spans="1:21" x14ac:dyDescent="0.25">
      <c r="A107" s="34">
        <v>2015</v>
      </c>
      <c r="B107" s="34" t="s">
        <v>288</v>
      </c>
      <c r="C107" s="34">
        <v>18347</v>
      </c>
      <c r="D107" s="34">
        <v>35</v>
      </c>
      <c r="E107" s="34">
        <v>42250</v>
      </c>
      <c r="F107" s="34" t="s">
        <v>108</v>
      </c>
      <c r="G107" s="34" t="s">
        <v>47</v>
      </c>
      <c r="H107" s="34" t="s">
        <v>287</v>
      </c>
      <c r="I107" s="34" t="s">
        <v>63</v>
      </c>
      <c r="J107" s="34" t="s">
        <v>110</v>
      </c>
      <c r="K107" s="34" t="s">
        <v>111</v>
      </c>
      <c r="L107" s="34" t="s">
        <v>5</v>
      </c>
      <c r="M107" s="34" t="s">
        <v>112</v>
      </c>
      <c r="N107" s="34">
        <v>0</v>
      </c>
      <c r="O107" s="34">
        <v>1</v>
      </c>
      <c r="P107" s="34">
        <v>1</v>
      </c>
      <c r="Q107" s="34">
        <v>0</v>
      </c>
      <c r="R107" s="34" t="s">
        <v>116</v>
      </c>
      <c r="T107" s="34" t="s">
        <v>137</v>
      </c>
      <c r="U107" s="34" t="s">
        <v>257</v>
      </c>
    </row>
    <row r="108" spans="1:21" x14ac:dyDescent="0.25">
      <c r="A108" s="34">
        <v>2015</v>
      </c>
      <c r="B108" s="34" t="s">
        <v>289</v>
      </c>
      <c r="C108" s="34">
        <v>18348</v>
      </c>
      <c r="D108" s="34">
        <v>35</v>
      </c>
      <c r="E108" s="34">
        <v>42250</v>
      </c>
      <c r="F108" s="34" t="s">
        <v>108</v>
      </c>
      <c r="G108" s="34" t="s">
        <v>47</v>
      </c>
      <c r="H108" s="34" t="s">
        <v>290</v>
      </c>
      <c r="I108" s="34" t="s">
        <v>63</v>
      </c>
      <c r="J108" s="34" t="s">
        <v>110</v>
      </c>
      <c r="K108" s="34" t="s">
        <v>111</v>
      </c>
      <c r="L108" s="34" t="s">
        <v>6</v>
      </c>
      <c r="M108" s="34" t="s">
        <v>112</v>
      </c>
      <c r="N108" s="34">
        <v>0</v>
      </c>
      <c r="O108" s="34">
        <v>4</v>
      </c>
      <c r="P108" s="34">
        <v>4</v>
      </c>
      <c r="Q108" s="34">
        <v>0</v>
      </c>
      <c r="R108" s="34" t="s">
        <v>116</v>
      </c>
      <c r="T108" s="34" t="s">
        <v>132</v>
      </c>
      <c r="U108" s="34" t="s">
        <v>254</v>
      </c>
    </row>
    <row r="109" spans="1:21" x14ac:dyDescent="0.25">
      <c r="A109" s="34"/>
      <c r="E109" s="34"/>
    </row>
    <row r="110" spans="1:21" x14ac:dyDescent="0.25">
      <c r="A110" s="34"/>
      <c r="E110" s="34"/>
    </row>
    <row r="111" spans="1:21" x14ac:dyDescent="0.25">
      <c r="A111" s="34"/>
      <c r="E111" s="34"/>
    </row>
    <row r="112" spans="1:21" x14ac:dyDescent="0.25">
      <c r="A112" s="34"/>
      <c r="E112" s="34"/>
    </row>
    <row r="113" spans="1:5" x14ac:dyDescent="0.25">
      <c r="A113" s="34"/>
      <c r="E113" s="34"/>
    </row>
    <row r="114" spans="1:5" x14ac:dyDescent="0.25">
      <c r="A114" s="34"/>
      <c r="E114" s="34"/>
    </row>
    <row r="115" spans="1:5" x14ac:dyDescent="0.25">
      <c r="A115" s="34"/>
      <c r="E115" s="34"/>
    </row>
    <row r="116" spans="1:5" x14ac:dyDescent="0.25">
      <c r="A116" s="34"/>
      <c r="E116" s="34"/>
    </row>
    <row r="117" spans="1:5" x14ac:dyDescent="0.25">
      <c r="A117" s="34"/>
      <c r="E117" s="34"/>
    </row>
    <row r="118" spans="1:5" x14ac:dyDescent="0.25">
      <c r="A118" s="34"/>
      <c r="E118" s="34"/>
    </row>
    <row r="119" spans="1:5" x14ac:dyDescent="0.25">
      <c r="A119" s="34"/>
      <c r="E119" s="34"/>
    </row>
    <row r="120" spans="1:5" x14ac:dyDescent="0.25">
      <c r="A120" s="34"/>
      <c r="E120" s="34"/>
    </row>
    <row r="121" spans="1:5" x14ac:dyDescent="0.25">
      <c r="A121" s="34"/>
      <c r="E121" s="34"/>
    </row>
    <row r="122" spans="1:5" x14ac:dyDescent="0.25">
      <c r="A122" s="34"/>
      <c r="E122" s="34"/>
    </row>
    <row r="123" spans="1:5" x14ac:dyDescent="0.25">
      <c r="A123" s="34"/>
      <c r="E123" s="34"/>
    </row>
    <row r="124" spans="1:5" x14ac:dyDescent="0.25">
      <c r="A124" s="34"/>
      <c r="E124" s="34"/>
    </row>
    <row r="125" spans="1:5" x14ac:dyDescent="0.25">
      <c r="A125" s="34"/>
      <c r="E125" s="34"/>
    </row>
    <row r="126" spans="1:5" x14ac:dyDescent="0.25">
      <c r="A126" s="34"/>
      <c r="E126" s="34"/>
    </row>
    <row r="127" spans="1:5" x14ac:dyDescent="0.25">
      <c r="A127" s="34"/>
      <c r="E127" s="34"/>
    </row>
    <row r="128" spans="1:5" x14ac:dyDescent="0.25">
      <c r="A128" s="34"/>
      <c r="E128" s="34"/>
    </row>
    <row r="129" spans="1:5" x14ac:dyDescent="0.25">
      <c r="A129" s="34"/>
      <c r="E129" s="34"/>
    </row>
    <row r="130" spans="1:5" x14ac:dyDescent="0.25">
      <c r="A130" s="34"/>
      <c r="E130" s="34"/>
    </row>
    <row r="131" spans="1:5" x14ac:dyDescent="0.25">
      <c r="A131" s="34"/>
      <c r="E131" s="34"/>
    </row>
    <row r="132" spans="1:5" x14ac:dyDescent="0.25">
      <c r="A132" s="34"/>
      <c r="E132" s="34"/>
    </row>
    <row r="133" spans="1:5" x14ac:dyDescent="0.25">
      <c r="A133" s="34"/>
      <c r="E133" s="34"/>
    </row>
    <row r="134" spans="1:5" x14ac:dyDescent="0.25">
      <c r="A134" s="34"/>
      <c r="E134" s="34"/>
    </row>
    <row r="135" spans="1:5" x14ac:dyDescent="0.25">
      <c r="A135" s="34"/>
      <c r="E135" s="34"/>
    </row>
    <row r="136" spans="1:5" x14ac:dyDescent="0.25">
      <c r="A136" s="34"/>
      <c r="E136" s="34"/>
    </row>
    <row r="137" spans="1:5" x14ac:dyDescent="0.25">
      <c r="A137" s="34"/>
      <c r="E137" s="34"/>
    </row>
    <row r="138" spans="1:5" x14ac:dyDescent="0.25">
      <c r="A138" s="34"/>
      <c r="E138" s="34"/>
    </row>
    <row r="139" spans="1:5" x14ac:dyDescent="0.25">
      <c r="A139" s="34"/>
      <c r="E139" s="34"/>
    </row>
    <row r="140" spans="1:5" x14ac:dyDescent="0.25">
      <c r="A140" s="34"/>
      <c r="E140" s="34"/>
    </row>
    <row r="141" spans="1:5" x14ac:dyDescent="0.25">
      <c r="A141" s="34"/>
      <c r="E141" s="34"/>
    </row>
    <row r="142" spans="1:5" x14ac:dyDescent="0.25">
      <c r="A142" s="34"/>
      <c r="E142" s="34"/>
    </row>
    <row r="143" spans="1:5" x14ac:dyDescent="0.25">
      <c r="A143" s="34"/>
      <c r="E143" s="34"/>
    </row>
    <row r="144" spans="1:5" x14ac:dyDescent="0.25">
      <c r="A144" s="34"/>
      <c r="E144" s="34"/>
    </row>
    <row r="145" spans="1:5" x14ac:dyDescent="0.25">
      <c r="A145" s="34"/>
      <c r="E145" s="34"/>
    </row>
    <row r="146" spans="1:5" x14ac:dyDescent="0.25">
      <c r="A146" s="34"/>
      <c r="E146" s="34"/>
    </row>
    <row r="147" spans="1:5" x14ac:dyDescent="0.25">
      <c r="A147" s="34"/>
      <c r="E147" s="34"/>
    </row>
    <row r="148" spans="1:5" x14ac:dyDescent="0.25">
      <c r="A148" s="34"/>
      <c r="E148" s="34"/>
    </row>
    <row r="149" spans="1:5" x14ac:dyDescent="0.25">
      <c r="A149" s="34"/>
      <c r="E149" s="34"/>
    </row>
    <row r="150" spans="1:5" x14ac:dyDescent="0.25">
      <c r="A150" s="34"/>
      <c r="E150" s="34"/>
    </row>
    <row r="151" spans="1:5" x14ac:dyDescent="0.25">
      <c r="A151" s="34"/>
      <c r="E151" s="34"/>
    </row>
    <row r="152" spans="1:5" x14ac:dyDescent="0.25">
      <c r="A152" s="34"/>
      <c r="E152" s="34"/>
    </row>
    <row r="153" spans="1:5" x14ac:dyDescent="0.25">
      <c r="A153" s="34"/>
      <c r="E153" s="34"/>
    </row>
    <row r="154" spans="1:5" x14ac:dyDescent="0.25">
      <c r="A154" s="34"/>
      <c r="E154" s="34"/>
    </row>
    <row r="155" spans="1:5" x14ac:dyDescent="0.25">
      <c r="A155" s="34"/>
      <c r="E155" s="34"/>
    </row>
    <row r="156" spans="1:5" x14ac:dyDescent="0.25">
      <c r="A156" s="34"/>
      <c r="E156" s="34"/>
    </row>
    <row r="157" spans="1:5" x14ac:dyDescent="0.25">
      <c r="A157" s="34"/>
      <c r="E157" s="34"/>
    </row>
    <row r="158" spans="1:5" x14ac:dyDescent="0.25">
      <c r="A158" s="34"/>
      <c r="E158" s="34"/>
    </row>
    <row r="159" spans="1:5" x14ac:dyDescent="0.25">
      <c r="A159" s="34"/>
      <c r="E159" s="34"/>
    </row>
    <row r="160" spans="1:5" x14ac:dyDescent="0.25">
      <c r="A160" s="34"/>
      <c r="E160" s="34"/>
    </row>
    <row r="161" spans="1:5" x14ac:dyDescent="0.25">
      <c r="A161" s="34"/>
      <c r="E161" s="34"/>
    </row>
    <row r="162" spans="1:5" x14ac:dyDescent="0.25">
      <c r="A162" s="34"/>
      <c r="E162" s="34"/>
    </row>
    <row r="163" spans="1:5" x14ac:dyDescent="0.25">
      <c r="A163" s="34"/>
      <c r="E163" s="34"/>
    </row>
    <row r="164" spans="1:5" x14ac:dyDescent="0.25">
      <c r="A164" s="34"/>
      <c r="E164" s="34"/>
    </row>
    <row r="165" spans="1:5" x14ac:dyDescent="0.25">
      <c r="A165" s="34"/>
      <c r="E165" s="34"/>
    </row>
    <row r="166" spans="1:5" x14ac:dyDescent="0.25">
      <c r="A166" s="34"/>
      <c r="E166" s="34"/>
    </row>
    <row r="167" spans="1:5" x14ac:dyDescent="0.25">
      <c r="A167" s="34"/>
      <c r="E167" s="34"/>
    </row>
    <row r="168" spans="1:5" x14ac:dyDescent="0.25">
      <c r="A168" s="34"/>
      <c r="E168" s="34"/>
    </row>
    <row r="169" spans="1:5" x14ac:dyDescent="0.25">
      <c r="A169" s="34"/>
      <c r="E169" s="34"/>
    </row>
    <row r="170" spans="1:5" x14ac:dyDescent="0.25">
      <c r="A170" s="34"/>
      <c r="E170" s="34"/>
    </row>
    <row r="171" spans="1:5" x14ac:dyDescent="0.25">
      <c r="A171" s="34"/>
      <c r="E171" s="34"/>
    </row>
    <row r="172" spans="1:5" x14ac:dyDescent="0.25">
      <c r="A172" s="34"/>
      <c r="E172" s="34"/>
    </row>
    <row r="173" spans="1:5" x14ac:dyDescent="0.25">
      <c r="A173" s="34"/>
      <c r="E173" s="34"/>
    </row>
    <row r="174" spans="1:5" x14ac:dyDescent="0.25">
      <c r="A174" s="34"/>
      <c r="E174" s="34"/>
    </row>
    <row r="175" spans="1:5" x14ac:dyDescent="0.25">
      <c r="A175" s="34"/>
      <c r="E175" s="34"/>
    </row>
    <row r="176" spans="1:5" x14ac:dyDescent="0.25">
      <c r="A176" s="34"/>
      <c r="E176" s="34"/>
    </row>
    <row r="177" spans="1:5" x14ac:dyDescent="0.25">
      <c r="A177" s="34"/>
      <c r="E177" s="34"/>
    </row>
    <row r="178" spans="1:5" x14ac:dyDescent="0.25">
      <c r="A178" s="34"/>
      <c r="E178" s="34"/>
    </row>
    <row r="179" spans="1:5" x14ac:dyDescent="0.25">
      <c r="A179" s="34"/>
      <c r="E179" s="34"/>
    </row>
    <row r="180" spans="1:5" x14ac:dyDescent="0.25">
      <c r="A180" s="34"/>
      <c r="E180" s="34"/>
    </row>
    <row r="181" spans="1:5" x14ac:dyDescent="0.25">
      <c r="A181" s="34"/>
      <c r="E181" s="34"/>
    </row>
    <row r="182" spans="1:5" x14ac:dyDescent="0.25">
      <c r="A182" s="34"/>
      <c r="E182" s="34"/>
    </row>
    <row r="183" spans="1:5" x14ac:dyDescent="0.25">
      <c r="A183" s="33"/>
    </row>
    <row r="184" spans="1:5" x14ac:dyDescent="0.25">
      <c r="A184" s="33"/>
    </row>
    <row r="185" spans="1:5" x14ac:dyDescent="0.25">
      <c r="A185" s="33"/>
    </row>
    <row r="186" spans="1:5" x14ac:dyDescent="0.25">
      <c r="A186" s="33"/>
    </row>
    <row r="187" spans="1:5" x14ac:dyDescent="0.25">
      <c r="A187" s="33"/>
    </row>
    <row r="188" spans="1:5" x14ac:dyDescent="0.25">
      <c r="A188" s="33"/>
    </row>
    <row r="189" spans="1:5" x14ac:dyDescent="0.25">
      <c r="A189" s="33"/>
    </row>
    <row r="190" spans="1:5" x14ac:dyDescent="0.25">
      <c r="A190" s="33"/>
    </row>
    <row r="191" spans="1:5" x14ac:dyDescent="0.25">
      <c r="A191" s="33"/>
    </row>
    <row r="192" spans="1:5" x14ac:dyDescent="0.25">
      <c r="A192" s="33"/>
    </row>
    <row r="193" spans="1:1" x14ac:dyDescent="0.25">
      <c r="A193" s="33"/>
    </row>
    <row r="194" spans="1:1" x14ac:dyDescent="0.25">
      <c r="A194" s="33"/>
    </row>
    <row r="195" spans="1:1" x14ac:dyDescent="0.25">
      <c r="A195" s="33"/>
    </row>
    <row r="196" spans="1:1" x14ac:dyDescent="0.25">
      <c r="A196" s="33"/>
    </row>
    <row r="197" spans="1:1" x14ac:dyDescent="0.25">
      <c r="A197" s="33"/>
    </row>
    <row r="198" spans="1:1" x14ac:dyDescent="0.25">
      <c r="A198" s="33"/>
    </row>
    <row r="199" spans="1:1" x14ac:dyDescent="0.25">
      <c r="A199" s="33"/>
    </row>
    <row r="200" spans="1:1" x14ac:dyDescent="0.25">
      <c r="A200" s="33"/>
    </row>
    <row r="201" spans="1:1" x14ac:dyDescent="0.25">
      <c r="A201" s="33"/>
    </row>
    <row r="202" spans="1:1" x14ac:dyDescent="0.25">
      <c r="A202" s="33"/>
    </row>
    <row r="203" spans="1:1" x14ac:dyDescent="0.25">
      <c r="A203" s="33"/>
    </row>
    <row r="204" spans="1:1" x14ac:dyDescent="0.25">
      <c r="A204" s="33"/>
    </row>
    <row r="205" spans="1:1" x14ac:dyDescent="0.25">
      <c r="A205" s="33"/>
    </row>
  </sheetData>
  <sortState ref="A2:U205">
    <sortCondition ref="B2:B20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B2" sqref="B2"/>
    </sheetView>
  </sheetViews>
  <sheetFormatPr defaultRowHeight="15" x14ac:dyDescent="0.25"/>
  <cols>
    <col min="1" max="1" width="5.425781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3" t="s">
        <v>46</v>
      </c>
      <c r="B1" s="54" t="s">
        <v>370</v>
      </c>
      <c r="C1" s="54" t="s">
        <v>371</v>
      </c>
      <c r="D1" s="54" t="s">
        <v>372</v>
      </c>
      <c r="E1" s="53" t="s">
        <v>373</v>
      </c>
      <c r="F1" s="53" t="s">
        <v>374</v>
      </c>
      <c r="G1" s="53" t="s">
        <v>375</v>
      </c>
      <c r="H1" s="53" t="s">
        <v>376</v>
      </c>
      <c r="I1" s="53" t="s">
        <v>377</v>
      </c>
      <c r="J1" s="53" t="s">
        <v>378</v>
      </c>
    </row>
    <row r="2" spans="1:10" x14ac:dyDescent="0.25">
      <c r="A2" t="s">
        <v>9</v>
      </c>
      <c r="B2" s="29">
        <v>17.854101114790897</v>
      </c>
      <c r="C2" s="29">
        <v>3.707418911410334</v>
      </c>
      <c r="D2" s="29">
        <v>64.438307552814123</v>
      </c>
      <c r="E2" s="51">
        <v>1000</v>
      </c>
      <c r="F2" s="52" t="s">
        <v>379</v>
      </c>
      <c r="G2" s="52" t="s">
        <v>380</v>
      </c>
      <c r="H2">
        <v>9</v>
      </c>
      <c r="I2">
        <v>2</v>
      </c>
      <c r="J2">
        <v>122</v>
      </c>
    </row>
    <row r="3" spans="1:10" x14ac:dyDescent="0.25">
      <c r="A3" t="s">
        <v>61</v>
      </c>
      <c r="B3" s="29">
        <v>17.6563861396038</v>
      </c>
      <c r="C3" s="29">
        <v>7.7809288851711615</v>
      </c>
      <c r="D3" s="29">
        <v>36.331873271165456</v>
      </c>
      <c r="E3" s="51">
        <v>1000</v>
      </c>
      <c r="F3" s="52" t="s">
        <v>379</v>
      </c>
      <c r="G3" s="52" t="s">
        <v>380</v>
      </c>
      <c r="H3">
        <v>27</v>
      </c>
      <c r="I3">
        <v>7</v>
      </c>
      <c r="J3">
        <v>511</v>
      </c>
    </row>
    <row r="4" spans="1:10" x14ac:dyDescent="0.25">
      <c r="A4" t="s">
        <v>60</v>
      </c>
      <c r="B4" s="29">
        <v>35.797259405174039</v>
      </c>
      <c r="C4" s="29">
        <v>11.171820983945452</v>
      </c>
      <c r="D4" s="29">
        <v>104.75958817623425</v>
      </c>
      <c r="E4" s="51">
        <v>1000</v>
      </c>
      <c r="F4" s="52" t="s">
        <v>379</v>
      </c>
      <c r="G4" s="52" t="s">
        <v>380</v>
      </c>
      <c r="H4">
        <v>18</v>
      </c>
      <c r="I4">
        <v>4</v>
      </c>
      <c r="J4">
        <v>178</v>
      </c>
    </row>
    <row r="5" spans="1:10" x14ac:dyDescent="0.25">
      <c r="A5" t="s">
        <v>62</v>
      </c>
      <c r="B5" s="29">
        <v>23.457557531797931</v>
      </c>
      <c r="C5" s="29">
        <v>11.482814465256352</v>
      </c>
      <c r="D5" s="29">
        <v>44.996251619979986</v>
      </c>
      <c r="E5" s="51">
        <v>1000</v>
      </c>
      <c r="F5" s="52" t="s">
        <v>379</v>
      </c>
      <c r="G5" s="52" t="s">
        <v>380</v>
      </c>
      <c r="H5">
        <v>39</v>
      </c>
      <c r="I5">
        <v>9</v>
      </c>
      <c r="J5">
        <v>530</v>
      </c>
    </row>
    <row r="6" spans="1:10" x14ac:dyDescent="0.25">
      <c r="A6" t="s">
        <v>63</v>
      </c>
      <c r="B6" s="29">
        <v>14.349242226412803</v>
      </c>
      <c r="C6" s="29">
        <v>2.6496726440682461</v>
      </c>
      <c r="D6" s="29">
        <v>55.522401668781036</v>
      </c>
      <c r="E6" s="51">
        <v>1000</v>
      </c>
      <c r="F6" s="52" t="s">
        <v>379</v>
      </c>
      <c r="G6" s="52" t="s">
        <v>380</v>
      </c>
      <c r="H6">
        <v>14</v>
      </c>
      <c r="I6">
        <v>2</v>
      </c>
      <c r="J6">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B3"/>
    </sheetView>
  </sheetViews>
  <sheetFormatPr defaultRowHeight="15" x14ac:dyDescent="0.25"/>
  <cols>
    <col min="1" max="1" width="8.140625"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3" t="s">
        <v>41</v>
      </c>
      <c r="B1" s="54" t="s">
        <v>370</v>
      </c>
      <c r="C1" s="54" t="s">
        <v>371</v>
      </c>
      <c r="D1" s="54" t="s">
        <v>372</v>
      </c>
      <c r="E1" s="53" t="s">
        <v>373</v>
      </c>
      <c r="F1" s="53" t="s">
        <v>374</v>
      </c>
      <c r="G1" s="53" t="s">
        <v>375</v>
      </c>
      <c r="H1" s="53" t="s">
        <v>376</v>
      </c>
      <c r="I1" s="53" t="s">
        <v>377</v>
      </c>
      <c r="J1" s="53" t="s">
        <v>378</v>
      </c>
    </row>
    <row r="2" spans="1:10" x14ac:dyDescent="0.25">
      <c r="A2" t="s">
        <v>47</v>
      </c>
      <c r="B2" s="29">
        <v>22.357509100527952</v>
      </c>
      <c r="C2" s="29">
        <v>14.260046170179402</v>
      </c>
      <c r="D2" s="29">
        <v>34.167774560582522</v>
      </c>
      <c r="E2" s="51">
        <v>1000</v>
      </c>
      <c r="F2" s="52" t="s">
        <v>379</v>
      </c>
      <c r="G2" s="52" t="s">
        <v>380</v>
      </c>
      <c r="H2">
        <v>98</v>
      </c>
      <c r="I2">
        <v>22</v>
      </c>
      <c r="J2">
        <v>1391</v>
      </c>
    </row>
    <row r="3" spans="1:10" x14ac:dyDescent="0.25">
      <c r="A3" t="s">
        <v>9</v>
      </c>
      <c r="B3" s="29">
        <v>17.854101114790897</v>
      </c>
      <c r="C3" s="29">
        <v>3.707418911410334</v>
      </c>
      <c r="D3" s="29">
        <v>64.438307552814123</v>
      </c>
      <c r="E3" s="51">
        <v>1000</v>
      </c>
      <c r="F3" s="52" t="s">
        <v>379</v>
      </c>
      <c r="G3" s="52" t="s">
        <v>380</v>
      </c>
      <c r="H3">
        <v>9</v>
      </c>
      <c r="I3">
        <v>2</v>
      </c>
      <c r="J3">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B11"/>
    </sheetView>
  </sheetViews>
  <sheetFormatPr defaultRowHeight="15" x14ac:dyDescent="0.25"/>
  <cols>
    <col min="1" max="1" width="9"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3" t="s">
        <v>94</v>
      </c>
      <c r="B1" s="54" t="s">
        <v>370</v>
      </c>
      <c r="C1" s="54" t="s">
        <v>371</v>
      </c>
      <c r="D1" s="54" t="s">
        <v>372</v>
      </c>
      <c r="E1" s="53" t="s">
        <v>373</v>
      </c>
      <c r="F1" s="53" t="s">
        <v>374</v>
      </c>
      <c r="G1" s="53" t="s">
        <v>375</v>
      </c>
      <c r="H1" s="53" t="s">
        <v>376</v>
      </c>
      <c r="I1" s="53" t="s">
        <v>377</v>
      </c>
      <c r="J1" s="53" t="s">
        <v>378</v>
      </c>
    </row>
    <row r="2" spans="1:10" x14ac:dyDescent="0.25">
      <c r="A2" t="s">
        <v>122</v>
      </c>
      <c r="B2" s="29">
        <v>0</v>
      </c>
      <c r="C2" s="29">
        <v>0</v>
      </c>
      <c r="D2" s="29">
        <v>391.7916000001814</v>
      </c>
      <c r="E2" s="51">
        <v>1000</v>
      </c>
      <c r="F2" s="52" t="s">
        <v>64</v>
      </c>
      <c r="G2" s="52" t="s">
        <v>381</v>
      </c>
      <c r="H2">
        <v>2</v>
      </c>
      <c r="I2">
        <v>0</v>
      </c>
      <c r="J2">
        <v>4</v>
      </c>
    </row>
    <row r="3" spans="1:10" x14ac:dyDescent="0.25">
      <c r="A3" t="s">
        <v>114</v>
      </c>
      <c r="B3" s="29">
        <v>18.202616187224425</v>
      </c>
      <c r="C3" s="29">
        <v>3.8935085770835398</v>
      </c>
      <c r="D3" s="29">
        <v>66.937279800555416</v>
      </c>
      <c r="E3" s="51">
        <v>1000</v>
      </c>
      <c r="F3" s="52" t="s">
        <v>379</v>
      </c>
      <c r="G3" s="52" t="s">
        <v>380</v>
      </c>
      <c r="H3">
        <v>7</v>
      </c>
      <c r="I3">
        <v>2</v>
      </c>
      <c r="J3">
        <v>118</v>
      </c>
    </row>
    <row r="4" spans="1:10" x14ac:dyDescent="0.25">
      <c r="A4" t="s">
        <v>138</v>
      </c>
      <c r="B4" s="29">
        <v>20.943357229192987</v>
      </c>
      <c r="C4" s="29">
        <v>8.613824310867269</v>
      </c>
      <c r="D4" s="29">
        <v>46.69181828781209</v>
      </c>
      <c r="E4" s="51">
        <v>1000</v>
      </c>
      <c r="F4" s="52" t="s">
        <v>379</v>
      </c>
      <c r="G4" s="52" t="s">
        <v>380</v>
      </c>
      <c r="H4">
        <v>17</v>
      </c>
      <c r="I4">
        <v>6</v>
      </c>
      <c r="J4">
        <v>398</v>
      </c>
    </row>
    <row r="5" spans="1:10" x14ac:dyDescent="0.25">
      <c r="A5" t="s">
        <v>133</v>
      </c>
      <c r="B5" s="29">
        <v>8.5055429399774489</v>
      </c>
      <c r="C5" s="29">
        <v>0.5213409744477624</v>
      </c>
      <c r="D5" s="29">
        <v>40.705315663315815</v>
      </c>
      <c r="E5" s="51">
        <v>1000</v>
      </c>
      <c r="F5" s="52" t="s">
        <v>379</v>
      </c>
      <c r="G5" s="52" t="s">
        <v>380</v>
      </c>
      <c r="H5">
        <v>10</v>
      </c>
      <c r="I5">
        <v>1</v>
      </c>
      <c r="J5">
        <v>113</v>
      </c>
    </row>
    <row r="6" spans="1:10" x14ac:dyDescent="0.25">
      <c r="A6" t="s">
        <v>167</v>
      </c>
      <c r="B6" s="29">
        <v>47.258177848682003</v>
      </c>
      <c r="C6" s="29">
        <v>15.09386248107554</v>
      </c>
      <c r="D6" s="29">
        <v>159.27989965773463</v>
      </c>
      <c r="E6" s="51">
        <v>1000</v>
      </c>
      <c r="F6" s="52" t="s">
        <v>379</v>
      </c>
      <c r="G6" s="52" t="s">
        <v>380</v>
      </c>
      <c r="H6">
        <v>12</v>
      </c>
      <c r="I6">
        <v>4</v>
      </c>
      <c r="J6">
        <v>154</v>
      </c>
    </row>
    <row r="7" spans="1:10" x14ac:dyDescent="0.25">
      <c r="A7" t="s">
        <v>165</v>
      </c>
      <c r="B7" s="29">
        <v>0</v>
      </c>
      <c r="C7" s="29">
        <v>0</v>
      </c>
      <c r="D7" s="29">
        <v>106.95346771115925</v>
      </c>
      <c r="E7" s="51">
        <v>1000</v>
      </c>
      <c r="F7" s="52" t="s">
        <v>64</v>
      </c>
      <c r="G7" s="52" t="s">
        <v>381</v>
      </c>
      <c r="H7">
        <v>6</v>
      </c>
      <c r="I7">
        <v>0</v>
      </c>
      <c r="J7">
        <v>24</v>
      </c>
    </row>
    <row r="8" spans="1:10" x14ac:dyDescent="0.25">
      <c r="A8" t="s">
        <v>143</v>
      </c>
      <c r="B8" s="29">
        <v>21.754017572111351</v>
      </c>
      <c r="C8" s="29">
        <v>9.5332848642696817</v>
      </c>
      <c r="D8" s="29">
        <v>46.165684112291082</v>
      </c>
      <c r="E8" s="51">
        <v>1000</v>
      </c>
      <c r="F8" s="52" t="s">
        <v>379</v>
      </c>
      <c r="G8" s="52" t="s">
        <v>380</v>
      </c>
      <c r="H8">
        <v>24</v>
      </c>
      <c r="I8">
        <v>7</v>
      </c>
      <c r="J8">
        <v>458</v>
      </c>
    </row>
    <row r="9" spans="1:10" x14ac:dyDescent="0.25">
      <c r="A9" t="s">
        <v>141</v>
      </c>
      <c r="B9" s="29">
        <v>29.049215303824052</v>
      </c>
      <c r="C9" s="29">
        <v>5.293216695990572</v>
      </c>
      <c r="D9" s="29">
        <v>93.953637443737875</v>
      </c>
      <c r="E9" s="51">
        <v>1000</v>
      </c>
      <c r="F9" s="52" t="s">
        <v>379</v>
      </c>
      <c r="G9" s="52" t="s">
        <v>380</v>
      </c>
      <c r="H9">
        <v>15</v>
      </c>
      <c r="I9">
        <v>2</v>
      </c>
      <c r="J9">
        <v>72</v>
      </c>
    </row>
    <row r="10" spans="1:10" x14ac:dyDescent="0.25">
      <c r="A10" t="s">
        <v>257</v>
      </c>
      <c r="B10" s="29">
        <v>15.235082281023168</v>
      </c>
      <c r="C10" s="29">
        <v>2.9772034832666519</v>
      </c>
      <c r="D10" s="29">
        <v>63.066657913122143</v>
      </c>
      <c r="E10" s="51">
        <v>1000</v>
      </c>
      <c r="F10" s="52" t="s">
        <v>379</v>
      </c>
      <c r="G10" s="52" t="s">
        <v>380</v>
      </c>
      <c r="H10">
        <v>8</v>
      </c>
      <c r="I10">
        <v>2</v>
      </c>
      <c r="J10">
        <v>159</v>
      </c>
    </row>
    <row r="11" spans="1:10" x14ac:dyDescent="0.25">
      <c r="A11" t="s">
        <v>254</v>
      </c>
      <c r="B11" s="29">
        <v>0</v>
      </c>
      <c r="C11" s="29">
        <v>0</v>
      </c>
      <c r="D11" s="29">
        <v>196.1806725875968</v>
      </c>
      <c r="E11" s="51">
        <v>1000</v>
      </c>
      <c r="F11" s="52" t="s">
        <v>64</v>
      </c>
      <c r="G11" s="52" t="s">
        <v>381</v>
      </c>
      <c r="H11">
        <v>6</v>
      </c>
      <c r="I11">
        <v>0</v>
      </c>
      <c r="J11">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B5"/>
    </sheetView>
  </sheetViews>
  <sheetFormatPr defaultRowHeight="15" x14ac:dyDescent="0.25"/>
  <cols>
    <col min="1" max="1" width="8" bestFit="1" customWidth="1"/>
    <col min="2" max="2" width="13.5703125" bestFit="1" customWidth="1"/>
    <col min="3" max="3" width="11.28515625" bestFit="1" customWidth="1"/>
    <col min="4" max="4" width="11.42578125" bestFit="1" customWidth="1"/>
    <col min="5" max="5" width="5.5703125" bestFit="1" customWidth="1"/>
    <col min="6" max="6" width="18" bestFit="1" customWidth="1"/>
    <col min="7" max="7" width="15.140625" bestFit="1" customWidth="1"/>
    <col min="8" max="8" width="10.5703125" bestFit="1" customWidth="1"/>
    <col min="9" max="9" width="14.28515625" bestFit="1" customWidth="1"/>
    <col min="10" max="10" width="15.5703125" bestFit="1" customWidth="1"/>
  </cols>
  <sheetData>
    <row r="1" spans="1:10" x14ac:dyDescent="0.25">
      <c r="A1" s="53" t="s">
        <v>93</v>
      </c>
      <c r="B1" s="54" t="s">
        <v>370</v>
      </c>
      <c r="C1" s="54" t="s">
        <v>371</v>
      </c>
      <c r="D1" s="54" t="s">
        <v>372</v>
      </c>
      <c r="E1" s="53" t="s">
        <v>373</v>
      </c>
      <c r="F1" s="53" t="s">
        <v>374</v>
      </c>
      <c r="G1" s="53" t="s">
        <v>375</v>
      </c>
      <c r="H1" s="53" t="s">
        <v>376</v>
      </c>
      <c r="I1" s="53" t="s">
        <v>377</v>
      </c>
      <c r="J1" s="53" t="s">
        <v>378</v>
      </c>
    </row>
    <row r="2" spans="1:10" x14ac:dyDescent="0.25">
      <c r="A2" t="s">
        <v>137</v>
      </c>
      <c r="B2" s="29">
        <v>24.780501879271462</v>
      </c>
      <c r="C2" s="29">
        <v>15.236406659077687</v>
      </c>
      <c r="D2" s="29">
        <v>39.467314513447519</v>
      </c>
      <c r="E2" s="51">
        <v>1000</v>
      </c>
      <c r="F2" s="52" t="s">
        <v>379</v>
      </c>
      <c r="G2" s="52" t="s">
        <v>380</v>
      </c>
      <c r="H2">
        <v>61</v>
      </c>
      <c r="I2">
        <v>19</v>
      </c>
      <c r="J2">
        <v>1169</v>
      </c>
    </row>
    <row r="3" spans="1:10" x14ac:dyDescent="0.25">
      <c r="A3" t="s">
        <v>132</v>
      </c>
      <c r="B3" s="29">
        <v>13.756288781255989</v>
      </c>
      <c r="C3" s="29">
        <v>3.7155652793815972</v>
      </c>
      <c r="D3" s="29">
        <v>36.603358413116112</v>
      </c>
      <c r="E3" s="51">
        <v>1000</v>
      </c>
      <c r="F3" s="52" t="s">
        <v>379</v>
      </c>
      <c r="G3" s="52" t="s">
        <v>380</v>
      </c>
      <c r="H3">
        <v>37</v>
      </c>
      <c r="I3">
        <v>3</v>
      </c>
      <c r="J3">
        <v>222</v>
      </c>
    </row>
    <row r="4" spans="1:10" x14ac:dyDescent="0.25">
      <c r="A4" t="s">
        <v>122</v>
      </c>
      <c r="B4" s="29">
        <v>0</v>
      </c>
      <c r="C4" s="29">
        <v>0</v>
      </c>
      <c r="D4" s="29">
        <v>391.7916000001814</v>
      </c>
      <c r="E4" s="51">
        <v>1000</v>
      </c>
      <c r="F4" s="52" t="s">
        <v>64</v>
      </c>
      <c r="G4" s="52" t="s">
        <v>381</v>
      </c>
      <c r="H4">
        <v>2</v>
      </c>
      <c r="I4">
        <v>0</v>
      </c>
      <c r="J4">
        <v>4</v>
      </c>
    </row>
    <row r="5" spans="1:10" x14ac:dyDescent="0.25">
      <c r="A5" t="s">
        <v>114</v>
      </c>
      <c r="B5" s="29">
        <v>18.202616187224425</v>
      </c>
      <c r="C5" s="29">
        <v>3.8935085770835398</v>
      </c>
      <c r="D5" s="29">
        <v>66.937279800555416</v>
      </c>
      <c r="E5" s="51">
        <v>1000</v>
      </c>
      <c r="F5" s="52" t="s">
        <v>379</v>
      </c>
      <c r="G5" s="52" t="s">
        <v>380</v>
      </c>
      <c r="H5">
        <v>7</v>
      </c>
      <c r="I5">
        <v>2</v>
      </c>
      <c r="J5">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opLeftCell="A27" workbookViewId="0">
      <selection activeCell="O22" sqref="O22"/>
    </sheetView>
  </sheetViews>
  <sheetFormatPr defaultRowHeight="15" x14ac:dyDescent="0.25"/>
  <cols>
    <col min="2" max="2" width="12.5703125" customWidth="1"/>
    <col min="3" max="3" width="14.5703125" customWidth="1"/>
    <col min="5" max="5" width="47.5703125" customWidth="1"/>
    <col min="6" max="6" width="13.5703125" customWidth="1"/>
    <col min="7" max="7" width="17" customWidth="1"/>
    <col min="8" max="8" width="17.140625" customWidth="1"/>
    <col min="9" max="9" width="16.85546875" customWidth="1"/>
    <col min="11" max="11" width="13.7109375" customWidth="1"/>
    <col min="12" max="12" width="13.28515625" customWidth="1"/>
  </cols>
  <sheetData>
    <row r="1" spans="1:12" x14ac:dyDescent="0.25">
      <c r="A1" s="42" t="s">
        <v>8</v>
      </c>
      <c r="B1" s="42" t="s">
        <v>0</v>
      </c>
      <c r="C1" s="42" t="s">
        <v>68</v>
      </c>
      <c r="D1" s="42" t="s">
        <v>46</v>
      </c>
      <c r="E1" s="42" t="s">
        <v>69</v>
      </c>
      <c r="F1" s="42" t="s">
        <v>70</v>
      </c>
      <c r="G1" s="42" t="s">
        <v>71</v>
      </c>
      <c r="H1" s="42" t="s">
        <v>72</v>
      </c>
      <c r="I1" s="42" t="s">
        <v>73</v>
      </c>
      <c r="J1" s="42" t="s">
        <v>74</v>
      </c>
      <c r="K1" s="42" t="s">
        <v>75</v>
      </c>
      <c r="L1" s="42" t="s">
        <v>45</v>
      </c>
    </row>
    <row r="2" spans="1:12" x14ac:dyDescent="0.25">
      <c r="A2" s="43">
        <v>35</v>
      </c>
      <c r="B2" s="43" t="s">
        <v>291</v>
      </c>
      <c r="C2" s="43" t="s">
        <v>169</v>
      </c>
      <c r="D2" s="43" t="s">
        <v>61</v>
      </c>
      <c r="E2" s="43" t="s">
        <v>292</v>
      </c>
      <c r="F2" s="43" t="s">
        <v>110</v>
      </c>
      <c r="G2" s="43" t="s">
        <v>293</v>
      </c>
      <c r="H2" s="43">
        <v>12</v>
      </c>
      <c r="I2" s="43">
        <v>12</v>
      </c>
      <c r="J2" s="43">
        <v>24</v>
      </c>
      <c r="K2" s="43">
        <v>128</v>
      </c>
      <c r="L2" s="43"/>
    </row>
    <row r="3" spans="1:12" x14ac:dyDescent="0.25">
      <c r="A3" s="43">
        <v>35</v>
      </c>
      <c r="B3" s="43" t="s">
        <v>291</v>
      </c>
      <c r="C3" s="43" t="s">
        <v>135</v>
      </c>
      <c r="D3" s="43" t="s">
        <v>61</v>
      </c>
      <c r="E3" s="43" t="s">
        <v>294</v>
      </c>
      <c r="F3" s="43" t="s">
        <v>110</v>
      </c>
      <c r="G3" s="43" t="s">
        <v>293</v>
      </c>
      <c r="H3" s="43">
        <v>7</v>
      </c>
      <c r="I3" s="43">
        <v>16</v>
      </c>
      <c r="J3" s="43">
        <v>23</v>
      </c>
      <c r="K3" s="43">
        <v>77</v>
      </c>
      <c r="L3" s="43"/>
    </row>
    <row r="4" spans="1:12" x14ac:dyDescent="0.25">
      <c r="A4" s="43">
        <v>35</v>
      </c>
      <c r="B4" s="43" t="s">
        <v>291</v>
      </c>
      <c r="C4" s="43" t="s">
        <v>181</v>
      </c>
      <c r="D4" s="43" t="s">
        <v>61</v>
      </c>
      <c r="E4" s="43" t="s">
        <v>295</v>
      </c>
      <c r="F4" s="43" t="s">
        <v>110</v>
      </c>
      <c r="G4" s="43" t="s">
        <v>293</v>
      </c>
      <c r="H4" s="43">
        <v>10</v>
      </c>
      <c r="I4" s="43">
        <v>9</v>
      </c>
      <c r="J4" s="43">
        <v>19</v>
      </c>
      <c r="K4" s="43">
        <v>53</v>
      </c>
      <c r="L4" s="43"/>
    </row>
    <row r="5" spans="1:12" x14ac:dyDescent="0.25">
      <c r="A5" s="43">
        <v>35</v>
      </c>
      <c r="B5" s="43" t="s">
        <v>291</v>
      </c>
      <c r="C5" s="43" t="s">
        <v>151</v>
      </c>
      <c r="D5" s="43" t="s">
        <v>61</v>
      </c>
      <c r="E5" s="43" t="s">
        <v>296</v>
      </c>
      <c r="F5" s="43" t="s">
        <v>110</v>
      </c>
      <c r="G5" s="43" t="s">
        <v>293</v>
      </c>
      <c r="H5" s="43">
        <v>5</v>
      </c>
      <c r="I5" s="43">
        <v>5</v>
      </c>
      <c r="J5" s="43">
        <v>10</v>
      </c>
      <c r="K5" s="43">
        <v>35</v>
      </c>
      <c r="L5" s="43"/>
    </row>
    <row r="6" spans="1:12" x14ac:dyDescent="0.25">
      <c r="A6" s="43">
        <v>35</v>
      </c>
      <c r="B6" s="43" t="s">
        <v>291</v>
      </c>
      <c r="C6" s="43" t="s">
        <v>148</v>
      </c>
      <c r="D6" s="43" t="s">
        <v>61</v>
      </c>
      <c r="E6" s="43" t="s">
        <v>297</v>
      </c>
      <c r="F6" s="43" t="s">
        <v>110</v>
      </c>
      <c r="G6" s="43" t="s">
        <v>293</v>
      </c>
      <c r="H6" s="43">
        <v>26</v>
      </c>
      <c r="I6" s="43">
        <v>13</v>
      </c>
      <c r="J6" s="43">
        <v>39</v>
      </c>
      <c r="K6" s="43">
        <v>84</v>
      </c>
      <c r="L6" s="43"/>
    </row>
    <row r="7" spans="1:12" x14ac:dyDescent="0.25">
      <c r="A7" s="43">
        <v>35</v>
      </c>
      <c r="B7" s="43" t="s">
        <v>291</v>
      </c>
      <c r="C7" s="43" t="s">
        <v>156</v>
      </c>
      <c r="D7" s="43" t="s">
        <v>61</v>
      </c>
      <c r="E7" s="43" t="s">
        <v>298</v>
      </c>
      <c r="F7" s="43" t="s">
        <v>110</v>
      </c>
      <c r="G7" s="43" t="s">
        <v>293</v>
      </c>
      <c r="H7" s="43">
        <v>7</v>
      </c>
      <c r="I7" s="43">
        <v>12</v>
      </c>
      <c r="J7" s="43">
        <v>19</v>
      </c>
      <c r="K7" s="43">
        <v>131</v>
      </c>
      <c r="L7" s="43"/>
    </row>
    <row r="8" spans="1:12" x14ac:dyDescent="0.25">
      <c r="A8" s="43">
        <v>35</v>
      </c>
      <c r="B8" s="43" t="s">
        <v>291</v>
      </c>
      <c r="C8" s="43" t="s">
        <v>186</v>
      </c>
      <c r="D8" s="43" t="s">
        <v>61</v>
      </c>
      <c r="E8" s="43" t="s">
        <v>299</v>
      </c>
      <c r="F8" s="43" t="s">
        <v>110</v>
      </c>
      <c r="G8" s="43" t="s">
        <v>293</v>
      </c>
      <c r="H8" s="43">
        <v>18</v>
      </c>
      <c r="I8" s="43">
        <v>70</v>
      </c>
      <c r="J8" s="43">
        <v>88</v>
      </c>
      <c r="K8" s="43">
        <v>345</v>
      </c>
      <c r="L8" s="43"/>
    </row>
    <row r="9" spans="1:12" x14ac:dyDescent="0.25">
      <c r="A9" s="43">
        <v>35</v>
      </c>
      <c r="B9" s="43" t="s">
        <v>291</v>
      </c>
      <c r="C9" s="43" t="s">
        <v>131</v>
      </c>
      <c r="D9" s="43" t="s">
        <v>61</v>
      </c>
      <c r="E9" s="43" t="s">
        <v>300</v>
      </c>
      <c r="F9" s="43" t="s">
        <v>110</v>
      </c>
      <c r="G9" s="43" t="s">
        <v>293</v>
      </c>
      <c r="H9" s="43">
        <v>12</v>
      </c>
      <c r="I9" s="43">
        <v>0</v>
      </c>
      <c r="J9" s="43">
        <v>12</v>
      </c>
      <c r="K9" s="43">
        <v>61</v>
      </c>
      <c r="L9" s="43"/>
    </row>
    <row r="10" spans="1:12" x14ac:dyDescent="0.25">
      <c r="A10" s="43">
        <v>35</v>
      </c>
      <c r="B10" s="43" t="s">
        <v>291</v>
      </c>
      <c r="C10" s="43" t="s">
        <v>154</v>
      </c>
      <c r="D10" s="43" t="s">
        <v>61</v>
      </c>
      <c r="E10" s="43" t="s">
        <v>301</v>
      </c>
      <c r="F10" s="43" t="s">
        <v>110</v>
      </c>
      <c r="G10" s="43" t="s">
        <v>293</v>
      </c>
      <c r="H10" s="43">
        <v>3</v>
      </c>
      <c r="I10" s="43">
        <v>0</v>
      </c>
      <c r="J10" s="43">
        <v>3</v>
      </c>
      <c r="K10" s="43">
        <v>31</v>
      </c>
      <c r="L10" s="43"/>
    </row>
    <row r="11" spans="1:12" x14ac:dyDescent="0.25">
      <c r="A11" s="43">
        <v>35</v>
      </c>
      <c r="B11" s="43" t="s">
        <v>291</v>
      </c>
      <c r="C11" s="43" t="s">
        <v>176</v>
      </c>
      <c r="D11" s="43" t="s">
        <v>61</v>
      </c>
      <c r="E11" s="43" t="s">
        <v>302</v>
      </c>
      <c r="F11" s="43" t="s">
        <v>110</v>
      </c>
      <c r="G11" s="43" t="s">
        <v>293</v>
      </c>
      <c r="H11" s="43">
        <v>13</v>
      </c>
      <c r="I11" s="43">
        <v>4</v>
      </c>
      <c r="J11" s="43">
        <v>17</v>
      </c>
      <c r="K11" s="43">
        <v>35</v>
      </c>
      <c r="L11" s="43"/>
    </row>
    <row r="12" spans="1:12" x14ac:dyDescent="0.25">
      <c r="A12" s="43">
        <v>35</v>
      </c>
      <c r="B12" s="43" t="s">
        <v>303</v>
      </c>
      <c r="C12" s="43" t="s">
        <v>246</v>
      </c>
      <c r="D12" s="43" t="s">
        <v>60</v>
      </c>
      <c r="E12" s="43" t="s">
        <v>304</v>
      </c>
      <c r="F12" s="43" t="s">
        <v>110</v>
      </c>
      <c r="G12" s="43" t="s">
        <v>293</v>
      </c>
      <c r="H12" s="43">
        <v>0</v>
      </c>
      <c r="I12" s="43">
        <v>3</v>
      </c>
      <c r="J12" s="43">
        <v>3</v>
      </c>
      <c r="K12" s="43">
        <v>6</v>
      </c>
      <c r="L12" s="43"/>
    </row>
    <row r="13" spans="1:12" x14ac:dyDescent="0.25">
      <c r="A13" s="43">
        <v>35</v>
      </c>
      <c r="B13" s="43" t="s">
        <v>303</v>
      </c>
      <c r="C13" s="43" t="s">
        <v>250</v>
      </c>
      <c r="D13" s="43" t="s">
        <v>60</v>
      </c>
      <c r="E13" s="43" t="s">
        <v>305</v>
      </c>
      <c r="F13" s="43" t="s">
        <v>110</v>
      </c>
      <c r="G13" s="43" t="s">
        <v>293</v>
      </c>
      <c r="H13" s="43">
        <v>1</v>
      </c>
      <c r="I13" s="43">
        <v>3</v>
      </c>
      <c r="J13" s="43">
        <v>4</v>
      </c>
      <c r="K13" s="43">
        <v>7</v>
      </c>
      <c r="L13" s="43"/>
    </row>
    <row r="14" spans="1:12" x14ac:dyDescent="0.25">
      <c r="A14" s="43">
        <v>35</v>
      </c>
      <c r="B14" s="43" t="s">
        <v>291</v>
      </c>
      <c r="C14" s="43" t="s">
        <v>164</v>
      </c>
      <c r="D14" s="43" t="s">
        <v>60</v>
      </c>
      <c r="E14" s="43" t="s">
        <v>306</v>
      </c>
      <c r="F14" s="43" t="s">
        <v>110</v>
      </c>
      <c r="G14" s="43" t="s">
        <v>293</v>
      </c>
      <c r="H14" s="43">
        <v>10</v>
      </c>
      <c r="I14" s="43">
        <v>2</v>
      </c>
      <c r="J14" s="43">
        <v>12</v>
      </c>
      <c r="K14" s="43">
        <v>75</v>
      </c>
      <c r="L14" s="43"/>
    </row>
    <row r="15" spans="1:12" x14ac:dyDescent="0.25">
      <c r="A15" s="43">
        <v>35</v>
      </c>
      <c r="B15" s="43" t="s">
        <v>303</v>
      </c>
      <c r="C15" s="43" t="s">
        <v>238</v>
      </c>
      <c r="D15" s="43" t="s">
        <v>60</v>
      </c>
      <c r="E15" s="43" t="s">
        <v>307</v>
      </c>
      <c r="F15" s="43" t="s">
        <v>110</v>
      </c>
      <c r="G15" s="43" t="s">
        <v>293</v>
      </c>
      <c r="H15" s="43">
        <v>4</v>
      </c>
      <c r="I15" s="43">
        <v>8</v>
      </c>
      <c r="J15" s="43">
        <v>12</v>
      </c>
      <c r="K15" s="43">
        <v>18</v>
      </c>
      <c r="L15" s="43"/>
    </row>
    <row r="16" spans="1:12" x14ac:dyDescent="0.25">
      <c r="A16" s="43">
        <v>35</v>
      </c>
      <c r="B16" s="43" t="s">
        <v>303</v>
      </c>
      <c r="C16" s="43" t="s">
        <v>231</v>
      </c>
      <c r="D16" s="43" t="s">
        <v>60</v>
      </c>
      <c r="E16" s="43" t="s">
        <v>308</v>
      </c>
      <c r="F16" s="43" t="s">
        <v>110</v>
      </c>
      <c r="G16" s="43" t="s">
        <v>293</v>
      </c>
      <c r="H16" s="43">
        <v>3</v>
      </c>
      <c r="I16" s="43">
        <v>0</v>
      </c>
      <c r="J16" s="43">
        <v>3</v>
      </c>
      <c r="K16" s="43">
        <v>11</v>
      </c>
      <c r="L16" s="43"/>
    </row>
    <row r="17" spans="1:12" x14ac:dyDescent="0.25">
      <c r="A17" s="43">
        <v>35</v>
      </c>
      <c r="B17" s="43" t="s">
        <v>303</v>
      </c>
      <c r="C17" s="43" t="s">
        <v>243</v>
      </c>
      <c r="D17" s="43" t="s">
        <v>60</v>
      </c>
      <c r="E17" s="43" t="s">
        <v>309</v>
      </c>
      <c r="F17" s="43" t="s">
        <v>110</v>
      </c>
      <c r="G17" s="43" t="s">
        <v>293</v>
      </c>
      <c r="H17" s="43">
        <v>2</v>
      </c>
      <c r="I17" s="43">
        <v>2</v>
      </c>
      <c r="J17" s="43">
        <v>4</v>
      </c>
      <c r="K17" s="43">
        <v>6</v>
      </c>
      <c r="L17" s="43"/>
    </row>
    <row r="18" spans="1:12" x14ac:dyDescent="0.25">
      <c r="A18" s="43">
        <v>35</v>
      </c>
      <c r="B18" s="43" t="s">
        <v>303</v>
      </c>
      <c r="C18" s="43" t="s">
        <v>233</v>
      </c>
      <c r="D18" s="43" t="s">
        <v>60</v>
      </c>
      <c r="E18" s="43" t="s">
        <v>310</v>
      </c>
      <c r="F18" s="43" t="s">
        <v>110</v>
      </c>
      <c r="G18" s="43" t="s">
        <v>293</v>
      </c>
      <c r="H18" s="43">
        <v>4</v>
      </c>
      <c r="I18" s="43">
        <v>4</v>
      </c>
      <c r="J18" s="43">
        <v>8</v>
      </c>
      <c r="K18" s="43">
        <v>13</v>
      </c>
      <c r="L18" s="43"/>
    </row>
    <row r="19" spans="1:12" x14ac:dyDescent="0.25">
      <c r="A19" s="43">
        <v>35</v>
      </c>
      <c r="B19" s="43" t="s">
        <v>303</v>
      </c>
      <c r="C19" s="43" t="s">
        <v>248</v>
      </c>
      <c r="D19" s="43" t="s">
        <v>60</v>
      </c>
      <c r="E19" s="43" t="s">
        <v>311</v>
      </c>
      <c r="F19" s="43" t="s">
        <v>110</v>
      </c>
      <c r="G19" s="43" t="s">
        <v>293</v>
      </c>
      <c r="H19" s="43">
        <v>0</v>
      </c>
      <c r="I19" s="43">
        <v>1</v>
      </c>
      <c r="J19" s="43">
        <v>1</v>
      </c>
      <c r="K19" s="43">
        <v>11</v>
      </c>
      <c r="L19" s="43"/>
    </row>
    <row r="20" spans="1:12" x14ac:dyDescent="0.25">
      <c r="A20" s="43">
        <v>35</v>
      </c>
      <c r="B20" s="43" t="s">
        <v>303</v>
      </c>
      <c r="C20" s="43" t="s">
        <v>236</v>
      </c>
      <c r="D20" s="43" t="s">
        <v>60</v>
      </c>
      <c r="E20" s="43" t="s">
        <v>312</v>
      </c>
      <c r="F20" s="43" t="s">
        <v>110</v>
      </c>
      <c r="G20" s="43" t="s">
        <v>293</v>
      </c>
      <c r="H20" s="43">
        <v>0</v>
      </c>
      <c r="I20" s="43">
        <v>1</v>
      </c>
      <c r="J20" s="43">
        <v>1</v>
      </c>
      <c r="K20" s="43">
        <v>6</v>
      </c>
      <c r="L20" s="43"/>
    </row>
    <row r="21" spans="1:12" x14ac:dyDescent="0.25">
      <c r="A21" s="43">
        <v>35</v>
      </c>
      <c r="B21" s="43" t="s">
        <v>291</v>
      </c>
      <c r="C21" s="43" t="s">
        <v>145</v>
      </c>
      <c r="D21" s="43" t="s">
        <v>62</v>
      </c>
      <c r="E21" s="43" t="s">
        <v>313</v>
      </c>
      <c r="F21" s="43" t="s">
        <v>110</v>
      </c>
      <c r="G21" s="43" t="s">
        <v>293</v>
      </c>
      <c r="H21" s="43">
        <v>3</v>
      </c>
      <c r="I21" s="43">
        <v>16</v>
      </c>
      <c r="J21" s="43">
        <v>19</v>
      </c>
      <c r="K21" s="43">
        <v>109</v>
      </c>
      <c r="L21" s="43"/>
    </row>
    <row r="22" spans="1:12" x14ac:dyDescent="0.25">
      <c r="A22" s="43">
        <v>35</v>
      </c>
      <c r="B22" s="43" t="s">
        <v>314</v>
      </c>
      <c r="C22" s="43" t="s">
        <v>215</v>
      </c>
      <c r="D22" s="43" t="s">
        <v>62</v>
      </c>
      <c r="E22" s="43" t="s">
        <v>315</v>
      </c>
      <c r="F22" s="43" t="s">
        <v>110</v>
      </c>
      <c r="G22" s="43" t="s">
        <v>293</v>
      </c>
      <c r="H22" s="43">
        <v>5</v>
      </c>
      <c r="I22" s="43">
        <v>15</v>
      </c>
      <c r="J22" s="43">
        <v>20</v>
      </c>
      <c r="K22" s="43">
        <v>40</v>
      </c>
      <c r="L22" s="43"/>
    </row>
    <row r="23" spans="1:12" x14ac:dyDescent="0.25">
      <c r="A23" s="43">
        <v>35</v>
      </c>
      <c r="B23" s="43" t="s">
        <v>314</v>
      </c>
      <c r="C23" s="43" t="s">
        <v>209</v>
      </c>
      <c r="D23" s="43" t="s">
        <v>62</v>
      </c>
      <c r="E23" s="43" t="s">
        <v>316</v>
      </c>
      <c r="F23" s="43" t="s">
        <v>110</v>
      </c>
      <c r="G23" s="43" t="s">
        <v>293</v>
      </c>
      <c r="H23" s="43">
        <v>8</v>
      </c>
      <c r="I23" s="43">
        <v>25</v>
      </c>
      <c r="J23" s="43">
        <v>33</v>
      </c>
      <c r="K23" s="43">
        <v>63</v>
      </c>
      <c r="L23" s="43"/>
    </row>
    <row r="24" spans="1:12" x14ac:dyDescent="0.25">
      <c r="A24" s="43">
        <v>35</v>
      </c>
      <c r="B24" s="43" t="s">
        <v>317</v>
      </c>
      <c r="C24" s="43" t="s">
        <v>282</v>
      </c>
      <c r="D24" s="43" t="s">
        <v>62</v>
      </c>
      <c r="E24" s="43" t="s">
        <v>318</v>
      </c>
      <c r="F24" s="43" t="s">
        <v>110</v>
      </c>
      <c r="G24" s="43" t="s">
        <v>293</v>
      </c>
      <c r="H24" s="43">
        <v>3</v>
      </c>
      <c r="I24" s="43">
        <v>15</v>
      </c>
      <c r="J24" s="43">
        <v>18</v>
      </c>
      <c r="K24" s="43">
        <v>43</v>
      </c>
      <c r="L24" s="43"/>
    </row>
    <row r="25" spans="1:12" x14ac:dyDescent="0.25">
      <c r="A25" s="43">
        <v>35</v>
      </c>
      <c r="B25" s="43" t="s">
        <v>314</v>
      </c>
      <c r="C25" s="43" t="s">
        <v>228</v>
      </c>
      <c r="D25" s="43" t="s">
        <v>62</v>
      </c>
      <c r="E25" s="43" t="s">
        <v>319</v>
      </c>
      <c r="F25" s="43" t="s">
        <v>110</v>
      </c>
      <c r="G25" s="43" t="s">
        <v>293</v>
      </c>
      <c r="H25" s="43">
        <v>4</v>
      </c>
      <c r="I25" s="43">
        <v>4</v>
      </c>
      <c r="J25" s="43">
        <v>8</v>
      </c>
      <c r="K25" s="43">
        <v>20</v>
      </c>
      <c r="L25" s="43"/>
    </row>
    <row r="26" spans="1:12" x14ac:dyDescent="0.25">
      <c r="A26" s="43">
        <v>35</v>
      </c>
      <c r="B26" s="43" t="s">
        <v>314</v>
      </c>
      <c r="C26" s="43" t="s">
        <v>190</v>
      </c>
      <c r="D26" s="43" t="s">
        <v>62</v>
      </c>
      <c r="E26" s="43" t="s">
        <v>320</v>
      </c>
      <c r="F26" s="43" t="s">
        <v>110</v>
      </c>
      <c r="G26" s="43" t="s">
        <v>293</v>
      </c>
      <c r="H26" s="43">
        <v>5</v>
      </c>
      <c r="I26" s="43">
        <v>3</v>
      </c>
      <c r="J26" s="43">
        <v>8</v>
      </c>
      <c r="K26" s="43">
        <v>43</v>
      </c>
      <c r="L26" s="43"/>
    </row>
    <row r="27" spans="1:12" x14ac:dyDescent="0.25">
      <c r="A27" s="43">
        <v>35</v>
      </c>
      <c r="B27" s="43" t="s">
        <v>314</v>
      </c>
      <c r="C27" s="43" t="s">
        <v>222</v>
      </c>
      <c r="D27" s="43" t="s">
        <v>62</v>
      </c>
      <c r="E27" s="43" t="s">
        <v>321</v>
      </c>
      <c r="F27" s="43" t="s">
        <v>110</v>
      </c>
      <c r="G27" s="43" t="s">
        <v>293</v>
      </c>
      <c r="H27" s="43">
        <v>5</v>
      </c>
      <c r="I27" s="43">
        <v>15</v>
      </c>
      <c r="J27" s="43">
        <v>20</v>
      </c>
      <c r="K27" s="43">
        <v>52</v>
      </c>
      <c r="L27" s="43"/>
    </row>
    <row r="28" spans="1:12" x14ac:dyDescent="0.25">
      <c r="A28" s="43">
        <v>35</v>
      </c>
      <c r="B28" s="43" t="s">
        <v>314</v>
      </c>
      <c r="C28" s="43" t="s">
        <v>225</v>
      </c>
      <c r="D28" s="43" t="s">
        <v>62</v>
      </c>
      <c r="E28" s="43" t="s">
        <v>322</v>
      </c>
      <c r="F28" s="43" t="s">
        <v>110</v>
      </c>
      <c r="G28" s="43" t="s">
        <v>293</v>
      </c>
      <c r="H28" s="43">
        <v>1</v>
      </c>
      <c r="I28" s="43">
        <v>5</v>
      </c>
      <c r="J28" s="43">
        <v>6</v>
      </c>
      <c r="K28" s="43">
        <v>9</v>
      </c>
      <c r="L28" s="43"/>
    </row>
    <row r="29" spans="1:12" x14ac:dyDescent="0.25">
      <c r="A29" s="43">
        <v>35</v>
      </c>
      <c r="B29" s="43" t="s">
        <v>314</v>
      </c>
      <c r="C29" s="43" t="s">
        <v>218</v>
      </c>
      <c r="D29" s="43" t="s">
        <v>62</v>
      </c>
      <c r="E29" s="43" t="s">
        <v>323</v>
      </c>
      <c r="F29" s="43" t="s">
        <v>110</v>
      </c>
      <c r="G29" s="43" t="s">
        <v>293</v>
      </c>
      <c r="H29" s="43">
        <v>2</v>
      </c>
      <c r="I29" s="43">
        <v>57</v>
      </c>
      <c r="J29" s="43">
        <v>59</v>
      </c>
      <c r="K29" s="43">
        <v>105</v>
      </c>
      <c r="L29" s="43"/>
    </row>
    <row r="30" spans="1:12" x14ac:dyDescent="0.25">
      <c r="A30" s="43">
        <v>35</v>
      </c>
      <c r="B30" s="43" t="s">
        <v>291</v>
      </c>
      <c r="C30" s="43" t="s">
        <v>140</v>
      </c>
      <c r="D30" s="43" t="s">
        <v>62</v>
      </c>
      <c r="E30" s="43" t="s">
        <v>324</v>
      </c>
      <c r="F30" s="43" t="s">
        <v>110</v>
      </c>
      <c r="G30" s="43" t="s">
        <v>293</v>
      </c>
      <c r="H30" s="43">
        <v>4</v>
      </c>
      <c r="I30" s="43">
        <v>1</v>
      </c>
      <c r="J30" s="43">
        <v>5</v>
      </c>
      <c r="K30" s="43">
        <v>121</v>
      </c>
      <c r="L30" s="43"/>
    </row>
    <row r="31" spans="1:12" x14ac:dyDescent="0.25">
      <c r="A31" s="43">
        <v>35</v>
      </c>
      <c r="B31" s="43" t="s">
        <v>317</v>
      </c>
      <c r="C31" s="43" t="s">
        <v>279</v>
      </c>
      <c r="D31" s="43" t="s">
        <v>62</v>
      </c>
      <c r="E31" s="43" t="s">
        <v>325</v>
      </c>
      <c r="F31" s="43" t="s">
        <v>110</v>
      </c>
      <c r="G31" s="43" t="s">
        <v>293</v>
      </c>
      <c r="H31" s="43">
        <v>4</v>
      </c>
      <c r="I31" s="43">
        <v>2</v>
      </c>
      <c r="J31" s="43">
        <v>6</v>
      </c>
      <c r="K31" s="43">
        <v>38</v>
      </c>
      <c r="L31" s="43"/>
    </row>
    <row r="32" spans="1:12" x14ac:dyDescent="0.25">
      <c r="A32" s="43">
        <v>35</v>
      </c>
      <c r="B32" s="43" t="s">
        <v>314</v>
      </c>
      <c r="C32" s="43" t="s">
        <v>212</v>
      </c>
      <c r="D32" s="43" t="s">
        <v>62</v>
      </c>
      <c r="E32" s="43" t="s">
        <v>326</v>
      </c>
      <c r="F32" s="43" t="s">
        <v>110</v>
      </c>
      <c r="G32" s="43" t="s">
        <v>293</v>
      </c>
      <c r="H32" s="43">
        <v>7</v>
      </c>
      <c r="I32" s="43">
        <v>14</v>
      </c>
      <c r="J32" s="43">
        <v>21</v>
      </c>
      <c r="K32" s="43">
        <v>106</v>
      </c>
      <c r="L32" s="43"/>
    </row>
    <row r="33" spans="1:12" x14ac:dyDescent="0.25">
      <c r="A33" s="43">
        <v>35</v>
      </c>
      <c r="B33" s="43" t="s">
        <v>314</v>
      </c>
      <c r="C33" s="43" t="s">
        <v>193</v>
      </c>
      <c r="D33" s="43" t="s">
        <v>62</v>
      </c>
      <c r="E33" s="43" t="s">
        <v>327</v>
      </c>
      <c r="F33" s="43" t="s">
        <v>110</v>
      </c>
      <c r="G33" s="43" t="s">
        <v>293</v>
      </c>
      <c r="H33" s="43">
        <v>7</v>
      </c>
      <c r="I33" s="43">
        <v>2</v>
      </c>
      <c r="J33" s="43">
        <v>9</v>
      </c>
      <c r="K33" s="43">
        <v>29</v>
      </c>
      <c r="L33" s="43"/>
    </row>
    <row r="34" spans="1:12" x14ac:dyDescent="0.25">
      <c r="A34" s="43">
        <v>35</v>
      </c>
      <c r="B34" s="43" t="s">
        <v>314</v>
      </c>
      <c r="C34" s="43" t="s">
        <v>202</v>
      </c>
      <c r="D34" s="43" t="s">
        <v>62</v>
      </c>
      <c r="E34" s="43" t="s">
        <v>328</v>
      </c>
      <c r="F34" s="43" t="s">
        <v>110</v>
      </c>
      <c r="G34" s="43" t="s">
        <v>293</v>
      </c>
      <c r="H34" s="43">
        <v>11</v>
      </c>
      <c r="I34" s="43">
        <v>4</v>
      </c>
      <c r="J34" s="43">
        <v>15</v>
      </c>
      <c r="K34" s="43">
        <v>172</v>
      </c>
      <c r="L34" s="43"/>
    </row>
    <row r="35" spans="1:12" x14ac:dyDescent="0.25">
      <c r="A35" s="43">
        <v>35</v>
      </c>
      <c r="B35" s="43" t="s">
        <v>314</v>
      </c>
      <c r="C35" s="43" t="s">
        <v>196</v>
      </c>
      <c r="D35" s="43" t="s">
        <v>62</v>
      </c>
      <c r="E35" s="43" t="s">
        <v>329</v>
      </c>
      <c r="F35" s="43" t="s">
        <v>110</v>
      </c>
      <c r="G35" s="43" t="s">
        <v>293</v>
      </c>
      <c r="H35" s="43">
        <v>3</v>
      </c>
      <c r="I35" s="43">
        <v>9</v>
      </c>
      <c r="J35" s="43">
        <v>12</v>
      </c>
      <c r="K35" s="43">
        <v>30</v>
      </c>
      <c r="L35" s="43"/>
    </row>
    <row r="36" spans="1:12" x14ac:dyDescent="0.25">
      <c r="A36" s="43">
        <v>35</v>
      </c>
      <c r="B36" s="43" t="s">
        <v>317</v>
      </c>
      <c r="C36" s="43" t="s">
        <v>285</v>
      </c>
      <c r="D36" s="43" t="s">
        <v>63</v>
      </c>
      <c r="E36" s="43" t="s">
        <v>330</v>
      </c>
      <c r="F36" s="43" t="s">
        <v>110</v>
      </c>
      <c r="G36" s="43" t="s">
        <v>293</v>
      </c>
      <c r="H36" s="43">
        <v>2</v>
      </c>
      <c r="I36" s="43">
        <v>0</v>
      </c>
      <c r="J36" s="43">
        <v>2</v>
      </c>
      <c r="K36" s="43">
        <v>2</v>
      </c>
      <c r="L36" s="43"/>
    </row>
    <row r="37" spans="1:12" x14ac:dyDescent="0.25">
      <c r="A37" s="43">
        <v>35</v>
      </c>
      <c r="B37" s="43" t="s">
        <v>317</v>
      </c>
      <c r="C37" s="43" t="s">
        <v>290</v>
      </c>
      <c r="D37" s="43" t="s">
        <v>63</v>
      </c>
      <c r="E37" s="43" t="s">
        <v>331</v>
      </c>
      <c r="F37" s="43" t="s">
        <v>110</v>
      </c>
      <c r="G37" s="43" t="s">
        <v>293</v>
      </c>
      <c r="H37" s="43">
        <v>4</v>
      </c>
      <c r="I37" s="43">
        <v>0</v>
      </c>
      <c r="J37" s="43">
        <v>4</v>
      </c>
      <c r="K37" s="43">
        <v>14</v>
      </c>
      <c r="L37" s="43"/>
    </row>
    <row r="38" spans="1:12" x14ac:dyDescent="0.25">
      <c r="A38" s="43">
        <v>35</v>
      </c>
      <c r="B38" s="43" t="s">
        <v>303</v>
      </c>
      <c r="C38" s="43" t="s">
        <v>256</v>
      </c>
      <c r="D38" s="43" t="s">
        <v>63</v>
      </c>
      <c r="E38" s="43" t="s">
        <v>332</v>
      </c>
      <c r="F38" s="43" t="s">
        <v>110</v>
      </c>
      <c r="G38" s="43" t="s">
        <v>293</v>
      </c>
      <c r="H38" s="43">
        <v>0</v>
      </c>
      <c r="I38" s="43">
        <v>4</v>
      </c>
      <c r="J38" s="43">
        <v>4</v>
      </c>
      <c r="K38" s="43">
        <v>6</v>
      </c>
      <c r="L38" s="43"/>
    </row>
    <row r="39" spans="1:12" x14ac:dyDescent="0.25">
      <c r="A39" s="43">
        <v>35</v>
      </c>
      <c r="B39" s="43" t="s">
        <v>317</v>
      </c>
      <c r="C39" s="43" t="s">
        <v>333</v>
      </c>
      <c r="D39" s="43" t="s">
        <v>63</v>
      </c>
      <c r="E39" s="43" t="s">
        <v>334</v>
      </c>
      <c r="F39" s="43" t="s">
        <v>110</v>
      </c>
      <c r="G39" s="43" t="s">
        <v>293</v>
      </c>
      <c r="H39" s="43">
        <v>0</v>
      </c>
      <c r="I39" s="43">
        <v>0</v>
      </c>
      <c r="J39" s="43">
        <v>0</v>
      </c>
      <c r="K39" s="43">
        <v>13</v>
      </c>
      <c r="L39" s="43"/>
    </row>
    <row r="40" spans="1:12" x14ac:dyDescent="0.25">
      <c r="A40" s="43">
        <v>35</v>
      </c>
      <c r="B40" s="43" t="s">
        <v>303</v>
      </c>
      <c r="C40" s="43" t="s">
        <v>253</v>
      </c>
      <c r="D40" s="43" t="s">
        <v>63</v>
      </c>
      <c r="E40" s="43" t="s">
        <v>335</v>
      </c>
      <c r="F40" s="43" t="s">
        <v>110</v>
      </c>
      <c r="G40" s="43" t="s">
        <v>293</v>
      </c>
      <c r="H40" s="43">
        <v>2</v>
      </c>
      <c r="I40" s="43">
        <v>0</v>
      </c>
      <c r="J40" s="43">
        <v>2</v>
      </c>
      <c r="K40" s="43">
        <v>4</v>
      </c>
      <c r="L40" s="43"/>
    </row>
    <row r="41" spans="1:12" x14ac:dyDescent="0.25">
      <c r="A41" s="43">
        <v>35</v>
      </c>
      <c r="B41" s="43" t="s">
        <v>317</v>
      </c>
      <c r="C41" s="43" t="s">
        <v>274</v>
      </c>
      <c r="D41" s="43" t="s">
        <v>63</v>
      </c>
      <c r="E41" s="43" t="s">
        <v>336</v>
      </c>
      <c r="F41" s="43" t="s">
        <v>110</v>
      </c>
      <c r="G41" s="43" t="s">
        <v>293</v>
      </c>
      <c r="H41" s="43">
        <v>1</v>
      </c>
      <c r="I41" s="43">
        <v>1</v>
      </c>
      <c r="J41" s="43">
        <v>2</v>
      </c>
      <c r="K41" s="43">
        <v>3</v>
      </c>
      <c r="L41" s="43"/>
    </row>
    <row r="42" spans="1:12" x14ac:dyDescent="0.25">
      <c r="A42" s="43">
        <v>35</v>
      </c>
      <c r="B42" s="43" t="s">
        <v>317</v>
      </c>
      <c r="C42" s="43" t="s">
        <v>277</v>
      </c>
      <c r="D42" s="43" t="s">
        <v>63</v>
      </c>
      <c r="E42" s="43" t="s">
        <v>337</v>
      </c>
      <c r="F42" s="43" t="s">
        <v>110</v>
      </c>
      <c r="G42" s="43" t="s">
        <v>293</v>
      </c>
      <c r="H42" s="43">
        <v>0</v>
      </c>
      <c r="I42" s="43">
        <v>1</v>
      </c>
      <c r="J42" s="43">
        <v>1</v>
      </c>
      <c r="K42" s="43">
        <v>5</v>
      </c>
      <c r="L42" s="43"/>
    </row>
    <row r="43" spans="1:12" x14ac:dyDescent="0.25">
      <c r="A43" s="43">
        <v>35</v>
      </c>
      <c r="B43" s="43" t="s">
        <v>317</v>
      </c>
      <c r="C43" s="43" t="s">
        <v>287</v>
      </c>
      <c r="D43" s="43" t="s">
        <v>63</v>
      </c>
      <c r="E43" s="43" t="s">
        <v>338</v>
      </c>
      <c r="F43" s="43" t="s">
        <v>110</v>
      </c>
      <c r="G43" s="43" t="s">
        <v>293</v>
      </c>
      <c r="H43" s="43">
        <v>1</v>
      </c>
      <c r="I43" s="43">
        <v>1</v>
      </c>
      <c r="J43" s="43">
        <v>2</v>
      </c>
      <c r="K43" s="43">
        <v>15</v>
      </c>
      <c r="L43" s="43"/>
    </row>
    <row r="44" spans="1:12" x14ac:dyDescent="0.25">
      <c r="A44" s="43">
        <v>35</v>
      </c>
      <c r="B44" s="43" t="s">
        <v>317</v>
      </c>
      <c r="C44" s="43" t="s">
        <v>271</v>
      </c>
      <c r="D44" s="43" t="s">
        <v>63</v>
      </c>
      <c r="E44" s="43" t="s">
        <v>339</v>
      </c>
      <c r="F44" s="43" t="s">
        <v>110</v>
      </c>
      <c r="G44" s="43" t="s">
        <v>293</v>
      </c>
      <c r="H44" s="43">
        <v>3</v>
      </c>
      <c r="I44" s="43">
        <v>3</v>
      </c>
      <c r="J44" s="43">
        <v>6</v>
      </c>
      <c r="K44" s="43">
        <v>18</v>
      </c>
      <c r="L44" s="43"/>
    </row>
    <row r="45" spans="1:12" x14ac:dyDescent="0.25">
      <c r="A45" s="43">
        <v>35</v>
      </c>
      <c r="B45" s="43" t="s">
        <v>291</v>
      </c>
      <c r="C45" s="43" t="s">
        <v>340</v>
      </c>
      <c r="D45" s="43" t="s">
        <v>108</v>
      </c>
      <c r="E45" s="43" t="s">
        <v>341</v>
      </c>
      <c r="F45" s="43" t="s">
        <v>110</v>
      </c>
      <c r="G45" s="43" t="s">
        <v>293</v>
      </c>
      <c r="H45" s="43">
        <v>7</v>
      </c>
      <c r="I45" s="43">
        <v>0</v>
      </c>
      <c r="J45" s="43">
        <v>7</v>
      </c>
      <c r="K45" s="43">
        <v>12</v>
      </c>
      <c r="L45" s="43"/>
    </row>
    <row r="46" spans="1:12" x14ac:dyDescent="0.25">
      <c r="A46" s="43">
        <v>35</v>
      </c>
      <c r="B46" s="43" t="s">
        <v>314</v>
      </c>
      <c r="C46" s="43" t="s">
        <v>342</v>
      </c>
      <c r="D46" s="43" t="s">
        <v>108</v>
      </c>
      <c r="E46" s="43" t="s">
        <v>343</v>
      </c>
      <c r="F46" s="43" t="s">
        <v>110</v>
      </c>
      <c r="G46" s="43" t="s">
        <v>293</v>
      </c>
      <c r="H46" s="43">
        <v>1</v>
      </c>
      <c r="I46" s="43">
        <v>2</v>
      </c>
      <c r="J46" s="43">
        <v>3</v>
      </c>
      <c r="K46" s="43">
        <v>192</v>
      </c>
      <c r="L46" s="43"/>
    </row>
    <row r="47" spans="1:12" x14ac:dyDescent="0.25">
      <c r="A47" s="43">
        <v>35</v>
      </c>
      <c r="B47" s="43" t="s">
        <v>291</v>
      </c>
      <c r="C47" s="43" t="s">
        <v>344</v>
      </c>
      <c r="D47" s="43" t="s">
        <v>108</v>
      </c>
      <c r="E47" s="43" t="s">
        <v>345</v>
      </c>
      <c r="F47" s="43" t="s">
        <v>110</v>
      </c>
      <c r="G47" s="43" t="s">
        <v>293</v>
      </c>
      <c r="H47" s="43">
        <v>7</v>
      </c>
      <c r="I47" s="43">
        <v>0</v>
      </c>
      <c r="J47" s="43">
        <v>7</v>
      </c>
      <c r="K47" s="43">
        <v>12</v>
      </c>
      <c r="L47" s="43"/>
    </row>
    <row r="48" spans="1:12" x14ac:dyDescent="0.25">
      <c r="A48" s="43">
        <v>35</v>
      </c>
      <c r="B48" s="43" t="s">
        <v>314</v>
      </c>
      <c r="C48" s="43" t="s">
        <v>346</v>
      </c>
      <c r="D48" s="43" t="s">
        <v>108</v>
      </c>
      <c r="E48" s="43" t="s">
        <v>347</v>
      </c>
      <c r="F48" s="43" t="s">
        <v>110</v>
      </c>
      <c r="G48" s="43" t="s">
        <v>293</v>
      </c>
      <c r="H48" s="43">
        <v>2</v>
      </c>
      <c r="I48" s="43">
        <v>0</v>
      </c>
      <c r="J48" s="43">
        <v>2</v>
      </c>
      <c r="K48" s="43">
        <v>78</v>
      </c>
      <c r="L48" s="43"/>
    </row>
    <row r="49" spans="1:12" x14ac:dyDescent="0.25">
      <c r="A49" s="43">
        <v>35</v>
      </c>
      <c r="B49" s="43" t="s">
        <v>314</v>
      </c>
      <c r="C49" s="43" t="s">
        <v>348</v>
      </c>
      <c r="D49" s="43" t="s">
        <v>108</v>
      </c>
      <c r="E49" s="43" t="s">
        <v>349</v>
      </c>
      <c r="F49" s="43" t="s">
        <v>110</v>
      </c>
      <c r="G49" s="43" t="s">
        <v>293</v>
      </c>
      <c r="H49" s="43">
        <v>4</v>
      </c>
      <c r="I49" s="43">
        <v>0</v>
      </c>
      <c r="J49" s="43">
        <v>4</v>
      </c>
      <c r="K49" s="43">
        <v>18</v>
      </c>
      <c r="L49" s="43"/>
    </row>
    <row r="50" spans="1:12" x14ac:dyDescent="0.25">
      <c r="A50" s="43">
        <v>35</v>
      </c>
      <c r="B50" s="43" t="s">
        <v>314</v>
      </c>
      <c r="C50" s="43" t="s">
        <v>350</v>
      </c>
      <c r="D50" s="43" t="s">
        <v>108</v>
      </c>
      <c r="E50" s="43" t="s">
        <v>351</v>
      </c>
      <c r="F50" s="43" t="s">
        <v>110</v>
      </c>
      <c r="G50" s="43" t="s">
        <v>293</v>
      </c>
      <c r="H50" s="43">
        <v>1</v>
      </c>
      <c r="I50" s="43">
        <v>0</v>
      </c>
      <c r="J50" s="43">
        <v>1</v>
      </c>
      <c r="K50" s="43">
        <v>8</v>
      </c>
      <c r="L50" s="43"/>
    </row>
    <row r="51" spans="1:12" x14ac:dyDescent="0.25">
      <c r="A51" s="43">
        <v>35</v>
      </c>
      <c r="B51" s="43" t="s">
        <v>314</v>
      </c>
      <c r="C51" s="43" t="s">
        <v>352</v>
      </c>
      <c r="D51" s="43" t="s">
        <v>108</v>
      </c>
      <c r="E51" s="43" t="s">
        <v>353</v>
      </c>
      <c r="F51" s="43" t="s">
        <v>110</v>
      </c>
      <c r="G51" s="43" t="s">
        <v>293</v>
      </c>
      <c r="H51" s="43">
        <v>11</v>
      </c>
      <c r="I51" s="43">
        <v>0</v>
      </c>
      <c r="J51" s="43">
        <v>11</v>
      </c>
      <c r="K51" s="43">
        <v>32</v>
      </c>
      <c r="L51" s="43"/>
    </row>
    <row r="52" spans="1:12" x14ac:dyDescent="0.25">
      <c r="A52" s="43">
        <v>35</v>
      </c>
      <c r="B52" s="43" t="s">
        <v>314</v>
      </c>
      <c r="C52" s="43" t="s">
        <v>354</v>
      </c>
      <c r="D52" s="43" t="s">
        <v>108</v>
      </c>
      <c r="E52" s="43" t="s">
        <v>355</v>
      </c>
      <c r="F52" s="43" t="s">
        <v>110</v>
      </c>
      <c r="G52" s="43" t="s">
        <v>293</v>
      </c>
      <c r="H52" s="43">
        <v>3</v>
      </c>
      <c r="I52" s="43">
        <v>0</v>
      </c>
      <c r="J52" s="43">
        <v>3</v>
      </c>
      <c r="K52" s="43">
        <v>39</v>
      </c>
      <c r="L52" s="43"/>
    </row>
    <row r="53" spans="1:12" x14ac:dyDescent="0.25">
      <c r="A53" s="43">
        <v>35</v>
      </c>
      <c r="B53" s="43" t="s">
        <v>291</v>
      </c>
      <c r="C53" s="43" t="s">
        <v>356</v>
      </c>
      <c r="D53" s="43" t="s">
        <v>108</v>
      </c>
      <c r="E53" s="43" t="s">
        <v>357</v>
      </c>
      <c r="F53" s="43" t="s">
        <v>110</v>
      </c>
      <c r="G53" s="43" t="s">
        <v>293</v>
      </c>
      <c r="H53" s="43">
        <v>18</v>
      </c>
      <c r="I53" s="43">
        <v>0</v>
      </c>
      <c r="J53" s="43">
        <v>18</v>
      </c>
      <c r="K53" s="43">
        <v>50</v>
      </c>
      <c r="L53" s="43"/>
    </row>
    <row r="54" spans="1:12" x14ac:dyDescent="0.25">
      <c r="A54" s="43">
        <v>35</v>
      </c>
      <c r="B54" s="43" t="s">
        <v>314</v>
      </c>
      <c r="C54" s="43" t="s">
        <v>358</v>
      </c>
      <c r="D54" s="43" t="s">
        <v>108</v>
      </c>
      <c r="E54" s="43" t="s">
        <v>359</v>
      </c>
      <c r="F54" s="43" t="s">
        <v>110</v>
      </c>
      <c r="G54" s="43" t="s">
        <v>293</v>
      </c>
      <c r="H54" s="43">
        <v>2</v>
      </c>
      <c r="I54" s="43">
        <v>5</v>
      </c>
      <c r="J54" s="43">
        <v>7</v>
      </c>
      <c r="K54" s="43">
        <v>75</v>
      </c>
      <c r="L54" s="43"/>
    </row>
    <row r="55" spans="1:12" x14ac:dyDescent="0.25">
      <c r="A55" s="43">
        <v>35</v>
      </c>
      <c r="B55" s="43" t="s">
        <v>314</v>
      </c>
      <c r="C55" s="43" t="s">
        <v>360</v>
      </c>
      <c r="D55" s="43" t="s">
        <v>108</v>
      </c>
      <c r="E55" s="43" t="s">
        <v>361</v>
      </c>
      <c r="F55" s="43" t="s">
        <v>110</v>
      </c>
      <c r="G55" s="43" t="s">
        <v>293</v>
      </c>
      <c r="H55" s="43">
        <v>3</v>
      </c>
      <c r="I55" s="43">
        <v>0</v>
      </c>
      <c r="J55" s="43">
        <v>3</v>
      </c>
      <c r="K55" s="43">
        <v>64</v>
      </c>
      <c r="L55" s="43"/>
    </row>
    <row r="56" spans="1:12" x14ac:dyDescent="0.25">
      <c r="A56" s="43">
        <v>35</v>
      </c>
      <c r="B56" s="43" t="s">
        <v>314</v>
      </c>
      <c r="C56" s="43" t="s">
        <v>362</v>
      </c>
      <c r="D56" s="43" t="s">
        <v>108</v>
      </c>
      <c r="E56" s="43" t="s">
        <v>363</v>
      </c>
      <c r="F56" s="43" t="s">
        <v>110</v>
      </c>
      <c r="G56" s="43" t="s">
        <v>293</v>
      </c>
      <c r="H56" s="43">
        <v>0</v>
      </c>
      <c r="I56" s="43">
        <v>0</v>
      </c>
      <c r="J56" s="43">
        <v>0</v>
      </c>
      <c r="K56" s="43">
        <v>39</v>
      </c>
      <c r="L56" s="43"/>
    </row>
    <row r="57" spans="1:12" x14ac:dyDescent="0.25">
      <c r="A57" s="43">
        <v>35</v>
      </c>
      <c r="B57" s="43" t="s">
        <v>291</v>
      </c>
      <c r="C57" s="43" t="s">
        <v>109</v>
      </c>
      <c r="D57" s="43" t="s">
        <v>9</v>
      </c>
      <c r="E57" s="43" t="s">
        <v>364</v>
      </c>
      <c r="F57" s="43" t="s">
        <v>110</v>
      </c>
      <c r="G57" s="43" t="s">
        <v>293</v>
      </c>
      <c r="H57" s="43">
        <v>54</v>
      </c>
      <c r="I57" s="43">
        <v>0</v>
      </c>
      <c r="J57" s="43">
        <v>54</v>
      </c>
      <c r="K57" s="43">
        <v>233</v>
      </c>
      <c r="L57" s="43"/>
    </row>
    <row r="58" spans="1:12" x14ac:dyDescent="0.25">
      <c r="A58" s="43">
        <v>35</v>
      </c>
      <c r="B58" s="43" t="s">
        <v>291</v>
      </c>
      <c r="C58" s="43" t="s">
        <v>120</v>
      </c>
      <c r="D58" s="43" t="s">
        <v>9</v>
      </c>
      <c r="E58" s="43" t="s">
        <v>365</v>
      </c>
      <c r="F58" s="43" t="s">
        <v>110</v>
      </c>
      <c r="G58" s="43" t="s">
        <v>293</v>
      </c>
      <c r="H58" s="43">
        <v>6</v>
      </c>
      <c r="I58" s="43">
        <v>1</v>
      </c>
      <c r="J58" s="43">
        <v>7</v>
      </c>
      <c r="K58" s="43">
        <v>16</v>
      </c>
      <c r="L58" s="43"/>
    </row>
    <row r="59" spans="1:12" x14ac:dyDescent="0.25">
      <c r="A59" s="43">
        <v>35</v>
      </c>
      <c r="B59" s="43" t="s">
        <v>291</v>
      </c>
      <c r="C59" s="43" t="s">
        <v>127</v>
      </c>
      <c r="D59" s="43" t="s">
        <v>9</v>
      </c>
      <c r="E59" s="43" t="s">
        <v>366</v>
      </c>
      <c r="F59" s="43" t="s">
        <v>110</v>
      </c>
      <c r="G59" s="43" t="s">
        <v>293</v>
      </c>
      <c r="H59" s="43">
        <v>4</v>
      </c>
      <c r="I59" s="43">
        <v>0</v>
      </c>
      <c r="J59" s="43">
        <v>4</v>
      </c>
      <c r="K59" s="43">
        <v>205</v>
      </c>
      <c r="L59" s="43"/>
    </row>
    <row r="60" spans="1:12" x14ac:dyDescent="0.25">
      <c r="A60" s="43">
        <v>35</v>
      </c>
      <c r="B60" s="43" t="s">
        <v>291</v>
      </c>
      <c r="C60" s="43" t="s">
        <v>124</v>
      </c>
      <c r="D60" s="43" t="s">
        <v>9</v>
      </c>
      <c r="E60" s="43" t="s">
        <v>367</v>
      </c>
      <c r="F60" s="43" t="s">
        <v>110</v>
      </c>
      <c r="G60" s="43" t="s">
        <v>293</v>
      </c>
      <c r="H60" s="43">
        <v>43</v>
      </c>
      <c r="I60" s="43">
        <v>3</v>
      </c>
      <c r="J60" s="43">
        <v>46</v>
      </c>
      <c r="K60" s="43">
        <v>152</v>
      </c>
      <c r="L60" s="43"/>
    </row>
    <row r="61" spans="1:12" x14ac:dyDescent="0.25">
      <c r="A61" s="43">
        <v>35</v>
      </c>
      <c r="B61" s="43" t="s">
        <v>291</v>
      </c>
      <c r="C61" s="43" t="s">
        <v>129</v>
      </c>
      <c r="D61" s="43" t="s">
        <v>9</v>
      </c>
      <c r="E61" s="43" t="s">
        <v>368</v>
      </c>
      <c r="F61" s="43" t="s">
        <v>110</v>
      </c>
      <c r="G61" s="43" t="s">
        <v>293</v>
      </c>
      <c r="H61" s="43">
        <v>7</v>
      </c>
      <c r="I61" s="43">
        <v>0</v>
      </c>
      <c r="J61" s="43">
        <v>7</v>
      </c>
      <c r="K61" s="43">
        <v>35</v>
      </c>
      <c r="L61" s="43"/>
    </row>
    <row r="62" spans="1:12" x14ac:dyDescent="0.25">
      <c r="A62" s="43">
        <v>35</v>
      </c>
      <c r="B62" s="43" t="s">
        <v>291</v>
      </c>
      <c r="C62" s="43" t="s">
        <v>118</v>
      </c>
      <c r="D62" s="43" t="s">
        <v>9</v>
      </c>
      <c r="E62" s="43" t="s">
        <v>369</v>
      </c>
      <c r="F62" s="43" t="s">
        <v>110</v>
      </c>
      <c r="G62" s="43" t="s">
        <v>293</v>
      </c>
      <c r="H62" s="43">
        <v>4</v>
      </c>
      <c r="I62" s="43">
        <v>0</v>
      </c>
      <c r="J62" s="43">
        <v>4</v>
      </c>
      <c r="K62" s="43">
        <v>49</v>
      </c>
      <c r="L62" s="43"/>
    </row>
    <row r="63" spans="1:12" x14ac:dyDescent="0.25">
      <c r="A63" s="43"/>
      <c r="B63" s="43"/>
      <c r="C63" s="43"/>
      <c r="D63" s="43"/>
      <c r="E63" s="43"/>
      <c r="F63" s="43"/>
      <c r="G63" s="43"/>
      <c r="H63" s="43"/>
      <c r="I63" s="43"/>
      <c r="J63" s="43"/>
      <c r="K63" s="43"/>
    </row>
    <row r="64" spans="1:12" x14ac:dyDescent="0.25">
      <c r="A64" s="43"/>
      <c r="B64" s="43"/>
      <c r="C64" s="43"/>
      <c r="D64" s="43"/>
      <c r="E64" s="43"/>
      <c r="F64" s="43"/>
      <c r="G64" s="43"/>
      <c r="H64" s="43"/>
      <c r="I64" s="43"/>
      <c r="J64" s="43"/>
      <c r="K64" s="43"/>
    </row>
    <row r="65" spans="1:11" x14ac:dyDescent="0.25">
      <c r="A65" s="43"/>
      <c r="B65" s="43"/>
      <c r="C65" s="43"/>
      <c r="D65" s="43"/>
      <c r="E65" s="43"/>
      <c r="F65" s="43"/>
      <c r="G65" s="43"/>
      <c r="H65" s="43"/>
      <c r="I65" s="43"/>
      <c r="J65" s="43"/>
      <c r="K65" s="43"/>
    </row>
    <row r="66" spans="1:11" x14ac:dyDescent="0.25">
      <c r="A66" s="43"/>
      <c r="B66" s="43"/>
      <c r="C66" s="43"/>
      <c r="D66" s="43"/>
      <c r="E66" s="43"/>
      <c r="F66" s="43"/>
      <c r="G66" s="43"/>
      <c r="H66" s="43"/>
      <c r="I66" s="43"/>
      <c r="J66" s="43"/>
      <c r="K66" s="43"/>
    </row>
    <row r="67" spans="1:11" x14ac:dyDescent="0.25">
      <c r="A67" s="43"/>
      <c r="B67" s="43"/>
      <c r="C67" s="43"/>
      <c r="D67" s="43"/>
      <c r="E67" s="43"/>
      <c r="F67" s="43"/>
      <c r="G67" s="43"/>
      <c r="H67" s="43"/>
      <c r="I67" s="43"/>
      <c r="J67" s="43"/>
      <c r="K67" s="43"/>
    </row>
    <row r="68" spans="1:11" x14ac:dyDescent="0.25">
      <c r="A68" s="43"/>
      <c r="B68" s="43"/>
      <c r="C68" s="43"/>
      <c r="D68" s="43"/>
      <c r="E68" s="43"/>
      <c r="F68" s="43"/>
      <c r="G68" s="43"/>
      <c r="H68" s="43"/>
      <c r="I68" s="43"/>
      <c r="J68" s="43"/>
      <c r="K68" s="43"/>
    </row>
    <row r="69" spans="1:11" x14ac:dyDescent="0.25">
      <c r="A69" s="43"/>
      <c r="B69" s="43"/>
      <c r="C69" s="43"/>
      <c r="D69" s="43"/>
      <c r="E69" s="43"/>
      <c r="F69" s="43"/>
      <c r="G69" s="43"/>
      <c r="H69" s="43"/>
      <c r="I69" s="43"/>
      <c r="J69" s="43"/>
      <c r="K69" s="43"/>
    </row>
    <row r="70" spans="1:11" x14ac:dyDescent="0.25">
      <c r="A70" s="43"/>
      <c r="B70" s="43"/>
      <c r="C70" s="43"/>
      <c r="D70" s="43"/>
      <c r="E70" s="43"/>
      <c r="F70" s="43"/>
      <c r="G70" s="43"/>
      <c r="H70" s="43"/>
      <c r="I70" s="43"/>
      <c r="J70" s="43"/>
      <c r="K70" s="43"/>
    </row>
    <row r="71" spans="1:11" x14ac:dyDescent="0.25">
      <c r="A71" s="43"/>
      <c r="B71" s="43"/>
      <c r="C71" s="43"/>
      <c r="D71" s="43"/>
      <c r="E71" s="43"/>
      <c r="F71" s="43"/>
      <c r="G71" s="43"/>
      <c r="H71" s="43"/>
      <c r="I71" s="43"/>
      <c r="J71" s="43"/>
      <c r="K71" s="43"/>
    </row>
    <row r="72" spans="1:11" x14ac:dyDescent="0.25">
      <c r="A72" s="43"/>
      <c r="B72" s="43"/>
      <c r="C72" s="43"/>
      <c r="D72" s="43"/>
      <c r="E72" s="43"/>
      <c r="F72" s="43"/>
      <c r="G72" s="43"/>
      <c r="H72" s="43"/>
      <c r="I72" s="43"/>
      <c r="J72" s="43"/>
      <c r="K72" s="43"/>
    </row>
    <row r="73" spans="1:11" x14ac:dyDescent="0.25">
      <c r="A73" s="43"/>
      <c r="B73" s="43"/>
      <c r="C73" s="43"/>
      <c r="D73" s="43"/>
      <c r="E73" s="43"/>
      <c r="F73" s="43"/>
      <c r="G73" s="43"/>
      <c r="H73" s="43"/>
      <c r="I73" s="43"/>
      <c r="J73" s="43"/>
      <c r="K73" s="43"/>
    </row>
    <row r="74" spans="1:11" x14ac:dyDescent="0.25">
      <c r="A74" s="43"/>
      <c r="B74" s="43"/>
      <c r="C74" s="43"/>
      <c r="D74" s="43"/>
      <c r="E74" s="43"/>
      <c r="F74" s="43"/>
      <c r="G74" s="43"/>
      <c r="H74" s="43"/>
      <c r="I74" s="43"/>
      <c r="J74" s="43"/>
      <c r="K74" s="43"/>
    </row>
    <row r="75" spans="1:11" x14ac:dyDescent="0.25">
      <c r="A75" s="43"/>
      <c r="B75" s="43"/>
      <c r="C75" s="43"/>
      <c r="D75" s="43"/>
      <c r="E75" s="43"/>
      <c r="F75" s="43"/>
      <c r="G75" s="43"/>
      <c r="H75" s="43"/>
      <c r="I75" s="43"/>
      <c r="J75" s="43"/>
      <c r="K75" s="43"/>
    </row>
    <row r="76" spans="1:11" x14ac:dyDescent="0.25">
      <c r="A76" s="43"/>
      <c r="B76" s="43"/>
      <c r="C76" s="43"/>
      <c r="D76" s="43"/>
      <c r="E76" s="43"/>
      <c r="F76" s="43"/>
      <c r="G76" s="43"/>
      <c r="H76" s="43"/>
      <c r="I76" s="43"/>
      <c r="J76" s="43"/>
      <c r="K76" s="43"/>
    </row>
    <row r="77" spans="1:11" x14ac:dyDescent="0.25">
      <c r="A77" s="43"/>
      <c r="B77" s="43"/>
      <c r="C77" s="43"/>
      <c r="D77" s="43"/>
      <c r="E77" s="43"/>
      <c r="F77" s="43"/>
      <c r="G77" s="43"/>
      <c r="H77" s="43"/>
      <c r="I77" s="43"/>
      <c r="J77" s="43"/>
      <c r="K77" s="43"/>
    </row>
    <row r="78" spans="1:11" x14ac:dyDescent="0.25">
      <c r="A78" s="43"/>
      <c r="B78" s="43"/>
      <c r="C78" s="43"/>
      <c r="D78" s="43"/>
      <c r="E78" s="43"/>
      <c r="F78" s="43"/>
      <c r="G78" s="43"/>
      <c r="H78" s="43"/>
      <c r="I78" s="43"/>
      <c r="J78" s="43"/>
      <c r="K78" s="43"/>
    </row>
    <row r="79" spans="1:11" x14ac:dyDescent="0.25">
      <c r="A79" s="43"/>
      <c r="B79" s="43"/>
      <c r="C79" s="43"/>
      <c r="D79" s="43"/>
      <c r="E79" s="43"/>
      <c r="F79" s="43"/>
      <c r="G79" s="43"/>
      <c r="H79" s="43"/>
      <c r="I79" s="43"/>
      <c r="J79" s="43"/>
      <c r="K79" s="43"/>
    </row>
    <row r="80" spans="1:11" x14ac:dyDescent="0.25">
      <c r="A80" s="43"/>
      <c r="B80" s="43"/>
      <c r="C80" s="43"/>
      <c r="D80" s="43"/>
      <c r="E80" s="43"/>
      <c r="F80" s="43"/>
      <c r="G80" s="43"/>
      <c r="H80" s="43"/>
      <c r="I80" s="43"/>
      <c r="J80" s="43"/>
      <c r="K80" s="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7" sqref="C7"/>
    </sheetView>
  </sheetViews>
  <sheetFormatPr defaultRowHeight="15" x14ac:dyDescent="0.25"/>
  <cols>
    <col min="1" max="1" width="13.140625" customWidth="1"/>
    <col min="2" max="2" width="16.85546875" customWidth="1"/>
    <col min="3" max="3" width="16.5703125" bestFit="1" customWidth="1"/>
    <col min="4" max="4" width="14.85546875" bestFit="1" customWidth="1"/>
    <col min="7" max="8" width="17.42578125" customWidth="1"/>
    <col min="9" max="9" width="16.140625" customWidth="1"/>
    <col min="10" max="10" width="17.42578125" customWidth="1"/>
  </cols>
  <sheetData>
    <row r="1" spans="1:10" x14ac:dyDescent="0.25">
      <c r="A1" s="30" t="s">
        <v>89</v>
      </c>
      <c r="G1" s="30" t="s">
        <v>90</v>
      </c>
    </row>
    <row r="2" spans="1:10" x14ac:dyDescent="0.25">
      <c r="A2" s="3" t="s">
        <v>8</v>
      </c>
      <c r="B2" t="s">
        <v>1</v>
      </c>
    </row>
    <row r="4" spans="1:10" x14ac:dyDescent="0.25">
      <c r="A4" s="3" t="s">
        <v>4</v>
      </c>
      <c r="B4" t="s">
        <v>78</v>
      </c>
      <c r="C4" t="s">
        <v>77</v>
      </c>
      <c r="D4" t="s">
        <v>76</v>
      </c>
      <c r="G4" s="24" t="s">
        <v>4</v>
      </c>
      <c r="H4" s="24" t="s">
        <v>78</v>
      </c>
      <c r="I4" s="24" t="s">
        <v>77</v>
      </c>
      <c r="J4" s="24" t="s">
        <v>76</v>
      </c>
    </row>
    <row r="5" spans="1:10" x14ac:dyDescent="0.25">
      <c r="A5" s="1" t="s">
        <v>9</v>
      </c>
      <c r="B5" s="2">
        <v>4</v>
      </c>
      <c r="C5" s="2">
        <v>118</v>
      </c>
      <c r="D5" s="2">
        <v>122</v>
      </c>
      <c r="G5" s="1" t="s">
        <v>9</v>
      </c>
      <c r="H5" s="2">
        <f>GETPIVOTDATA("Sum of Cx pipiens",$A$4,"Zone","LV")</f>
        <v>4</v>
      </c>
      <c r="I5" s="2">
        <f>GETPIVOTDATA("Sum of Cx tarsalis",$A$4,"Zone","LV")</f>
        <v>118</v>
      </c>
      <c r="J5" s="2">
        <f>GETPIVOTDATA("Sum of Total CX",$A$4,"Zone","LV")</f>
        <v>122</v>
      </c>
    </row>
    <row r="6" spans="1:10" x14ac:dyDescent="0.25">
      <c r="A6" s="1" t="s">
        <v>61</v>
      </c>
      <c r="B6" s="2">
        <v>141</v>
      </c>
      <c r="C6" s="2">
        <v>113</v>
      </c>
      <c r="D6" s="2">
        <v>254</v>
      </c>
      <c r="G6" s="1" t="s">
        <v>61</v>
      </c>
      <c r="H6" s="2">
        <f>GETPIVOTDATA("Sum of Cx pipiens",$A$4,"Zone","NE")</f>
        <v>141</v>
      </c>
      <c r="I6" s="2">
        <f>GETPIVOTDATA("Sum of Cx tarsalis",$A$4,"Zone","NE")</f>
        <v>113</v>
      </c>
      <c r="J6" s="2">
        <f>GETPIVOTDATA("Sum of Total CX",$A$4,"Zone","NE")</f>
        <v>254</v>
      </c>
    </row>
    <row r="7" spans="1:10" x14ac:dyDescent="0.25">
      <c r="A7" s="1" t="s">
        <v>60</v>
      </c>
      <c r="B7" s="2">
        <v>24</v>
      </c>
      <c r="C7" s="2">
        <v>24</v>
      </c>
      <c r="D7" s="2">
        <v>48</v>
      </c>
      <c r="G7" s="1" t="s">
        <v>60</v>
      </c>
      <c r="H7" s="2">
        <f>GETPIVOTDATA("Sum of Cx pipiens",$A$4,"Zone","NW")</f>
        <v>24</v>
      </c>
      <c r="I7" s="2">
        <f>GETPIVOTDATA("Sum of Cx tarsalis",$A$4,"Zone","NW")</f>
        <v>24</v>
      </c>
      <c r="J7" s="2">
        <f>GETPIVOTDATA("Sum of Total CX",$A$4,"Zone","NW")</f>
        <v>48</v>
      </c>
    </row>
    <row r="8" spans="1:10" x14ac:dyDescent="0.25">
      <c r="A8" s="1" t="s">
        <v>62</v>
      </c>
      <c r="B8" s="2">
        <v>187</v>
      </c>
      <c r="C8" s="2">
        <v>72</v>
      </c>
      <c r="D8" s="2">
        <v>259</v>
      </c>
      <c r="G8" s="1" t="s">
        <v>62</v>
      </c>
      <c r="H8" s="2">
        <f>GETPIVOTDATA("Sum of Cx pipiens",$A$4,"Zone","SE")</f>
        <v>187</v>
      </c>
      <c r="I8" s="2">
        <f>GETPIVOTDATA("Sum of Cx tarsalis",$A$4,"Zone","SE")</f>
        <v>72</v>
      </c>
      <c r="J8" s="2">
        <f>GETPIVOTDATA("Sum of Total CX",$A$4,"Zone","SE")</f>
        <v>259</v>
      </c>
    </row>
    <row r="9" spans="1:10" x14ac:dyDescent="0.25">
      <c r="A9" s="1" t="s">
        <v>63</v>
      </c>
      <c r="B9" s="2">
        <v>10</v>
      </c>
      <c r="C9" s="2">
        <v>13</v>
      </c>
      <c r="D9" s="2">
        <v>23</v>
      </c>
      <c r="G9" s="1" t="s">
        <v>63</v>
      </c>
      <c r="H9" s="2">
        <f>GETPIVOTDATA("Sum of Cx pipiens",$A$4,"Zone","SW")</f>
        <v>10</v>
      </c>
      <c r="I9" s="2">
        <f>GETPIVOTDATA("Sum of Cx tarsalis",$A$4,"Zone","SW")</f>
        <v>13</v>
      </c>
      <c r="J9" s="2">
        <f>GETPIVOTDATA("Sum of Total CX",$A$4,"Zone","SW")</f>
        <v>23</v>
      </c>
    </row>
    <row r="10" spans="1:10" x14ac:dyDescent="0.25">
      <c r="A10" s="1" t="s">
        <v>108</v>
      </c>
      <c r="B10" s="2">
        <v>7</v>
      </c>
      <c r="C10" s="2">
        <v>59</v>
      </c>
      <c r="D10" s="2">
        <v>66</v>
      </c>
    </row>
    <row r="11" spans="1:10" x14ac:dyDescent="0.25">
      <c r="A11" s="1" t="s">
        <v>7</v>
      </c>
      <c r="B11" s="2">
        <v>373</v>
      </c>
      <c r="C11" s="2">
        <v>399</v>
      </c>
      <c r="D11" s="2">
        <v>772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B8" sqref="B8"/>
    </sheetView>
  </sheetViews>
  <sheetFormatPr defaultRowHeight="15" x14ac:dyDescent="0.25"/>
  <cols>
    <col min="1" max="1" width="13.140625" bestFit="1" customWidth="1"/>
    <col min="2" max="2" width="16.28515625" customWidth="1"/>
    <col min="3" max="3" width="7.28515625" customWidth="1"/>
    <col min="4" max="4" width="11.28515625" bestFit="1" customWidth="1"/>
  </cols>
  <sheetData>
    <row r="1" spans="1:11" x14ac:dyDescent="0.25">
      <c r="A1" s="61" t="s">
        <v>79</v>
      </c>
      <c r="B1" s="61"/>
      <c r="H1" s="61" t="s">
        <v>55</v>
      </c>
      <c r="I1" s="61"/>
    </row>
    <row r="2" spans="1:11" x14ac:dyDescent="0.25">
      <c r="A2" s="3" t="s">
        <v>8</v>
      </c>
      <c r="B2" t="s">
        <v>1</v>
      </c>
    </row>
    <row r="4" spans="1:11" x14ac:dyDescent="0.25">
      <c r="A4" s="3" t="s">
        <v>2</v>
      </c>
      <c r="B4" s="3" t="s">
        <v>3</v>
      </c>
      <c r="H4" s="23" t="s">
        <v>2</v>
      </c>
      <c r="I4" s="23" t="s">
        <v>3</v>
      </c>
      <c r="J4" s="23"/>
      <c r="K4" s="23"/>
    </row>
    <row r="5" spans="1:11" x14ac:dyDescent="0.25">
      <c r="A5" s="3" t="s">
        <v>4</v>
      </c>
      <c r="B5" t="s">
        <v>5</v>
      </c>
      <c r="C5" t="s">
        <v>6</v>
      </c>
      <c r="D5" t="s">
        <v>7</v>
      </c>
      <c r="H5" s="24" t="s">
        <v>4</v>
      </c>
      <c r="I5" s="24" t="s">
        <v>5</v>
      </c>
      <c r="J5" s="24" t="s">
        <v>6</v>
      </c>
      <c r="K5" s="24" t="s">
        <v>7</v>
      </c>
    </row>
    <row r="6" spans="1:11" x14ac:dyDescent="0.25">
      <c r="A6" s="1" t="s">
        <v>9</v>
      </c>
      <c r="B6" s="2">
        <v>4</v>
      </c>
      <c r="C6" s="2">
        <v>118</v>
      </c>
      <c r="D6" s="2">
        <v>122</v>
      </c>
      <c r="H6" s="1" t="s">
        <v>9</v>
      </c>
      <c r="I6" s="2">
        <f>GETPIVOTDATA("Total",$A$4,"Zone","LV","Spp","pipiens")</f>
        <v>4</v>
      </c>
      <c r="J6" s="2">
        <f>GETPIVOTDATA("Total",$A$4,"Zone","LV","Spp","tarsalis")</f>
        <v>118</v>
      </c>
      <c r="K6" s="2">
        <f>GETPIVOTDATA("Total",$A$4,"Zone","LV")</f>
        <v>122</v>
      </c>
    </row>
    <row r="7" spans="1:11" x14ac:dyDescent="0.25">
      <c r="A7" s="1" t="s">
        <v>61</v>
      </c>
      <c r="B7" s="2">
        <v>398</v>
      </c>
      <c r="C7" s="2">
        <v>113</v>
      </c>
      <c r="D7" s="2">
        <v>511</v>
      </c>
      <c r="H7" s="1" t="s">
        <v>61</v>
      </c>
      <c r="I7" s="2">
        <f>GETPIVOTDATA("Total",$A$4,"Zone","NE","Spp","pipiens")</f>
        <v>398</v>
      </c>
      <c r="J7" s="2">
        <f>GETPIVOTDATA("Total",$A$4,"Zone","NE","Spp","tarsalis")</f>
        <v>113</v>
      </c>
      <c r="K7" s="2">
        <f>GETPIVOTDATA("Total",$A$4,"Zone","NE")</f>
        <v>511</v>
      </c>
    </row>
    <row r="8" spans="1:11" x14ac:dyDescent="0.25">
      <c r="A8" s="1" t="s">
        <v>60</v>
      </c>
      <c r="B8" s="2">
        <v>154</v>
      </c>
      <c r="C8" s="2">
        <v>24</v>
      </c>
      <c r="D8" s="2">
        <v>178</v>
      </c>
      <c r="H8" s="1" t="s">
        <v>60</v>
      </c>
      <c r="I8" s="2">
        <f>GETPIVOTDATA("Total",$A$4,"Zone","NW","Spp","pipiens")</f>
        <v>154</v>
      </c>
      <c r="J8" s="2">
        <f>GETPIVOTDATA("Total",$A$4,"Zone","NW","Spp","tarsalis")</f>
        <v>24</v>
      </c>
      <c r="K8" s="2">
        <f>GETPIVOTDATA("Total",$A$4,"Zone","NW")</f>
        <v>178</v>
      </c>
    </row>
    <row r="9" spans="1:11" x14ac:dyDescent="0.25">
      <c r="A9" s="1" t="s">
        <v>62</v>
      </c>
      <c r="B9" s="2">
        <v>458</v>
      </c>
      <c r="C9" s="2">
        <v>72</v>
      </c>
      <c r="D9" s="2">
        <v>530</v>
      </c>
      <c r="H9" s="1" t="s">
        <v>62</v>
      </c>
      <c r="I9" s="2">
        <f>GETPIVOTDATA("Total",$A$4,"Zone","SE","Spp","pipiens")</f>
        <v>458</v>
      </c>
      <c r="J9" s="2">
        <f>GETPIVOTDATA("Total",$A$4,"Zone","SE","Spp","tarsalis")</f>
        <v>72</v>
      </c>
      <c r="K9" s="2">
        <f>GETPIVOTDATA("Total",$A$4,"Zone","SE")</f>
        <v>530</v>
      </c>
    </row>
    <row r="10" spans="1:11" x14ac:dyDescent="0.25">
      <c r="A10" s="1" t="s">
        <v>63</v>
      </c>
      <c r="B10" s="2">
        <v>159</v>
      </c>
      <c r="C10" s="2">
        <v>13</v>
      </c>
      <c r="D10" s="2">
        <v>172</v>
      </c>
      <c r="H10" s="1" t="s">
        <v>63</v>
      </c>
      <c r="I10" s="2">
        <f>GETPIVOTDATA("Total",$A$4,"Zone","SW","Spp","pipiens")</f>
        <v>159</v>
      </c>
      <c r="J10" s="2">
        <f>GETPIVOTDATA("Total",$A$4,"Zone","SW","Spp","tarsalis")</f>
        <v>13</v>
      </c>
      <c r="K10" s="2">
        <f>GETPIVOTDATA("Total",$A$4,"Zone","SW")</f>
        <v>172</v>
      </c>
    </row>
    <row r="11" spans="1:11" x14ac:dyDescent="0.25">
      <c r="A11" s="1" t="s">
        <v>7</v>
      </c>
      <c r="B11" s="2">
        <v>1173</v>
      </c>
      <c r="C11" s="2">
        <v>340</v>
      </c>
      <c r="D11" s="2">
        <v>1513</v>
      </c>
    </row>
  </sheetData>
  <mergeCells count="2">
    <mergeCell ref="A1:B1"/>
    <mergeCell ref="H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A7" sqref="A7:D7"/>
      <pivotSelection pane="bottomRight" showHeader="1" extendable="1" start="1" max="6" activeRow="6" click="1" r:id="rId1">
        <pivotArea dataOnly="0" fieldPosition="0">
          <references count="1">
            <reference field="8" count="1">
              <x v="1"/>
            </reference>
          </references>
        </pivotArea>
      </pivotSelection>
    </sheetView>
  </sheetViews>
  <sheetFormatPr defaultRowHeight="15" x14ac:dyDescent="0.25"/>
  <cols>
    <col min="1" max="1" width="39.5703125" bestFit="1" customWidth="1"/>
    <col min="2" max="2" width="16.28515625" customWidth="1"/>
    <col min="3" max="3" width="7.28515625" customWidth="1"/>
    <col min="4" max="4" width="11.28515625" bestFit="1" customWidth="1"/>
    <col min="7" max="7" width="12.42578125" customWidth="1"/>
    <col min="8" max="8" width="9.140625" customWidth="1"/>
  </cols>
  <sheetData>
    <row r="1" spans="1:10" x14ac:dyDescent="0.25">
      <c r="A1" s="30" t="s">
        <v>79</v>
      </c>
      <c r="G1" s="61" t="s">
        <v>55</v>
      </c>
      <c r="H1" s="61"/>
    </row>
    <row r="2" spans="1:10" x14ac:dyDescent="0.25">
      <c r="A2" s="3" t="s">
        <v>8</v>
      </c>
      <c r="B2" t="s">
        <v>1</v>
      </c>
    </row>
    <row r="4" spans="1:10" x14ac:dyDescent="0.25">
      <c r="A4" s="3" t="s">
        <v>91</v>
      </c>
      <c r="B4" s="3" t="s">
        <v>3</v>
      </c>
      <c r="G4" s="23" t="s">
        <v>91</v>
      </c>
      <c r="H4" s="23" t="s">
        <v>3</v>
      </c>
      <c r="I4" s="23"/>
      <c r="J4" s="23"/>
    </row>
    <row r="5" spans="1:10" x14ac:dyDescent="0.25">
      <c r="A5" s="3" t="s">
        <v>4</v>
      </c>
      <c r="B5" t="s">
        <v>5</v>
      </c>
      <c r="C5" t="s">
        <v>6</v>
      </c>
      <c r="D5" t="s">
        <v>7</v>
      </c>
      <c r="G5" s="24" t="s">
        <v>4</v>
      </c>
      <c r="H5" s="24" t="s">
        <v>5</v>
      </c>
      <c r="I5" s="24" t="s">
        <v>6</v>
      </c>
      <c r="J5" s="24" t="s">
        <v>7</v>
      </c>
    </row>
    <row r="6" spans="1:10" x14ac:dyDescent="0.25">
      <c r="A6" s="1" t="s">
        <v>9</v>
      </c>
      <c r="B6" s="2">
        <v>2</v>
      </c>
      <c r="C6" s="2">
        <v>7</v>
      </c>
      <c r="D6" s="2">
        <v>9</v>
      </c>
      <c r="G6" s="1" t="s">
        <v>9</v>
      </c>
      <c r="H6" s="2">
        <f>GETPIVOTDATA("CSU Pool Number     (CMC enters)",$A$4,"Zone","LV","Spp","pipiens")</f>
        <v>2</v>
      </c>
      <c r="I6" s="2">
        <f>GETPIVOTDATA("CSU Pool Number     (CMC enters)",$A$4,"Zone","LV","Spp","tarsalis")</f>
        <v>7</v>
      </c>
      <c r="J6" s="2">
        <f>GETPIVOTDATA("CSU Pool Number     (CMC enters)",$A$4,"Zone","LV")</f>
        <v>9</v>
      </c>
    </row>
    <row r="7" spans="1:10" x14ac:dyDescent="0.25">
      <c r="A7" s="1" t="s">
        <v>61</v>
      </c>
      <c r="B7" s="2">
        <v>17</v>
      </c>
      <c r="C7" s="2">
        <v>10</v>
      </c>
      <c r="D7" s="2">
        <v>27</v>
      </c>
      <c r="G7" s="1" t="s">
        <v>61</v>
      </c>
      <c r="H7" s="2">
        <f>GETPIVOTDATA("CSU Pool Number     (CMC enters)",$A$4,"Zone","NE","Spp","pipiens")</f>
        <v>17</v>
      </c>
      <c r="I7" s="2">
        <f>GETPIVOTDATA("CSU Pool Number     (CMC enters)",$A$4,"Zone","NE","Spp","tarsalis")</f>
        <v>10</v>
      </c>
      <c r="J7" s="2">
        <f>GETPIVOTDATA("CSU Pool Number     (CMC enters)",$A$4,"Zone","NE")</f>
        <v>27</v>
      </c>
    </row>
    <row r="8" spans="1:10" x14ac:dyDescent="0.25">
      <c r="A8" s="1" t="s">
        <v>60</v>
      </c>
      <c r="B8" s="2">
        <v>12</v>
      </c>
      <c r="C8" s="2">
        <v>6</v>
      </c>
      <c r="D8" s="2">
        <v>18</v>
      </c>
      <c r="G8" s="1" t="s">
        <v>60</v>
      </c>
      <c r="H8" s="2">
        <f>GETPIVOTDATA("CSU Pool Number     (CMC enters)",$A$4,"Zone","NW","Spp","pipiens")</f>
        <v>12</v>
      </c>
      <c r="I8" s="2">
        <f>GETPIVOTDATA("CSU Pool Number     (CMC enters)",$A$4,"Zone","NW","Spp","tarsalis")</f>
        <v>6</v>
      </c>
      <c r="J8" s="2">
        <f>GETPIVOTDATA("CSU Pool Number     (CMC enters)",$A$4,"Zone","NW")</f>
        <v>18</v>
      </c>
    </row>
    <row r="9" spans="1:10" x14ac:dyDescent="0.25">
      <c r="A9" s="1" t="s">
        <v>62</v>
      </c>
      <c r="B9" s="2">
        <v>24</v>
      </c>
      <c r="C9" s="2">
        <v>15</v>
      </c>
      <c r="D9" s="2">
        <v>39</v>
      </c>
      <c r="G9" s="1" t="s">
        <v>62</v>
      </c>
      <c r="H9" s="2">
        <f>GETPIVOTDATA("CSU Pool Number     (CMC enters)",$A$4,"Zone","SE","Spp","pipiens")</f>
        <v>24</v>
      </c>
      <c r="I9" s="2">
        <f>GETPIVOTDATA("CSU Pool Number     (CMC enters)",$A$4,"Zone","SE","Spp","tarsalis")</f>
        <v>15</v>
      </c>
      <c r="J9" s="2">
        <f>GETPIVOTDATA("CSU Pool Number     (CMC enters)",$A$4,"Zone","SE")</f>
        <v>39</v>
      </c>
    </row>
    <row r="10" spans="1:10" x14ac:dyDescent="0.25">
      <c r="A10" s="1" t="s">
        <v>63</v>
      </c>
      <c r="B10" s="2">
        <v>8</v>
      </c>
      <c r="C10" s="2">
        <v>6</v>
      </c>
      <c r="D10" s="2">
        <v>14</v>
      </c>
      <c r="G10" s="1" t="s">
        <v>63</v>
      </c>
      <c r="H10" s="2">
        <f>GETPIVOTDATA("CSU Pool Number     (CMC enters)",$A$4,"Zone","SW","Spp","pipiens")</f>
        <v>8</v>
      </c>
      <c r="I10" s="2">
        <f>GETPIVOTDATA("CSU Pool Number     (CMC enters)",$A$4,"Zone","SW","Spp","tarsalis")</f>
        <v>6</v>
      </c>
      <c r="J10" s="2">
        <f>GETPIVOTDATA("CSU Pool Number     (CMC enters)",$A$4,"Zone","SW")</f>
        <v>14</v>
      </c>
    </row>
    <row r="11" spans="1:10" x14ac:dyDescent="0.25">
      <c r="A11" s="1" t="s">
        <v>7</v>
      </c>
      <c r="B11" s="2">
        <v>63</v>
      </c>
      <c r="C11" s="2">
        <v>44</v>
      </c>
      <c r="D11" s="2">
        <v>107</v>
      </c>
    </row>
  </sheetData>
  <mergeCells count="1">
    <mergeCell ref="G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2"/>
  <sheetViews>
    <sheetView workbookViewId="0">
      <selection activeCell="B10" sqref="B10"/>
    </sheetView>
  </sheetViews>
  <sheetFormatPr defaultRowHeight="15" x14ac:dyDescent="0.25"/>
  <cols>
    <col min="1" max="1" width="28.140625" customWidth="1"/>
    <col min="2" max="2" width="16.28515625" customWidth="1"/>
    <col min="3" max="3" width="7.28515625" customWidth="1"/>
    <col min="4" max="4" width="11.28515625" customWidth="1"/>
    <col min="5" max="123" width="16.28515625" bestFit="1" customWidth="1"/>
    <col min="124" max="124" width="11.28515625" bestFit="1" customWidth="1"/>
  </cols>
  <sheetData>
    <row r="1" spans="1:9" x14ac:dyDescent="0.25">
      <c r="A1" s="61" t="s">
        <v>79</v>
      </c>
      <c r="B1" s="61"/>
      <c r="C1" s="61"/>
      <c r="F1" s="30" t="s">
        <v>55</v>
      </c>
    </row>
    <row r="3" spans="1:9" x14ac:dyDescent="0.25">
      <c r="A3" s="3" t="s">
        <v>0</v>
      </c>
      <c r="B3" t="s">
        <v>1</v>
      </c>
    </row>
    <row r="5" spans="1:9" x14ac:dyDescent="0.25">
      <c r="A5" s="3" t="s">
        <v>92</v>
      </c>
      <c r="B5" s="3" t="s">
        <v>3</v>
      </c>
      <c r="F5" s="23" t="s">
        <v>49</v>
      </c>
      <c r="G5" s="23" t="s">
        <v>3</v>
      </c>
      <c r="H5" s="23"/>
      <c r="I5" s="23"/>
    </row>
    <row r="6" spans="1:9" x14ac:dyDescent="0.25">
      <c r="A6" s="3" t="s">
        <v>4</v>
      </c>
      <c r="B6" t="s">
        <v>5</v>
      </c>
      <c r="C6" t="s">
        <v>6</v>
      </c>
      <c r="D6" t="s">
        <v>7</v>
      </c>
      <c r="F6" s="24" t="s">
        <v>4</v>
      </c>
      <c r="G6" s="24" t="s">
        <v>5</v>
      </c>
      <c r="H6" s="24" t="s">
        <v>6</v>
      </c>
      <c r="I6" s="24" t="s">
        <v>7</v>
      </c>
    </row>
    <row r="7" spans="1:9" x14ac:dyDescent="0.25">
      <c r="A7" s="1" t="s">
        <v>60</v>
      </c>
      <c r="B7" s="2">
        <v>4</v>
      </c>
      <c r="C7" s="2">
        <v>0</v>
      </c>
      <c r="D7" s="2">
        <v>4</v>
      </c>
      <c r="F7" s="1" t="s">
        <v>60</v>
      </c>
      <c r="G7" s="2">
        <f>GETPIVOTDATA("Test code (CSU enters)",$A$5,"Zone","NW","Spp","pipiens")</f>
        <v>4</v>
      </c>
      <c r="H7" s="2">
        <f>GETPIVOTDATA("Test code (CSU enters)",$A$5,"Zone","NW","Spp","tarsalis")</f>
        <v>0</v>
      </c>
      <c r="I7" s="2">
        <f>GETPIVOTDATA("Test code (CSU enters)",$A$5,"Zone","NW")</f>
        <v>4</v>
      </c>
    </row>
    <row r="8" spans="1:9" x14ac:dyDescent="0.25">
      <c r="A8" s="1" t="s">
        <v>61</v>
      </c>
      <c r="B8" s="2">
        <v>6</v>
      </c>
      <c r="C8" s="2">
        <v>1</v>
      </c>
      <c r="D8" s="2">
        <v>7</v>
      </c>
      <c r="F8" s="1" t="s">
        <v>61</v>
      </c>
      <c r="G8" s="2">
        <f>GETPIVOTDATA("Test code (CSU enters)",$A$5,"Zone","NE","Spp","pipiens")</f>
        <v>6</v>
      </c>
      <c r="H8" s="2">
        <f>GETPIVOTDATA("Test code (CSU enters)",$A$5,"Zone","NE","Spp","tarsalis")</f>
        <v>1</v>
      </c>
      <c r="I8" s="2">
        <f>GETPIVOTDATA("Test code (CSU enters)",$A$5,"Zone","NE")</f>
        <v>7</v>
      </c>
    </row>
    <row r="9" spans="1:9" x14ac:dyDescent="0.25">
      <c r="A9" s="1" t="s">
        <v>62</v>
      </c>
      <c r="B9" s="2">
        <v>7</v>
      </c>
      <c r="C9" s="2">
        <v>2</v>
      </c>
      <c r="D9" s="2">
        <v>9</v>
      </c>
      <c r="F9" s="1" t="s">
        <v>62</v>
      </c>
      <c r="G9" s="2">
        <f>GETPIVOTDATA("Test code (CSU enters)",$A$5,"Zone","SE","Spp","pipiens")</f>
        <v>7</v>
      </c>
      <c r="H9" s="2">
        <f>GETPIVOTDATA("Test code (CSU enters)",$A$5,"Zone","SE","Spp","tarsalis")</f>
        <v>2</v>
      </c>
      <c r="I9" s="2">
        <f>GETPIVOTDATA("Test code (CSU enters)",$A$5,"Zone","SE")</f>
        <v>9</v>
      </c>
    </row>
    <row r="10" spans="1:9" x14ac:dyDescent="0.25">
      <c r="A10" s="1" t="s">
        <v>63</v>
      </c>
      <c r="B10" s="2">
        <v>2</v>
      </c>
      <c r="C10" s="2">
        <v>0</v>
      </c>
      <c r="D10" s="2">
        <v>2</v>
      </c>
      <c r="F10" s="1" t="s">
        <v>63</v>
      </c>
      <c r="G10" s="2">
        <f>GETPIVOTDATA("Test code (CSU enters)",$A$5,"Zone","SW","Spp","pipiens")</f>
        <v>2</v>
      </c>
      <c r="H10" s="2">
        <f>GETPIVOTDATA("Test code (CSU enters)",$A$5,"Zone","SW","Spp","tarsalis")</f>
        <v>0</v>
      </c>
      <c r="I10" s="2">
        <f>GETPIVOTDATA("Test code (CSU enters)",$A$5,"Zone","SW")</f>
        <v>2</v>
      </c>
    </row>
    <row r="11" spans="1:9" x14ac:dyDescent="0.25">
      <c r="A11" s="1" t="s">
        <v>9</v>
      </c>
      <c r="B11" s="2">
        <v>0</v>
      </c>
      <c r="C11" s="2">
        <v>2</v>
      </c>
      <c r="D11" s="2">
        <v>2</v>
      </c>
      <c r="F11" s="1" t="s">
        <v>9</v>
      </c>
      <c r="G11" s="2">
        <f>GETPIVOTDATA("Test code (CSU enters)",$A$5,"Zone","LV","Spp","pipiens")</f>
        <v>0</v>
      </c>
      <c r="H11" s="2">
        <f>GETPIVOTDATA("Test code (CSU enters)",$A$5,"Zone","LV","Spp","tarsalis")</f>
        <v>2</v>
      </c>
      <c r="I11" s="2">
        <f>GETPIVOTDATA("Test code (CSU enters)",$A$5,"Zone","LV")</f>
        <v>2</v>
      </c>
    </row>
    <row r="12" spans="1:9" x14ac:dyDescent="0.25">
      <c r="A12" s="1" t="s">
        <v>7</v>
      </c>
      <c r="B12" s="2">
        <v>19</v>
      </c>
      <c r="C12" s="2">
        <v>5</v>
      </c>
      <c r="D12" s="2">
        <v>24</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 sqref="C2:C5"/>
    </sheetView>
  </sheetViews>
  <sheetFormatPr defaultRowHeight="15" x14ac:dyDescent="0.25"/>
  <cols>
    <col min="1" max="1" width="15.85546875" customWidth="1"/>
    <col min="2" max="2" width="12.140625" customWidth="1"/>
    <col min="3" max="3" width="14.42578125" customWidth="1"/>
  </cols>
  <sheetData>
    <row r="1" spans="1:6" x14ac:dyDescent="0.25">
      <c r="A1" s="31" t="s">
        <v>65</v>
      </c>
      <c r="B1" s="31" t="s">
        <v>66</v>
      </c>
      <c r="C1" s="31" t="s">
        <v>64</v>
      </c>
      <c r="E1" s="53" t="s">
        <v>93</v>
      </c>
      <c r="F1" s="54" t="s">
        <v>370</v>
      </c>
    </row>
    <row r="2" spans="1:6" x14ac:dyDescent="0.25">
      <c r="A2" t="s">
        <v>47</v>
      </c>
      <c r="B2" t="s">
        <v>15</v>
      </c>
      <c r="C2" s="29">
        <v>24.780501879271462</v>
      </c>
      <c r="E2" t="s">
        <v>137</v>
      </c>
      <c r="F2" s="29">
        <v>24.780501879271462</v>
      </c>
    </row>
    <row r="3" spans="1:6" x14ac:dyDescent="0.25">
      <c r="A3" t="s">
        <v>47</v>
      </c>
      <c r="B3" t="s">
        <v>16</v>
      </c>
      <c r="C3" s="29">
        <v>13.756288781255989</v>
      </c>
      <c r="E3" t="s">
        <v>132</v>
      </c>
      <c r="F3" s="29">
        <v>13.756288781255989</v>
      </c>
    </row>
    <row r="4" spans="1:6" x14ac:dyDescent="0.25">
      <c r="A4" t="s">
        <v>9</v>
      </c>
      <c r="B4" t="s">
        <v>15</v>
      </c>
      <c r="C4" s="29">
        <v>0</v>
      </c>
      <c r="E4" t="s">
        <v>122</v>
      </c>
      <c r="F4" s="29">
        <v>0</v>
      </c>
    </row>
    <row r="5" spans="1:6" x14ac:dyDescent="0.25">
      <c r="A5" t="s">
        <v>9</v>
      </c>
      <c r="B5" t="s">
        <v>16</v>
      </c>
      <c r="C5" s="29">
        <v>18.202616187224425</v>
      </c>
      <c r="E5" t="s">
        <v>114</v>
      </c>
      <c r="F5" s="29">
        <v>18.202616187224425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4" sqref="C4"/>
    </sheetView>
  </sheetViews>
  <sheetFormatPr defaultRowHeight="15" x14ac:dyDescent="0.25"/>
  <cols>
    <col min="2" max="2" width="15.7109375" customWidth="1"/>
    <col min="3" max="3" width="13.140625" customWidth="1"/>
  </cols>
  <sheetData>
    <row r="1" spans="1:6" x14ac:dyDescent="0.25">
      <c r="A1" s="31" t="s">
        <v>67</v>
      </c>
      <c r="B1" s="31" t="s">
        <v>66</v>
      </c>
      <c r="C1" s="31" t="s">
        <v>64</v>
      </c>
      <c r="E1" s="53" t="s">
        <v>94</v>
      </c>
      <c r="F1" s="54" t="s">
        <v>370</v>
      </c>
    </row>
    <row r="2" spans="1:6" x14ac:dyDescent="0.25">
      <c r="A2" t="s">
        <v>60</v>
      </c>
      <c r="B2" t="s">
        <v>15</v>
      </c>
      <c r="C2" s="29">
        <v>47.258177848682003</v>
      </c>
      <c r="E2" t="s">
        <v>122</v>
      </c>
      <c r="F2" s="29">
        <v>0</v>
      </c>
    </row>
    <row r="3" spans="1:6" x14ac:dyDescent="0.25">
      <c r="A3" t="s">
        <v>60</v>
      </c>
      <c r="B3" t="s">
        <v>16</v>
      </c>
      <c r="C3" s="29">
        <v>0</v>
      </c>
      <c r="E3" t="s">
        <v>114</v>
      </c>
      <c r="F3" s="29">
        <v>18.202616187224425</v>
      </c>
    </row>
    <row r="4" spans="1:6" x14ac:dyDescent="0.25">
      <c r="A4" t="s">
        <v>61</v>
      </c>
      <c r="B4" t="s">
        <v>15</v>
      </c>
      <c r="C4" s="29">
        <v>20.943357229192987</v>
      </c>
      <c r="E4" t="s">
        <v>138</v>
      </c>
      <c r="F4" s="29">
        <v>20.943357229192987</v>
      </c>
    </row>
    <row r="5" spans="1:6" x14ac:dyDescent="0.25">
      <c r="A5" t="s">
        <v>61</v>
      </c>
      <c r="B5" t="s">
        <v>16</v>
      </c>
      <c r="C5" s="29">
        <v>8.5055429399774489</v>
      </c>
      <c r="E5" t="s">
        <v>133</v>
      </c>
      <c r="F5" s="29">
        <v>8.5055429399774489</v>
      </c>
    </row>
    <row r="6" spans="1:6" x14ac:dyDescent="0.25">
      <c r="A6" t="s">
        <v>62</v>
      </c>
      <c r="B6" t="s">
        <v>15</v>
      </c>
      <c r="C6" s="29">
        <v>21.754017572111351</v>
      </c>
      <c r="E6" t="s">
        <v>167</v>
      </c>
      <c r="F6" s="29">
        <v>47.258177848682003</v>
      </c>
    </row>
    <row r="7" spans="1:6" x14ac:dyDescent="0.25">
      <c r="A7" t="s">
        <v>62</v>
      </c>
      <c r="B7" t="s">
        <v>16</v>
      </c>
      <c r="C7" s="29">
        <v>29.049215303824052</v>
      </c>
      <c r="E7" t="s">
        <v>165</v>
      </c>
      <c r="F7" s="29">
        <v>0</v>
      </c>
    </row>
    <row r="8" spans="1:6" x14ac:dyDescent="0.25">
      <c r="A8" t="s">
        <v>63</v>
      </c>
      <c r="B8" t="s">
        <v>15</v>
      </c>
      <c r="C8" s="29">
        <v>15.235082281023168</v>
      </c>
      <c r="E8" t="s">
        <v>143</v>
      </c>
      <c r="F8" s="29">
        <v>21.754017572111351</v>
      </c>
    </row>
    <row r="9" spans="1:6" x14ac:dyDescent="0.25">
      <c r="A9" t="s">
        <v>63</v>
      </c>
      <c r="B9" t="s">
        <v>16</v>
      </c>
      <c r="C9" s="29">
        <v>0</v>
      </c>
      <c r="E9" t="s">
        <v>141</v>
      </c>
      <c r="F9" s="29">
        <v>29.049215303824052</v>
      </c>
    </row>
    <row r="10" spans="1:6" x14ac:dyDescent="0.25">
      <c r="E10" t="s">
        <v>257</v>
      </c>
      <c r="F10" s="29">
        <v>15.235082281023168</v>
      </c>
    </row>
    <row r="11" spans="1:6" x14ac:dyDescent="0.25">
      <c r="E11" t="s">
        <v>254</v>
      </c>
      <c r="F11" s="29">
        <v>0</v>
      </c>
    </row>
    <row r="12" spans="1:6" x14ac:dyDescent="0.25">
      <c r="B12" s="29"/>
    </row>
    <row r="13" spans="1:6" x14ac:dyDescent="0.25">
      <c r="B13" s="29"/>
    </row>
    <row r="14" spans="1:6" x14ac:dyDescent="0.25">
      <c r="B14" s="29"/>
    </row>
    <row r="15" spans="1:6" x14ac:dyDescent="0.25">
      <c r="B15" s="29"/>
    </row>
    <row r="16" spans="1:6" x14ac:dyDescent="0.25">
      <c r="B16" s="29"/>
    </row>
    <row r="17" spans="2:2" x14ac:dyDescent="0.25">
      <c r="B17" s="29"/>
    </row>
    <row r="18" spans="2:2" x14ac:dyDescent="0.25">
      <c r="B18" s="29"/>
    </row>
    <row r="19" spans="2:2" x14ac:dyDescent="0.25">
      <c r="B19" s="29"/>
    </row>
    <row r="20" spans="2:2" x14ac:dyDescent="0.25">
      <c r="B20" s="29"/>
    </row>
    <row r="21" spans="2:2" x14ac:dyDescent="0.25">
      <c r="B21" s="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94"/>
  <sheetViews>
    <sheetView zoomScale="80" zoomScaleNormal="80" workbookViewId="0">
      <selection activeCell="I10" sqref="I10"/>
    </sheetView>
  </sheetViews>
  <sheetFormatPr defaultRowHeight="15" x14ac:dyDescent="0.25"/>
  <cols>
    <col min="1" max="1" width="25.42578125" customWidth="1"/>
    <col min="3" max="3" width="10.28515625" bestFit="1" customWidth="1"/>
    <col min="4" max="5" width="11.42578125" bestFit="1" customWidth="1"/>
    <col min="6" max="6" width="10.28515625" bestFit="1" customWidth="1"/>
    <col min="7" max="7" width="11.7109375" bestFit="1" customWidth="1"/>
    <col min="8" max="8" width="12.7109375" bestFit="1" customWidth="1"/>
    <col min="9" max="9" width="9" customWidth="1"/>
    <col min="13" max="13" width="11.7109375" bestFit="1" customWidth="1"/>
  </cols>
  <sheetData>
    <row r="1" spans="1:13" ht="25.5" customHeight="1" x14ac:dyDescent="0.25">
      <c r="A1" t="s">
        <v>48</v>
      </c>
      <c r="B1" s="4"/>
      <c r="C1" s="66" t="s">
        <v>11</v>
      </c>
      <c r="D1" s="67"/>
      <c r="E1" s="66" t="s">
        <v>12</v>
      </c>
      <c r="F1" s="67"/>
      <c r="G1" s="74"/>
      <c r="H1" s="75"/>
      <c r="I1" s="76"/>
    </row>
    <row r="2" spans="1:13" ht="27" customHeight="1" x14ac:dyDescent="0.25">
      <c r="B2" s="5"/>
      <c r="C2" s="68"/>
      <c r="D2" s="69"/>
      <c r="E2" s="68" t="s">
        <v>13</v>
      </c>
      <c r="F2" s="69"/>
      <c r="G2" s="77" t="s">
        <v>14</v>
      </c>
      <c r="H2" s="78"/>
      <c r="I2" s="79"/>
    </row>
    <row r="3" spans="1:13" ht="15.75" thickBot="1" x14ac:dyDescent="0.3">
      <c r="B3" s="5"/>
      <c r="C3" s="70"/>
      <c r="D3" s="71"/>
      <c r="E3" s="72"/>
      <c r="F3" s="73"/>
      <c r="G3" s="72"/>
      <c r="H3" s="80"/>
      <c r="I3" s="73"/>
    </row>
    <row r="4" spans="1:13" ht="15.75" customHeight="1" x14ac:dyDescent="0.25">
      <c r="B4" s="5" t="s">
        <v>10</v>
      </c>
      <c r="C4" s="62" t="s">
        <v>15</v>
      </c>
      <c r="D4" s="62" t="s">
        <v>16</v>
      </c>
      <c r="E4" s="7" t="s">
        <v>17</v>
      </c>
      <c r="F4" s="7" t="s">
        <v>17</v>
      </c>
      <c r="G4" s="64" t="s">
        <v>18</v>
      </c>
      <c r="H4" s="64" t="s">
        <v>19</v>
      </c>
      <c r="I4" s="9" t="s">
        <v>20</v>
      </c>
    </row>
    <row r="5" spans="1:13" ht="15.75" thickBot="1" x14ac:dyDescent="0.3">
      <c r="B5" s="6"/>
      <c r="C5" s="63"/>
      <c r="D5" s="63"/>
      <c r="E5" s="8" t="s">
        <v>5</v>
      </c>
      <c r="F5" s="8" t="s">
        <v>6</v>
      </c>
      <c r="G5" s="65"/>
      <c r="H5" s="65"/>
      <c r="I5" s="10" t="s">
        <v>21</v>
      </c>
    </row>
    <row r="6" spans="1:13" ht="26.25" thickBot="1" x14ac:dyDescent="0.3">
      <c r="B6" s="11" t="s">
        <v>56</v>
      </c>
      <c r="C6" s="25">
        <f>G38</f>
        <v>2.6666666666666665</v>
      </c>
      <c r="D6" s="25">
        <f>H38</f>
        <v>2.6666666666666665</v>
      </c>
      <c r="E6" s="25">
        <f>L69/1000</f>
        <v>4.7258177848682005E-2</v>
      </c>
      <c r="F6" s="25">
        <f>M69/1000</f>
        <v>0</v>
      </c>
      <c r="G6" s="60">
        <f>C6*E6</f>
        <v>0.12602180759648535</v>
      </c>
      <c r="H6" s="60">
        <f>D6*F6</f>
        <v>0</v>
      </c>
      <c r="I6" s="60">
        <f>G6+H6</f>
        <v>0.12602180759648535</v>
      </c>
    </row>
    <row r="7" spans="1:13" ht="26.25" thickBot="1" x14ac:dyDescent="0.3">
      <c r="B7" s="11" t="s">
        <v>57</v>
      </c>
      <c r="C7" s="25">
        <f t="shared" ref="C7:C10" si="0">G39</f>
        <v>14.1</v>
      </c>
      <c r="D7" s="25">
        <f t="shared" ref="D7:D10" si="1">H39</f>
        <v>11.3</v>
      </c>
      <c r="E7" s="25">
        <f t="shared" ref="E7:E10" si="2">L70/1000</f>
        <v>2.0943357229192987E-2</v>
      </c>
      <c r="F7" s="25">
        <f t="shared" ref="F7:F10" si="3">M70/1000</f>
        <v>8.5055429399774497E-3</v>
      </c>
      <c r="G7" s="60">
        <f t="shared" ref="G7:G9" si="4">C7*E7</f>
        <v>0.29530133693162108</v>
      </c>
      <c r="H7" s="60">
        <f t="shared" ref="H7:H9" si="5">D7*F7</f>
        <v>9.6112635221745193E-2</v>
      </c>
      <c r="I7" s="60">
        <f t="shared" ref="I7:I10" si="6">G7+H7</f>
        <v>0.39141397215336626</v>
      </c>
    </row>
    <row r="8" spans="1:13" ht="26.25" thickBot="1" x14ac:dyDescent="0.3">
      <c r="B8" s="11" t="s">
        <v>59</v>
      </c>
      <c r="C8" s="25">
        <f t="shared" si="0"/>
        <v>12.466666666666667</v>
      </c>
      <c r="D8" s="25">
        <f t="shared" si="1"/>
        <v>4.8</v>
      </c>
      <c r="E8" s="25">
        <f t="shared" si="2"/>
        <v>2.1754017572111352E-2</v>
      </c>
      <c r="F8" s="25">
        <f t="shared" si="3"/>
        <v>2.9049215303824052E-2</v>
      </c>
      <c r="G8" s="60">
        <f t="shared" si="4"/>
        <v>0.27120008573232152</v>
      </c>
      <c r="H8" s="60">
        <f t="shared" si="5"/>
        <v>0.13943623345835546</v>
      </c>
      <c r="I8" s="60">
        <f t="shared" si="6"/>
        <v>0.410636319190677</v>
      </c>
    </row>
    <row r="9" spans="1:13" ht="26.25" thickBot="1" x14ac:dyDescent="0.3">
      <c r="B9" s="11" t="s">
        <v>58</v>
      </c>
      <c r="C9" s="25">
        <f t="shared" si="0"/>
        <v>1.1111111111111112</v>
      </c>
      <c r="D9" s="25">
        <f t="shared" si="1"/>
        <v>1.4444444444444444</v>
      </c>
      <c r="E9" s="25">
        <f t="shared" si="2"/>
        <v>1.5235082281023167E-2</v>
      </c>
      <c r="F9" s="25">
        <f t="shared" si="3"/>
        <v>0</v>
      </c>
      <c r="G9" s="60">
        <f t="shared" si="4"/>
        <v>1.6927869201136852E-2</v>
      </c>
      <c r="H9" s="60">
        <f t="shared" si="5"/>
        <v>0</v>
      </c>
      <c r="I9" s="60">
        <f t="shared" si="6"/>
        <v>1.6927869201136852E-2</v>
      </c>
    </row>
    <row r="10" spans="1:13" ht="26.25" thickBot="1" x14ac:dyDescent="0.3">
      <c r="B10" s="11" t="s">
        <v>22</v>
      </c>
      <c r="C10" s="25">
        <f t="shared" si="0"/>
        <v>8.4186046511627914</v>
      </c>
      <c r="D10" s="25">
        <f t="shared" si="1"/>
        <v>5.1627906976744189</v>
      </c>
      <c r="E10" s="25">
        <f t="shared" si="2"/>
        <v>2.4780501879271461E-2</v>
      </c>
      <c r="F10" s="25">
        <f t="shared" si="3"/>
        <v>1.3756288781255989E-2</v>
      </c>
      <c r="G10" s="60">
        <f>C10*E10</f>
        <v>0.20861724837898302</v>
      </c>
      <c r="H10" s="60">
        <f>D10*F10</f>
        <v>7.1020839754391385E-2</v>
      </c>
      <c r="I10" s="60">
        <f t="shared" si="6"/>
        <v>0.27963808813337443</v>
      </c>
    </row>
    <row r="11" spans="1:13" ht="15.75" thickBot="1" x14ac:dyDescent="0.3">
      <c r="B11" s="11"/>
      <c r="C11" s="25"/>
      <c r="D11" s="25"/>
      <c r="E11" s="25"/>
      <c r="F11" s="25"/>
      <c r="G11" s="60"/>
      <c r="H11" s="60"/>
      <c r="I11" s="60"/>
    </row>
    <row r="12" spans="1:13" ht="15.75" thickBot="1" x14ac:dyDescent="0.3">
      <c r="B12" s="11" t="s">
        <v>9</v>
      </c>
      <c r="C12" s="25">
        <f>G44</f>
        <v>0.10810810810810811</v>
      </c>
      <c r="D12" s="25">
        <f>H44</f>
        <v>3.189189189189189</v>
      </c>
      <c r="E12" s="25">
        <f>L75/1000</f>
        <v>0</v>
      </c>
      <c r="F12" s="25">
        <f>M75/1000</f>
        <v>1.8202616187224425E-2</v>
      </c>
      <c r="G12" s="60">
        <f>C12*E12</f>
        <v>0</v>
      </c>
      <c r="H12" s="60">
        <f>D12*F12</f>
        <v>5.8051586759256271E-2</v>
      </c>
      <c r="I12" s="60">
        <f>G12+H12</f>
        <v>5.8051586759256271E-2</v>
      </c>
    </row>
    <row r="13" spans="1:13" ht="15.75" thickBot="1" x14ac:dyDescent="0.3"/>
    <row r="14" spans="1:13" ht="15" customHeight="1" x14ac:dyDescent="0.25">
      <c r="A14" t="s">
        <v>54</v>
      </c>
      <c r="B14" s="15"/>
      <c r="C14" s="81" t="s">
        <v>56</v>
      </c>
      <c r="D14" s="82"/>
      <c r="E14" s="81" t="s">
        <v>57</v>
      </c>
      <c r="F14" s="82"/>
      <c r="G14" s="81" t="s">
        <v>59</v>
      </c>
      <c r="H14" s="82"/>
      <c r="I14" s="81" t="s">
        <v>58</v>
      </c>
      <c r="J14" s="82"/>
      <c r="K14" s="81" t="s">
        <v>22</v>
      </c>
      <c r="L14" s="82"/>
      <c r="M14" s="18"/>
    </row>
    <row r="15" spans="1:13" ht="15.75" thickBot="1" x14ac:dyDescent="0.3">
      <c r="B15" s="16"/>
      <c r="C15" s="83"/>
      <c r="D15" s="84"/>
      <c r="E15" s="83"/>
      <c r="F15" s="84"/>
      <c r="G15" s="83"/>
      <c r="H15" s="84"/>
      <c r="I15" s="83"/>
      <c r="J15" s="84"/>
      <c r="K15" s="83"/>
      <c r="L15" s="84"/>
      <c r="M15" s="19"/>
    </row>
    <row r="16" spans="1:13" ht="26.25" thickBot="1" x14ac:dyDescent="0.3">
      <c r="B16" s="17" t="s">
        <v>8</v>
      </c>
      <c r="C16" s="20" t="s">
        <v>23</v>
      </c>
      <c r="D16" s="20" t="s">
        <v>24</v>
      </c>
      <c r="E16" s="20" t="s">
        <v>23</v>
      </c>
      <c r="F16" s="20" t="s">
        <v>24</v>
      </c>
      <c r="G16" s="20" t="s">
        <v>23</v>
      </c>
      <c r="H16" s="20" t="s">
        <v>24</v>
      </c>
      <c r="I16" s="20" t="s">
        <v>23</v>
      </c>
      <c r="J16" s="20" t="s">
        <v>24</v>
      </c>
      <c r="K16" s="20" t="s">
        <v>23</v>
      </c>
      <c r="L16" s="20" t="s">
        <v>24</v>
      </c>
      <c r="M16" s="20" t="s">
        <v>9</v>
      </c>
    </row>
    <row r="17" spans="2:13" ht="15.75" thickBot="1" x14ac:dyDescent="0.3">
      <c r="B17" s="17">
        <v>22</v>
      </c>
      <c r="C17" s="20"/>
      <c r="D17" s="20"/>
      <c r="E17" s="20"/>
      <c r="F17" s="20"/>
      <c r="G17" s="20"/>
      <c r="H17" s="20"/>
      <c r="I17" s="20"/>
      <c r="J17" s="20"/>
      <c r="K17" s="20"/>
      <c r="L17" s="20"/>
      <c r="M17" s="20"/>
    </row>
    <row r="18" spans="2:13" ht="15.75" thickBot="1" x14ac:dyDescent="0.3">
      <c r="B18" s="17">
        <v>23</v>
      </c>
      <c r="C18" s="28" t="s">
        <v>106</v>
      </c>
      <c r="D18" s="48">
        <v>0.01</v>
      </c>
      <c r="E18" s="28" t="s">
        <v>106</v>
      </c>
      <c r="F18" s="48">
        <v>0.02</v>
      </c>
      <c r="G18" s="28" t="s">
        <v>106</v>
      </c>
      <c r="H18" s="48">
        <v>0.02</v>
      </c>
      <c r="I18" s="28" t="s">
        <v>106</v>
      </c>
      <c r="J18" s="48">
        <v>0.01</v>
      </c>
      <c r="K18" s="28" t="s">
        <v>106</v>
      </c>
      <c r="L18" s="48">
        <v>0.02</v>
      </c>
      <c r="M18" s="28" t="s">
        <v>106</v>
      </c>
    </row>
    <row r="19" spans="2:13" ht="15.75" thickBot="1" x14ac:dyDescent="0.3">
      <c r="B19" s="17">
        <v>24</v>
      </c>
      <c r="C19" s="28">
        <v>0</v>
      </c>
      <c r="D19" s="49">
        <v>0</v>
      </c>
      <c r="E19" s="28">
        <v>0</v>
      </c>
      <c r="F19" s="49">
        <v>0</v>
      </c>
      <c r="G19" s="28">
        <v>0</v>
      </c>
      <c r="H19" s="49">
        <v>0.01</v>
      </c>
      <c r="I19" s="28">
        <v>0</v>
      </c>
      <c r="J19" s="49">
        <v>0</v>
      </c>
      <c r="K19" s="28">
        <v>0</v>
      </c>
      <c r="L19" s="49">
        <v>0</v>
      </c>
      <c r="M19" s="28">
        <v>0</v>
      </c>
    </row>
    <row r="20" spans="2:13" ht="15.75" thickBot="1" x14ac:dyDescent="0.3">
      <c r="B20" s="17">
        <v>25</v>
      </c>
      <c r="C20" s="28">
        <v>0</v>
      </c>
      <c r="D20" s="49">
        <v>0</v>
      </c>
      <c r="E20" s="28">
        <v>0</v>
      </c>
      <c r="F20" s="49">
        <v>0.02</v>
      </c>
      <c r="G20" s="28">
        <v>0</v>
      </c>
      <c r="H20" s="49">
        <v>0</v>
      </c>
      <c r="I20" s="28">
        <v>0</v>
      </c>
      <c r="J20" s="49">
        <v>0</v>
      </c>
      <c r="K20" s="28">
        <v>0</v>
      </c>
      <c r="L20" s="49">
        <v>0</v>
      </c>
      <c r="M20" s="28">
        <v>0</v>
      </c>
    </row>
    <row r="21" spans="2:13" ht="15.75" thickBot="1" x14ac:dyDescent="0.3">
      <c r="B21" s="17">
        <v>26</v>
      </c>
      <c r="C21" s="28">
        <v>0</v>
      </c>
      <c r="D21" s="49">
        <v>0</v>
      </c>
      <c r="E21" s="28">
        <v>0.1</v>
      </c>
      <c r="F21" s="49">
        <v>0</v>
      </c>
      <c r="G21" s="28">
        <v>0.01</v>
      </c>
      <c r="H21" s="49">
        <v>0.02</v>
      </c>
      <c r="I21" s="28">
        <v>0</v>
      </c>
      <c r="J21" s="49">
        <v>0.01</v>
      </c>
      <c r="K21" s="28">
        <v>0.03</v>
      </c>
      <c r="L21" s="49">
        <v>0.01</v>
      </c>
      <c r="M21" s="28">
        <v>0</v>
      </c>
    </row>
    <row r="22" spans="2:13" ht="15.75" thickBot="1" x14ac:dyDescent="0.3">
      <c r="B22" s="17">
        <v>27</v>
      </c>
      <c r="C22" s="25">
        <v>0</v>
      </c>
      <c r="D22" s="49">
        <v>0</v>
      </c>
      <c r="E22" s="25">
        <v>0.1</v>
      </c>
      <c r="F22" s="49">
        <v>0.03</v>
      </c>
      <c r="G22" s="28">
        <v>0</v>
      </c>
      <c r="H22" s="49">
        <v>0.01</v>
      </c>
      <c r="I22" s="28">
        <v>0</v>
      </c>
      <c r="J22" s="49">
        <v>0</v>
      </c>
      <c r="K22" s="28">
        <v>0.02</v>
      </c>
      <c r="L22" s="49">
        <v>0.01</v>
      </c>
      <c r="M22" s="28">
        <v>0</v>
      </c>
    </row>
    <row r="23" spans="2:13" ht="15.75" thickBot="1" x14ac:dyDescent="0.3">
      <c r="B23" s="17">
        <v>28</v>
      </c>
      <c r="C23" s="28">
        <v>0</v>
      </c>
      <c r="D23" s="49">
        <v>0</v>
      </c>
      <c r="E23" s="28">
        <v>0.1</v>
      </c>
      <c r="F23" s="49">
        <v>0.03</v>
      </c>
      <c r="G23" s="28">
        <v>0.20599999999999999</v>
      </c>
      <c r="H23" s="49">
        <v>0.11</v>
      </c>
      <c r="I23" s="28">
        <v>0</v>
      </c>
      <c r="J23" s="49">
        <v>0.01</v>
      </c>
      <c r="K23" s="28">
        <v>9.5000000000000001E-2</v>
      </c>
      <c r="L23" s="49">
        <v>0.05</v>
      </c>
      <c r="M23" s="28">
        <v>0</v>
      </c>
    </row>
    <row r="24" spans="2:13" ht="15.75" thickBot="1" x14ac:dyDescent="0.3">
      <c r="B24" s="17">
        <v>29</v>
      </c>
      <c r="C24" s="45">
        <v>0.09</v>
      </c>
      <c r="D24" s="50">
        <v>0.12</v>
      </c>
      <c r="E24" s="28">
        <v>0</v>
      </c>
      <c r="F24" s="49">
        <v>0.17</v>
      </c>
      <c r="G24" s="28">
        <v>0</v>
      </c>
      <c r="H24" s="49">
        <v>0.4</v>
      </c>
      <c r="I24" s="28">
        <v>0</v>
      </c>
      <c r="J24" s="50">
        <v>0.04</v>
      </c>
      <c r="K24" s="45">
        <v>0.01</v>
      </c>
      <c r="L24" s="50">
        <v>0.2</v>
      </c>
      <c r="M24" s="45">
        <v>0.08</v>
      </c>
    </row>
    <row r="25" spans="2:13" ht="15.75" thickBot="1" x14ac:dyDescent="0.3">
      <c r="B25" s="17">
        <v>30</v>
      </c>
      <c r="C25" s="28">
        <v>0.11</v>
      </c>
      <c r="D25" s="49">
        <v>0.13</v>
      </c>
      <c r="E25" s="28">
        <v>0.1</v>
      </c>
      <c r="F25" s="49">
        <v>0.18</v>
      </c>
      <c r="G25" s="28">
        <v>0.28000000000000003</v>
      </c>
      <c r="H25" s="49">
        <v>0.31</v>
      </c>
      <c r="I25" s="28">
        <v>0</v>
      </c>
      <c r="J25" s="49">
        <v>0.1</v>
      </c>
      <c r="K25" s="28">
        <v>0.15</v>
      </c>
      <c r="L25" s="49">
        <v>0.19</v>
      </c>
      <c r="M25" s="28">
        <v>0.28999999999999998</v>
      </c>
    </row>
    <row r="26" spans="2:13" ht="15.75" thickBot="1" x14ac:dyDescent="0.3">
      <c r="B26" s="17">
        <v>31</v>
      </c>
      <c r="C26" s="45">
        <v>0.18</v>
      </c>
      <c r="D26" s="50">
        <v>0.2</v>
      </c>
      <c r="E26" s="45">
        <v>0.66</v>
      </c>
      <c r="F26" s="50">
        <v>0.13</v>
      </c>
      <c r="G26" s="45">
        <v>0.18</v>
      </c>
      <c r="H26" s="50">
        <v>0.21</v>
      </c>
      <c r="I26" s="45">
        <v>0.08</v>
      </c>
      <c r="J26" s="50">
        <v>0.06</v>
      </c>
      <c r="K26" s="45">
        <v>0.25</v>
      </c>
      <c r="L26" s="50">
        <v>0.18</v>
      </c>
      <c r="M26" s="45">
        <v>0.27</v>
      </c>
    </row>
    <row r="27" spans="2:13" ht="15.75" thickBot="1" x14ac:dyDescent="0.3">
      <c r="B27" s="17">
        <v>32</v>
      </c>
      <c r="C27" s="28">
        <v>0.114</v>
      </c>
      <c r="D27" s="49">
        <v>0.16</v>
      </c>
      <c r="E27" s="28">
        <v>0.20100000000000001</v>
      </c>
      <c r="F27" s="49">
        <v>0.33</v>
      </c>
      <c r="G27" s="28">
        <v>0.158</v>
      </c>
      <c r="H27" s="49">
        <v>0.41</v>
      </c>
      <c r="I27" s="28">
        <v>6.0999999999999999E-2</v>
      </c>
      <c r="J27" s="49">
        <v>0.09</v>
      </c>
      <c r="K27" s="28">
        <v>0.13800000000000001</v>
      </c>
      <c r="L27" s="49">
        <v>0.27</v>
      </c>
      <c r="M27" s="28">
        <v>0</v>
      </c>
    </row>
    <row r="28" spans="2:13" ht="15.75" thickBot="1" x14ac:dyDescent="0.3">
      <c r="B28" s="17">
        <v>33</v>
      </c>
      <c r="C28" s="28">
        <v>0.08</v>
      </c>
      <c r="D28" s="49">
        <v>0.2</v>
      </c>
      <c r="E28" s="28">
        <v>0.14000000000000001</v>
      </c>
      <c r="F28" s="49">
        <v>0.38</v>
      </c>
      <c r="G28" s="28">
        <v>0.11</v>
      </c>
      <c r="H28" s="49">
        <v>0.28000000000000003</v>
      </c>
      <c r="I28" s="28">
        <v>0</v>
      </c>
      <c r="J28" s="49">
        <v>0.06</v>
      </c>
      <c r="K28" s="28">
        <v>0.09</v>
      </c>
      <c r="L28" s="49">
        <v>0.24</v>
      </c>
      <c r="M28" s="28">
        <v>0</v>
      </c>
    </row>
    <row r="29" spans="2:13" ht="15.75" thickBot="1" x14ac:dyDescent="0.3">
      <c r="B29" s="17">
        <v>34</v>
      </c>
      <c r="C29" s="28">
        <v>0.1</v>
      </c>
      <c r="D29" s="50">
        <v>0.15</v>
      </c>
      <c r="E29" s="45">
        <v>0.16</v>
      </c>
      <c r="F29" s="50">
        <v>0.16</v>
      </c>
      <c r="G29" s="45">
        <v>0.26</v>
      </c>
      <c r="H29" s="50">
        <v>0.34</v>
      </c>
      <c r="I29" s="45">
        <v>0.02</v>
      </c>
      <c r="J29" s="50">
        <v>0.06</v>
      </c>
      <c r="K29" s="45">
        <v>0.17</v>
      </c>
      <c r="L29" s="50">
        <v>0.19</v>
      </c>
      <c r="M29" s="28">
        <v>0</v>
      </c>
    </row>
    <row r="30" spans="2:13" ht="15.75" thickBot="1" x14ac:dyDescent="0.3">
      <c r="B30" s="17">
        <v>35</v>
      </c>
      <c r="C30" s="44">
        <v>0.13</v>
      </c>
      <c r="D30" s="50">
        <v>0.03</v>
      </c>
      <c r="E30" s="44">
        <v>0.39</v>
      </c>
      <c r="F30" s="50">
        <v>0.11</v>
      </c>
      <c r="G30" s="44">
        <v>0.41</v>
      </c>
      <c r="H30" s="50">
        <v>0.18</v>
      </c>
      <c r="I30" s="44">
        <v>0.02</v>
      </c>
      <c r="J30" s="50">
        <v>0.16</v>
      </c>
      <c r="K30" s="44">
        <v>0.28000000000000003</v>
      </c>
      <c r="L30" s="50">
        <v>0.13</v>
      </c>
      <c r="M30" s="44">
        <v>0.06</v>
      </c>
    </row>
    <row r="31" spans="2:13" ht="15.75" thickBot="1" x14ac:dyDescent="0.3">
      <c r="B31" s="17">
        <v>36</v>
      </c>
      <c r="C31" s="20"/>
      <c r="D31" s="20"/>
      <c r="E31" s="20"/>
      <c r="F31" s="20"/>
      <c r="G31" s="20"/>
      <c r="H31" s="20"/>
      <c r="I31" s="20"/>
      <c r="J31" s="20"/>
      <c r="K31" s="20"/>
      <c r="L31" s="20"/>
      <c r="M31" s="20"/>
    </row>
    <row r="32" spans="2:13" ht="15.75" thickBot="1" x14ac:dyDescent="0.3"/>
    <row r="33" spans="1:13" x14ac:dyDescent="0.25">
      <c r="A33" t="s">
        <v>50</v>
      </c>
      <c r="B33" s="4"/>
      <c r="C33" s="66" t="s">
        <v>25</v>
      </c>
      <c r="D33" s="85"/>
      <c r="E33" s="67"/>
      <c r="F33" s="14"/>
      <c r="G33" s="66" t="s">
        <v>28</v>
      </c>
      <c r="H33" s="85"/>
      <c r="I33" s="67"/>
    </row>
    <row r="34" spans="1:13" ht="38.25" x14ac:dyDescent="0.25">
      <c r="B34" s="5"/>
      <c r="C34" s="68" t="s">
        <v>26</v>
      </c>
      <c r="D34" s="86"/>
      <c r="E34" s="69"/>
      <c r="F34" s="13" t="s">
        <v>27</v>
      </c>
      <c r="G34" s="68"/>
      <c r="H34" s="87"/>
      <c r="I34" s="69"/>
    </row>
    <row r="35" spans="1:13" ht="15.75" thickBot="1" x14ac:dyDescent="0.3">
      <c r="B35" s="5"/>
      <c r="C35" s="72"/>
      <c r="D35" s="80"/>
      <c r="E35" s="73"/>
      <c r="F35" s="21"/>
      <c r="G35" s="70"/>
      <c r="H35" s="88"/>
      <c r="I35" s="71"/>
    </row>
    <row r="36" spans="1:13" x14ac:dyDescent="0.25">
      <c r="B36" s="5" t="s">
        <v>10</v>
      </c>
      <c r="C36" s="62" t="s">
        <v>15</v>
      </c>
      <c r="D36" s="62" t="s">
        <v>16</v>
      </c>
      <c r="E36" s="89" t="s">
        <v>29</v>
      </c>
      <c r="F36" s="21"/>
      <c r="G36" s="91" t="s">
        <v>30</v>
      </c>
      <c r="H36" s="91" t="s">
        <v>31</v>
      </c>
      <c r="I36" s="26" t="s">
        <v>20</v>
      </c>
    </row>
    <row r="37" spans="1:13" ht="15.75" thickBot="1" x14ac:dyDescent="0.3">
      <c r="B37" s="6"/>
      <c r="C37" s="63"/>
      <c r="D37" s="63"/>
      <c r="E37" s="90"/>
      <c r="F37" s="12"/>
      <c r="G37" s="92"/>
      <c r="H37" s="92"/>
      <c r="I37" s="27" t="s">
        <v>32</v>
      </c>
    </row>
    <row r="38" spans="1:13" ht="26.25" thickBot="1" x14ac:dyDescent="0.3">
      <c r="B38" s="11" t="s">
        <v>56</v>
      </c>
      <c r="C38" s="55">
        <f>'Total Number Of Ind'!H7</f>
        <v>24</v>
      </c>
      <c r="D38" s="55">
        <f>'Total Number Of Ind'!I7</f>
        <v>24</v>
      </c>
      <c r="E38" s="55">
        <f>C38+D38</f>
        <v>48</v>
      </c>
      <c r="F38" s="55">
        <v>9</v>
      </c>
      <c r="G38" s="25">
        <f>C38/F38</f>
        <v>2.6666666666666665</v>
      </c>
      <c r="H38" s="25">
        <f>D38/F38</f>
        <v>2.6666666666666665</v>
      </c>
      <c r="I38" s="25">
        <f>E38/F38</f>
        <v>5.333333333333333</v>
      </c>
    </row>
    <row r="39" spans="1:13" ht="26.25" thickBot="1" x14ac:dyDescent="0.3">
      <c r="B39" s="11" t="s">
        <v>57</v>
      </c>
      <c r="C39" s="55">
        <f>'Total Number Of Ind'!H6</f>
        <v>141</v>
      </c>
      <c r="D39" s="55">
        <f>'Total Number Of Ind'!I6</f>
        <v>113</v>
      </c>
      <c r="E39" s="55">
        <f t="shared" ref="E39:E41" si="7">C39+D39</f>
        <v>254</v>
      </c>
      <c r="F39" s="55">
        <v>10</v>
      </c>
      <c r="G39" s="25">
        <f t="shared" ref="G39:G44" si="8">C39/F39</f>
        <v>14.1</v>
      </c>
      <c r="H39" s="25">
        <f t="shared" ref="H39:H42" si="9">D39/F39</f>
        <v>11.3</v>
      </c>
      <c r="I39" s="25">
        <f t="shared" ref="I39:I44" si="10">E39/F39</f>
        <v>25.4</v>
      </c>
    </row>
    <row r="40" spans="1:13" ht="26.25" thickBot="1" x14ac:dyDescent="0.3">
      <c r="B40" s="11" t="s">
        <v>59</v>
      </c>
      <c r="C40" s="55">
        <f>'Total Number Of Ind'!H8</f>
        <v>187</v>
      </c>
      <c r="D40" s="55">
        <f>'Total Number Of Ind'!I8</f>
        <v>72</v>
      </c>
      <c r="E40" s="55">
        <f t="shared" si="7"/>
        <v>259</v>
      </c>
      <c r="F40" s="55">
        <v>15</v>
      </c>
      <c r="G40" s="25">
        <f t="shared" si="8"/>
        <v>12.466666666666667</v>
      </c>
      <c r="H40" s="25">
        <f>D40/F40</f>
        <v>4.8</v>
      </c>
      <c r="I40" s="25">
        <f t="shared" si="10"/>
        <v>17.266666666666666</v>
      </c>
    </row>
    <row r="41" spans="1:13" ht="26.25" thickBot="1" x14ac:dyDescent="0.3">
      <c r="B41" s="11" t="s">
        <v>58</v>
      </c>
      <c r="C41" s="55">
        <f>'Total Number Of Ind'!H9</f>
        <v>10</v>
      </c>
      <c r="D41" s="55">
        <f>'Total Number Of Ind'!I9</f>
        <v>13</v>
      </c>
      <c r="E41" s="55">
        <f t="shared" si="7"/>
        <v>23</v>
      </c>
      <c r="F41" s="55">
        <v>9</v>
      </c>
      <c r="G41" s="25">
        <f t="shared" si="8"/>
        <v>1.1111111111111112</v>
      </c>
      <c r="H41" s="25">
        <f t="shared" si="9"/>
        <v>1.4444444444444444</v>
      </c>
      <c r="I41" s="25">
        <f t="shared" si="10"/>
        <v>2.5555555555555554</v>
      </c>
    </row>
    <row r="42" spans="1:13" ht="26.25" thickBot="1" x14ac:dyDescent="0.3">
      <c r="B42" s="11" t="s">
        <v>22</v>
      </c>
      <c r="C42" s="55">
        <f>SUM(C38:C41)</f>
        <v>362</v>
      </c>
      <c r="D42" s="55">
        <f>SUM(D38:D41)</f>
        <v>222</v>
      </c>
      <c r="E42" s="55">
        <f>SUM(E38:E41)</f>
        <v>584</v>
      </c>
      <c r="F42" s="55">
        <v>43</v>
      </c>
      <c r="G42" s="25">
        <f t="shared" si="8"/>
        <v>8.4186046511627914</v>
      </c>
      <c r="H42" s="25">
        <f t="shared" si="9"/>
        <v>5.1627906976744189</v>
      </c>
      <c r="I42" s="25">
        <f>E42/F42</f>
        <v>13.581395348837209</v>
      </c>
    </row>
    <row r="43" spans="1:13" ht="15.75" thickBot="1" x14ac:dyDescent="0.3">
      <c r="B43" s="11"/>
      <c r="C43" s="55"/>
      <c r="D43" s="55"/>
      <c r="E43" s="55"/>
      <c r="F43" s="55"/>
      <c r="G43" s="25"/>
      <c r="H43" s="25"/>
      <c r="I43" s="25"/>
    </row>
    <row r="44" spans="1:13" ht="15.75" thickBot="1" x14ac:dyDescent="0.3">
      <c r="B44" s="11" t="s">
        <v>9</v>
      </c>
      <c r="C44" s="55">
        <f>'Total Number Of Ind'!H5</f>
        <v>4</v>
      </c>
      <c r="D44" s="55">
        <f>'Total Number Of Ind'!I5</f>
        <v>118</v>
      </c>
      <c r="E44" s="55">
        <f>C44+D44</f>
        <v>122</v>
      </c>
      <c r="F44" s="55">
        <v>37</v>
      </c>
      <c r="G44" s="25">
        <f t="shared" si="8"/>
        <v>0.10810810810810811</v>
      </c>
      <c r="H44" s="25">
        <f>D44/F44</f>
        <v>3.189189189189189</v>
      </c>
      <c r="I44" s="25">
        <f t="shared" si="10"/>
        <v>3.2972972972972974</v>
      </c>
    </row>
    <row r="45" spans="1:13" ht="15.75" thickBot="1" x14ac:dyDescent="0.3"/>
    <row r="46" spans="1:13" x14ac:dyDescent="0.25">
      <c r="A46" t="s">
        <v>51</v>
      </c>
      <c r="B46" s="15"/>
      <c r="C46" s="81" t="s">
        <v>56</v>
      </c>
      <c r="D46" s="82"/>
      <c r="E46" s="81" t="s">
        <v>57</v>
      </c>
      <c r="F46" s="82"/>
      <c r="G46" s="81" t="s">
        <v>59</v>
      </c>
      <c r="H46" s="82"/>
      <c r="I46" s="81" t="s">
        <v>58</v>
      </c>
      <c r="J46" s="82"/>
      <c r="K46" s="81" t="s">
        <v>22</v>
      </c>
      <c r="L46" s="82"/>
      <c r="M46" s="18"/>
    </row>
    <row r="47" spans="1:13" ht="15.75" thickBot="1" x14ac:dyDescent="0.3">
      <c r="B47" s="16"/>
      <c r="C47" s="83"/>
      <c r="D47" s="84"/>
      <c r="E47" s="83"/>
      <c r="F47" s="84"/>
      <c r="G47" s="83"/>
      <c r="H47" s="84"/>
      <c r="I47" s="83"/>
      <c r="J47" s="84"/>
      <c r="K47" s="83"/>
      <c r="L47" s="84"/>
      <c r="M47" s="19"/>
    </row>
    <row r="48" spans="1:13" ht="26.25" thickBot="1" x14ac:dyDescent="0.3">
      <c r="B48" s="17" t="s">
        <v>8</v>
      </c>
      <c r="C48" s="20" t="s">
        <v>23</v>
      </c>
      <c r="D48" s="20" t="s">
        <v>24</v>
      </c>
      <c r="E48" s="20" t="s">
        <v>23</v>
      </c>
      <c r="F48" s="20" t="s">
        <v>24</v>
      </c>
      <c r="G48" s="20" t="s">
        <v>23</v>
      </c>
      <c r="H48" s="20" t="s">
        <v>24</v>
      </c>
      <c r="I48" s="20" t="s">
        <v>23</v>
      </c>
      <c r="J48" s="20" t="s">
        <v>24</v>
      </c>
      <c r="K48" s="20" t="s">
        <v>23</v>
      </c>
      <c r="L48" s="20" t="s">
        <v>24</v>
      </c>
      <c r="M48" s="20" t="s">
        <v>9</v>
      </c>
    </row>
    <row r="49" spans="2:13" ht="15.75" thickBot="1" x14ac:dyDescent="0.3">
      <c r="B49" s="17">
        <v>22</v>
      </c>
      <c r="C49" s="20"/>
      <c r="D49" s="20"/>
      <c r="E49" s="20"/>
      <c r="F49" s="20"/>
      <c r="G49" s="20"/>
      <c r="H49" s="20"/>
      <c r="I49" s="20"/>
      <c r="J49" s="20"/>
      <c r="K49" s="20"/>
      <c r="L49" s="20"/>
      <c r="M49" s="20"/>
    </row>
    <row r="50" spans="2:13" ht="15.75" thickBot="1" x14ac:dyDescent="0.3">
      <c r="B50" s="17">
        <v>23</v>
      </c>
      <c r="C50" s="44" t="s">
        <v>105</v>
      </c>
      <c r="D50" s="46">
        <v>2.19</v>
      </c>
      <c r="E50" s="44" t="s">
        <v>105</v>
      </c>
      <c r="F50" s="46">
        <v>5.32</v>
      </c>
      <c r="G50" s="44" t="s">
        <v>105</v>
      </c>
      <c r="H50" s="46">
        <v>7.79</v>
      </c>
      <c r="I50" s="44" t="s">
        <v>105</v>
      </c>
      <c r="J50" s="46">
        <v>0.35</v>
      </c>
      <c r="K50" s="44" t="s">
        <v>105</v>
      </c>
      <c r="L50" s="46">
        <v>4.7699999999999996</v>
      </c>
      <c r="M50" s="44" t="s">
        <v>105</v>
      </c>
    </row>
    <row r="51" spans="2:13" ht="15.75" thickBot="1" x14ac:dyDescent="0.3">
      <c r="B51" s="17">
        <v>24</v>
      </c>
      <c r="C51" s="28">
        <v>3.11</v>
      </c>
      <c r="D51" s="47">
        <v>2.2000000000000002</v>
      </c>
      <c r="E51" s="28">
        <v>13.1</v>
      </c>
      <c r="F51" s="47">
        <v>7.84</v>
      </c>
      <c r="G51" s="28">
        <v>5.53</v>
      </c>
      <c r="H51" s="47">
        <v>11.49</v>
      </c>
      <c r="I51" s="28">
        <v>5.44</v>
      </c>
      <c r="J51" s="47">
        <v>0.64</v>
      </c>
      <c r="K51" s="28">
        <v>6.77</v>
      </c>
      <c r="L51" s="47">
        <v>6.37</v>
      </c>
      <c r="M51" s="28">
        <v>7.19</v>
      </c>
    </row>
    <row r="52" spans="2:13" ht="15.75" thickBot="1" x14ac:dyDescent="0.3">
      <c r="B52" s="17">
        <v>25</v>
      </c>
      <c r="C52" s="28">
        <v>22.22</v>
      </c>
      <c r="D52" s="47">
        <v>6.39</v>
      </c>
      <c r="E52" s="28">
        <v>61.3</v>
      </c>
      <c r="F52" s="47">
        <v>16.88</v>
      </c>
      <c r="G52" s="28">
        <v>70.33</v>
      </c>
      <c r="H52" s="47">
        <v>21.12</v>
      </c>
      <c r="I52" s="28">
        <v>18</v>
      </c>
      <c r="J52" s="47">
        <v>1.92</v>
      </c>
      <c r="K52" s="28">
        <v>47.21</v>
      </c>
      <c r="L52" s="47">
        <v>13.09</v>
      </c>
      <c r="M52" s="25">
        <v>107.14</v>
      </c>
    </row>
    <row r="53" spans="2:13" ht="15.75" thickBot="1" x14ac:dyDescent="0.3">
      <c r="B53" s="17">
        <v>26</v>
      </c>
      <c r="C53" s="28">
        <v>34.44</v>
      </c>
      <c r="D53" s="47">
        <v>11.54</v>
      </c>
      <c r="E53" s="28">
        <v>79.599999999999994</v>
      </c>
      <c r="F53" s="47">
        <v>35.479999999999997</v>
      </c>
      <c r="G53" s="28">
        <v>70.53</v>
      </c>
      <c r="H53" s="47">
        <v>33.090000000000003</v>
      </c>
      <c r="I53" s="28">
        <v>11.33</v>
      </c>
      <c r="J53" s="47">
        <v>5.81</v>
      </c>
      <c r="K53" s="28">
        <v>52.7</v>
      </c>
      <c r="L53" s="47">
        <v>23.19</v>
      </c>
      <c r="M53" s="25">
        <v>60</v>
      </c>
    </row>
    <row r="54" spans="2:13" ht="15.75" thickBot="1" x14ac:dyDescent="0.3">
      <c r="B54" s="17">
        <v>27</v>
      </c>
      <c r="C54" s="28">
        <v>18</v>
      </c>
      <c r="D54" s="47">
        <v>30.65</v>
      </c>
      <c r="E54" s="28">
        <v>57.4</v>
      </c>
      <c r="F54" s="47">
        <v>68.92</v>
      </c>
      <c r="G54" s="28">
        <v>52.33</v>
      </c>
      <c r="H54" s="47">
        <v>43.03</v>
      </c>
      <c r="I54" s="28">
        <v>7.44</v>
      </c>
      <c r="J54" s="47">
        <v>12.58</v>
      </c>
      <c r="K54" s="28">
        <v>36.93</v>
      </c>
      <c r="L54" s="47">
        <v>42.47</v>
      </c>
      <c r="M54" s="28">
        <v>51.16</v>
      </c>
    </row>
    <row r="55" spans="2:13" ht="15.75" thickBot="1" x14ac:dyDescent="0.3">
      <c r="B55" s="17">
        <v>28</v>
      </c>
      <c r="C55" s="28">
        <v>34.11</v>
      </c>
      <c r="D55" s="47">
        <v>48.06</v>
      </c>
      <c r="E55" s="28">
        <v>122.1</v>
      </c>
      <c r="F55" s="47">
        <v>84.97</v>
      </c>
      <c r="G55" s="28">
        <v>133.27000000000001</v>
      </c>
      <c r="H55" s="47">
        <v>67.44</v>
      </c>
      <c r="I55" s="28">
        <v>11.33</v>
      </c>
      <c r="J55" s="47">
        <v>13.15</v>
      </c>
      <c r="K55" s="28">
        <v>84.4</v>
      </c>
      <c r="L55" s="47">
        <v>55.87</v>
      </c>
      <c r="M55" s="28">
        <v>95.3</v>
      </c>
    </row>
    <row r="56" spans="2:13" ht="15.75" thickBot="1" x14ac:dyDescent="0.3">
      <c r="B56" s="17">
        <v>29</v>
      </c>
      <c r="C56" s="28">
        <v>56.44</v>
      </c>
      <c r="D56" s="47">
        <v>55.24</v>
      </c>
      <c r="E56" s="28">
        <v>101.3</v>
      </c>
      <c r="F56" s="47">
        <v>83.97</v>
      </c>
      <c r="G56" s="28">
        <v>118.13</v>
      </c>
      <c r="H56" s="47">
        <v>69.09</v>
      </c>
      <c r="I56" s="28">
        <v>44.56</v>
      </c>
      <c r="J56" s="47">
        <v>20.03</v>
      </c>
      <c r="K56" s="28">
        <v>85.91</v>
      </c>
      <c r="L56" s="47">
        <v>59.75</v>
      </c>
      <c r="M56" s="28">
        <v>92.49</v>
      </c>
    </row>
    <row r="57" spans="2:13" ht="15.75" thickBot="1" x14ac:dyDescent="0.3">
      <c r="B57" s="17">
        <v>30</v>
      </c>
      <c r="C57" s="28">
        <v>87.56</v>
      </c>
      <c r="D57" s="47">
        <v>48.71</v>
      </c>
      <c r="E57" s="28">
        <v>191</v>
      </c>
      <c r="F57" s="47">
        <v>120.93</v>
      </c>
      <c r="G57" s="28">
        <v>148.13</v>
      </c>
      <c r="H57" s="47">
        <v>79.38</v>
      </c>
      <c r="I57" s="28">
        <v>40.22</v>
      </c>
      <c r="J57" s="47">
        <v>17.11</v>
      </c>
      <c r="K57" s="28">
        <v>122.84</v>
      </c>
      <c r="L57" s="47">
        <v>70.39</v>
      </c>
      <c r="M57" s="28">
        <v>90.81</v>
      </c>
    </row>
    <row r="58" spans="2:13" ht="15.75" thickBot="1" x14ac:dyDescent="0.3">
      <c r="B58" s="17">
        <v>31</v>
      </c>
      <c r="C58" s="25">
        <v>54.33</v>
      </c>
      <c r="D58" s="47">
        <v>48.48</v>
      </c>
      <c r="E58" s="28">
        <v>155.1</v>
      </c>
      <c r="F58" s="47">
        <v>96.73</v>
      </c>
      <c r="G58" s="28">
        <v>58.8</v>
      </c>
      <c r="H58" s="47">
        <v>58.83</v>
      </c>
      <c r="I58" s="28">
        <v>40.56</v>
      </c>
      <c r="J58" s="47">
        <v>12.95</v>
      </c>
      <c r="K58" s="25">
        <v>76.44</v>
      </c>
      <c r="L58" s="47">
        <v>57.79</v>
      </c>
      <c r="M58" s="28">
        <v>45.81</v>
      </c>
    </row>
    <row r="59" spans="2:13" ht="15.75" thickBot="1" x14ac:dyDescent="0.3">
      <c r="B59" s="17">
        <v>32</v>
      </c>
      <c r="C59" s="28">
        <v>41.75</v>
      </c>
      <c r="D59" s="47">
        <v>41.25</v>
      </c>
      <c r="E59" s="28">
        <v>68.3</v>
      </c>
      <c r="F59" s="47">
        <v>68.12</v>
      </c>
      <c r="G59" s="28">
        <v>34.33</v>
      </c>
      <c r="H59" s="47">
        <v>57.75</v>
      </c>
      <c r="I59" s="28">
        <v>15.67</v>
      </c>
      <c r="J59" s="47">
        <v>14.77</v>
      </c>
      <c r="K59" s="28">
        <v>39.880000000000003</v>
      </c>
      <c r="L59" s="47">
        <v>48.11</v>
      </c>
      <c r="M59" s="28">
        <v>29.73</v>
      </c>
    </row>
    <row r="60" spans="2:13" ht="15.75" thickBot="1" x14ac:dyDescent="0.3">
      <c r="B60" s="17">
        <v>33</v>
      </c>
      <c r="C60" s="28">
        <v>7.44</v>
      </c>
      <c r="D60" s="47">
        <v>27.04</v>
      </c>
      <c r="E60" s="28">
        <v>26.8</v>
      </c>
      <c r="F60" s="47">
        <v>52.01</v>
      </c>
      <c r="G60" s="28">
        <v>14.27</v>
      </c>
      <c r="H60" s="47">
        <v>36.5</v>
      </c>
      <c r="I60" s="28">
        <v>4.78</v>
      </c>
      <c r="J60" s="47">
        <v>9.36</v>
      </c>
      <c r="K60" s="28">
        <v>13.77</v>
      </c>
      <c r="L60" s="47">
        <v>32.44</v>
      </c>
      <c r="M60" s="28">
        <v>8.84</v>
      </c>
    </row>
    <row r="61" spans="2:13" ht="15.75" thickBot="1" x14ac:dyDescent="0.3">
      <c r="B61" s="17">
        <v>34</v>
      </c>
      <c r="C61" s="28">
        <v>16.11</v>
      </c>
      <c r="D61" s="47">
        <v>20.04</v>
      </c>
      <c r="E61" s="28">
        <v>17.3</v>
      </c>
      <c r="F61" s="47">
        <v>46.6</v>
      </c>
      <c r="G61" s="28">
        <v>23.4</v>
      </c>
      <c r="H61" s="47">
        <v>27.58</v>
      </c>
      <c r="I61" s="28">
        <v>6.67</v>
      </c>
      <c r="J61" s="47">
        <v>6.54</v>
      </c>
      <c r="K61" s="28">
        <v>16.95</v>
      </c>
      <c r="L61" s="47">
        <v>26.43</v>
      </c>
      <c r="M61" s="28">
        <v>15.86</v>
      </c>
    </row>
    <row r="62" spans="2:13" ht="15.75" thickBot="1" x14ac:dyDescent="0.3">
      <c r="B62" s="17">
        <v>35</v>
      </c>
      <c r="C62" s="28">
        <v>5.33</v>
      </c>
      <c r="D62" s="47">
        <v>8.4499999999999993</v>
      </c>
      <c r="E62" s="28">
        <v>25.4</v>
      </c>
      <c r="F62" s="47">
        <v>20.21</v>
      </c>
      <c r="G62" s="28">
        <v>17.27</v>
      </c>
      <c r="H62" s="47">
        <v>13.06</v>
      </c>
      <c r="I62" s="28">
        <v>2.56</v>
      </c>
      <c r="J62" s="47">
        <v>4.12</v>
      </c>
      <c r="K62" s="28">
        <v>13.58</v>
      </c>
      <c r="L62" s="47">
        <v>11.98</v>
      </c>
      <c r="M62" s="28">
        <v>3.3</v>
      </c>
    </row>
    <row r="63" spans="2:13" ht="15.75" thickBot="1" x14ac:dyDescent="0.3">
      <c r="B63" s="17">
        <v>36</v>
      </c>
      <c r="C63" s="20"/>
      <c r="D63" s="20"/>
      <c r="E63" s="20"/>
      <c r="F63" s="20"/>
      <c r="G63" s="20"/>
      <c r="H63" s="20"/>
      <c r="I63" s="20"/>
      <c r="J63" s="20"/>
      <c r="K63" s="20"/>
      <c r="L63" s="20"/>
      <c r="M63" s="20"/>
    </row>
    <row r="64" spans="2:13" ht="15.75" thickBot="1" x14ac:dyDescent="0.3"/>
    <row r="65" spans="1:21" x14ac:dyDescent="0.25">
      <c r="A65" t="s">
        <v>52</v>
      </c>
      <c r="B65" s="15"/>
      <c r="C65" s="81" t="s">
        <v>34</v>
      </c>
      <c r="D65" s="93"/>
      <c r="E65" s="82"/>
      <c r="F65" s="81" t="s">
        <v>35</v>
      </c>
      <c r="G65" s="93"/>
      <c r="H65" s="82"/>
      <c r="I65" s="81" t="s">
        <v>33</v>
      </c>
      <c r="J65" s="93"/>
      <c r="K65" s="82"/>
      <c r="L65" s="81" t="s">
        <v>37</v>
      </c>
      <c r="M65" s="93"/>
      <c r="N65" s="82"/>
    </row>
    <row r="66" spans="1:21" x14ac:dyDescent="0.25">
      <c r="B66" s="16"/>
      <c r="C66" s="94"/>
      <c r="D66" s="95"/>
      <c r="E66" s="96"/>
      <c r="F66" s="94"/>
      <c r="G66" s="95"/>
      <c r="H66" s="96"/>
      <c r="I66" s="94" t="s">
        <v>36</v>
      </c>
      <c r="J66" s="98"/>
      <c r="K66" s="96"/>
      <c r="L66" s="94"/>
      <c r="M66" s="95"/>
      <c r="N66" s="96"/>
    </row>
    <row r="67" spans="1:21" ht="15.75" thickBot="1" x14ac:dyDescent="0.3">
      <c r="B67" s="16"/>
      <c r="C67" s="83"/>
      <c r="D67" s="97"/>
      <c r="E67" s="84"/>
      <c r="F67" s="83"/>
      <c r="G67" s="97"/>
      <c r="H67" s="84"/>
      <c r="I67" s="72"/>
      <c r="J67" s="80"/>
      <c r="K67" s="73"/>
      <c r="L67" s="83"/>
      <c r="M67" s="97"/>
      <c r="N67" s="84"/>
    </row>
    <row r="68" spans="1:21" ht="24.75" thickBot="1" x14ac:dyDescent="0.3">
      <c r="B68" s="17" t="s">
        <v>10</v>
      </c>
      <c r="C68" s="22" t="s">
        <v>15</v>
      </c>
      <c r="D68" s="22" t="s">
        <v>16</v>
      </c>
      <c r="E68" s="20" t="s">
        <v>38</v>
      </c>
      <c r="F68" s="22" t="s">
        <v>15</v>
      </c>
      <c r="G68" s="22" t="s">
        <v>16</v>
      </c>
      <c r="H68" s="20" t="s">
        <v>38</v>
      </c>
      <c r="I68" s="22" t="s">
        <v>15</v>
      </c>
      <c r="J68" s="22" t="s">
        <v>16</v>
      </c>
      <c r="K68" s="20" t="s">
        <v>38</v>
      </c>
      <c r="L68" s="22" t="s">
        <v>15</v>
      </c>
      <c r="M68" s="22" t="s">
        <v>16</v>
      </c>
      <c r="N68" s="20" t="s">
        <v>38</v>
      </c>
      <c r="Q68" s="53"/>
      <c r="R68" s="54"/>
      <c r="T68" s="53"/>
      <c r="U68" s="54"/>
    </row>
    <row r="69" spans="1:21" ht="24.75" thickBot="1" x14ac:dyDescent="0.3">
      <c r="B69" s="17" t="s">
        <v>56</v>
      </c>
      <c r="C69" s="55">
        <f>'Total Number Ind Examined '!I8</f>
        <v>154</v>
      </c>
      <c r="D69" s="55">
        <f>'Total Number Ind Examined '!J8</f>
        <v>24</v>
      </c>
      <c r="E69" s="55">
        <f>C69+D69</f>
        <v>178</v>
      </c>
      <c r="F69" s="59">
        <f>'Total Number of Pools Examined'!H8</f>
        <v>12</v>
      </c>
      <c r="G69" s="59">
        <f>'Total Number of Pools Examined'!I8</f>
        <v>6</v>
      </c>
      <c r="H69" s="59">
        <f>F69+G69</f>
        <v>18</v>
      </c>
      <c r="I69" s="59">
        <f>'Total Number of WNV + Pools'!G7</f>
        <v>4</v>
      </c>
      <c r="J69" s="59">
        <f>'Total Number of WNV + Pools'!H7</f>
        <v>0</v>
      </c>
      <c r="K69" s="59">
        <f>'Total Number of WNV + Pools'!I7</f>
        <v>4</v>
      </c>
      <c r="L69" s="28">
        <f>ZONEINFRATE!C2</f>
        <v>47.258177848682003</v>
      </c>
      <c r="M69" s="28">
        <f>ZONEINFRATE!C3</f>
        <v>0</v>
      </c>
      <c r="N69" s="20">
        <v>35.799999999999997</v>
      </c>
      <c r="R69" s="29"/>
      <c r="U69" s="29"/>
    </row>
    <row r="70" spans="1:21" ht="24.75" thickBot="1" x14ac:dyDescent="0.3">
      <c r="B70" s="17" t="s">
        <v>57</v>
      </c>
      <c r="C70" s="55">
        <f>'Total Number Ind Examined '!I7</f>
        <v>398</v>
      </c>
      <c r="D70" s="55">
        <f>'Total Number Ind Examined '!J7</f>
        <v>113</v>
      </c>
      <c r="E70" s="55">
        <f t="shared" ref="E70:E73" si="11">C70+D70</f>
        <v>511</v>
      </c>
      <c r="F70" s="59">
        <f>'Total Number of Pools Examined'!H7</f>
        <v>17</v>
      </c>
      <c r="G70" s="59">
        <f>'Total Number of Pools Examined'!I7</f>
        <v>10</v>
      </c>
      <c r="H70" s="59">
        <f t="shared" ref="H70:H73" si="12">F70+G70</f>
        <v>27</v>
      </c>
      <c r="I70" s="59">
        <f>'Total Number of WNV + Pools'!G8</f>
        <v>6</v>
      </c>
      <c r="J70" s="59">
        <f>'Total Number of WNV + Pools'!H8</f>
        <v>1</v>
      </c>
      <c r="K70" s="59">
        <f>'Total Number of WNV + Pools'!I8</f>
        <v>7</v>
      </c>
      <c r="L70" s="28">
        <f>ZONEINFRATE!C4</f>
        <v>20.943357229192987</v>
      </c>
      <c r="M70" s="28">
        <f>ZONEINFRATE!C5</f>
        <v>8.5055429399774489</v>
      </c>
      <c r="N70" s="20">
        <v>17.66</v>
      </c>
      <c r="R70" s="29"/>
      <c r="U70" s="29"/>
    </row>
    <row r="71" spans="1:21" ht="24.75" thickBot="1" x14ac:dyDescent="0.3">
      <c r="B71" s="17" t="s">
        <v>59</v>
      </c>
      <c r="C71" s="55">
        <f>'Total Number Ind Examined '!I9</f>
        <v>458</v>
      </c>
      <c r="D71" s="55">
        <f>'Total Number Ind Examined '!J9</f>
        <v>72</v>
      </c>
      <c r="E71" s="55">
        <f t="shared" si="11"/>
        <v>530</v>
      </c>
      <c r="F71" s="59">
        <f>'Total Number of Pools Examined'!H9</f>
        <v>24</v>
      </c>
      <c r="G71" s="59">
        <f>'Total Number of Pools Examined'!I9</f>
        <v>15</v>
      </c>
      <c r="H71" s="59">
        <f t="shared" si="12"/>
        <v>39</v>
      </c>
      <c r="I71" s="59">
        <f>'Total Number of WNV + Pools'!G9</f>
        <v>7</v>
      </c>
      <c r="J71" s="59">
        <f>'Total Number of WNV + Pools'!H9</f>
        <v>2</v>
      </c>
      <c r="K71" s="59">
        <f>'Total Number of WNV + Pools'!I9</f>
        <v>9</v>
      </c>
      <c r="L71" s="28">
        <f>ZONEINFRATE!C6</f>
        <v>21.754017572111351</v>
      </c>
      <c r="M71" s="28">
        <f>ZONEINFRATE!C7</f>
        <v>29.049215303824052</v>
      </c>
      <c r="N71" s="20">
        <v>23.46</v>
      </c>
      <c r="R71" s="29"/>
    </row>
    <row r="72" spans="1:21" ht="24.75" thickBot="1" x14ac:dyDescent="0.3">
      <c r="B72" s="17" t="s">
        <v>58</v>
      </c>
      <c r="C72" s="55">
        <f>'Total Number Ind Examined '!I10</f>
        <v>159</v>
      </c>
      <c r="D72" s="55">
        <f>'Total Number Ind Examined '!J10</f>
        <v>13</v>
      </c>
      <c r="E72" s="55">
        <f t="shared" si="11"/>
        <v>172</v>
      </c>
      <c r="F72" s="59">
        <f>'Total Number of Pools Examined'!H10</f>
        <v>8</v>
      </c>
      <c r="G72" s="59">
        <f>'Total Number of Pools Examined'!I10</f>
        <v>6</v>
      </c>
      <c r="H72" s="59">
        <f t="shared" si="12"/>
        <v>14</v>
      </c>
      <c r="I72" s="59">
        <f>'Total Number of WNV + Pools'!G10</f>
        <v>2</v>
      </c>
      <c r="J72" s="59">
        <f>'Total Number of WNV + Pools'!H10</f>
        <v>0</v>
      </c>
      <c r="K72" s="59">
        <f>'Total Number of WNV + Pools'!I10</f>
        <v>2</v>
      </c>
      <c r="L72" s="28">
        <f>ZONEINFRATE!C8</f>
        <v>15.235082281023168</v>
      </c>
      <c r="M72" s="28">
        <f>ZONEINFRATE!C9</f>
        <v>0</v>
      </c>
      <c r="N72" s="20">
        <v>14.35</v>
      </c>
      <c r="R72" s="29"/>
    </row>
    <row r="73" spans="1:21" ht="24.75" thickBot="1" x14ac:dyDescent="0.3">
      <c r="B73" s="17" t="s">
        <v>22</v>
      </c>
      <c r="C73" s="55">
        <f>SUM(C69:C72)</f>
        <v>1169</v>
      </c>
      <c r="D73" s="55">
        <f>SUM(D69:D72)</f>
        <v>222</v>
      </c>
      <c r="E73" s="55">
        <f t="shared" si="11"/>
        <v>1391</v>
      </c>
      <c r="F73" s="59">
        <f t="shared" ref="F73:K73" si="13">SUM(F69:F72)</f>
        <v>61</v>
      </c>
      <c r="G73" s="59">
        <f t="shared" si="13"/>
        <v>37</v>
      </c>
      <c r="H73" s="59">
        <f t="shared" si="12"/>
        <v>98</v>
      </c>
      <c r="I73" s="59">
        <f t="shared" si="13"/>
        <v>19</v>
      </c>
      <c r="J73" s="59">
        <f t="shared" si="13"/>
        <v>3</v>
      </c>
      <c r="K73" s="59">
        <f t="shared" si="13"/>
        <v>22</v>
      </c>
      <c r="L73" s="28">
        <f>CITYINFRATE!C2</f>
        <v>24.780501879271462</v>
      </c>
      <c r="M73" s="28">
        <f>CITYINFRATE!C3</f>
        <v>13.756288781255989</v>
      </c>
      <c r="N73" s="20">
        <v>22.36</v>
      </c>
      <c r="R73" s="29"/>
    </row>
    <row r="74" spans="1:21" ht="15.75" thickBot="1" x14ac:dyDescent="0.3">
      <c r="B74" s="17"/>
      <c r="C74" s="59"/>
      <c r="D74" s="59"/>
      <c r="E74" s="59"/>
      <c r="F74" s="59"/>
      <c r="G74" s="59"/>
      <c r="H74" s="59"/>
      <c r="I74" s="59"/>
      <c r="J74" s="59"/>
      <c r="K74" s="59"/>
      <c r="L74" s="28"/>
      <c r="M74" s="28"/>
      <c r="N74" s="20"/>
    </row>
    <row r="75" spans="1:21" ht="15.75" thickBot="1" x14ac:dyDescent="0.3">
      <c r="B75" s="17" t="s">
        <v>9</v>
      </c>
      <c r="C75" s="59">
        <f>'Total Number Ind Examined '!I6</f>
        <v>4</v>
      </c>
      <c r="D75" s="59">
        <f>'Total Number Ind Examined '!J6</f>
        <v>118</v>
      </c>
      <c r="E75" s="59">
        <f>C75+D75</f>
        <v>122</v>
      </c>
      <c r="F75" s="59">
        <f>'Total Number of Pools Examined'!H6</f>
        <v>2</v>
      </c>
      <c r="G75" s="59">
        <f>'Total Number of Pools Examined'!I6</f>
        <v>7</v>
      </c>
      <c r="H75" s="59">
        <f>F75+G75</f>
        <v>9</v>
      </c>
      <c r="I75" s="59">
        <f>'Total Number of WNV + Pools'!G11</f>
        <v>0</v>
      </c>
      <c r="J75" s="59">
        <f>'Total Number of WNV + Pools'!H11</f>
        <v>2</v>
      </c>
      <c r="K75" s="59">
        <f>I75+J75</f>
        <v>2</v>
      </c>
      <c r="L75" s="28">
        <f>CITYINFRATE!C4</f>
        <v>0</v>
      </c>
      <c r="M75" s="28">
        <f>CITYINFRATE!C5</f>
        <v>18.202616187224425</v>
      </c>
      <c r="N75" s="20">
        <v>17.850000000000001</v>
      </c>
    </row>
    <row r="76" spans="1:21" ht="15.75" thickBot="1" x14ac:dyDescent="0.3"/>
    <row r="77" spans="1:21" x14ac:dyDescent="0.25">
      <c r="A77" t="s">
        <v>53</v>
      </c>
      <c r="B77" s="15"/>
      <c r="C77" s="81" t="s">
        <v>56</v>
      </c>
      <c r="D77" s="82"/>
      <c r="E77" s="81" t="s">
        <v>57</v>
      </c>
      <c r="F77" s="82"/>
      <c r="G77" s="81" t="s">
        <v>59</v>
      </c>
      <c r="H77" s="82"/>
      <c r="I77" s="81" t="s">
        <v>58</v>
      </c>
      <c r="J77" s="82"/>
      <c r="K77" s="81" t="s">
        <v>22</v>
      </c>
      <c r="L77" s="82"/>
      <c r="M77" s="18"/>
    </row>
    <row r="78" spans="1:21" ht="15.75" thickBot="1" x14ac:dyDescent="0.3">
      <c r="B78" s="16"/>
      <c r="C78" s="83"/>
      <c r="D78" s="84"/>
      <c r="E78" s="83"/>
      <c r="F78" s="84"/>
      <c r="G78" s="83"/>
      <c r="H78" s="84"/>
      <c r="I78" s="83"/>
      <c r="J78" s="84"/>
      <c r="K78" s="83"/>
      <c r="L78" s="84"/>
      <c r="M78" s="19"/>
    </row>
    <row r="79" spans="1:21" ht="26.25" thickBot="1" x14ac:dyDescent="0.3">
      <c r="B79" s="17" t="s">
        <v>8</v>
      </c>
      <c r="C79" s="20" t="s">
        <v>23</v>
      </c>
      <c r="D79" s="20" t="s">
        <v>24</v>
      </c>
      <c r="E79" s="20" t="s">
        <v>23</v>
      </c>
      <c r="F79" s="20" t="s">
        <v>24</v>
      </c>
      <c r="G79" s="20" t="s">
        <v>23</v>
      </c>
      <c r="H79" s="20" t="s">
        <v>24</v>
      </c>
      <c r="I79" s="20" t="s">
        <v>23</v>
      </c>
      <c r="J79" s="20" t="s">
        <v>24</v>
      </c>
      <c r="K79" s="20" t="s">
        <v>23</v>
      </c>
      <c r="L79" s="20" t="s">
        <v>24</v>
      </c>
      <c r="M79" s="20" t="s">
        <v>9</v>
      </c>
    </row>
    <row r="80" spans="1:21" ht="15.75" thickBot="1" x14ac:dyDescent="0.3">
      <c r="B80" s="17">
        <v>22</v>
      </c>
      <c r="C80" s="20"/>
      <c r="D80" s="20"/>
      <c r="E80" s="20"/>
      <c r="F80" s="20"/>
      <c r="G80" s="20"/>
      <c r="H80" s="20"/>
      <c r="I80" s="20"/>
      <c r="J80" s="20"/>
      <c r="K80" s="20"/>
      <c r="L80" s="20"/>
      <c r="M80" s="20"/>
    </row>
    <row r="81" spans="2:13" ht="15.75" thickBot="1" x14ac:dyDescent="0.3">
      <c r="B81" s="17">
        <v>23</v>
      </c>
      <c r="C81" s="28" t="s">
        <v>106</v>
      </c>
      <c r="D81" s="48">
        <v>0</v>
      </c>
      <c r="E81" s="28" t="s">
        <v>106</v>
      </c>
      <c r="F81" s="48">
        <v>0</v>
      </c>
      <c r="G81" s="28" t="s">
        <v>106</v>
      </c>
      <c r="H81" s="48">
        <v>1.99</v>
      </c>
      <c r="I81" s="28" t="s">
        <v>106</v>
      </c>
      <c r="J81" s="48">
        <v>0</v>
      </c>
      <c r="K81" s="28" t="s">
        <v>106</v>
      </c>
      <c r="L81" s="48">
        <v>0.57999999999999996</v>
      </c>
      <c r="M81" s="28" t="s">
        <v>106</v>
      </c>
    </row>
    <row r="82" spans="2:13" ht="15.75" thickBot="1" x14ac:dyDescent="0.3">
      <c r="B82" s="17">
        <v>24</v>
      </c>
      <c r="C82" s="28">
        <v>0</v>
      </c>
      <c r="D82" s="49">
        <v>0</v>
      </c>
      <c r="E82" s="28">
        <v>0</v>
      </c>
      <c r="F82" s="49">
        <v>0</v>
      </c>
      <c r="G82" s="28">
        <v>0</v>
      </c>
      <c r="H82" s="49">
        <v>1.52</v>
      </c>
      <c r="I82" s="28">
        <v>0</v>
      </c>
      <c r="J82" s="49">
        <v>0</v>
      </c>
      <c r="K82" s="28">
        <v>0</v>
      </c>
      <c r="L82" s="49">
        <v>0.57999999999999996</v>
      </c>
      <c r="M82" s="28">
        <v>0</v>
      </c>
    </row>
    <row r="83" spans="2:13" ht="15.75" thickBot="1" x14ac:dyDescent="0.3">
      <c r="B83" s="17">
        <v>25</v>
      </c>
      <c r="C83" s="28">
        <v>0</v>
      </c>
      <c r="D83" s="49">
        <v>0</v>
      </c>
      <c r="E83" s="28">
        <v>0</v>
      </c>
      <c r="F83" s="49">
        <v>0.69</v>
      </c>
      <c r="G83" s="28">
        <v>0</v>
      </c>
      <c r="H83" s="49">
        <v>0</v>
      </c>
      <c r="I83" s="28">
        <v>0</v>
      </c>
      <c r="J83" s="49">
        <v>0</v>
      </c>
      <c r="K83" s="28">
        <v>0</v>
      </c>
      <c r="L83" s="49">
        <v>0.09</v>
      </c>
      <c r="M83" s="28">
        <v>0</v>
      </c>
    </row>
    <row r="84" spans="2:13" ht="15.75" thickBot="1" x14ac:dyDescent="0.3">
      <c r="B84" s="17">
        <v>26</v>
      </c>
      <c r="C84" s="28">
        <v>0</v>
      </c>
      <c r="D84" s="49">
        <v>0</v>
      </c>
      <c r="E84" s="28">
        <v>1.08</v>
      </c>
      <c r="F84" s="49">
        <v>0</v>
      </c>
      <c r="G84" s="28">
        <v>0.75</v>
      </c>
      <c r="H84" s="49">
        <v>0.44</v>
      </c>
      <c r="I84" s="28">
        <v>0</v>
      </c>
      <c r="J84" s="49">
        <v>0.54</v>
      </c>
      <c r="K84" s="28">
        <v>0.75</v>
      </c>
      <c r="L84" s="49">
        <v>0.24</v>
      </c>
      <c r="M84" s="28">
        <v>0</v>
      </c>
    </row>
    <row r="85" spans="2:13" ht="15.75" thickBot="1" x14ac:dyDescent="0.3">
      <c r="B85" s="17">
        <v>27</v>
      </c>
      <c r="C85" s="28">
        <v>0</v>
      </c>
      <c r="D85" s="49">
        <v>0</v>
      </c>
      <c r="E85" s="28">
        <v>1.59</v>
      </c>
      <c r="F85" s="49">
        <v>0.09</v>
      </c>
      <c r="G85" s="28">
        <v>0</v>
      </c>
      <c r="H85" s="49">
        <v>0.25</v>
      </c>
      <c r="I85" s="28">
        <v>0</v>
      </c>
      <c r="J85" s="49">
        <v>0</v>
      </c>
      <c r="K85" s="28">
        <v>0.53</v>
      </c>
      <c r="L85" s="49">
        <v>0.17</v>
      </c>
      <c r="M85" s="28">
        <v>0</v>
      </c>
    </row>
    <row r="86" spans="2:13" ht="15.75" thickBot="1" x14ac:dyDescent="0.3">
      <c r="B86" s="17">
        <v>28</v>
      </c>
      <c r="C86" s="28">
        <v>0</v>
      </c>
      <c r="D86" s="49">
        <v>0</v>
      </c>
      <c r="E86" s="28">
        <v>0.65</v>
      </c>
      <c r="F86" s="49">
        <v>0.41</v>
      </c>
      <c r="G86" s="28">
        <v>1.43</v>
      </c>
      <c r="H86" s="49">
        <v>0.9</v>
      </c>
      <c r="I86" s="28">
        <v>0</v>
      </c>
      <c r="J86" s="49">
        <v>0.49</v>
      </c>
      <c r="K86" s="28">
        <v>0.97</v>
      </c>
      <c r="L86" s="49">
        <v>0.53</v>
      </c>
      <c r="M86" s="28">
        <v>0</v>
      </c>
    </row>
    <row r="87" spans="2:13" ht="15.75" thickBot="1" x14ac:dyDescent="0.3">
      <c r="B87" s="17">
        <v>29</v>
      </c>
      <c r="C87" s="28">
        <v>1.87</v>
      </c>
      <c r="D87" s="49">
        <v>1.58</v>
      </c>
      <c r="E87" s="28">
        <v>0</v>
      </c>
      <c r="F87" s="49">
        <v>1.4</v>
      </c>
      <c r="G87" s="28">
        <v>0</v>
      </c>
      <c r="H87" s="49">
        <v>3.22</v>
      </c>
      <c r="I87" s="28">
        <v>0</v>
      </c>
      <c r="J87" s="49">
        <v>1.17</v>
      </c>
      <c r="K87" s="28">
        <v>0.23</v>
      </c>
      <c r="L87" s="49">
        <v>2.0699999999999998</v>
      </c>
      <c r="M87" s="28">
        <v>0.89</v>
      </c>
    </row>
    <row r="88" spans="2:13" ht="15.75" thickBot="1" x14ac:dyDescent="0.3">
      <c r="B88" s="17">
        <v>30</v>
      </c>
      <c r="C88" s="28">
        <v>1.1599999999999999</v>
      </c>
      <c r="D88" s="49">
        <v>2.97</v>
      </c>
      <c r="E88" s="28">
        <v>0.47</v>
      </c>
      <c r="F88" s="49">
        <v>2.1</v>
      </c>
      <c r="G88" s="28">
        <v>2.42</v>
      </c>
      <c r="H88" s="49">
        <v>4.01</v>
      </c>
      <c r="I88" s="28">
        <v>0</v>
      </c>
      <c r="J88" s="49">
        <v>3.6</v>
      </c>
      <c r="K88" s="28">
        <v>1.38</v>
      </c>
      <c r="L88" s="49">
        <v>3.05</v>
      </c>
      <c r="M88" s="28">
        <v>3.18</v>
      </c>
    </row>
    <row r="89" spans="2:13" ht="15.75" thickBot="1" x14ac:dyDescent="0.3">
      <c r="B89" s="17">
        <v>31</v>
      </c>
      <c r="C89" s="28">
        <v>5.25</v>
      </c>
      <c r="D89" s="49">
        <v>4.29</v>
      </c>
      <c r="E89" s="28">
        <v>3.24</v>
      </c>
      <c r="F89" s="49">
        <v>1.42</v>
      </c>
      <c r="G89" s="28">
        <v>3.16</v>
      </c>
      <c r="H89" s="49">
        <v>4.2699999999999996</v>
      </c>
      <c r="I89" s="28">
        <v>2.4500000000000002</v>
      </c>
      <c r="J89" s="49">
        <v>3.4</v>
      </c>
      <c r="K89" s="28">
        <v>3.49</v>
      </c>
      <c r="L89" s="49">
        <v>3.27</v>
      </c>
      <c r="M89" s="28">
        <v>6.26</v>
      </c>
    </row>
    <row r="90" spans="2:13" ht="15.75" thickBot="1" x14ac:dyDescent="0.3">
      <c r="B90" s="17">
        <v>32</v>
      </c>
      <c r="C90" s="28">
        <v>1.98</v>
      </c>
      <c r="D90" s="49">
        <v>4.37</v>
      </c>
      <c r="E90" s="28">
        <v>3.85</v>
      </c>
      <c r="F90" s="49">
        <v>6.3</v>
      </c>
      <c r="G90" s="28">
        <v>7.18</v>
      </c>
      <c r="H90" s="49">
        <v>7.68</v>
      </c>
      <c r="I90" s="28">
        <v>5.85</v>
      </c>
      <c r="J90" s="49">
        <v>9.92</v>
      </c>
      <c r="K90" s="28">
        <v>4.75</v>
      </c>
      <c r="L90" s="49">
        <v>6.11</v>
      </c>
      <c r="M90" s="28">
        <v>0</v>
      </c>
    </row>
    <row r="91" spans="2:13" ht="15.75" thickBot="1" x14ac:dyDescent="0.3">
      <c r="B91" s="17">
        <v>33</v>
      </c>
      <c r="C91" s="28">
        <v>12.1</v>
      </c>
      <c r="D91" s="49">
        <v>8.34</v>
      </c>
      <c r="E91" s="28">
        <v>7.46</v>
      </c>
      <c r="F91" s="49">
        <v>7.54</v>
      </c>
      <c r="G91" s="28">
        <v>11.02</v>
      </c>
      <c r="H91" s="49">
        <v>10.85</v>
      </c>
      <c r="I91" s="28">
        <v>0</v>
      </c>
      <c r="J91" s="49">
        <v>4.8</v>
      </c>
      <c r="K91" s="28">
        <v>8.6999999999999993</v>
      </c>
      <c r="L91" s="49">
        <v>8.9600000000000009</v>
      </c>
      <c r="M91" s="28">
        <v>0</v>
      </c>
    </row>
    <row r="92" spans="2:13" ht="15.75" thickBot="1" x14ac:dyDescent="0.3">
      <c r="B92" s="17">
        <v>34</v>
      </c>
      <c r="C92" s="28">
        <v>14.48</v>
      </c>
      <c r="D92" s="49">
        <v>6.89</v>
      </c>
      <c r="E92" s="28">
        <v>11.52</v>
      </c>
      <c r="F92" s="49">
        <v>3.03</v>
      </c>
      <c r="G92" s="28">
        <v>13.9</v>
      </c>
      <c r="H92" s="49">
        <v>12.02</v>
      </c>
      <c r="I92" s="28">
        <v>10.86</v>
      </c>
      <c r="J92" s="49">
        <v>12.99</v>
      </c>
      <c r="K92" s="28">
        <v>13.89</v>
      </c>
      <c r="L92" s="49">
        <v>7.66</v>
      </c>
      <c r="M92" s="28">
        <v>0</v>
      </c>
    </row>
    <row r="93" spans="2:13" ht="15.75" thickBot="1" x14ac:dyDescent="0.3">
      <c r="B93" s="17">
        <v>35</v>
      </c>
      <c r="C93" s="44">
        <v>35.799999999999997</v>
      </c>
      <c r="D93" s="50">
        <v>8.1300000000000008</v>
      </c>
      <c r="E93" s="44">
        <v>17.66</v>
      </c>
      <c r="F93" s="50">
        <v>4.78</v>
      </c>
      <c r="G93" s="44">
        <v>23.46</v>
      </c>
      <c r="H93" s="50">
        <v>15.6</v>
      </c>
      <c r="I93" s="44">
        <v>14.35</v>
      </c>
      <c r="J93" s="50">
        <v>61.3</v>
      </c>
      <c r="K93" s="44">
        <v>22.36</v>
      </c>
      <c r="L93" s="50">
        <v>10.8</v>
      </c>
      <c r="M93" s="44">
        <v>17.850000000000001</v>
      </c>
    </row>
    <row r="94" spans="2:13" ht="15.75" thickBot="1" x14ac:dyDescent="0.3">
      <c r="B94" s="17">
        <v>36</v>
      </c>
      <c r="C94" s="20"/>
      <c r="D94" s="20"/>
      <c r="E94" s="20"/>
      <c r="F94" s="20"/>
      <c r="G94" s="20"/>
      <c r="H94" s="20"/>
      <c r="I94" s="20"/>
      <c r="J94" s="20"/>
      <c r="K94" s="20"/>
      <c r="L94" s="20"/>
      <c r="M94" s="20"/>
    </row>
  </sheetData>
  <mergeCells count="41">
    <mergeCell ref="L65:N67"/>
    <mergeCell ref="C77:D78"/>
    <mergeCell ref="E77:F78"/>
    <mergeCell ref="G77:H78"/>
    <mergeCell ref="I77:J78"/>
    <mergeCell ref="K77:L78"/>
    <mergeCell ref="C65:E67"/>
    <mergeCell ref="F65:H67"/>
    <mergeCell ref="I65:K65"/>
    <mergeCell ref="I66:K66"/>
    <mergeCell ref="I67:K67"/>
    <mergeCell ref="C46:D47"/>
    <mergeCell ref="E46:F47"/>
    <mergeCell ref="G46:H47"/>
    <mergeCell ref="I46:J47"/>
    <mergeCell ref="K46:L47"/>
    <mergeCell ref="C33:E33"/>
    <mergeCell ref="C34:E34"/>
    <mergeCell ref="C35:E35"/>
    <mergeCell ref="G33:I35"/>
    <mergeCell ref="C36:C37"/>
    <mergeCell ref="D36:D37"/>
    <mergeCell ref="E36:E37"/>
    <mergeCell ref="G36:G37"/>
    <mergeCell ref="H36:H37"/>
    <mergeCell ref="C14:D15"/>
    <mergeCell ref="E14:F15"/>
    <mergeCell ref="G14:H15"/>
    <mergeCell ref="I14:J15"/>
    <mergeCell ref="K14:L15"/>
    <mergeCell ref="C4:C5"/>
    <mergeCell ref="D4:D5"/>
    <mergeCell ref="G4:G5"/>
    <mergeCell ref="H4:H5"/>
    <mergeCell ref="C1:D3"/>
    <mergeCell ref="E1:F1"/>
    <mergeCell ref="E2:F2"/>
    <mergeCell ref="E3:F3"/>
    <mergeCell ref="G1:I1"/>
    <mergeCell ref="G2:I2"/>
    <mergeCell ref="G3: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15D7414098A47AE0058BB79CA1FAC" ma:contentTypeVersion="13" ma:contentTypeDescription="Create a new document." ma:contentTypeScope="" ma:versionID="99600bc529288f7394c1d40d0e8463b8">
  <xsd:schema xmlns:xsd="http://www.w3.org/2001/XMLSchema" xmlns:xs="http://www.w3.org/2001/XMLSchema" xmlns:p="http://schemas.microsoft.com/office/2006/metadata/properties" xmlns:ns2="68f9834a-47db-4dd9-9f26-213cbb22c8a0" xmlns:ns3="50bf555d-2b28-452c-9b06-416f2f267a7f" targetNamespace="http://schemas.microsoft.com/office/2006/metadata/properties" ma:root="true" ma:fieldsID="a7132ee0333719944cfc193eb779b4a0" ns2:_="" ns3:_="">
    <xsd:import namespace="68f9834a-47db-4dd9-9f26-213cbb22c8a0"/>
    <xsd:import namespace="50bf555d-2b28-452c-9b06-416f2f267a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9834a-47db-4dd9-9f26-213cbb22c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555d-2b28-452c-9b06-416f2f267a7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5d093b3-3192-4ec2-b7b4-11078e9575d6}" ma:internalName="TaxCatchAll" ma:showField="CatchAllData" ma:web="50bf555d-2b28-452c-9b06-416f2f267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f9834a-47db-4dd9-9f26-213cbb22c8a0">
      <Terms xmlns="http://schemas.microsoft.com/office/infopath/2007/PartnerControls"/>
    </lcf76f155ced4ddcb4097134ff3c332f>
    <TaxCatchAll xmlns="50bf555d-2b28-452c-9b06-416f2f267a7f" xsi:nil="true"/>
  </documentManagement>
</p:properties>
</file>

<file path=customXml/itemProps1.xml><?xml version="1.0" encoding="utf-8"?>
<ds:datastoreItem xmlns:ds="http://schemas.openxmlformats.org/officeDocument/2006/customXml" ds:itemID="{762231DB-BE78-4EF8-A871-3421979A219F}"/>
</file>

<file path=customXml/itemProps2.xml><?xml version="1.0" encoding="utf-8"?>
<ds:datastoreItem xmlns:ds="http://schemas.openxmlformats.org/officeDocument/2006/customXml" ds:itemID="{60CE9CF7-CC82-4DAF-855E-A2F4C09809FC}"/>
</file>

<file path=customXml/itemProps3.xml><?xml version="1.0" encoding="utf-8"?>
<ds:datastoreItem xmlns:ds="http://schemas.openxmlformats.org/officeDocument/2006/customXml" ds:itemID="{749AA54E-C3AD-420D-AEC7-A915DD603F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Weekly Data Input</vt:lpstr>
      <vt:lpstr>InfRateZone</vt:lpstr>
      <vt:lpstr>InfRateTotal</vt:lpstr>
      <vt:lpstr>InfRateZO</vt:lpstr>
      <vt:lpstr>InfRateCI</vt:lpstr>
      <vt:lpstr>Weekly 009 input (- Grav, Mal)</vt:lpstr>
      <vt:lpstr>Total Number Of Ind</vt:lpstr>
      <vt:lpstr>Total Number Ind Examined </vt:lpstr>
      <vt:lpstr>Total Number of Pools Examined</vt:lpstr>
      <vt:lpstr>Total Number of WNV + Pools</vt:lpstr>
      <vt:lpstr>CITYINFRATE</vt:lpstr>
      <vt:lpstr>ZONEINFRATE</vt:lpstr>
      <vt:lpstr>Graphs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Fauver</dc:creator>
  <cp:lastModifiedBy>Tin Foil Hat</cp:lastModifiedBy>
  <cp:lastPrinted>2014-06-05T20:46:13Z</cp:lastPrinted>
  <dcterms:created xsi:type="dcterms:W3CDTF">2014-05-12T19:16:27Z</dcterms:created>
  <dcterms:modified xsi:type="dcterms:W3CDTF">2017-05-11T17:53:24Z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0x0101003A215D7414098A47AE0058BB79CA1FAC</vt:lpwstr>
  </property>
  <property fmtid="{D5CDD505-2E9C-101B-9397-08002B2CF9AE}" pid="3" name="Order">
    <vt:r8>25378600</vt:r8>
  </property>
</Properties>
</file>