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 Graduate School\Ebel Lab\WNV survalance\Weekly Reports\Week 35\"/>
    </mc:Choice>
  </mc:AlternateContent>
  <bookViews>
    <workbookView xWindow="0" yWindow="0" windowWidth="28800" windowHeight="15525" tabRatio="905" firstSheet="4" activeTab="13"/>
  </bookViews>
  <sheets>
    <sheet name="READ ME" sheetId="65" r:id="rId1"/>
    <sheet name="Weekly Data Input" sheetId="2" r:id="rId2"/>
    <sheet name="InfRateZone" sheetId="77" r:id="rId3"/>
    <sheet name="InfRateTotal" sheetId="75" r:id="rId4"/>
    <sheet name="InfRateZO" sheetId="73" r:id="rId5"/>
    <sheet name="InfRateCI" sheetId="71"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52511"/>
  <pivotCaches>
    <pivotCache cacheId="0" r:id="rId15"/>
    <pivotCache cacheId="1" r:id="rId16"/>
  </pivotCaches>
</workbook>
</file>

<file path=xl/calcChain.xml><?xml version="1.0" encoding="utf-8"?>
<calcChain xmlns="http://schemas.openxmlformats.org/spreadsheetml/2006/main">
  <c r="F9" i="5" l="1"/>
  <c r="F6" i="5"/>
  <c r="H7" i="64"/>
  <c r="F70" i="5" l="1"/>
  <c r="M75" i="5"/>
  <c r="F12" i="5" s="1"/>
  <c r="L75" i="5"/>
  <c r="E12" i="5" s="1"/>
  <c r="L73" i="5"/>
  <c r="E10" i="5" s="1"/>
  <c r="M73" i="5"/>
  <c r="F10" i="5" s="1"/>
  <c r="M72" i="5"/>
  <c r="M71" i="5"/>
  <c r="F8" i="5" s="1"/>
  <c r="M70" i="5"/>
  <c r="F7" i="5" s="1"/>
  <c r="M69" i="5"/>
  <c r="L72" i="5"/>
  <c r="E9" i="5" s="1"/>
  <c r="L71" i="5"/>
  <c r="E8" i="5" s="1"/>
  <c r="L70" i="5"/>
  <c r="E7" i="5" s="1"/>
  <c r="L69" i="5"/>
  <c r="E6" i="5" s="1"/>
  <c r="H11" i="6"/>
  <c r="I10" i="6"/>
  <c r="G11" i="6"/>
  <c r="I11" i="6"/>
  <c r="G8" i="6"/>
  <c r="H7" i="6"/>
  <c r="I8" i="6"/>
  <c r="H10" i="6"/>
  <c r="I9" i="6"/>
  <c r="I7" i="6"/>
  <c r="G7" i="6"/>
  <c r="H9" i="6"/>
  <c r="H8" i="6"/>
  <c r="G10" i="6"/>
  <c r="G9" i="6"/>
  <c r="I9" i="64"/>
  <c r="J8" i="64"/>
  <c r="I6" i="64"/>
  <c r="I10" i="64"/>
  <c r="H9" i="64"/>
  <c r="J6" i="64"/>
  <c r="J7" i="64"/>
  <c r="H10" i="64"/>
  <c r="J9" i="64"/>
  <c r="H8" i="64"/>
  <c r="I8" i="64"/>
  <c r="J10" i="64"/>
  <c r="H6" i="64"/>
  <c r="I7" i="64"/>
  <c r="K6" i="61"/>
  <c r="I7" i="61"/>
  <c r="I9" i="61"/>
  <c r="I10" i="61"/>
  <c r="I8" i="61"/>
  <c r="K8" i="61"/>
  <c r="J10" i="61"/>
  <c r="I6" i="61"/>
  <c r="J9" i="61"/>
  <c r="J7" i="61"/>
  <c r="J6" i="61"/>
  <c r="K10" i="61"/>
  <c r="J8" i="61"/>
  <c r="K7" i="61"/>
  <c r="K9" i="61"/>
  <c r="I7" i="63"/>
  <c r="J5" i="63"/>
  <c r="H8" i="63"/>
  <c r="H7" i="63"/>
  <c r="J7" i="63"/>
  <c r="I5" i="63"/>
  <c r="H6" i="63"/>
  <c r="J9" i="63"/>
  <c r="I6" i="63"/>
  <c r="I9" i="63"/>
  <c r="H5" i="63"/>
  <c r="H9" i="63"/>
  <c r="J8" i="63"/>
  <c r="J6" i="63"/>
  <c r="I8" i="63"/>
  <c r="G75" i="5" l="1"/>
  <c r="F69" i="5"/>
  <c r="F71" i="5"/>
  <c r="G69" i="5"/>
  <c r="F72" i="5"/>
  <c r="G71" i="5"/>
  <c r="F75" i="5"/>
  <c r="G72" i="5"/>
  <c r="G70" i="5"/>
  <c r="H70" i="5"/>
  <c r="C69" i="5"/>
  <c r="D70" i="5"/>
  <c r="C70" i="5"/>
  <c r="D75" i="5"/>
  <c r="D72" i="5"/>
  <c r="C71" i="5"/>
  <c r="D69" i="5"/>
  <c r="C75" i="5"/>
  <c r="C72" i="5"/>
  <c r="D71" i="5"/>
  <c r="C40" i="5"/>
  <c r="D38" i="5"/>
  <c r="C44" i="5"/>
  <c r="G44" i="5" s="1"/>
  <c r="C41" i="5"/>
  <c r="D40" i="5"/>
  <c r="C39" i="5"/>
  <c r="D44" i="5"/>
  <c r="H44" i="5" s="1"/>
  <c r="D41" i="5"/>
  <c r="C38" i="5"/>
  <c r="D39" i="5"/>
  <c r="J75" i="5"/>
  <c r="I75" i="5"/>
  <c r="H69" i="5" l="1"/>
  <c r="E75"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<sst xmlns="http://schemas.openxmlformats.org/spreadsheetml/2006/main" count="2087" uniqueCount="382">
  <si>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</si>
  <si>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</si>
  <si>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</si>
  <si>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</si>
  <si>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</si>
  <si>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</si>
  <si>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</si>
  <si>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</si>
  <si>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</si>
  <si>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</si>
  <si>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</si>
  <si>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</si>
  <si>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</si>
  <si>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</si>
  <si>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</si>
  <si>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</si>
  <si>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</si>
  <si>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</si>
  <si>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</si>
  <si>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</si>
  <si>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</si>
  <si>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</si>
  <si>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</si>
  <si>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</si>
  <si>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</si>
  <si>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</si>
  <si>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</si>
  <si>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</si>
  <si>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</si>
  <si>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</si>
  <si>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</si>
  <si>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</si>
  <si>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</si>
  <si>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</si>
  <si>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</si>
  <si>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</si>
  <si>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</si>
  <si>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</si>
  <si>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</si>
  <si>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</si>
  <si>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</si>
  <si>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</si>
  <si>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</si>
  <si>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</si>
  <si>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</si>
  <si>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</si>
  <si>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</si>
  <si>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</si>
  <si>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</si>
  <si>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</si>
  <si>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</si>
  <si>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</si>
  <si>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</si>
  <si>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</si>
  <si>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</si>
  <si>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</si>
  <si>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</si>
  <si>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</si>
  <si>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</si>
  <si>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</si>
  <si>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</si>
  <si>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</si>
  <si>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</si>
  <si>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</si>
  <si>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</si>
  <si>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</si>
  <si>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</si>
  <si>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</si>
  <si>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</si>
  <si>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</si>
  <si>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</si>
  <si>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</si>
  <si>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</si>
  <si>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</si>
  <si>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</si>
  <si>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</si>
  <si>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</si>
  <si>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</si>
  <si>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</si>
  <si>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</si>
  <si>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</si>
  <si>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</si>
  <si>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</si>
  <si>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</si>
  <si>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</si>
  <si>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</si>
  <si>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</si>
  <si>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</si>
  <si>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</si>
  <si>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</si>
  <si>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</si>
  <si>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</si>
  <si>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</si>
  <si>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</si>
  <si>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</si>
  <si>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</si>
  <si>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</si>
  <si>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</si>
  <si>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</si>
  <si>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</si>
  <si>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</si>
  <si>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</si>
  <si>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</si>
  <si>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</si>
  <si>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</si>
  <si>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</si>
  <si>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</si>
  <si>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CSU-8636</t>
  </si>
  <si>
    <t>LC</t>
  </si>
  <si>
    <t>LV-020</t>
  </si>
  <si>
    <t>LIGHT</t>
  </si>
  <si>
    <t>Cx.</t>
  </si>
  <si>
    <t>F</t>
  </si>
  <si>
    <t xml:space="preserve">Positive </t>
  </si>
  <si>
    <t>LV-tars</t>
  </si>
  <si>
    <t>CSU-8637</t>
  </si>
  <si>
    <t>Negative</t>
  </si>
  <si>
    <t>CSU-8638</t>
  </si>
  <si>
    <t>LV-110</t>
  </si>
  <si>
    <t>CSU-8639</t>
  </si>
  <si>
    <t>LV-069</t>
  </si>
  <si>
    <t>CSU-8640</t>
  </si>
  <si>
    <t>LV-pipi</t>
  </si>
  <si>
    <t>CSU-8641</t>
  </si>
  <si>
    <t>LV-095</t>
  </si>
  <si>
    <t>CSU-8642</t>
  </si>
  <si>
    <t>CSU-8643</t>
  </si>
  <si>
    <t>LV-089</t>
  </si>
  <si>
    <t>CSU-8644</t>
  </si>
  <si>
    <t>LV-104</t>
  </si>
  <si>
    <t>CSU-8645</t>
  </si>
  <si>
    <t>FC-067</t>
  </si>
  <si>
    <t>FC-tars</t>
  </si>
  <si>
    <t>NE-tars</t>
  </si>
  <si>
    <t>CSU-8646</t>
  </si>
  <si>
    <t>FC-014</t>
  </si>
  <si>
    <t>CSU-8647</t>
  </si>
  <si>
    <t>FC-pipi</t>
  </si>
  <si>
    <t>NE-pipi</t>
  </si>
  <si>
    <t>CSU-8648</t>
  </si>
  <si>
    <t>FC-053</t>
  </si>
  <si>
    <t>SE-tars</t>
  </si>
  <si>
    <t>CSU-8649</t>
  </si>
  <si>
    <t>SE-pipi</t>
  </si>
  <si>
    <t>CSU-8650</t>
  </si>
  <si>
    <t>FC-004</t>
  </si>
  <si>
    <t>CSU-8651</t>
  </si>
  <si>
    <t>CSU-8652</t>
  </si>
  <si>
    <t>FC-038</t>
  </si>
  <si>
    <t>CSU-8653</t>
  </si>
  <si>
    <t>CSU-8654</t>
  </si>
  <si>
    <t>FC-034</t>
  </si>
  <si>
    <t>CSU-8655</t>
  </si>
  <si>
    <t>CSU-8656</t>
  </si>
  <si>
    <t>FC-069</t>
  </si>
  <si>
    <t>CSU-8657</t>
  </si>
  <si>
    <t>FC-040</t>
  </si>
  <si>
    <t>CSU-8658</t>
  </si>
  <si>
    <t>CSU-8659</t>
  </si>
  <si>
    <t>FC-040gr</t>
  </si>
  <si>
    <t>GRAVID</t>
  </si>
  <si>
    <t>CSU-8660</t>
  </si>
  <si>
    <t>CSU-8661</t>
  </si>
  <si>
    <t>CSU-8662</t>
  </si>
  <si>
    <t>FC-036</t>
  </si>
  <si>
    <t>NW-tars</t>
  </si>
  <si>
    <t>CSU-8663</t>
  </si>
  <si>
    <t>NW-pipi</t>
  </si>
  <si>
    <t>CSU-8664</t>
  </si>
  <si>
    <t>FC-006</t>
  </si>
  <si>
    <t>CSU-8665</t>
  </si>
  <si>
    <t>CSU-8666</t>
  </si>
  <si>
    <t>FC-092gr</t>
  </si>
  <si>
    <t>CSU-8667</t>
  </si>
  <si>
    <t>CSU-8668</t>
  </si>
  <si>
    <t>CSU-8669</t>
  </si>
  <si>
    <t>FC-072</t>
  </si>
  <si>
    <t>CSU-8670</t>
  </si>
  <si>
    <t>CSU-8671</t>
  </si>
  <si>
    <t>FC-091gr</t>
  </si>
  <si>
    <t>CSU-8672</t>
  </si>
  <si>
    <t>FC-019</t>
  </si>
  <si>
    <t>CSU-8673</t>
  </si>
  <si>
    <t>CSU-8674</t>
  </si>
  <si>
    <t>FC-066gr</t>
  </si>
  <si>
    <t>CSU-8675</t>
  </si>
  <si>
    <t>FC-066</t>
  </si>
  <si>
    <t>CSU-8676</t>
  </si>
  <si>
    <t>CSU-8677</t>
  </si>
  <si>
    <t>CSU-8678</t>
  </si>
  <si>
    <t>FC-039</t>
  </si>
  <si>
    <t>CSU-8679</t>
  </si>
  <si>
    <t>CSU-8680</t>
  </si>
  <si>
    <t>FC-064</t>
  </si>
  <si>
    <t>CSU-8681</t>
  </si>
  <si>
    <t>CSU-8682</t>
  </si>
  <si>
    <t>FC-075</t>
  </si>
  <si>
    <t>CSU-8683</t>
  </si>
  <si>
    <t>CSU-8684</t>
  </si>
  <si>
    <t>FC-075gr</t>
  </si>
  <si>
    <t>CSU-8685</t>
  </si>
  <si>
    <t>CSU-8686</t>
  </si>
  <si>
    <t>FC-074</t>
  </si>
  <si>
    <t>CSU-8687</t>
  </si>
  <si>
    <t>CSU-8688</t>
  </si>
  <si>
    <t>FC-088gr</t>
  </si>
  <si>
    <t>CSU-8689</t>
  </si>
  <si>
    <t>CSU-8690</t>
  </si>
  <si>
    <t>CSU-8691</t>
  </si>
  <si>
    <t>FC-027</t>
  </si>
  <si>
    <t>CSU-8692</t>
  </si>
  <si>
    <t>CSU-8693</t>
  </si>
  <si>
    <t>FC-059</t>
  </si>
  <si>
    <t>CSU-8694</t>
  </si>
  <si>
    <t>CSU-8695</t>
  </si>
  <si>
    <t>FC-023</t>
  </si>
  <si>
    <t>CSU-8696</t>
  </si>
  <si>
    <t>CSU-8697</t>
  </si>
  <si>
    <t>FC-050</t>
  </si>
  <si>
    <t>CSU-8698</t>
  </si>
  <si>
    <t>CSU-8699</t>
  </si>
  <si>
    <t>CSU-8700</t>
  </si>
  <si>
    <t>FC-046</t>
  </si>
  <si>
    <t>CSU-8701</t>
  </si>
  <si>
    <t>CSU-8702</t>
  </si>
  <si>
    <t>FC-047</t>
  </si>
  <si>
    <t>CSU-8703</t>
  </si>
  <si>
    <t>CSU-8704</t>
  </si>
  <si>
    <t>FC-031</t>
  </si>
  <si>
    <t>CSU-8705</t>
  </si>
  <si>
    <t>CSU-8706</t>
  </si>
  <si>
    <t>FC-052</t>
  </si>
  <si>
    <t>CSU-8707</t>
  </si>
  <si>
    <t>FC-061</t>
  </si>
  <si>
    <t>CSU-8708</t>
  </si>
  <si>
    <t>CSU-8709</t>
  </si>
  <si>
    <t>FC-073</t>
  </si>
  <si>
    <t>CSU-8710</t>
  </si>
  <si>
    <t>FC-041</t>
  </si>
  <si>
    <t>CSU-8711</t>
  </si>
  <si>
    <t>CSU-8712</t>
  </si>
  <si>
    <t>FC-090gr</t>
  </si>
  <si>
    <t>CSU-8713</t>
  </si>
  <si>
    <t>FC-060</t>
  </si>
  <si>
    <t>CSU-8714</t>
  </si>
  <si>
    <t>CSU-8715</t>
  </si>
  <si>
    <t>FC-011</t>
  </si>
  <si>
    <t>CSU-8716</t>
  </si>
  <si>
    <t>FC-063</t>
  </si>
  <si>
    <t>CSU-8717</t>
  </si>
  <si>
    <t>FC-015</t>
  </si>
  <si>
    <t>CSU-8718</t>
  </si>
  <si>
    <t>CSU-8719</t>
  </si>
  <si>
    <t>FC-058</t>
  </si>
  <si>
    <t>SW-tars</t>
  </si>
  <si>
    <t>CSU-8720</t>
  </si>
  <si>
    <t>FC-049</t>
  </si>
  <si>
    <t>SW-pipi</t>
  </si>
  <si>
    <t>CSU-8721</t>
  </si>
  <si>
    <t>FC-063gr</t>
  </si>
  <si>
    <t>CSU-8722</t>
  </si>
  <si>
    <t>CSU-8723</t>
  </si>
  <si>
    <t>CSU-8724</t>
  </si>
  <si>
    <t>FC-089gr</t>
  </si>
  <si>
    <t>CSU-8725</t>
  </si>
  <si>
    <t>CSU-8726</t>
  </si>
  <si>
    <t>CSU-8727</t>
  </si>
  <si>
    <t>FC-029gr</t>
  </si>
  <si>
    <t>CSU-8728</t>
  </si>
  <si>
    <t>CSU-8729</t>
  </si>
  <si>
    <t>CSU-8730</t>
  </si>
  <si>
    <t>FC-093</t>
  </si>
  <si>
    <t>CSU-8731</t>
  </si>
  <si>
    <t>CSU-8732</t>
  </si>
  <si>
    <t>FC-062</t>
  </si>
  <si>
    <t>CSU-8733</t>
  </si>
  <si>
    <t>CSU-8734</t>
  </si>
  <si>
    <t>FC-068</t>
  </si>
  <si>
    <t>CSU-8735</t>
  </si>
  <si>
    <t>FC-054</t>
  </si>
  <si>
    <t>CSU-8736</t>
  </si>
  <si>
    <t>CSU-8737</t>
  </si>
  <si>
    <t>FC-029</t>
  </si>
  <si>
    <t>CSU-8738</t>
  </si>
  <si>
    <t>CSU-8739</t>
  </si>
  <si>
    <t>FC-001</t>
  </si>
  <si>
    <t>CSU-8740</t>
  </si>
  <si>
    <t>FC-071</t>
  </si>
  <si>
    <t>CSU-8741</t>
  </si>
  <si>
    <t>CSU-8742</t>
  </si>
  <si>
    <t>FC-037</t>
  </si>
  <si>
    <t>08/31/2015</t>
  </si>
  <si>
    <t>North Linden</t>
  </si>
  <si>
    <t>NO</t>
  </si>
  <si>
    <t>Fort Collins Vistors Center</t>
  </si>
  <si>
    <t>Edora Park</t>
  </si>
  <si>
    <t>Country Club</t>
  </si>
  <si>
    <t>Lochside Lane</t>
  </si>
  <si>
    <t>Redwood</t>
  </si>
  <si>
    <t>Prospect Ponds @ Drake Water</t>
  </si>
  <si>
    <t>Poudre River Drive at bike trail</t>
  </si>
  <si>
    <t>Linden Lake Rd</t>
  </si>
  <si>
    <t>422 Lake Drive Alley</t>
  </si>
  <si>
    <t>09/02/2015</t>
  </si>
  <si>
    <t>Golden Currant</t>
  </si>
  <si>
    <t>Stuart and Dorset</t>
  </si>
  <si>
    <t>Hemlock</t>
  </si>
  <si>
    <t>Fishback</t>
  </si>
  <si>
    <t>603 Gilgalad Way</t>
  </si>
  <si>
    <t>808 Pondersosa</t>
  </si>
  <si>
    <t>Holley Environ. Plant Research Ctr</t>
  </si>
  <si>
    <t>Red Fox Meadows FCNA</t>
  </si>
  <si>
    <t>118 Grant</t>
  </si>
  <si>
    <t>Bighorn Drive</t>
  </si>
  <si>
    <t>09/01/2015</t>
  </si>
  <si>
    <t>Boltz</t>
  </si>
  <si>
    <t>San Luis</t>
  </si>
  <si>
    <t>09/03/2015</t>
  </si>
  <si>
    <t>Bens Park</t>
  </si>
  <si>
    <t>Willow Springs</t>
  </si>
  <si>
    <t>Fossil Creek South (Greenstone)</t>
  </si>
  <si>
    <t>725 Westshore Court</t>
  </si>
  <si>
    <t>Keenland &amp; Twin Oak</t>
  </si>
  <si>
    <t>Golden Meadows Ditch</t>
  </si>
  <si>
    <t>Egret and Rookery</t>
  </si>
  <si>
    <t>737 Parliament Court</t>
  </si>
  <si>
    <t>Springwood and Lockwood</t>
  </si>
  <si>
    <t>West Chase @ Kechter Farm</t>
  </si>
  <si>
    <t>Rockcreek</t>
  </si>
  <si>
    <t>North Sage Creek</t>
  </si>
  <si>
    <t>Magic Carpet</t>
  </si>
  <si>
    <t>Chelsea Ridge</t>
  </si>
  <si>
    <t>Casa Grande and Downing</t>
  </si>
  <si>
    <t>FC-057</t>
  </si>
  <si>
    <t>Registry Ridge- End of Ranger Dr</t>
  </si>
  <si>
    <t>Spring Creek Trail @ Michener Dr</t>
  </si>
  <si>
    <t>Waters Edge at Blue Mesa</t>
  </si>
  <si>
    <t>502 Crest Drive</t>
  </si>
  <si>
    <t>Silvergate Road</t>
  </si>
  <si>
    <t>Lopez Elementary School</t>
  </si>
  <si>
    <t>LC-001</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</si>
  <si>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</si>
  <si>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</si>
  <si>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</si>
  <si>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</si>
  <si>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</si>
  <si>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</si>
  <si>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</si>
  <si>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</si>
  <si>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</si>
  <si>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</si>
  <si>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</si>
  <si>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</si>
  <si>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</si>
  <si>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</si>
  <si>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</si>
  <si>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</si>
  <si>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</si>
  <si>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</si>
  <si>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</si>
  <si>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</si>
  <si>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</si>
  <si>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</si>
  <si>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</si>
  <si>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Cattail Pond</t>
  </si>
  <si>
    <t>Horseshoe Peninsula</t>
  </si>
  <si>
    <t>9th and Des Moines</t>
  </si>
  <si>
    <t>Waterfront at Boyd Lake</t>
  </si>
  <si>
    <t>County Road 20C and County Road 9</t>
  </si>
  <si>
    <t>Big Thompson Natural Area</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</si>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</sst>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02">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1" fontId="2" fillId="0" borderId="8" xfId="0" applyNumberFormat="1" applyFont="1" applyBorder="1" applyAlignment="1">
      <alignment horizontal="center"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 fontId="8" fillId="0" borderId="8" xfId="0" applyNumberFormat="1"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251.761429745369" createdVersion="5" refreshedVersion="5" minRefreshableVersion="3" recordCount="61">
  <cacheSource type="worksheet">
    <worksheetSource ref="A1:K62" sheet="Weekly 009 input (- Grav, Mal)"/>
  </cacheSource>
  <cacheFields count="11">
    <cacheField name="Week" numFmtId="0">
      <sharedItems containsSemiMixedTypes="0" containsString="0" containsNumber="1" containsInteger="1" minValue="35" maxValue="35" count="1">
        <n v="35"/>
      </sharedItems>
    </cacheField>
    <cacheField name="Trap Date" numFmtId="0">
      <sharedItems/>
    </cacheField>
    <cacheField name="Trap Number" numFmtId="0">
      <sharedItems/>
    </cacheField>
    <cacheField name="Zone" numFmtId="0">
      <sharedItems count="6">
        <s v="NE"/>
        <s v="NW"/>
        <s v="SE"/>
        <s v="S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54"/>
    </cacheField>
    <cacheField name="Cx pipiens" numFmtId="0">
      <sharedItems containsSemiMixedTypes="0" containsString="0" containsNumber="1" containsInteger="1" minValue="0" maxValue="70"/>
    </cacheField>
    <cacheField name="Total CX" numFmtId="0">
      <sharedItems containsSemiMixedTypes="0" containsString="0" containsNumber="1" containsInteger="1" minValue="0" maxValue="88"/>
    </cacheField>
    <cacheField name="Total Females" numFmtId="0">
      <sharedItems containsSemiMixedTypes="0" containsString="0" containsNumber="1" containsInteger="1" minValue="2" maxValue="34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251.761622800928" createdVersion="5" refreshedVersion="5" minRefreshableVersion="3" recordCount="107">
  <cacheSource type="worksheet">
    <worksheetSource ref="A1:R108"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8242" maxValue="18348"/>
    </cacheField>
    <cacheField name="Week" numFmtId="0">
      <sharedItems containsSemiMixedTypes="0" containsString="0" containsNumber="1" containsInteger="1" minValue="35" maxValue="35" count="1">
        <n v="35"/>
      </sharedItems>
    </cacheField>
    <cacheField name="Trap Date" numFmtId="0">
      <sharedItems containsSemiMixedTypes="0" containsDate="1" containsString="0" containsMixedTypes="1" minDate="2015-08-31T00:00:00" maxDate="1900-01-06T20:49:04" count="5">
        <d v="2015-08-31T00:00:00"/>
        <d v="2015-09-01T00:00:00"/>
        <n v="42248"/>
        <n v="42249"/>
        <n v="42250"/>
      </sharedItems>
    </cacheField>
    <cacheField name="County" numFmtId="0">
      <sharedItems/>
    </cacheField>
    <cacheField name="Account" numFmtId="0">
      <sharedItems/>
    </cacheField>
    <cacheField name="Collection Site (Trap ID)" numFmtId="0">
      <sharedItems/>
    </cacheField>
    <cacheField name="Zone" numFmtId="0">
      <sharedItems count="5">
        <s v="LV"/>
        <s v="NE"/>
        <s v="S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
  <r>
    <x v="0"/>
    <s v="08/31/2015"/>
    <s v="FC-006"/>
    <x v="0"/>
    <s v="North Linden"/>
    <s v="LIGHT"/>
    <s v="NO"/>
    <n v="12"/>
    <n v="12"/>
    <n v="24"/>
    <n v="128"/>
  </r>
  <r>
    <x v="0"/>
    <s v="08/31/2015"/>
    <s v="FC-014"/>
    <x v="0"/>
    <s v="Fort Collins Vistors Center"/>
    <s v="LIGHT"/>
    <s v="NO"/>
    <n v="7"/>
    <n v="16"/>
    <n v="23"/>
    <n v="77"/>
  </r>
  <r>
    <x v="0"/>
    <s v="08/31/2015"/>
    <s v="FC-019"/>
    <x v="0"/>
    <s v="Edora Park"/>
    <s v="LIGHT"/>
    <s v="NO"/>
    <n v="10"/>
    <n v="9"/>
    <n v="19"/>
    <n v="53"/>
  </r>
  <r>
    <x v="0"/>
    <s v="08/31/2015"/>
    <s v="FC-034"/>
    <x v="0"/>
    <s v="Country Club"/>
    <s v="LIGHT"/>
    <s v="NO"/>
    <n v="5"/>
    <n v="5"/>
    <n v="10"/>
    <n v="35"/>
  </r>
  <r>
    <x v="0"/>
    <s v="08/31/2015"/>
    <s v="FC-038"/>
    <x v="0"/>
    <s v="Lochside Lane"/>
    <s v="LIGHT"/>
    <s v="NO"/>
    <n v="26"/>
    <n v="13"/>
    <n v="39"/>
    <n v="84"/>
  </r>
  <r>
    <x v="0"/>
    <s v="08/31/2015"/>
    <s v="FC-040"/>
    <x v="0"/>
    <s v="Redwood"/>
    <s v="LIGHT"/>
    <s v="NO"/>
    <n v="7"/>
    <n v="12"/>
    <n v="19"/>
    <n v="131"/>
  </r>
  <r>
    <x v="0"/>
    <s v="08/31/2015"/>
    <s v="FC-066"/>
    <x v="0"/>
    <s v="Prospect Ponds @ Drake Water"/>
    <s v="LIGHT"/>
    <s v="NO"/>
    <n v="18"/>
    <n v="70"/>
    <n v="88"/>
    <n v="345"/>
  </r>
  <r>
    <x v="0"/>
    <s v="08/31/2015"/>
    <s v="FC-067"/>
    <x v="0"/>
    <s v="Poudre River Drive at bike trail"/>
    <s v="LIGHT"/>
    <s v="NO"/>
    <n v="12"/>
    <n v="0"/>
    <n v="12"/>
    <n v="61"/>
  </r>
  <r>
    <x v="0"/>
    <s v="08/31/2015"/>
    <s v="FC-069"/>
    <x v="0"/>
    <s v="Linden Lake Rd"/>
    <s v="LIGHT"/>
    <s v="NO"/>
    <n v="3"/>
    <n v="0"/>
    <n v="3"/>
    <n v="31"/>
  </r>
  <r>
    <x v="0"/>
    <s v="08/31/2015"/>
    <s v="FC-072"/>
    <x v="0"/>
    <s v="422 Lake Drive Alley"/>
    <s v="LIGHT"/>
    <s v="NO"/>
    <n v="13"/>
    <n v="4"/>
    <n v="17"/>
    <n v="35"/>
  </r>
  <r>
    <x v="0"/>
    <s v="09/02/2015"/>
    <s v="FC-011"/>
    <x v="1"/>
    <s v="Golden Currant"/>
    <s v="LIGHT"/>
    <s v="NO"/>
    <n v="0"/>
    <n v="3"/>
    <n v="3"/>
    <n v="6"/>
  </r>
  <r>
    <x v="0"/>
    <s v="09/02/2015"/>
    <s v="FC-015"/>
    <x v="1"/>
    <s v="Stuart and Dorset"/>
    <s v="LIGHT"/>
    <s v="NO"/>
    <n v="1"/>
    <n v="3"/>
    <n v="4"/>
    <n v="7"/>
  </r>
  <r>
    <x v="0"/>
    <s v="08/31/2015"/>
    <s v="FC-036"/>
    <x v="1"/>
    <s v="Hemlock"/>
    <s v="LIGHT"/>
    <s v="NO"/>
    <n v="10"/>
    <n v="2"/>
    <n v="12"/>
    <n v="75"/>
  </r>
  <r>
    <x v="0"/>
    <s v="09/02/2015"/>
    <s v="FC-041"/>
    <x v="1"/>
    <s v="Fishback"/>
    <s v="LIGHT"/>
    <s v="NO"/>
    <n v="4"/>
    <n v="8"/>
    <n v="12"/>
    <n v="18"/>
  </r>
  <r>
    <x v="0"/>
    <s v="09/02/2015"/>
    <s v="FC-052"/>
    <x v="1"/>
    <s v="603 Gilgalad Way"/>
    <s v="LIGHT"/>
    <s v="NO"/>
    <n v="3"/>
    <n v="0"/>
    <n v="3"/>
    <n v="11"/>
  </r>
  <r>
    <x v="0"/>
    <s v="09/02/2015"/>
    <s v="FC-060"/>
    <x v="1"/>
    <s v="808 Pondersosa"/>
    <s v="LIGHT"/>
    <s v="NO"/>
    <n v="2"/>
    <n v="2"/>
    <n v="4"/>
    <n v="6"/>
  </r>
  <r>
    <x v="0"/>
    <s v="09/02/2015"/>
    <s v="FC-061"/>
    <x v="1"/>
    <s v="Holley Environ. Plant Research Ctr"/>
    <s v="LIGHT"/>
    <s v="NO"/>
    <n v="4"/>
    <n v="4"/>
    <n v="8"/>
    <n v="13"/>
  </r>
  <r>
    <x v="0"/>
    <s v="09/02/2015"/>
    <s v="FC-063"/>
    <x v="1"/>
    <s v="Red Fox Meadows FCNA"/>
    <s v="LIGHT"/>
    <s v="NO"/>
    <n v="0"/>
    <n v="1"/>
    <n v="1"/>
    <n v="11"/>
  </r>
  <r>
    <x v="0"/>
    <s v="09/02/2015"/>
    <s v="FC-073"/>
    <x v="1"/>
    <s v="118 Grant"/>
    <s v="LIGHT"/>
    <s v="NO"/>
    <n v="0"/>
    <n v="1"/>
    <n v="1"/>
    <n v="6"/>
  </r>
  <r>
    <x v="0"/>
    <s v="08/31/2015"/>
    <s v="FC-004"/>
    <x v="2"/>
    <s v="Bighorn Drive"/>
    <s v="LIGHT"/>
    <s v="NO"/>
    <n v="3"/>
    <n v="16"/>
    <n v="19"/>
    <n v="109"/>
  </r>
  <r>
    <x v="0"/>
    <s v="09/01/2015"/>
    <s v="FC-023"/>
    <x v="2"/>
    <s v="Boltz"/>
    <s v="LIGHT"/>
    <s v="NO"/>
    <n v="5"/>
    <n v="15"/>
    <n v="20"/>
    <n v="40"/>
  </r>
  <r>
    <x v="0"/>
    <s v="09/01/2015"/>
    <s v="FC-027"/>
    <x v="2"/>
    <s v="San Luis"/>
    <s v="LIGHT"/>
    <s v="NO"/>
    <n v="8"/>
    <n v="25"/>
    <n v="33"/>
    <n v="63"/>
  </r>
  <r>
    <x v="0"/>
    <s v="09/03/2015"/>
    <s v="FC-029"/>
    <x v="2"/>
    <s v="Bens Park"/>
    <s v="LIGHT"/>
    <s v="NO"/>
    <n v="3"/>
    <n v="15"/>
    <n v="18"/>
    <n v="43"/>
  </r>
  <r>
    <x v="0"/>
    <s v="09/01/2015"/>
    <s v="FC-031"/>
    <x v="2"/>
    <s v="Willow Springs"/>
    <s v="LIGHT"/>
    <s v="NO"/>
    <n v="4"/>
    <n v="4"/>
    <n v="8"/>
    <n v="20"/>
  </r>
  <r>
    <x v="0"/>
    <s v="09/01/2015"/>
    <s v="FC-039"/>
    <x v="2"/>
    <s v="Fossil Creek South (Greenstone)"/>
    <s v="LIGHT"/>
    <s v="NO"/>
    <n v="5"/>
    <n v="3"/>
    <n v="8"/>
    <n v="43"/>
  </r>
  <r>
    <x v="0"/>
    <s v="09/01/2015"/>
    <s v="FC-046"/>
    <x v="2"/>
    <s v="725 Westshore Court"/>
    <s v="LIGHT"/>
    <s v="NO"/>
    <n v="5"/>
    <n v="15"/>
    <n v="20"/>
    <n v="52"/>
  </r>
  <r>
    <x v="0"/>
    <s v="09/01/2015"/>
    <s v="FC-047"/>
    <x v="2"/>
    <s v="Keenland &amp; Twin Oak"/>
    <s v="LIGHT"/>
    <s v="NO"/>
    <n v="1"/>
    <n v="5"/>
    <n v="6"/>
    <n v="9"/>
  </r>
  <r>
    <x v="0"/>
    <s v="09/01/2015"/>
    <s v="FC-050"/>
    <x v="2"/>
    <s v="Golden Meadows Ditch"/>
    <s v="LIGHT"/>
    <s v="NO"/>
    <n v="2"/>
    <n v="57"/>
    <n v="59"/>
    <n v="105"/>
  </r>
  <r>
    <x v="0"/>
    <s v="08/31/2015"/>
    <s v="FC-053"/>
    <x v="2"/>
    <s v="Egret and Rookery"/>
    <s v="LIGHT"/>
    <s v="NO"/>
    <n v="4"/>
    <n v="1"/>
    <n v="5"/>
    <n v="121"/>
  </r>
  <r>
    <x v="0"/>
    <s v="09/03/2015"/>
    <s v="FC-054"/>
    <x v="2"/>
    <s v="737 Parliament Court"/>
    <s v="LIGHT"/>
    <s v="NO"/>
    <n v="4"/>
    <n v="2"/>
    <n v="6"/>
    <n v="38"/>
  </r>
  <r>
    <x v="0"/>
    <s v="09/01/2015"/>
    <s v="FC-059"/>
    <x v="2"/>
    <s v="Springwood and Lockwood"/>
    <s v="LIGHT"/>
    <s v="NO"/>
    <n v="7"/>
    <n v="14"/>
    <n v="21"/>
    <n v="106"/>
  </r>
  <r>
    <x v="0"/>
    <s v="09/01/2015"/>
    <s v="FC-064"/>
    <x v="2"/>
    <s v="West Chase @ Kechter Farm"/>
    <s v="LIGHT"/>
    <s v="NO"/>
    <n v="7"/>
    <n v="2"/>
    <n v="9"/>
    <n v="29"/>
  </r>
  <r>
    <x v="0"/>
    <s v="09/01/2015"/>
    <s v="FC-074"/>
    <x v="2"/>
    <s v="Rockcreek"/>
    <s v="LIGHT"/>
    <s v="NO"/>
    <n v="11"/>
    <n v="4"/>
    <n v="15"/>
    <n v="172"/>
  </r>
  <r>
    <x v="0"/>
    <s v="09/01/2015"/>
    <s v="FC-075"/>
    <x v="2"/>
    <s v="North Sage Creek"/>
    <s v="LIGHT"/>
    <s v="NO"/>
    <n v="3"/>
    <n v="9"/>
    <n v="12"/>
    <n v="30"/>
  </r>
  <r>
    <x v="0"/>
    <s v="09/03/2015"/>
    <s v="FC-001"/>
    <x v="3"/>
    <s v="Magic Carpet"/>
    <s v="LIGHT"/>
    <s v="NO"/>
    <n v="2"/>
    <n v="0"/>
    <n v="2"/>
    <n v="2"/>
  </r>
  <r>
    <x v="0"/>
    <s v="09/03/2015"/>
    <s v="FC-037"/>
    <x v="3"/>
    <s v="Chelsea Ridge"/>
    <s v="LIGHT"/>
    <s v="NO"/>
    <n v="4"/>
    <n v="0"/>
    <n v="4"/>
    <n v="14"/>
  </r>
  <r>
    <x v="0"/>
    <s v="09/02/2015"/>
    <s v="FC-049"/>
    <x v="3"/>
    <s v="Casa Grande and Downing"/>
    <s v="LIGHT"/>
    <s v="NO"/>
    <n v="0"/>
    <n v="4"/>
    <n v="4"/>
    <n v="6"/>
  </r>
  <r>
    <x v="0"/>
    <s v="09/03/2015"/>
    <s v="FC-057"/>
    <x v="3"/>
    <s v="Registry Ridge- End of Ranger Dr"/>
    <s v="LIGHT"/>
    <s v="NO"/>
    <n v="0"/>
    <n v="0"/>
    <n v="0"/>
    <n v="13"/>
  </r>
  <r>
    <x v="0"/>
    <s v="09/02/2015"/>
    <s v="FC-058"/>
    <x v="3"/>
    <s v="Spring Creek Trail @ Michener Dr"/>
    <s v="LIGHT"/>
    <s v="NO"/>
    <n v="2"/>
    <n v="0"/>
    <n v="2"/>
    <n v="4"/>
  </r>
  <r>
    <x v="0"/>
    <s v="09/03/2015"/>
    <s v="FC-062"/>
    <x v="3"/>
    <s v="Waters Edge at Blue Mesa"/>
    <s v="LIGHT"/>
    <s v="NO"/>
    <n v="1"/>
    <n v="1"/>
    <n v="2"/>
    <n v="3"/>
  </r>
  <r>
    <x v="0"/>
    <s v="09/03/2015"/>
    <s v="FC-068"/>
    <x v="3"/>
    <s v="502 Crest Drive"/>
    <s v="LIGHT"/>
    <s v="NO"/>
    <n v="0"/>
    <n v="1"/>
    <n v="1"/>
    <n v="5"/>
  </r>
  <r>
    <x v="0"/>
    <s v="09/03/2015"/>
    <s v="FC-071"/>
    <x v="3"/>
    <s v="Silvergate Road"/>
    <s v="LIGHT"/>
    <s v="NO"/>
    <n v="1"/>
    <n v="1"/>
    <n v="2"/>
    <n v="15"/>
  </r>
  <r>
    <x v="0"/>
    <s v="09/03/2015"/>
    <s v="FC-093"/>
    <x v="3"/>
    <s v="Lopez Elementary School"/>
    <s v="LIGHT"/>
    <s v="NO"/>
    <n v="3"/>
    <n v="3"/>
    <n v="6"/>
    <n v="18"/>
  </r>
  <r>
    <x v="0"/>
    <s v="08/31/2015"/>
    <s v="LC-001"/>
    <x v="4"/>
    <s v="Berthoud"/>
    <s v="LIGHT"/>
    <s v="NO"/>
    <n v="7"/>
    <n v="0"/>
    <n v="7"/>
    <n v="12"/>
  </r>
  <r>
    <x v="0"/>
    <s v="09/01/2015"/>
    <s v="LC-010"/>
    <x v="4"/>
    <s v="Timnath-Downtown"/>
    <s v="LIGHT"/>
    <s v="NO"/>
    <n v="1"/>
    <n v="2"/>
    <n v="3"/>
    <n v="192"/>
  </r>
  <r>
    <x v="0"/>
    <s v="08/31/2015"/>
    <s v="LC-017"/>
    <x v="4"/>
    <s v="Bonnell West 2"/>
    <s v="LIGHT"/>
    <s v="NO"/>
    <n v="7"/>
    <n v="0"/>
    <n v="7"/>
    <n v="12"/>
  </r>
  <r>
    <x v="0"/>
    <s v="09/01/2015"/>
    <s v="LC-022"/>
    <x v="4"/>
    <s v="Timnath-Golf Course"/>
    <s v="LIGHT"/>
    <s v="NO"/>
    <n v="2"/>
    <n v="0"/>
    <n v="2"/>
    <n v="78"/>
  </r>
  <r>
    <x v="0"/>
    <s v="09/01/2015"/>
    <s v="LC-032"/>
    <x v="4"/>
    <s v="River Lakes Estates/Paradise Acres"/>
    <s v="LIGHT"/>
    <s v="NO"/>
    <n v="4"/>
    <n v="0"/>
    <n v="4"/>
    <n v="18"/>
  </r>
  <r>
    <x v="0"/>
    <s v="09/01/2015"/>
    <s v="LC-038"/>
    <x v="4"/>
    <s v="Turman Bruns HOA"/>
    <s v="LIGHT"/>
    <s v="NO"/>
    <n v="1"/>
    <n v="0"/>
    <n v="1"/>
    <n v="8"/>
  </r>
  <r>
    <x v="0"/>
    <s v="09/01/2015"/>
    <s v="LC-046"/>
    <x v="4"/>
    <s v="Eagle Ranch Estates"/>
    <s v="LIGHT"/>
    <s v="NO"/>
    <n v="11"/>
    <n v="0"/>
    <n v="11"/>
    <n v="32"/>
  </r>
  <r>
    <x v="0"/>
    <s v="09/01/2015"/>
    <s v="LC-048"/>
    <x v="4"/>
    <s v="Timnath-Summerfields"/>
    <s v="LIGHT"/>
    <s v="NO"/>
    <n v="3"/>
    <n v="0"/>
    <n v="3"/>
    <n v="39"/>
  </r>
  <r>
    <x v="0"/>
    <s v="08/31/2015"/>
    <s v="LC-049"/>
    <x v="4"/>
    <s v="Berthoud North of Bunyan"/>
    <s v="LIGHT"/>
    <s v="NO"/>
    <n v="18"/>
    <n v="0"/>
    <n v="18"/>
    <n v="50"/>
  </r>
  <r>
    <x v="0"/>
    <s v="09/01/2015"/>
    <s v="LC-050"/>
    <x v="4"/>
    <s v="Timnath-Wildwing"/>
    <s v="LIGHT"/>
    <s v="NO"/>
    <n v="2"/>
    <n v="5"/>
    <n v="7"/>
    <n v="75"/>
  </r>
  <r>
    <x v="0"/>
    <s v="09/01/2015"/>
    <s v="LC-051"/>
    <x v="4"/>
    <s v="Timnath-Saratoga Falls"/>
    <s v="LIGHT"/>
    <s v="NO"/>
    <n v="3"/>
    <n v="0"/>
    <n v="3"/>
    <n v="64"/>
  </r>
  <r>
    <x v="0"/>
    <s v="09/01/2015"/>
    <s v="LC-052"/>
    <x v="4"/>
    <s v="Walmart East at Poudre River"/>
    <s v="LIGHT"/>
    <s v="NO"/>
    <n v="0"/>
    <n v="0"/>
    <n v="0"/>
    <n v="39"/>
  </r>
  <r>
    <x v="0"/>
    <s v="08/31/2015"/>
    <s v="LV-020"/>
    <x v="5"/>
    <s v="Cattail Pond"/>
    <s v="LIGHT"/>
    <s v="NO"/>
    <n v="54"/>
    <n v="0"/>
    <n v="54"/>
    <n v="233"/>
  </r>
  <r>
    <x v="0"/>
    <s v="08/31/2015"/>
    <s v="LV-069"/>
    <x v="5"/>
    <s v="Horseshoe Peninsula"/>
    <s v="LIGHT"/>
    <s v="NO"/>
    <n v="6"/>
    <n v="1"/>
    <n v="7"/>
    <n v="16"/>
  </r>
  <r>
    <x v="0"/>
    <s v="08/31/2015"/>
    <s v="LV-089"/>
    <x v="5"/>
    <s v="9th and Des Moines"/>
    <s v="LIGHT"/>
    <s v="NO"/>
    <n v="4"/>
    <n v="0"/>
    <n v="4"/>
    <n v="205"/>
  </r>
  <r>
    <x v="0"/>
    <s v="08/31/2015"/>
    <s v="LV-095"/>
    <x v="5"/>
    <s v="Waterfront at Boyd Lake"/>
    <s v="LIGHT"/>
    <s v="NO"/>
    <n v="43"/>
    <n v="3"/>
    <n v="46"/>
    <n v="152"/>
  </r>
  <r>
    <x v="0"/>
    <s v="08/31/2015"/>
    <s v="LV-104"/>
    <x v="5"/>
    <s v="County Road 20C and County Road 9"/>
    <s v="LIGHT"/>
    <s v="NO"/>
    <n v="7"/>
    <n v="0"/>
    <n v="7"/>
    <n v="35"/>
  </r>
  <r>
    <x v="0"/>
    <s v="08/31/2015"/>
    <s v="LV-110"/>
    <x v="5"/>
    <s v="Big Thompson Natural Area"/>
    <s v="LIGHT"/>
    <s v="NO"/>
    <n v="4"/>
    <n v="0"/>
    <n v="4"/>
    <n v="49"/>
  </r>
</pivotCacheRecords>
</file>

<file path=xl/pivotCache/pivotCacheRecords2.xml><?xml version="1.0" encoding="utf-8"?>
<pivotCacheRecords xmlns="http://schemas.openxmlformats.org/spreadsheetml/2006/main" xmlns:r="http://schemas.openxmlformats.org/officeDocument/2006/relationships" count="107">
  <r>
    <n v="2015"/>
    <s v="CSU-8636"/>
    <n v="18242"/>
    <x v="0"/>
    <x v="0"/>
    <s v="LC"/>
    <s v="LV"/>
    <s v="LV-020"/>
    <x v="0"/>
    <s v="LIGHT"/>
    <s v="Cx."/>
    <x v="0"/>
    <s v="F"/>
    <n v="0"/>
    <n v="50"/>
    <n v="50"/>
    <n v="1"/>
    <s v="Positive "/>
  </r>
  <r>
    <n v="2015"/>
    <s v="CSU-8637"/>
    <n v="18243"/>
    <x v="0"/>
    <x v="0"/>
    <s v="LC"/>
    <s v="LV"/>
    <s v="LV-020"/>
    <x v="0"/>
    <s v="LIGHT"/>
    <s v="Cx."/>
    <x v="0"/>
    <s v="F"/>
    <n v="0"/>
    <n v="4"/>
    <n v="4"/>
    <n v="0"/>
    <s v="Negative"/>
  </r>
  <r>
    <n v="2015"/>
    <s v="CSU-8638"/>
    <n v="18244"/>
    <x v="0"/>
    <x v="0"/>
    <s v="LC"/>
    <s v="LV"/>
    <s v="LV-110"/>
    <x v="0"/>
    <s v="LIGHT"/>
    <s v="Cx."/>
    <x v="0"/>
    <s v="F"/>
    <n v="0"/>
    <n v="4"/>
    <n v="4"/>
    <n v="0"/>
    <s v="Negative"/>
  </r>
  <r>
    <n v="2015"/>
    <s v="CSU-8639"/>
    <n v="18245"/>
    <x v="0"/>
    <x v="0"/>
    <s v="LC"/>
    <s v="LV"/>
    <s v="LV-069"/>
    <x v="0"/>
    <s v="LIGHT"/>
    <s v="Cx."/>
    <x v="0"/>
    <s v="F"/>
    <n v="0"/>
    <n v="6"/>
    <n v="6"/>
    <n v="1"/>
    <s v="Positive "/>
  </r>
  <r>
    <n v="2015"/>
    <s v="CSU-8640"/>
    <n v="18246"/>
    <x v="0"/>
    <x v="0"/>
    <s v="LC"/>
    <s v="LV"/>
    <s v="LV-069"/>
    <x v="0"/>
    <s v="LIGHT"/>
    <s v="Cx."/>
    <x v="1"/>
    <s v="F"/>
    <n v="0"/>
    <n v="1"/>
    <n v="1"/>
    <n v="0"/>
    <s v="Negative"/>
  </r>
  <r>
    <n v="2015"/>
    <s v="CSU-8641"/>
    <n v="18247"/>
    <x v="0"/>
    <x v="0"/>
    <s v="LC"/>
    <s v="LV"/>
    <s v="LV-095"/>
    <x v="0"/>
    <s v="LIGHT"/>
    <s v="Cx."/>
    <x v="0"/>
    <s v="F"/>
    <n v="0"/>
    <n v="43"/>
    <n v="43"/>
    <n v="0"/>
    <s v="Negative"/>
  </r>
  <r>
    <n v="2015"/>
    <s v="CSU-8642"/>
    <n v="18248"/>
    <x v="0"/>
    <x v="0"/>
    <s v="LC"/>
    <s v="LV"/>
    <s v="LV-095"/>
    <x v="0"/>
    <s v="LIGHT"/>
    <s v="Cx."/>
    <x v="1"/>
    <s v="F"/>
    <n v="0"/>
    <n v="3"/>
    <n v="3"/>
    <n v="0"/>
    <s v="Negative"/>
  </r>
  <r>
    <n v="2015"/>
    <s v="CSU-8643"/>
    <n v="18249"/>
    <x v="0"/>
    <x v="0"/>
    <s v="LC"/>
    <s v="LV"/>
    <s v="LV-089"/>
    <x v="0"/>
    <s v="LIGHT"/>
    <s v="Cx."/>
    <x v="0"/>
    <s v="F"/>
    <n v="0"/>
    <n v="4"/>
    <n v="4"/>
    <n v="0"/>
    <s v="Negative"/>
  </r>
  <r>
    <n v="2015"/>
    <s v="CSU-8644"/>
    <n v="18250"/>
    <x v="0"/>
    <x v="0"/>
    <s v="LC"/>
    <s v="LV"/>
    <s v="LV-104"/>
    <x v="0"/>
    <s v="LIGHT"/>
    <s v="Cx."/>
    <x v="0"/>
    <s v="F"/>
    <n v="0"/>
    <n v="7"/>
    <n v="7"/>
    <n v="0"/>
    <s v="Negative"/>
  </r>
  <r>
    <n v="2015"/>
    <s v="CSU-8645"/>
    <n v="18251"/>
    <x v="0"/>
    <x v="0"/>
    <s v="LC"/>
    <s v="FC"/>
    <s v="FC-067"/>
    <x v="1"/>
    <s v="LIGHT"/>
    <s v="Cx."/>
    <x v="0"/>
    <s v="F"/>
    <n v="0"/>
    <n v="12"/>
    <n v="12"/>
    <n v="0"/>
    <s v="Negative"/>
  </r>
  <r>
    <n v="2015"/>
    <s v="CSU-8646"/>
    <n v="18252"/>
    <x v="0"/>
    <x v="0"/>
    <s v="LC"/>
    <s v="FC"/>
    <s v="FC-014"/>
    <x v="1"/>
    <s v="LIGHT"/>
    <s v="Cx."/>
    <x v="0"/>
    <s v="F"/>
    <n v="0"/>
    <n v="7"/>
    <n v="7"/>
    <n v="0"/>
    <s v="Negative"/>
  </r>
  <r>
    <n v="2015"/>
    <s v="CSU-8647"/>
    <n v="18253"/>
    <x v="0"/>
    <x v="0"/>
    <s v="LC"/>
    <s v="FC"/>
    <s v="FC-014"/>
    <x v="1"/>
    <s v="LIGHT"/>
    <s v="Cx."/>
    <x v="1"/>
    <s v="F"/>
    <n v="0"/>
    <n v="16"/>
    <n v="16"/>
    <n v="0"/>
    <s v="Negative"/>
  </r>
  <r>
    <n v="2015"/>
    <s v="CSU-8648"/>
    <n v="18254"/>
    <x v="0"/>
    <x v="0"/>
    <s v="LC"/>
    <s v="FC"/>
    <s v="FC-053"/>
    <x v="2"/>
    <s v="LIGHT"/>
    <s v="Cx."/>
    <x v="0"/>
    <s v="F"/>
    <n v="0"/>
    <n v="4"/>
    <n v="4"/>
    <n v="0"/>
    <s v="Negative"/>
  </r>
  <r>
    <n v="2015"/>
    <s v="CSU-8649"/>
    <n v="18255"/>
    <x v="0"/>
    <x v="0"/>
    <s v="LC"/>
    <s v="FC"/>
    <s v="FC-053"/>
    <x v="2"/>
    <s v="LIGHT"/>
    <s v="Cx."/>
    <x v="1"/>
    <s v="F"/>
    <n v="0"/>
    <n v="1"/>
    <n v="1"/>
    <n v="1"/>
    <s v="Positive "/>
  </r>
  <r>
    <n v="2015"/>
    <s v="CSU-8650"/>
    <n v="18256"/>
    <x v="0"/>
    <x v="0"/>
    <s v="LC"/>
    <s v="FC"/>
    <s v="FC-004"/>
    <x v="2"/>
    <s v="LIGHT"/>
    <s v="Cx."/>
    <x v="0"/>
    <s v="F"/>
    <n v="0"/>
    <n v="3"/>
    <n v="3"/>
    <n v="0"/>
    <s v="Negative"/>
  </r>
  <r>
    <n v="2015"/>
    <s v="CSU-8651"/>
    <n v="18257"/>
    <x v="0"/>
    <x v="0"/>
    <s v="LC"/>
    <s v="FC"/>
    <s v="FC-004"/>
    <x v="2"/>
    <s v="LIGHT"/>
    <s v="Cx."/>
    <x v="1"/>
    <s v="F"/>
    <n v="0"/>
    <n v="16"/>
    <n v="16"/>
    <n v="0"/>
    <s v="Negative"/>
  </r>
  <r>
    <n v="2015"/>
    <s v="CSU-8652"/>
    <n v="18258"/>
    <x v="0"/>
    <x v="0"/>
    <s v="LC"/>
    <s v="FC"/>
    <s v="FC-038"/>
    <x v="1"/>
    <s v="LIGHT"/>
    <s v="Cx."/>
    <x v="0"/>
    <s v="F"/>
    <n v="0"/>
    <n v="26"/>
    <n v="26"/>
    <n v="0"/>
    <s v="Negative"/>
  </r>
  <r>
    <n v="2015"/>
    <s v="CSU-8653"/>
    <n v="18259"/>
    <x v="0"/>
    <x v="0"/>
    <s v="LC"/>
    <s v="FC"/>
    <s v="FC-038"/>
    <x v="1"/>
    <s v="LIGHT"/>
    <s v="Cx."/>
    <x v="1"/>
    <s v="F"/>
    <n v="0"/>
    <n v="13"/>
    <n v="13"/>
    <n v="0"/>
    <s v="Negative"/>
  </r>
  <r>
    <n v="2015"/>
    <s v="CSU-8654"/>
    <n v="18260"/>
    <x v="0"/>
    <x v="0"/>
    <s v="LC"/>
    <s v="FC"/>
    <s v="FC-034"/>
    <x v="1"/>
    <s v="LIGHT"/>
    <s v="Cx."/>
    <x v="0"/>
    <s v="F"/>
    <n v="0"/>
    <n v="5"/>
    <n v="5"/>
    <n v="0"/>
    <s v="Negative"/>
  </r>
  <r>
    <n v="2015"/>
    <s v="CSU-8655"/>
    <n v="18261"/>
    <x v="0"/>
    <x v="0"/>
    <s v="LC"/>
    <s v="FC"/>
    <s v="FC-034"/>
    <x v="1"/>
    <s v="LIGHT"/>
    <s v="Cx."/>
    <x v="1"/>
    <s v="F"/>
    <n v="0"/>
    <n v="5"/>
    <n v="5"/>
    <n v="0"/>
    <s v="Negative"/>
  </r>
  <r>
    <n v="2015"/>
    <s v="CSU-8656"/>
    <n v="18262"/>
    <x v="0"/>
    <x v="0"/>
    <s v="LC"/>
    <s v="FC"/>
    <s v="FC-069"/>
    <x v="1"/>
    <s v="LIGHT"/>
    <s v="Cx."/>
    <x v="0"/>
    <s v="F"/>
    <n v="0"/>
    <n v="3"/>
    <n v="3"/>
    <n v="0"/>
    <s v="Negative"/>
  </r>
  <r>
    <n v="2015"/>
    <s v="CSU-8657"/>
    <n v="18263"/>
    <x v="0"/>
    <x v="0"/>
    <s v="LC"/>
    <s v="FC"/>
    <s v="FC-040"/>
    <x v="1"/>
    <s v="LIGHT"/>
    <s v="Cx."/>
    <x v="0"/>
    <s v="F"/>
    <n v="0"/>
    <n v="7"/>
    <n v="7"/>
    <n v="1"/>
    <s v="Positive "/>
  </r>
  <r>
    <n v="2015"/>
    <s v="CSU-8658"/>
    <n v="18264"/>
    <x v="0"/>
    <x v="0"/>
    <s v="LC"/>
    <s v="FC"/>
    <s v="FC-040"/>
    <x v="1"/>
    <s v="LIGHT"/>
    <s v="Cx."/>
    <x v="1"/>
    <s v="F"/>
    <n v="0"/>
    <n v="12"/>
    <n v="12"/>
    <n v="1"/>
    <s v="Positive "/>
  </r>
  <r>
    <n v="2015"/>
    <s v="CSU-8659"/>
    <n v="18265"/>
    <x v="0"/>
    <x v="0"/>
    <s v="LC"/>
    <s v="FC"/>
    <s v="FC-040gr"/>
    <x v="1"/>
    <s v="GRAVID"/>
    <s v="Cx."/>
    <x v="1"/>
    <s v="F"/>
    <n v="50"/>
    <n v="0"/>
    <n v="50"/>
    <n v="1"/>
    <s v="Positive "/>
  </r>
  <r>
    <n v="2015"/>
    <s v="CSU-8660"/>
    <n v="18266"/>
    <x v="0"/>
    <x v="0"/>
    <s v="LC"/>
    <s v="FC"/>
    <s v="FC-040gr"/>
    <x v="1"/>
    <s v="GRAVID"/>
    <s v="Cx."/>
    <x v="1"/>
    <s v="F"/>
    <n v="50"/>
    <n v="0"/>
    <n v="50"/>
    <n v="1"/>
    <s v="Positive "/>
  </r>
  <r>
    <n v="2015"/>
    <s v="CSU-8661"/>
    <n v="18267"/>
    <x v="0"/>
    <x v="0"/>
    <s v="LC"/>
    <s v="FC"/>
    <s v="FC-040gr"/>
    <x v="1"/>
    <s v="GRAVID"/>
    <s v="Cx."/>
    <x v="1"/>
    <s v="F"/>
    <n v="3"/>
    <n v="0"/>
    <n v="3"/>
    <n v="0"/>
    <s v="Negative"/>
  </r>
  <r>
    <n v="2015"/>
    <s v="CSU-8662"/>
    <n v="18268"/>
    <x v="0"/>
    <x v="0"/>
    <s v="LC"/>
    <s v="FC"/>
    <s v="FC-036"/>
    <x v="3"/>
    <s v="LIGHT"/>
    <s v="Cx."/>
    <x v="0"/>
    <s v="F"/>
    <n v="0"/>
    <n v="10"/>
    <n v="10"/>
    <n v="0"/>
    <s v="Negative"/>
  </r>
  <r>
    <n v="2015"/>
    <s v="CSU-8663"/>
    <n v="18269"/>
    <x v="0"/>
    <x v="0"/>
    <s v="LC"/>
    <s v="FC"/>
    <s v="FC-036"/>
    <x v="3"/>
    <s v="LIGHT"/>
    <s v="Cx."/>
    <x v="1"/>
    <s v="F"/>
    <n v="0"/>
    <n v="2"/>
    <n v="2"/>
    <n v="0"/>
    <s v="Negative"/>
  </r>
  <r>
    <n v="2015"/>
    <s v="CSU-8664"/>
    <n v="18270"/>
    <x v="0"/>
    <x v="0"/>
    <s v="LC"/>
    <s v="FC"/>
    <s v="FC-006"/>
    <x v="1"/>
    <s v="LIGHT"/>
    <s v="Cx."/>
    <x v="0"/>
    <s v="F"/>
    <n v="0"/>
    <n v="12"/>
    <n v="12"/>
    <n v="0"/>
    <s v="Negative"/>
  </r>
  <r>
    <n v="2015"/>
    <s v="CSU-8665"/>
    <n v="18271"/>
    <x v="0"/>
    <x v="0"/>
    <s v="LC"/>
    <s v="FC"/>
    <s v="FC-006"/>
    <x v="1"/>
    <s v="LIGHT"/>
    <s v="Cx."/>
    <x v="1"/>
    <s v="F"/>
    <n v="0"/>
    <n v="12"/>
    <n v="12"/>
    <n v="0"/>
    <s v="Negative"/>
  </r>
  <r>
    <n v="2015"/>
    <s v="CSU-8666"/>
    <n v="18272"/>
    <x v="0"/>
    <x v="0"/>
    <s v="LC"/>
    <s v="FC"/>
    <s v="FC-092gr"/>
    <x v="1"/>
    <s v="GRAVID"/>
    <s v="Cx."/>
    <x v="1"/>
    <s v="F"/>
    <n v="50"/>
    <n v="0"/>
    <n v="50"/>
    <n v="1"/>
    <s v="Positive "/>
  </r>
  <r>
    <n v="2015"/>
    <s v="CSU-8667"/>
    <n v="18273"/>
    <x v="0"/>
    <x v="0"/>
    <s v="LC"/>
    <s v="FC"/>
    <s v="FC-092gr"/>
    <x v="1"/>
    <s v="GRAVID"/>
    <s v="Cx."/>
    <x v="1"/>
    <s v="F"/>
    <n v="50"/>
    <n v="0"/>
    <n v="50"/>
    <n v="1"/>
    <s v="Positive "/>
  </r>
  <r>
    <n v="2015"/>
    <s v="CSU-8668"/>
    <n v="18274"/>
    <x v="0"/>
    <x v="0"/>
    <s v="LC"/>
    <s v="FC"/>
    <s v="FC-092gr"/>
    <x v="1"/>
    <s v="GRAVID"/>
    <s v="Cx."/>
    <x v="1"/>
    <s v="F"/>
    <n v="15"/>
    <n v="0"/>
    <n v="15"/>
    <n v="1"/>
    <s v="Positive "/>
  </r>
  <r>
    <n v="2015"/>
    <s v="CSU-8669"/>
    <n v="18275"/>
    <x v="0"/>
    <x v="0"/>
    <s v="LC"/>
    <s v="FC"/>
    <s v="FC-072"/>
    <x v="1"/>
    <s v="LIGHT"/>
    <s v="Cx."/>
    <x v="0"/>
    <s v="F"/>
    <n v="0"/>
    <n v="13"/>
    <n v="13"/>
    <n v="0"/>
    <s v="Negative"/>
  </r>
  <r>
    <n v="2015"/>
    <s v="CSU-8670"/>
    <n v="18276"/>
    <x v="0"/>
    <x v="0"/>
    <s v="LC"/>
    <s v="FC"/>
    <s v="FC-072"/>
    <x v="1"/>
    <s v="LIGHT"/>
    <s v="Cx."/>
    <x v="1"/>
    <s v="F"/>
    <n v="0"/>
    <n v="4"/>
    <n v="4"/>
    <n v="0"/>
    <s v="Negative"/>
  </r>
  <r>
    <n v="2015"/>
    <s v="CSU-8671"/>
    <n v="18277"/>
    <x v="0"/>
    <x v="0"/>
    <s v="LC"/>
    <s v="FC"/>
    <s v="FC-091gr"/>
    <x v="1"/>
    <s v="GRAVID"/>
    <s v="Cx."/>
    <x v="1"/>
    <s v="F"/>
    <n v="8"/>
    <n v="0"/>
    <n v="8"/>
    <n v="0"/>
    <s v="Negative"/>
  </r>
  <r>
    <n v="2015"/>
    <s v="CSU-8672"/>
    <n v="18278"/>
    <x v="0"/>
    <x v="0"/>
    <s v="LC"/>
    <s v="FC"/>
    <s v="FC-019"/>
    <x v="1"/>
    <s v="LIGHT"/>
    <s v="Cx."/>
    <x v="0"/>
    <s v="F"/>
    <n v="0"/>
    <n v="10"/>
    <n v="10"/>
    <n v="0"/>
    <s v="Negative"/>
  </r>
  <r>
    <n v="2015"/>
    <s v="CSU-8673"/>
    <n v="18279"/>
    <x v="0"/>
    <x v="0"/>
    <s v="LC"/>
    <s v="FC"/>
    <s v="FC-019"/>
    <x v="1"/>
    <s v="LIGHT"/>
    <s v="Cx."/>
    <x v="1"/>
    <s v="F"/>
    <n v="0"/>
    <n v="9"/>
    <n v="9"/>
    <n v="0"/>
    <s v="Negative"/>
  </r>
  <r>
    <n v="2015"/>
    <s v="CSU-8674"/>
    <n v="18280"/>
    <x v="0"/>
    <x v="0"/>
    <s v="LC"/>
    <s v="FC"/>
    <s v="FC-066gr"/>
    <x v="1"/>
    <s v="GRAVID"/>
    <s v="Cx."/>
    <x v="1"/>
    <s v="F"/>
    <n v="31"/>
    <n v="0"/>
    <n v="31"/>
    <n v="0"/>
    <s v="Negative"/>
  </r>
  <r>
    <n v="2015"/>
    <s v="CSU-8675"/>
    <n v="18281"/>
    <x v="0"/>
    <x v="0"/>
    <s v="LC"/>
    <s v="FC"/>
    <s v="FC-066"/>
    <x v="1"/>
    <s v="LIGHT"/>
    <s v="Cx."/>
    <x v="0"/>
    <s v="F"/>
    <n v="0"/>
    <n v="18"/>
    <n v="18"/>
    <n v="0"/>
    <s v="Negative"/>
  </r>
  <r>
    <n v="2015"/>
    <s v="CSU-8676"/>
    <n v="18282"/>
    <x v="0"/>
    <x v="0"/>
    <s v="LC"/>
    <s v="FC"/>
    <s v="FC-066"/>
    <x v="1"/>
    <s v="LIGHT"/>
    <s v="Cx."/>
    <x v="1"/>
    <s v="F"/>
    <n v="0"/>
    <n v="50"/>
    <n v="50"/>
    <n v="0"/>
    <s v="Negative"/>
  </r>
  <r>
    <n v="2015"/>
    <s v="CSU-8677"/>
    <n v="18283"/>
    <x v="0"/>
    <x v="0"/>
    <s v="LC"/>
    <s v="FC"/>
    <s v="FC-066"/>
    <x v="1"/>
    <s v="LIGHT"/>
    <s v="Cx."/>
    <x v="1"/>
    <s v="F"/>
    <n v="0"/>
    <n v="20"/>
    <n v="20"/>
    <n v="0"/>
    <s v="Negative"/>
  </r>
  <r>
    <n v="2015"/>
    <s v="CSU-8678"/>
    <n v="18284"/>
    <x v="0"/>
    <x v="1"/>
    <s v="LC"/>
    <s v="FC"/>
    <s v="FC-039"/>
    <x v="2"/>
    <s v="LIGHT"/>
    <s v="Cx."/>
    <x v="0"/>
    <s v="F"/>
    <n v="0"/>
    <n v="5"/>
    <n v="5"/>
    <n v="0"/>
    <s v="Negative"/>
  </r>
  <r>
    <n v="2015"/>
    <s v="CSU-8679"/>
    <n v="18285"/>
    <x v="0"/>
    <x v="1"/>
    <s v="LC"/>
    <s v="FC"/>
    <s v="FC-039"/>
    <x v="2"/>
    <s v="LIGHT"/>
    <s v="Cx."/>
    <x v="1"/>
    <s v="F"/>
    <n v="0"/>
    <n v="3"/>
    <n v="3"/>
    <n v="0"/>
    <s v="Negative"/>
  </r>
  <r>
    <n v="2015"/>
    <s v="CSU-8680"/>
    <n v="18286"/>
    <x v="0"/>
    <x v="1"/>
    <s v="LC"/>
    <s v="FC"/>
    <s v="FC-064"/>
    <x v="2"/>
    <s v="LIGHT"/>
    <s v="Cx."/>
    <x v="0"/>
    <s v="F"/>
    <n v="0"/>
    <n v="7"/>
    <n v="7"/>
    <n v="0"/>
    <s v="Negative"/>
  </r>
  <r>
    <n v="2015"/>
    <s v="CSU-8681"/>
    <n v="18287"/>
    <x v="0"/>
    <x v="1"/>
    <s v="LC"/>
    <s v="FC"/>
    <s v="FC-064"/>
    <x v="2"/>
    <s v="LIGHT"/>
    <s v="Cx."/>
    <x v="1"/>
    <s v="F"/>
    <n v="0"/>
    <n v="2"/>
    <n v="2"/>
    <n v="0"/>
    <s v="Negative"/>
  </r>
  <r>
    <n v="2015"/>
    <s v="CSU-8682"/>
    <n v="18288"/>
    <x v="0"/>
    <x v="1"/>
    <s v="LC"/>
    <s v="FC"/>
    <s v="FC-075"/>
    <x v="2"/>
    <s v="LIGHT"/>
    <s v="Cx."/>
    <x v="0"/>
    <s v="F"/>
    <n v="0"/>
    <n v="3"/>
    <n v="3"/>
    <n v="0"/>
    <s v="Negative"/>
  </r>
  <r>
    <n v="2015"/>
    <s v="CSU-8683"/>
    <n v="18289"/>
    <x v="0"/>
    <x v="1"/>
    <s v="LC"/>
    <s v="FC"/>
    <s v="FC-075"/>
    <x v="2"/>
    <s v="LIGHT"/>
    <s v="Cx."/>
    <x v="1"/>
    <s v="F"/>
    <n v="0"/>
    <n v="9"/>
    <n v="9"/>
    <n v="0"/>
    <s v="Negative"/>
  </r>
  <r>
    <n v="2015"/>
    <s v="CSU-8684"/>
    <n v="18290"/>
    <x v="0"/>
    <x v="1"/>
    <s v="LC"/>
    <s v="FC"/>
    <s v="FC-075gr"/>
    <x v="2"/>
    <s v="GRAVID"/>
    <s v="Cx."/>
    <x v="1"/>
    <s v="F"/>
    <n v="50"/>
    <n v="0"/>
    <n v="50"/>
    <n v="1"/>
    <s v="Positive "/>
  </r>
  <r>
    <n v="2015"/>
    <s v="CSU-8685"/>
    <n v="18291"/>
    <x v="0"/>
    <x v="1"/>
    <s v="LC"/>
    <s v="FC"/>
    <s v="FC-075gr"/>
    <x v="2"/>
    <s v="GRAVID"/>
    <s v="Cx."/>
    <x v="1"/>
    <s v="F"/>
    <n v="13"/>
    <n v="0"/>
    <n v="13"/>
    <n v="0"/>
    <s v="Negative"/>
  </r>
  <r>
    <n v="2015"/>
    <s v="CSU-8686"/>
    <n v="18292"/>
    <x v="0"/>
    <x v="1"/>
    <s v="LC"/>
    <s v="FC"/>
    <s v="FC-074"/>
    <x v="2"/>
    <s v="LIGHT"/>
    <s v="Cx."/>
    <x v="0"/>
    <s v="F"/>
    <n v="0"/>
    <n v="11"/>
    <n v="11"/>
    <n v="0"/>
    <s v="Negative"/>
  </r>
  <r>
    <n v="2015"/>
    <s v="CSU-8687"/>
    <n v="18293"/>
    <x v="0"/>
    <x v="1"/>
    <s v="LC"/>
    <s v="FC"/>
    <s v="FC-074"/>
    <x v="2"/>
    <s v="LIGHT"/>
    <s v="Cx."/>
    <x v="1"/>
    <s v="F"/>
    <n v="0"/>
    <n v="4"/>
    <n v="4"/>
    <n v="0"/>
    <s v="Negative"/>
  </r>
  <r>
    <n v="2015"/>
    <s v="CSU-8688"/>
    <n v="18294"/>
    <x v="0"/>
    <x v="1"/>
    <s v="LC"/>
    <s v="FC"/>
    <s v="FC-088gr"/>
    <x v="2"/>
    <s v="GRAVID"/>
    <s v="Cx."/>
    <x v="1"/>
    <s v="F"/>
    <n v="50"/>
    <n v="0"/>
    <n v="50"/>
    <n v="1"/>
    <s v="Positive "/>
  </r>
  <r>
    <n v="2015"/>
    <s v="CSU-8689"/>
    <n v="18295"/>
    <x v="0"/>
    <x v="1"/>
    <s v="LC"/>
    <s v="FC"/>
    <s v="FC-088gr"/>
    <x v="2"/>
    <s v="GRAVID"/>
    <s v="Cx."/>
    <x v="1"/>
    <s v="F"/>
    <n v="50"/>
    <n v="0"/>
    <n v="50"/>
    <n v="1"/>
    <s v="Positive "/>
  </r>
  <r>
    <n v="2015"/>
    <s v="CSU-8690"/>
    <n v="18296"/>
    <x v="0"/>
    <x v="1"/>
    <s v="LC"/>
    <s v="FC"/>
    <s v="FC-088gr"/>
    <x v="2"/>
    <s v="GRAVID"/>
    <s v="Cx."/>
    <x v="1"/>
    <s v="F"/>
    <n v="3"/>
    <n v="0"/>
    <n v="3"/>
    <n v="0"/>
    <s v="Negative"/>
  </r>
  <r>
    <n v="2015"/>
    <s v="CSU-8691"/>
    <n v="18297"/>
    <x v="0"/>
    <x v="1"/>
    <s v="LC"/>
    <s v="FC"/>
    <s v="FC-027"/>
    <x v="2"/>
    <s v="LIGHT"/>
    <s v="Cx."/>
    <x v="0"/>
    <s v="F"/>
    <n v="0"/>
    <n v="8"/>
    <n v="8"/>
    <n v="1"/>
    <s v="Positive "/>
  </r>
  <r>
    <n v="2015"/>
    <s v="CSU-8692"/>
    <n v="18298"/>
    <x v="0"/>
    <x v="1"/>
    <s v="LC"/>
    <s v="FC"/>
    <s v="FC-027"/>
    <x v="2"/>
    <s v="LIGHT"/>
    <s v="Cx."/>
    <x v="1"/>
    <s v="F"/>
    <n v="0"/>
    <n v="25"/>
    <n v="25"/>
    <n v="0"/>
    <s v="Negative"/>
  </r>
  <r>
    <n v="2015"/>
    <s v="CSU-8693"/>
    <n v="18299"/>
    <x v="0"/>
    <x v="1"/>
    <s v="LC"/>
    <s v="FC"/>
    <s v="FC-059"/>
    <x v="2"/>
    <s v="LIGHT"/>
    <s v="Cx."/>
    <x v="0"/>
    <s v="F"/>
    <n v="0"/>
    <n v="7"/>
    <n v="7"/>
    <n v="0"/>
    <s v="Negative"/>
  </r>
  <r>
    <n v="2015"/>
    <s v="CSU-8694"/>
    <n v="18300"/>
    <x v="0"/>
    <x v="1"/>
    <s v="LC"/>
    <s v="FC"/>
    <s v="FC-059"/>
    <x v="2"/>
    <s v="LIGHT"/>
    <s v="Cx."/>
    <x v="1"/>
    <s v="F"/>
    <n v="0"/>
    <n v="14"/>
    <n v="14"/>
    <n v="0"/>
    <s v="Negative"/>
  </r>
  <r>
    <n v="2015"/>
    <s v="CSU-8695"/>
    <n v="18301"/>
    <x v="0"/>
    <x v="1"/>
    <s v="LC"/>
    <s v="FC"/>
    <s v="FC-023"/>
    <x v="2"/>
    <s v="LIGHT"/>
    <s v="Cx."/>
    <x v="0"/>
    <s v="F"/>
    <n v="0"/>
    <n v="5"/>
    <n v="5"/>
    <n v="0"/>
    <s v="Negative"/>
  </r>
  <r>
    <n v="2015"/>
    <s v="CSU-8696"/>
    <n v="18302"/>
    <x v="0"/>
    <x v="1"/>
    <s v="LC"/>
    <s v="FC"/>
    <s v="FC-023"/>
    <x v="2"/>
    <s v="LIGHT"/>
    <s v="Cx."/>
    <x v="1"/>
    <s v="F"/>
    <n v="0"/>
    <n v="15"/>
    <n v="15"/>
    <n v="0"/>
    <s v="Negative"/>
  </r>
  <r>
    <n v="2015"/>
    <s v="CSU-8697"/>
    <n v="18303"/>
    <x v="0"/>
    <x v="1"/>
    <s v="LC"/>
    <s v="FC"/>
    <s v="FC-050"/>
    <x v="2"/>
    <s v="LIGHT"/>
    <s v="Cx."/>
    <x v="0"/>
    <s v="F"/>
    <n v="0"/>
    <n v="2"/>
    <n v="2"/>
    <n v="0"/>
    <s v="Negative"/>
  </r>
  <r>
    <n v="2015"/>
    <s v="CSU-8698"/>
    <n v="18304"/>
    <x v="0"/>
    <x v="1"/>
    <s v="LC"/>
    <s v="FC"/>
    <s v="FC-050"/>
    <x v="2"/>
    <s v="LIGHT"/>
    <s v="Cx."/>
    <x v="1"/>
    <s v="F"/>
    <n v="0"/>
    <n v="50"/>
    <n v="50"/>
    <n v="0"/>
    <s v="Negative"/>
  </r>
  <r>
    <n v="2015"/>
    <s v="CSU-8699"/>
    <n v="18305"/>
    <x v="0"/>
    <x v="1"/>
    <s v="LC"/>
    <s v="FC"/>
    <s v="FC-050"/>
    <x v="2"/>
    <s v="LIGHT"/>
    <s v="Cx."/>
    <x v="1"/>
    <s v="F"/>
    <n v="0"/>
    <n v="7"/>
    <n v="7"/>
    <n v="0"/>
    <s v="Negative"/>
  </r>
  <r>
    <n v="2015"/>
    <s v="CSU-8700"/>
    <n v="18306"/>
    <x v="0"/>
    <x v="1"/>
    <s v="LC"/>
    <s v="FC"/>
    <s v="FC-046"/>
    <x v="2"/>
    <s v="LIGHT"/>
    <s v="Cx."/>
    <x v="0"/>
    <s v="F"/>
    <n v="0"/>
    <n v="5"/>
    <n v="5"/>
    <n v="1"/>
    <s v="Positive "/>
  </r>
  <r>
    <n v="2015"/>
    <s v="CSU-8701"/>
    <n v="18307"/>
    <x v="0"/>
    <x v="1"/>
    <s v="LC"/>
    <s v="FC"/>
    <s v="FC-046"/>
    <x v="2"/>
    <s v="LIGHT"/>
    <s v="Cx."/>
    <x v="1"/>
    <s v="F"/>
    <n v="0"/>
    <n v="15"/>
    <n v="15"/>
    <n v="1"/>
    <s v="Positive "/>
  </r>
  <r>
    <n v="2015"/>
    <s v="CSU-8702"/>
    <n v="18308"/>
    <x v="0"/>
    <x v="1"/>
    <s v="LC"/>
    <s v="FC"/>
    <s v="FC-047"/>
    <x v="2"/>
    <s v="LIGHT"/>
    <s v="Cx."/>
    <x v="0"/>
    <s v="F"/>
    <n v="0"/>
    <n v="1"/>
    <n v="1"/>
    <n v="0"/>
    <s v="Negative"/>
  </r>
  <r>
    <n v="2015"/>
    <s v="CSU-8703"/>
    <n v="18309"/>
    <x v="0"/>
    <x v="1"/>
    <s v="LC"/>
    <s v="FC"/>
    <s v="FC-047"/>
    <x v="2"/>
    <s v="LIGHT"/>
    <s v="Cx."/>
    <x v="1"/>
    <s v="F"/>
    <n v="0"/>
    <n v="5"/>
    <n v="5"/>
    <n v="0"/>
    <s v="Negative"/>
  </r>
  <r>
    <n v="2015"/>
    <s v="CSU-8704"/>
    <n v="18310"/>
    <x v="0"/>
    <x v="1"/>
    <s v="LC"/>
    <s v="FC"/>
    <s v="FC-031"/>
    <x v="2"/>
    <s v="LIGHT"/>
    <s v="Cx."/>
    <x v="0"/>
    <s v="F"/>
    <n v="0"/>
    <n v="4"/>
    <n v="4"/>
    <n v="0"/>
    <s v="Negative"/>
  </r>
  <r>
    <n v="2015"/>
    <s v="CSU-8705"/>
    <n v="18311"/>
    <x v="0"/>
    <x v="2"/>
    <s v="LC"/>
    <s v="FC"/>
    <s v="FC-031"/>
    <x v="2"/>
    <s v="LIGHT"/>
    <s v="Cx."/>
    <x v="1"/>
    <s v="F"/>
    <n v="0"/>
    <n v="4"/>
    <n v="4"/>
    <n v="0"/>
    <s v="Negative"/>
  </r>
  <r>
    <n v="2015"/>
    <s v="CSU-8706"/>
    <n v="18312"/>
    <x v="0"/>
    <x v="3"/>
    <s v="LC"/>
    <s v="FC"/>
    <s v="FC-052"/>
    <x v="3"/>
    <s v="LIGHT"/>
    <s v="Cx."/>
    <x v="0"/>
    <s v="F"/>
    <n v="0"/>
    <n v="3"/>
    <n v="3"/>
    <n v="0"/>
    <s v="Negative"/>
  </r>
  <r>
    <n v="2015"/>
    <s v="CSU-8707"/>
    <n v="18313"/>
    <x v="0"/>
    <x v="3"/>
    <s v="LC"/>
    <s v="FC"/>
    <s v="FC-061"/>
    <x v="3"/>
    <s v="LIGHT"/>
    <s v="Cx."/>
    <x v="0"/>
    <s v="F"/>
    <n v="0"/>
    <n v="4"/>
    <n v="4"/>
    <n v="0"/>
    <s v="Negative"/>
  </r>
  <r>
    <n v="2015"/>
    <s v="CSU-8708"/>
    <n v="18314"/>
    <x v="0"/>
    <x v="3"/>
    <s v="LC"/>
    <s v="FC"/>
    <s v="FC-061"/>
    <x v="3"/>
    <s v="LIGHT"/>
    <s v="Cx."/>
    <x v="1"/>
    <s v="F"/>
    <n v="0"/>
    <n v="4"/>
    <n v="4"/>
    <n v="0"/>
    <s v="Negative"/>
  </r>
  <r>
    <n v="2015"/>
    <s v="CSU-8709"/>
    <n v="18315"/>
    <x v="0"/>
    <x v="3"/>
    <s v="LC"/>
    <s v="FC"/>
    <s v="FC-073"/>
    <x v="3"/>
    <s v="LIGHT"/>
    <s v="Cx."/>
    <x v="1"/>
    <s v="F"/>
    <n v="0"/>
    <n v="1"/>
    <n v="1"/>
    <n v="0"/>
    <s v="Negative"/>
  </r>
  <r>
    <n v="2015"/>
    <s v="CSU-8710"/>
    <n v="18316"/>
    <x v="0"/>
    <x v="3"/>
    <s v="LC"/>
    <s v="FC"/>
    <s v="FC-041"/>
    <x v="3"/>
    <s v="LIGHT"/>
    <s v="Cx."/>
    <x v="0"/>
    <s v="F"/>
    <n v="0"/>
    <n v="4"/>
    <n v="4"/>
    <n v="0"/>
    <s v="Negative"/>
  </r>
  <r>
    <n v="2015"/>
    <s v="CSU-8711"/>
    <n v="18317"/>
    <x v="0"/>
    <x v="3"/>
    <s v="LC"/>
    <s v="FC"/>
    <s v="FC-041"/>
    <x v="3"/>
    <s v="LIGHT"/>
    <s v="Cx."/>
    <x v="1"/>
    <s v="F"/>
    <n v="0"/>
    <n v="8"/>
    <n v="8"/>
    <n v="0"/>
    <s v="Negative"/>
  </r>
  <r>
    <n v="2015"/>
    <s v="CSU-8712"/>
    <n v="18318"/>
    <x v="0"/>
    <x v="3"/>
    <s v="LC"/>
    <s v="FC"/>
    <s v="FC-090gr"/>
    <x v="3"/>
    <s v="GRAVID"/>
    <s v="Cx."/>
    <x v="1"/>
    <s v="F"/>
    <n v="7"/>
    <n v="0"/>
    <n v="7"/>
    <n v="0"/>
    <s v="Negative"/>
  </r>
  <r>
    <n v="2015"/>
    <s v="CSU-8713"/>
    <n v="18319"/>
    <x v="0"/>
    <x v="3"/>
    <s v="LC"/>
    <s v="FC"/>
    <s v="FC-060"/>
    <x v="3"/>
    <s v="LIGHT"/>
    <s v="Cx."/>
    <x v="0"/>
    <s v="F"/>
    <n v="0"/>
    <n v="2"/>
    <n v="2"/>
    <n v="0"/>
    <s v="Negative"/>
  </r>
  <r>
    <n v="2015"/>
    <s v="CSU-8714"/>
    <n v="18320"/>
    <x v="0"/>
    <x v="3"/>
    <s v="LC"/>
    <s v="FC"/>
    <s v="FC-060"/>
    <x v="3"/>
    <s v="LIGHT"/>
    <s v="Cx."/>
    <x v="1"/>
    <s v="F"/>
    <n v="0"/>
    <n v="2"/>
    <n v="2"/>
    <n v="0"/>
    <s v="Negative"/>
  </r>
  <r>
    <n v="2015"/>
    <s v="CSU-8715"/>
    <n v="18321"/>
    <x v="0"/>
    <x v="3"/>
    <s v="LC"/>
    <s v="FC"/>
    <s v="FC-011"/>
    <x v="3"/>
    <s v="LIGHT"/>
    <s v="Cx."/>
    <x v="1"/>
    <s v="F"/>
    <n v="0"/>
    <n v="3"/>
    <n v="3"/>
    <n v="0"/>
    <s v="Negative"/>
  </r>
  <r>
    <n v="2015"/>
    <s v="CSU-8716"/>
    <n v="18322"/>
    <x v="0"/>
    <x v="3"/>
    <s v="LC"/>
    <s v="FC"/>
    <s v="FC-063"/>
    <x v="3"/>
    <s v="LIGHT"/>
    <s v="Cx."/>
    <x v="1"/>
    <s v="F"/>
    <n v="0"/>
    <n v="1"/>
    <n v="1"/>
    <n v="0"/>
    <s v="Negative"/>
  </r>
  <r>
    <n v="2015"/>
    <s v="CSU-8717"/>
    <n v="18323"/>
    <x v="0"/>
    <x v="3"/>
    <s v="LC"/>
    <s v="FC"/>
    <s v="FC-015"/>
    <x v="3"/>
    <s v="LIGHT"/>
    <s v="Cx."/>
    <x v="0"/>
    <s v="F"/>
    <n v="0"/>
    <n v="1"/>
    <n v="1"/>
    <n v="0"/>
    <s v="Negative"/>
  </r>
  <r>
    <n v="2015"/>
    <s v="CSU-8718"/>
    <n v="18324"/>
    <x v="0"/>
    <x v="3"/>
    <s v="LC"/>
    <s v="FC"/>
    <s v="FC-015"/>
    <x v="3"/>
    <s v="LIGHT"/>
    <s v="Cx."/>
    <x v="1"/>
    <s v="F"/>
    <n v="0"/>
    <n v="3"/>
    <n v="3"/>
    <n v="1"/>
    <s v="Positive "/>
  </r>
  <r>
    <n v="2015"/>
    <s v="CSU-8719"/>
    <n v="18325"/>
    <x v="0"/>
    <x v="3"/>
    <s v="LC"/>
    <s v="FC"/>
    <s v="FC-058"/>
    <x v="4"/>
    <s v="LIGHT"/>
    <s v="Cx."/>
    <x v="0"/>
    <s v="F"/>
    <n v="0"/>
    <n v="2"/>
    <n v="2"/>
    <n v="0"/>
    <s v="Negative"/>
  </r>
  <r>
    <n v="2015"/>
    <s v="CSU-8720"/>
    <n v="18326"/>
    <x v="0"/>
    <x v="3"/>
    <s v="LC"/>
    <s v="FC"/>
    <s v="FC-049"/>
    <x v="4"/>
    <s v="LIGHT"/>
    <s v="Cx."/>
    <x v="1"/>
    <s v="F"/>
    <n v="0"/>
    <n v="4"/>
    <n v="4"/>
    <n v="0"/>
    <s v="Negative"/>
  </r>
  <r>
    <n v="2015"/>
    <s v="CSU-8721"/>
    <n v="18327"/>
    <x v="0"/>
    <x v="3"/>
    <s v="LC"/>
    <s v="FC"/>
    <s v="FC-063gr"/>
    <x v="3"/>
    <s v="GRAVID"/>
    <s v="Cx."/>
    <x v="1"/>
    <s v="F"/>
    <n v="50"/>
    <n v="0"/>
    <n v="50"/>
    <n v="1"/>
    <s v="Positive "/>
  </r>
  <r>
    <n v="2015"/>
    <s v="CSU-8722"/>
    <n v="18328"/>
    <x v="0"/>
    <x v="3"/>
    <s v="LC"/>
    <s v="FC"/>
    <s v="FC-063gr"/>
    <x v="3"/>
    <s v="GRAVID"/>
    <s v="Cx."/>
    <x v="1"/>
    <s v="F"/>
    <n v="50"/>
    <n v="0"/>
    <n v="50"/>
    <n v="1"/>
    <s v="Positive "/>
  </r>
  <r>
    <n v="2015"/>
    <s v="CSU-8723"/>
    <n v="18329"/>
    <x v="0"/>
    <x v="3"/>
    <s v="LC"/>
    <s v="FC"/>
    <s v="FC-063gr"/>
    <x v="3"/>
    <s v="GRAVID"/>
    <s v="Cx."/>
    <x v="1"/>
    <s v="F"/>
    <n v="23"/>
    <n v="0"/>
    <n v="23"/>
    <n v="1"/>
    <s v="Positive "/>
  </r>
  <r>
    <n v="2015"/>
    <s v="CSU-8724"/>
    <n v="18330"/>
    <x v="0"/>
    <x v="4"/>
    <s v="LC"/>
    <s v="FC"/>
    <s v="FC-089gr"/>
    <x v="4"/>
    <s v="GRAVID"/>
    <s v="Cx."/>
    <x v="1"/>
    <s v="F"/>
    <n v="50"/>
    <n v="0"/>
    <n v="50"/>
    <n v="1"/>
    <s v="Positive "/>
  </r>
  <r>
    <n v="2015"/>
    <s v="CSU-8725"/>
    <n v="18331"/>
    <x v="0"/>
    <x v="4"/>
    <s v="LC"/>
    <s v="FC"/>
    <s v="FC-089gr"/>
    <x v="4"/>
    <s v="GRAVID"/>
    <s v="Cx."/>
    <x v="1"/>
    <s v="F"/>
    <n v="50"/>
    <n v="0"/>
    <n v="50"/>
    <n v="1"/>
    <s v="Positive "/>
  </r>
  <r>
    <n v="2015"/>
    <s v="CSU-8726"/>
    <n v="18332"/>
    <x v="0"/>
    <x v="4"/>
    <s v="LC"/>
    <s v="FC"/>
    <s v="FC-089gr"/>
    <x v="4"/>
    <s v="GRAVID"/>
    <s v="Cx."/>
    <x v="1"/>
    <s v="F"/>
    <n v="49"/>
    <n v="0"/>
    <n v="49"/>
    <n v="0"/>
    <s v="Negative"/>
  </r>
  <r>
    <n v="2015"/>
    <s v="CSU-8727"/>
    <n v="18333"/>
    <x v="0"/>
    <x v="4"/>
    <s v="LC"/>
    <s v="FC"/>
    <s v="FC-029gr"/>
    <x v="2"/>
    <s v="GRAVID"/>
    <s v="Cx."/>
    <x v="1"/>
    <s v="F"/>
    <n v="50"/>
    <n v="0"/>
    <n v="50"/>
    <n v="1"/>
    <s v="Positive "/>
  </r>
  <r>
    <n v="2015"/>
    <s v="CSU-8728"/>
    <n v="18334"/>
    <x v="0"/>
    <x v="4"/>
    <s v="LC"/>
    <s v="FC"/>
    <s v="FC-029gr"/>
    <x v="2"/>
    <s v="GRAVID"/>
    <s v="Cx."/>
    <x v="1"/>
    <s v="F"/>
    <n v="50"/>
    <n v="0"/>
    <n v="50"/>
    <n v="1"/>
    <s v="Positive "/>
  </r>
  <r>
    <n v="2015"/>
    <s v="CSU-8729"/>
    <n v="18335"/>
    <x v="0"/>
    <x v="4"/>
    <s v="LC"/>
    <s v="FC"/>
    <s v="FC-029gr"/>
    <x v="2"/>
    <s v="GRAVID"/>
    <s v="Cx."/>
    <x v="1"/>
    <s v="F"/>
    <n v="5"/>
    <n v="0"/>
    <n v="5"/>
    <n v="0"/>
    <s v="Negative"/>
  </r>
  <r>
    <n v="2015"/>
    <s v="CSU-8730"/>
    <n v="18336"/>
    <x v="0"/>
    <x v="4"/>
    <s v="LC"/>
    <s v="FC"/>
    <s v="FC-093"/>
    <x v="4"/>
    <s v="LIGHT"/>
    <s v="Cx."/>
    <x v="0"/>
    <s v="F"/>
    <n v="0"/>
    <n v="3"/>
    <n v="3"/>
    <n v="0"/>
    <s v="Negative"/>
  </r>
  <r>
    <n v="2015"/>
    <s v="CSU-8731"/>
    <n v="18337"/>
    <x v="0"/>
    <x v="4"/>
    <s v="LC"/>
    <s v="FC"/>
    <s v="FC-093"/>
    <x v="4"/>
    <s v="LIGHT"/>
    <s v="Cx."/>
    <x v="1"/>
    <s v="F"/>
    <n v="0"/>
    <n v="3"/>
    <n v="3"/>
    <n v="0"/>
    <s v="Negative"/>
  </r>
  <r>
    <n v="2015"/>
    <s v="CSU-8732"/>
    <n v="18338"/>
    <x v="0"/>
    <x v="4"/>
    <s v="LC"/>
    <s v="FC"/>
    <s v="FC-062"/>
    <x v="4"/>
    <s v="LIGHT"/>
    <s v="Cx."/>
    <x v="0"/>
    <s v="F"/>
    <n v="0"/>
    <n v="1"/>
    <n v="1"/>
    <n v="0"/>
    <s v="Negative"/>
  </r>
  <r>
    <n v="2015"/>
    <s v="CSU-8733"/>
    <n v="18339"/>
    <x v="0"/>
    <x v="4"/>
    <s v="LC"/>
    <s v="FC"/>
    <s v="FC-062"/>
    <x v="4"/>
    <s v="LIGHT"/>
    <s v="Cx."/>
    <x v="1"/>
    <s v="F"/>
    <n v="0"/>
    <n v="1"/>
    <n v="1"/>
    <n v="0"/>
    <s v="Negative"/>
  </r>
  <r>
    <n v="2015"/>
    <s v="CSU-8734"/>
    <n v="18340"/>
    <x v="0"/>
    <x v="4"/>
    <s v="LC"/>
    <s v="FC"/>
    <s v="FC-068"/>
    <x v="4"/>
    <s v="LIGHT"/>
    <s v="Cx."/>
    <x v="1"/>
    <s v="F"/>
    <n v="0"/>
    <n v="1"/>
    <n v="1"/>
    <n v="0"/>
    <s v="Negative"/>
  </r>
  <r>
    <n v="2015"/>
    <s v="CSU-8735"/>
    <n v="18341"/>
    <x v="0"/>
    <x v="4"/>
    <s v="LC"/>
    <s v="FC"/>
    <s v="FC-054"/>
    <x v="2"/>
    <s v="LIGHT"/>
    <s v="Cx."/>
    <x v="0"/>
    <s v="F"/>
    <n v="0"/>
    <n v="4"/>
    <n v="4"/>
    <n v="0"/>
    <s v="Negative"/>
  </r>
  <r>
    <n v="2015"/>
    <s v="CSU-8736"/>
    <n v="18342"/>
    <x v="0"/>
    <x v="4"/>
    <s v="LC"/>
    <s v="FC"/>
    <s v="FC-054"/>
    <x v="2"/>
    <s v="LIGHT"/>
    <s v="Cx."/>
    <x v="1"/>
    <s v="F"/>
    <n v="0"/>
    <n v="2"/>
    <n v="2"/>
    <n v="0"/>
    <s v="Negative"/>
  </r>
  <r>
    <n v="2015"/>
    <s v="CSU-8737"/>
    <n v="18343"/>
    <x v="0"/>
    <x v="4"/>
    <s v="LC"/>
    <s v="FC"/>
    <s v="FC-029"/>
    <x v="2"/>
    <s v="LIGHT"/>
    <s v="Cx."/>
    <x v="0"/>
    <s v="F"/>
    <n v="0"/>
    <n v="3"/>
    <n v="3"/>
    <n v="0"/>
    <s v="Negative"/>
  </r>
  <r>
    <n v="2015"/>
    <s v="CSU-8738"/>
    <n v="18344"/>
    <x v="0"/>
    <x v="4"/>
    <s v="LC"/>
    <s v="FC"/>
    <s v="FC-029"/>
    <x v="2"/>
    <s v="LIGHT"/>
    <s v="Cx."/>
    <x v="1"/>
    <s v="F"/>
    <n v="0"/>
    <n v="15"/>
    <n v="15"/>
    <n v="0"/>
    <s v="Negative"/>
  </r>
  <r>
    <n v="2015"/>
    <s v="CSU-8739"/>
    <n v="18345"/>
    <x v="0"/>
    <x v="4"/>
    <s v="LC"/>
    <s v="FC"/>
    <s v="FC-001"/>
    <x v="4"/>
    <s v="LIGHT"/>
    <s v="Cx."/>
    <x v="0"/>
    <s v="F"/>
    <n v="0"/>
    <n v="2"/>
    <n v="2"/>
    <n v="0"/>
    <s v="Negative"/>
  </r>
  <r>
    <n v="2015"/>
    <s v="CSU-8740"/>
    <n v="18346"/>
    <x v="0"/>
    <x v="4"/>
    <s v="LC"/>
    <s v="FC"/>
    <s v="FC-071"/>
    <x v="4"/>
    <s v="LIGHT"/>
    <s v="Cx."/>
    <x v="0"/>
    <s v="F"/>
    <n v="0"/>
    <n v="1"/>
    <n v="1"/>
    <n v="0"/>
    <s v="Negative"/>
  </r>
  <r>
    <n v="2015"/>
    <s v="CSU-8741"/>
    <n v="18347"/>
    <x v="0"/>
    <x v="4"/>
    <s v="LC"/>
    <s v="FC"/>
    <s v="FC-071"/>
    <x v="4"/>
    <s v="LIGHT"/>
    <s v="Cx."/>
    <x v="1"/>
    <s v="F"/>
    <n v="0"/>
    <n v="1"/>
    <n v="1"/>
    <n v="0"/>
    <s v="Negative"/>
  </r>
  <r>
    <n v="2015"/>
    <s v="CSU-8742"/>
    <n v="18348"/>
    <x v="0"/>
    <x v="4"/>
    <s v="LC"/>
    <s v="FC"/>
    <s v="FC-037"/>
    <x v="4"/>
    <s v="LIGHT"/>
    <s v="Cx."/>
    <x v="0"/>
    <s v="F"/>
    <n v="0"/>
    <n v="4"/>
    <n v="4"/>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0"/>
        <item x="1"/>
        <item x="2"/>
        <item x="3"/>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1"/>
        <item x="3"/>
        <item x="2"/>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1"/>
        <item x="3"/>
        <item x="2"/>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3"/>
        <item x="1"/>
        <item x="2"/>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7" sqref="A7:D7"/>
      <pivotSelection pane="bottomRight" showHeader="1" extendable="1" start="1" max="6" activeRow="6" click="1" r:id="rId1">
        <pivotArea dataOnly="0" fieldPosition="0">
          <references count="1">
            <reference field="8" count="1">
              <x v="1"/>
            </reference>
          </references>
        </pivotArea>
      </pivotSelection>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60" t="s">
        <v>55</v>
      </c>
      <c r="H1" s="60"/>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2</v>
      </c>
      <c r="C6" s="2">
        <v>7</v>
      </c>
      <c r="D6" s="2">
        <v>9</v>
      </c>
      <c r="G6" s="1" t="s">
        <v>9</v>
      </c>
      <c r="H6" s="2">
        <f>GETPIVOTDATA("CSU Pool Number     (CMC enters)",$A$4,"Zone","LV","Spp","pipiens")</f>
        <v>2</v>
      </c>
      <c r="I6" s="2">
        <f>GETPIVOTDATA("CSU Pool Number     (CMC enters)",$A$4,"Zone","LV","Spp","tarsalis")</f>
        <v>7</v>
      </c>
      <c r="J6" s="2">
        <f>GETPIVOTDATA("CSU Pool Number     (CMC enters)",$A$4,"Zone","LV")</f>
        <v>9</v>
      </c>
    </row>
    <row r="7" spans="1:10" x14ac:dyDescent="0.25">
      <c r="A7" s="1" t="s">
        <v>61</v>
      </c>
      <c r="B7" s="2">
        <v>17</v>
      </c>
      <c r="C7" s="2">
        <v>10</v>
      </c>
      <c r="D7" s="2">
        <v>27</v>
      </c>
      <c r="G7" s="1" t="s">
        <v>61</v>
      </c>
      <c r="H7" s="2">
        <f>GETPIVOTDATA("CSU Pool Number     (CMC enters)",$A$4,"Zone","NE","Spp","pipiens")</f>
        <v>17</v>
      </c>
      <c r="I7" s="2">
        <f>GETPIVOTDATA("CSU Pool Number     (CMC enters)",$A$4,"Zone","NE","Spp","tarsalis")</f>
        <v>10</v>
      </c>
      <c r="J7" s="2">
        <f>GETPIVOTDATA("CSU Pool Number     (CMC enters)",$A$4,"Zone","NE")</f>
        <v>27</v>
      </c>
    </row>
    <row r="8" spans="1:10" x14ac:dyDescent="0.25">
      <c r="A8" s="1" t="s">
        <v>60</v>
      </c>
      <c r="B8" s="2">
        <v>12</v>
      </c>
      <c r="C8" s="2">
        <v>6</v>
      </c>
      <c r="D8" s="2">
        <v>18</v>
      </c>
      <c r="G8" s="1" t="s">
        <v>60</v>
      </c>
      <c r="H8" s="2">
        <f>GETPIVOTDATA("CSU Pool Number     (CMC enters)",$A$4,"Zone","NW","Spp","pipiens")</f>
        <v>12</v>
      </c>
      <c r="I8" s="2">
        <f>GETPIVOTDATA("CSU Pool Number     (CMC enters)",$A$4,"Zone","NW","Spp","tarsalis")</f>
        <v>6</v>
      </c>
      <c r="J8" s="2">
        <f>GETPIVOTDATA("CSU Pool Number     (CMC enters)",$A$4,"Zone","NW")</f>
        <v>18</v>
      </c>
    </row>
    <row r="9" spans="1:10" x14ac:dyDescent="0.25">
      <c r="A9" s="1" t="s">
        <v>62</v>
      </c>
      <c r="B9" s="2">
        <v>24</v>
      </c>
      <c r="C9" s="2">
        <v>15</v>
      </c>
      <c r="D9" s="2">
        <v>39</v>
      </c>
      <c r="G9" s="1" t="s">
        <v>62</v>
      </c>
      <c r="H9" s="2">
        <f>GETPIVOTDATA("CSU Pool Number     (CMC enters)",$A$4,"Zone","SE","Spp","pipiens")</f>
        <v>24</v>
      </c>
      <c r="I9" s="2">
        <f>GETPIVOTDATA("CSU Pool Number     (CMC enters)",$A$4,"Zone","SE","Spp","tarsalis")</f>
        <v>15</v>
      </c>
      <c r="J9" s="2">
        <f>GETPIVOTDATA("CSU Pool Number     (CMC enters)",$A$4,"Zone","SE")</f>
        <v>39</v>
      </c>
    </row>
    <row r="10" spans="1:10" x14ac:dyDescent="0.25">
      <c r="A10" s="1" t="s">
        <v>63</v>
      </c>
      <c r="B10" s="2">
        <v>8</v>
      </c>
      <c r="C10" s="2">
        <v>6</v>
      </c>
      <c r="D10" s="2">
        <v>14</v>
      </c>
      <c r="G10" s="1" t="s">
        <v>63</v>
      </c>
      <c r="H10" s="2">
        <f>GETPIVOTDATA("CSU Pool Number     (CMC enters)",$A$4,"Zone","SW","Spp","pipiens")</f>
        <v>8</v>
      </c>
      <c r="I10" s="2">
        <f>GETPIVOTDATA("CSU Pool Number     (CMC enters)",$A$4,"Zone","SW","Spp","tarsalis")</f>
        <v>6</v>
      </c>
      <c r="J10" s="2">
        <f>GETPIVOTDATA("CSU Pool Number     (CMC enters)",$A$4,"Zone","SW")</f>
        <v>14</v>
      </c>
    </row>
    <row r="11" spans="1:10" x14ac:dyDescent="0.25">
      <c r="A11" s="1" t="s">
        <v>7</v>
      </c>
      <c r="B11" s="2">
        <v>63</v>
      </c>
      <c r="C11" s="2">
        <v>44</v>
      </c>
      <c r="D11" s="2">
        <v>107</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10" sqref="B10"/>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60" t="s">
        <v>79</v>
      </c>
      <c r="B1" s="60"/>
      <c r="C1" s="60"/>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4</v>
      </c>
      <c r="C7" s="2">
        <v>0</v>
      </c>
      <c r="D7" s="2">
        <v>4</v>
      </c>
      <c r="F7" s="1" t="s">
        <v>60</v>
      </c>
      <c r="G7" s="2">
        <f>GETPIVOTDATA("Test code (CSU enters)",$A$5,"Zone","NW","Spp","pipiens")</f>
        <v>4</v>
      </c>
      <c r="H7" s="2">
        <f>GETPIVOTDATA("Test code (CSU enters)",$A$5,"Zone","NW","Spp","tarsalis")</f>
        <v>0</v>
      </c>
      <c r="I7" s="2">
        <f>GETPIVOTDATA("Test code (CSU enters)",$A$5,"Zone","NW")</f>
        <v>4</v>
      </c>
    </row>
    <row r="8" spans="1:9" x14ac:dyDescent="0.25">
      <c r="A8" s="1" t="s">
        <v>61</v>
      </c>
      <c r="B8" s="2">
        <v>6</v>
      </c>
      <c r="C8" s="2">
        <v>1</v>
      </c>
      <c r="D8" s="2">
        <v>7</v>
      </c>
      <c r="F8" s="1" t="s">
        <v>61</v>
      </c>
      <c r="G8" s="2">
        <f>GETPIVOTDATA("Test code (CSU enters)",$A$5,"Zone","NE","Spp","pipiens")</f>
        <v>6</v>
      </c>
      <c r="H8" s="2">
        <f>GETPIVOTDATA("Test code (CSU enters)",$A$5,"Zone","NE","Spp","tarsalis")</f>
        <v>1</v>
      </c>
      <c r="I8" s="2">
        <f>GETPIVOTDATA("Test code (CSU enters)",$A$5,"Zone","NE")</f>
        <v>7</v>
      </c>
    </row>
    <row r="9" spans="1:9" x14ac:dyDescent="0.25">
      <c r="A9" s="1" t="s">
        <v>62</v>
      </c>
      <c r="B9" s="2">
        <v>7</v>
      </c>
      <c r="C9" s="2">
        <v>2</v>
      </c>
      <c r="D9" s="2">
        <v>9</v>
      </c>
      <c r="F9" s="1" t="s">
        <v>62</v>
      </c>
      <c r="G9" s="2">
        <f>GETPIVOTDATA("Test code (CSU enters)",$A$5,"Zone","SE","Spp","pipiens")</f>
        <v>7</v>
      </c>
      <c r="H9" s="2">
        <f>GETPIVOTDATA("Test code (CSU enters)",$A$5,"Zone","SE","Spp","tarsalis")</f>
        <v>2</v>
      </c>
      <c r="I9" s="2">
        <f>GETPIVOTDATA("Test code (CSU enters)",$A$5,"Zone","SE")</f>
        <v>9</v>
      </c>
    </row>
    <row r="10" spans="1:9" x14ac:dyDescent="0.25">
      <c r="A10" s="1" t="s">
        <v>63</v>
      </c>
      <c r="B10" s="2">
        <v>2</v>
      </c>
      <c r="C10" s="2">
        <v>0</v>
      </c>
      <c r="D10" s="2">
        <v>2</v>
      </c>
      <c r="F10" s="1" t="s">
        <v>63</v>
      </c>
      <c r="G10" s="2">
        <f>GETPIVOTDATA("Test code (CSU enters)",$A$5,"Zone","SW","Spp","pipiens")</f>
        <v>2</v>
      </c>
      <c r="H10" s="2">
        <f>GETPIVOTDATA("Test code (CSU enters)",$A$5,"Zone","SW","Spp","tarsalis")</f>
        <v>0</v>
      </c>
      <c r="I10" s="2">
        <f>GETPIVOTDATA("Test code (CSU enters)",$A$5,"Zone","SW")</f>
        <v>2</v>
      </c>
    </row>
    <row r="11" spans="1:9" x14ac:dyDescent="0.25">
      <c r="A11" s="1" t="s">
        <v>9</v>
      </c>
      <c r="B11" s="2">
        <v>0</v>
      </c>
      <c r="C11" s="2">
        <v>2</v>
      </c>
      <c r="D11" s="2">
        <v>2</v>
      </c>
      <c r="F11" s="1" t="s">
        <v>9</v>
      </c>
      <c r="G11" s="2">
        <f>GETPIVOTDATA("Test code (CSU enters)",$A$5,"Zone","LV","Spp","pipiens")</f>
        <v>0</v>
      </c>
      <c r="H11" s="2">
        <f>GETPIVOTDATA("Test code (CSU enters)",$A$5,"Zone","LV","Spp","tarsalis")</f>
        <v>2</v>
      </c>
      <c r="I11" s="2">
        <f>GETPIVOTDATA("Test code (CSU enters)",$A$5,"Zone","LV")</f>
        <v>2</v>
      </c>
    </row>
    <row r="12" spans="1:9" x14ac:dyDescent="0.25">
      <c r="A12" s="1" t="s">
        <v>7</v>
      </c>
      <c r="B12" s="2">
        <v>19</v>
      </c>
      <c r="C12" s="2">
        <v>5</v>
      </c>
      <c r="D12" s="2">
        <v>24</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 sqref="C2:C5"/>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c r="E1" s="57" t="s">
        <v>93</v>
      </c>
      <c r="F1" s="58" t="s">
        <v>370</v>
      </c>
    </row>
    <row r="2" spans="1:6" x14ac:dyDescent="0.25">
      <c r="A2" t="s">
        <v>47</v>
      </c>
      <c r="B2" t="s">
        <v>15</v>
      </c>
      <c r="C2" s="31">
        <v>24.780501879271462</v>
      </c>
      <c r="E2" t="s">
        <v>137</v>
      </c>
      <c r="F2" s="31">
        <v>24.780501879271462</v>
      </c>
    </row>
    <row r="3" spans="1:6" x14ac:dyDescent="0.25">
      <c r="A3" t="s">
        <v>47</v>
      </c>
      <c r="B3" t="s">
        <v>16</v>
      </c>
      <c r="C3" s="31">
        <v>13.756288781255989</v>
      </c>
      <c r="E3" t="s">
        <v>132</v>
      </c>
      <c r="F3" s="31">
        <v>13.756288781255989</v>
      </c>
    </row>
    <row r="4" spans="1:6" x14ac:dyDescent="0.25">
      <c r="A4" t="s">
        <v>9</v>
      </c>
      <c r="B4" t="s">
        <v>15</v>
      </c>
      <c r="C4" s="31">
        <v>0</v>
      </c>
      <c r="E4" t="s">
        <v>122</v>
      </c>
      <c r="F4" s="31">
        <v>0</v>
      </c>
    </row>
    <row r="5" spans="1:6" x14ac:dyDescent="0.25">
      <c r="A5" t="s">
        <v>9</v>
      </c>
      <c r="B5" t="s">
        <v>16</v>
      </c>
      <c r="C5" s="31">
        <v>18.202616187224425</v>
      </c>
      <c r="E5" t="s">
        <v>114</v>
      </c>
      <c r="F5" s="31">
        <v>18.202616187224425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4" sqref="C4"/>
    </sheetView>
  </sheetViews>
  <sheetFormatPr defaultRowHeight="15" x14ac:dyDescent="0.25"/>
  <cols>
    <col min="2" max="2" width="15.7109375" customWidth="1"/>
    <col min="3" max="3" width="13.140625" customWidth="1"/>
  </cols>
  <sheetData>
    <row r="1" spans="1:6" x14ac:dyDescent="0.25">
      <c r="A1" s="34" t="s">
        <v>67</v>
      </c>
      <c r="B1" s="34" t="s">
        <v>66</v>
      </c>
      <c r="C1" s="34" t="s">
        <v>64</v>
      </c>
      <c r="E1" s="57" t="s">
        <v>94</v>
      </c>
      <c r="F1" s="58" t="s">
        <v>370</v>
      </c>
    </row>
    <row r="2" spans="1:6" x14ac:dyDescent="0.25">
      <c r="A2" t="s">
        <v>60</v>
      </c>
      <c r="B2" t="s">
        <v>15</v>
      </c>
      <c r="C2" s="31">
        <v>47.258177848682003</v>
      </c>
      <c r="E2" t="s">
        <v>122</v>
      </c>
      <c r="F2" s="31">
        <v>0</v>
      </c>
    </row>
    <row r="3" spans="1:6" x14ac:dyDescent="0.25">
      <c r="A3" t="s">
        <v>60</v>
      </c>
      <c r="B3" t="s">
        <v>16</v>
      </c>
      <c r="C3" s="31">
        <v>0</v>
      </c>
      <c r="E3" t="s">
        <v>114</v>
      </c>
      <c r="F3" s="31">
        <v>18.202616187224425</v>
      </c>
    </row>
    <row r="4" spans="1:6" x14ac:dyDescent="0.25">
      <c r="A4" t="s">
        <v>61</v>
      </c>
      <c r="B4" t="s">
        <v>15</v>
      </c>
      <c r="C4" s="31">
        <v>20.943357229192987</v>
      </c>
      <c r="E4" t="s">
        <v>138</v>
      </c>
      <c r="F4" s="31">
        <v>20.943357229192987</v>
      </c>
    </row>
    <row r="5" spans="1:6" x14ac:dyDescent="0.25">
      <c r="A5" t="s">
        <v>61</v>
      </c>
      <c r="B5" t="s">
        <v>16</v>
      </c>
      <c r="C5" s="31">
        <v>8.5055429399774489</v>
      </c>
      <c r="E5" t="s">
        <v>133</v>
      </c>
      <c r="F5" s="31">
        <v>8.5055429399774489</v>
      </c>
    </row>
    <row r="6" spans="1:6" x14ac:dyDescent="0.25">
      <c r="A6" t="s">
        <v>62</v>
      </c>
      <c r="B6" t="s">
        <v>15</v>
      </c>
      <c r="C6" s="31">
        <v>21.754017572111351</v>
      </c>
      <c r="E6" t="s">
        <v>167</v>
      </c>
      <c r="F6" s="31">
        <v>47.258177848682003</v>
      </c>
    </row>
    <row r="7" spans="1:6" x14ac:dyDescent="0.25">
      <c r="A7" t="s">
        <v>62</v>
      </c>
      <c r="B7" t="s">
        <v>16</v>
      </c>
      <c r="C7" s="31">
        <v>29.049215303824052</v>
      </c>
      <c r="E7" t="s">
        <v>165</v>
      </c>
      <c r="F7" s="31">
        <v>0</v>
      </c>
    </row>
    <row r="8" spans="1:6" x14ac:dyDescent="0.25">
      <c r="A8" t="s">
        <v>63</v>
      </c>
      <c r="B8" t="s">
        <v>15</v>
      </c>
      <c r="C8" s="31">
        <v>15.235082281023168</v>
      </c>
      <c r="E8" t="s">
        <v>143</v>
      </c>
      <c r="F8" s="31">
        <v>21.754017572111351</v>
      </c>
    </row>
    <row r="9" spans="1:6" x14ac:dyDescent="0.25">
      <c r="A9" t="s">
        <v>63</v>
      </c>
      <c r="B9" t="s">
        <v>16</v>
      </c>
      <c r="C9" s="31">
        <v>0</v>
      </c>
      <c r="E9" t="s">
        <v>141</v>
      </c>
      <c r="F9" s="31">
        <v>29.049215303824052</v>
      </c>
    </row>
    <row r="10" spans="1:6" x14ac:dyDescent="0.25">
      <c r="E10" t="s">
        <v>257</v>
      </c>
      <c r="F10" s="31">
        <v>15.235082281023168</v>
      </c>
    </row>
    <row r="11" spans="1:6" x14ac:dyDescent="0.25">
      <c r="E11" t="s">
        <v>254</v>
      </c>
      <c r="F11" s="31">
        <v>0</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4"/>
  <sheetViews>
    <sheetView tabSelected="1" zoomScale="80" zoomScaleNormal="80" workbookViewId="0">
      <selection activeCell="I38" sqref="I38"/>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65" t="s">
        <v>11</v>
      </c>
      <c r="D1" s="66"/>
      <c r="E1" s="65" t="s">
        <v>12</v>
      </c>
      <c r="F1" s="66"/>
      <c r="G1" s="73"/>
      <c r="H1" s="74"/>
      <c r="I1" s="75"/>
    </row>
    <row r="2" spans="1:13" ht="27" customHeight="1" x14ac:dyDescent="0.25">
      <c r="B2" s="5"/>
      <c r="C2" s="67"/>
      <c r="D2" s="68"/>
      <c r="E2" s="67" t="s">
        <v>13</v>
      </c>
      <c r="F2" s="68"/>
      <c r="G2" s="76" t="s">
        <v>14</v>
      </c>
      <c r="H2" s="77"/>
      <c r="I2" s="78"/>
    </row>
    <row r="3" spans="1:13" ht="15.75" thickBot="1" x14ac:dyDescent="0.3">
      <c r="B3" s="5"/>
      <c r="C3" s="69"/>
      <c r="D3" s="70"/>
      <c r="E3" s="71"/>
      <c r="F3" s="72"/>
      <c r="G3" s="71"/>
      <c r="H3" s="79"/>
      <c r="I3" s="72"/>
    </row>
    <row r="4" spans="1:13" ht="15.75" customHeight="1" x14ac:dyDescent="0.25">
      <c r="B4" s="5" t="s">
        <v>10</v>
      </c>
      <c r="C4" s="61" t="s">
        <v>15</v>
      </c>
      <c r="D4" s="61" t="s">
        <v>16</v>
      </c>
      <c r="E4" s="7" t="s">
        <v>17</v>
      </c>
      <c r="F4" s="7" t="s">
        <v>17</v>
      </c>
      <c r="G4" s="63" t="s">
        <v>18</v>
      </c>
      <c r="H4" s="63" t="s">
        <v>19</v>
      </c>
      <c r="I4" s="9" t="s">
        <v>20</v>
      </c>
    </row>
    <row r="5" spans="1:13" ht="15.75" thickBot="1" x14ac:dyDescent="0.3">
      <c r="B5" s="6"/>
      <c r="C5" s="62"/>
      <c r="D5" s="62"/>
      <c r="E5" s="8" t="s">
        <v>5</v>
      </c>
      <c r="F5" s="8" t="s">
        <v>6</v>
      </c>
      <c r="G5" s="64"/>
      <c r="H5" s="64"/>
      <c r="I5" s="10" t="s">
        <v>21</v>
      </c>
    </row>
    <row r="6" spans="1:13" ht="26.25" thickBot="1" x14ac:dyDescent="0.3">
      <c r="B6" s="11" t="s">
        <v>56</v>
      </c>
      <c r="C6" s="26">
        <f>G38</f>
        <v>2.6666666666666665</v>
      </c>
      <c r="D6" s="26">
        <f>H38</f>
        <v>2.6666666666666665</v>
      </c>
      <c r="E6" s="47">
        <f>L69/1000</f>
        <v>4.7258177848682005E-2</v>
      </c>
      <c r="F6" s="47">
        <f>M69/1000</f>
        <v>0</v>
      </c>
      <c r="G6" s="32">
        <f>C6*E6</f>
        <v>0.12602180759648535</v>
      </c>
      <c r="H6" s="32">
        <f>D6*F6</f>
        <v>0</v>
      </c>
      <c r="I6" s="32">
        <f>G6+H6</f>
        <v>0.12602180759648535</v>
      </c>
    </row>
    <row r="7" spans="1:13" ht="26.25" thickBot="1" x14ac:dyDescent="0.3">
      <c r="B7" s="11" t="s">
        <v>57</v>
      </c>
      <c r="C7" s="26">
        <f t="shared" ref="C7:C10" si="0">G39</f>
        <v>14.1</v>
      </c>
      <c r="D7" s="26">
        <f t="shared" ref="D7:D10" si="1">H39</f>
        <v>11.3</v>
      </c>
      <c r="E7" s="47">
        <f t="shared" ref="E7:E10" si="2">L70/1000</f>
        <v>2.0943357229192987E-2</v>
      </c>
      <c r="F7" s="47">
        <f t="shared" ref="F7:F10" si="3">M70/1000</f>
        <v>8.5055429399774497E-3</v>
      </c>
      <c r="G7" s="32">
        <f t="shared" ref="G7:G9" si="4">C7*E7</f>
        <v>0.29530133693162108</v>
      </c>
      <c r="H7" s="32">
        <f t="shared" ref="H7:H9" si="5">D7*F7</f>
        <v>9.6112635221745193E-2</v>
      </c>
      <c r="I7" s="32">
        <f t="shared" ref="I7:I10" si="6">G7+H7</f>
        <v>0.39141397215336626</v>
      </c>
    </row>
    <row r="8" spans="1:13" ht="26.25" thickBot="1" x14ac:dyDescent="0.3">
      <c r="B8" s="11" t="s">
        <v>59</v>
      </c>
      <c r="C8" s="26">
        <f t="shared" si="0"/>
        <v>12.466666666666667</v>
      </c>
      <c r="D8" s="26">
        <f t="shared" si="1"/>
        <v>4.8</v>
      </c>
      <c r="E8" s="47">
        <f t="shared" si="2"/>
        <v>2.1754017572111352E-2</v>
      </c>
      <c r="F8" s="47">
        <f t="shared" si="3"/>
        <v>2.9049215303824052E-2</v>
      </c>
      <c r="G8" s="32">
        <f t="shared" si="4"/>
        <v>0.27120008573232152</v>
      </c>
      <c r="H8" s="32">
        <f t="shared" si="5"/>
        <v>0.13943623345835546</v>
      </c>
      <c r="I8" s="32">
        <f t="shared" si="6"/>
        <v>0.410636319190677</v>
      </c>
    </row>
    <row r="9" spans="1:13" ht="26.25" thickBot="1" x14ac:dyDescent="0.3">
      <c r="B9" s="11" t="s">
        <v>58</v>
      </c>
      <c r="C9" s="26">
        <f t="shared" si="0"/>
        <v>1.1111111111111112</v>
      </c>
      <c r="D9" s="26">
        <f t="shared" si="1"/>
        <v>1.4444444444444444</v>
      </c>
      <c r="E9" s="47">
        <f t="shared" si="2"/>
        <v>1.5235082281023167E-2</v>
      </c>
      <c r="F9" s="47">
        <f t="shared" si="3"/>
        <v>0</v>
      </c>
      <c r="G9" s="32">
        <f t="shared" si="4"/>
        <v>1.6927869201136852E-2</v>
      </c>
      <c r="H9" s="32">
        <f t="shared" si="5"/>
        <v>0</v>
      </c>
      <c r="I9" s="32">
        <f t="shared" si="6"/>
        <v>1.6927869201136852E-2</v>
      </c>
    </row>
    <row r="10" spans="1:13" ht="26.25" thickBot="1" x14ac:dyDescent="0.3">
      <c r="B10" s="11" t="s">
        <v>22</v>
      </c>
      <c r="C10" s="26">
        <f t="shared" si="0"/>
        <v>8.4186046511627914</v>
      </c>
      <c r="D10" s="26">
        <f t="shared" si="1"/>
        <v>5.1627906976744189</v>
      </c>
      <c r="E10" s="47">
        <f t="shared" si="2"/>
        <v>2.4780501879271461E-2</v>
      </c>
      <c r="F10" s="47">
        <f t="shared" si="3"/>
        <v>1.3756288781255989E-2</v>
      </c>
      <c r="G10" s="32">
        <f>C10*E10</f>
        <v>0.20861724837898302</v>
      </c>
      <c r="H10" s="32">
        <f>D10*F10</f>
        <v>7.1020839754391385E-2</v>
      </c>
      <c r="I10" s="32">
        <f t="shared" si="6"/>
        <v>0.27963808813337443</v>
      </c>
    </row>
    <row r="11" spans="1:13" ht="15.75" thickBot="1" x14ac:dyDescent="0.3">
      <c r="B11" s="11"/>
      <c r="C11" s="12"/>
      <c r="D11" s="12"/>
      <c r="E11" s="47"/>
      <c r="F11" s="47"/>
      <c r="G11" s="32"/>
      <c r="H11" s="32"/>
      <c r="I11" s="32"/>
    </row>
    <row r="12" spans="1:13" ht="15.75" thickBot="1" x14ac:dyDescent="0.3">
      <c r="B12" s="11" t="s">
        <v>9</v>
      </c>
      <c r="C12" s="29">
        <f>G44</f>
        <v>0.10810810810810811</v>
      </c>
      <c r="D12" s="29">
        <f>H44</f>
        <v>3.189189189189189</v>
      </c>
      <c r="E12" s="47">
        <f>L75/1000</f>
        <v>0</v>
      </c>
      <c r="F12" s="47">
        <f>M75/1000</f>
        <v>1.8202616187224425E-2</v>
      </c>
      <c r="G12" s="32">
        <f>C12*E12</f>
        <v>0</v>
      </c>
      <c r="H12" s="32">
        <f>D12*F12</f>
        <v>5.8051586759256271E-2</v>
      </c>
      <c r="I12" s="32">
        <f>G12+H12</f>
        <v>5.8051586759256271E-2</v>
      </c>
    </row>
    <row r="13" spans="1:13" ht="15.75" thickBot="1" x14ac:dyDescent="0.3"/>
    <row r="14" spans="1:13" ht="15" customHeight="1" x14ac:dyDescent="0.25">
      <c r="A14" t="s">
        <v>54</v>
      </c>
      <c r="B14" s="16"/>
      <c r="C14" s="80" t="s">
        <v>56</v>
      </c>
      <c r="D14" s="81"/>
      <c r="E14" s="80" t="s">
        <v>57</v>
      </c>
      <c r="F14" s="81"/>
      <c r="G14" s="80" t="s">
        <v>59</v>
      </c>
      <c r="H14" s="81"/>
      <c r="I14" s="80" t="s">
        <v>58</v>
      </c>
      <c r="J14" s="81"/>
      <c r="K14" s="80" t="s">
        <v>22</v>
      </c>
      <c r="L14" s="81"/>
      <c r="M14" s="19"/>
    </row>
    <row r="15" spans="1:13" ht="15.75" thickBot="1" x14ac:dyDescent="0.3">
      <c r="B15" s="17"/>
      <c r="C15" s="82"/>
      <c r="D15" s="83"/>
      <c r="E15" s="82"/>
      <c r="F15" s="83"/>
      <c r="G15" s="82"/>
      <c r="H15" s="83"/>
      <c r="I15" s="82"/>
      <c r="J15" s="83"/>
      <c r="K15" s="82"/>
      <c r="L15" s="83"/>
      <c r="M15" s="20"/>
    </row>
    <row r="16" spans="1:13" ht="26.25" thickBot="1" x14ac:dyDescent="0.3">
      <c r="B16" s="18" t="s">
        <v>8</v>
      </c>
      <c r="C16" s="21" t="s">
        <v>23</v>
      </c>
      <c r="D16" s="21" t="s">
        <v>24</v>
      </c>
      <c r="E16" s="21" t="s">
        <v>23</v>
      </c>
      <c r="F16" s="21" t="s">
        <v>24</v>
      </c>
      <c r="G16" s="21" t="s">
        <v>23</v>
      </c>
      <c r="H16" s="21" t="s">
        <v>24</v>
      </c>
      <c r="I16" s="21" t="s">
        <v>23</v>
      </c>
      <c r="J16" s="21" t="s">
        <v>24</v>
      </c>
      <c r="K16" s="21" t="s">
        <v>23</v>
      </c>
      <c r="L16" s="21" t="s">
        <v>24</v>
      </c>
      <c r="M16" s="21" t="s">
        <v>9</v>
      </c>
    </row>
    <row r="17" spans="2:13" ht="15.75" thickBot="1" x14ac:dyDescent="0.3">
      <c r="B17" s="18">
        <v>22</v>
      </c>
      <c r="C17" s="21"/>
      <c r="D17" s="21"/>
      <c r="E17" s="21"/>
      <c r="F17" s="21"/>
      <c r="G17" s="21"/>
      <c r="H17" s="21"/>
      <c r="I17" s="21"/>
      <c r="J17" s="21"/>
      <c r="K17" s="21"/>
      <c r="L17" s="21"/>
      <c r="M17" s="21"/>
    </row>
    <row r="18" spans="2:13" ht="15.75" thickBot="1" x14ac:dyDescent="0.3">
      <c r="B18" s="18">
        <v>23</v>
      </c>
      <c r="C18" s="30" t="s">
        <v>106</v>
      </c>
      <c r="D18" s="52">
        <v>0.01</v>
      </c>
      <c r="E18" s="30" t="s">
        <v>106</v>
      </c>
      <c r="F18" s="52">
        <v>0.02</v>
      </c>
      <c r="G18" s="30" t="s">
        <v>106</v>
      </c>
      <c r="H18" s="52">
        <v>0.02</v>
      </c>
      <c r="I18" s="30" t="s">
        <v>106</v>
      </c>
      <c r="J18" s="52">
        <v>0.01</v>
      </c>
      <c r="K18" s="30" t="s">
        <v>106</v>
      </c>
      <c r="L18" s="52">
        <v>0.02</v>
      </c>
      <c r="M18" s="30" t="s">
        <v>106</v>
      </c>
    </row>
    <row r="19" spans="2:13" ht="15.75" thickBot="1" x14ac:dyDescent="0.3">
      <c r="B19" s="18">
        <v>24</v>
      </c>
      <c r="C19" s="30">
        <v>0</v>
      </c>
      <c r="D19" s="53">
        <v>0</v>
      </c>
      <c r="E19" s="30">
        <v>0</v>
      </c>
      <c r="F19" s="53">
        <v>0</v>
      </c>
      <c r="G19" s="30">
        <v>0</v>
      </c>
      <c r="H19" s="53">
        <v>0.01</v>
      </c>
      <c r="I19" s="30">
        <v>0</v>
      </c>
      <c r="J19" s="53">
        <v>0</v>
      </c>
      <c r="K19" s="30">
        <v>0</v>
      </c>
      <c r="L19" s="53">
        <v>0</v>
      </c>
      <c r="M19" s="30">
        <v>0</v>
      </c>
    </row>
    <row r="20" spans="2:13" ht="15.75" thickBot="1" x14ac:dyDescent="0.3">
      <c r="B20" s="18">
        <v>25</v>
      </c>
      <c r="C20" s="30">
        <v>0</v>
      </c>
      <c r="D20" s="53">
        <v>0</v>
      </c>
      <c r="E20" s="30">
        <v>0</v>
      </c>
      <c r="F20" s="53">
        <v>0.02</v>
      </c>
      <c r="G20" s="30">
        <v>0</v>
      </c>
      <c r="H20" s="53">
        <v>0</v>
      </c>
      <c r="I20" s="30">
        <v>0</v>
      </c>
      <c r="J20" s="53">
        <v>0</v>
      </c>
      <c r="K20" s="30">
        <v>0</v>
      </c>
      <c r="L20" s="53">
        <v>0</v>
      </c>
      <c r="M20" s="30">
        <v>0</v>
      </c>
    </row>
    <row r="21" spans="2:13" ht="15.75" thickBot="1" x14ac:dyDescent="0.3">
      <c r="B21" s="18">
        <v>26</v>
      </c>
      <c r="C21" s="30">
        <v>0</v>
      </c>
      <c r="D21" s="53">
        <v>0</v>
      </c>
      <c r="E21" s="30">
        <v>0.1</v>
      </c>
      <c r="F21" s="53">
        <v>0</v>
      </c>
      <c r="G21" s="30">
        <v>0.01</v>
      </c>
      <c r="H21" s="53">
        <v>0.02</v>
      </c>
      <c r="I21" s="30">
        <v>0</v>
      </c>
      <c r="J21" s="53">
        <v>0.01</v>
      </c>
      <c r="K21" s="30">
        <v>0.03</v>
      </c>
      <c r="L21" s="53">
        <v>0.01</v>
      </c>
      <c r="M21" s="30">
        <v>0</v>
      </c>
    </row>
    <row r="22" spans="2:13" ht="15.75" thickBot="1" x14ac:dyDescent="0.3">
      <c r="B22" s="18">
        <v>27</v>
      </c>
      <c r="C22" s="26">
        <v>0</v>
      </c>
      <c r="D22" s="53">
        <v>0</v>
      </c>
      <c r="E22" s="26">
        <v>0.1</v>
      </c>
      <c r="F22" s="53">
        <v>0.03</v>
      </c>
      <c r="G22" s="30">
        <v>0</v>
      </c>
      <c r="H22" s="53">
        <v>0.01</v>
      </c>
      <c r="I22" s="30">
        <v>0</v>
      </c>
      <c r="J22" s="53">
        <v>0</v>
      </c>
      <c r="K22" s="30">
        <v>0.02</v>
      </c>
      <c r="L22" s="53">
        <v>0.01</v>
      </c>
      <c r="M22" s="30">
        <v>0</v>
      </c>
    </row>
    <row r="23" spans="2:13" ht="15.75" thickBot="1" x14ac:dyDescent="0.3">
      <c r="B23" s="18">
        <v>28</v>
      </c>
      <c r="C23" s="30">
        <v>0</v>
      </c>
      <c r="D23" s="53">
        <v>0</v>
      </c>
      <c r="E23" s="30">
        <v>0.1</v>
      </c>
      <c r="F23" s="53">
        <v>0.03</v>
      </c>
      <c r="G23" s="30">
        <v>0.20599999999999999</v>
      </c>
      <c r="H23" s="53">
        <v>0.11</v>
      </c>
      <c r="I23" s="30">
        <v>0</v>
      </c>
      <c r="J23" s="53">
        <v>0.01</v>
      </c>
      <c r="K23" s="30">
        <v>9.5000000000000001E-2</v>
      </c>
      <c r="L23" s="53">
        <v>0.05</v>
      </c>
      <c r="M23" s="30">
        <v>0</v>
      </c>
    </row>
    <row r="24" spans="2:13" ht="15.75" thickBot="1" x14ac:dyDescent="0.3">
      <c r="B24" s="18">
        <v>29</v>
      </c>
      <c r="C24" s="49">
        <v>0.09</v>
      </c>
      <c r="D24" s="54">
        <v>0.12</v>
      </c>
      <c r="E24" s="30">
        <v>0</v>
      </c>
      <c r="F24" s="53">
        <v>0.17</v>
      </c>
      <c r="G24" s="30">
        <v>0</v>
      </c>
      <c r="H24" s="53">
        <v>0.4</v>
      </c>
      <c r="I24" s="30">
        <v>0</v>
      </c>
      <c r="J24" s="54">
        <v>0.04</v>
      </c>
      <c r="K24" s="49">
        <v>0.01</v>
      </c>
      <c r="L24" s="54">
        <v>0.2</v>
      </c>
      <c r="M24" s="49">
        <v>0.08</v>
      </c>
    </row>
    <row r="25" spans="2:13" ht="15.75" thickBot="1" x14ac:dyDescent="0.3">
      <c r="B25" s="18">
        <v>30</v>
      </c>
      <c r="C25" s="30">
        <v>0.11</v>
      </c>
      <c r="D25" s="53">
        <v>0.13</v>
      </c>
      <c r="E25" s="30">
        <v>0.1</v>
      </c>
      <c r="F25" s="53">
        <v>0.18</v>
      </c>
      <c r="G25" s="30">
        <v>0.28000000000000003</v>
      </c>
      <c r="H25" s="53">
        <v>0.31</v>
      </c>
      <c r="I25" s="30">
        <v>0</v>
      </c>
      <c r="J25" s="53">
        <v>0.1</v>
      </c>
      <c r="K25" s="30">
        <v>0.15</v>
      </c>
      <c r="L25" s="53">
        <v>0.19</v>
      </c>
      <c r="M25" s="30">
        <v>0.28999999999999998</v>
      </c>
    </row>
    <row r="26" spans="2:13" ht="15.75" thickBot="1" x14ac:dyDescent="0.3">
      <c r="B26" s="18">
        <v>31</v>
      </c>
      <c r="C26" s="49">
        <v>0.18</v>
      </c>
      <c r="D26" s="54">
        <v>0.2</v>
      </c>
      <c r="E26" s="49">
        <v>0.66</v>
      </c>
      <c r="F26" s="54">
        <v>0.13</v>
      </c>
      <c r="G26" s="49">
        <v>0.18</v>
      </c>
      <c r="H26" s="54">
        <v>0.21</v>
      </c>
      <c r="I26" s="49">
        <v>0.08</v>
      </c>
      <c r="J26" s="54">
        <v>0.06</v>
      </c>
      <c r="K26" s="49">
        <v>0.25</v>
      </c>
      <c r="L26" s="54">
        <v>0.18</v>
      </c>
      <c r="M26" s="49">
        <v>0.27</v>
      </c>
    </row>
    <row r="27" spans="2:13" ht="15.75" thickBot="1" x14ac:dyDescent="0.3">
      <c r="B27" s="18">
        <v>32</v>
      </c>
      <c r="C27" s="30">
        <v>0.114</v>
      </c>
      <c r="D27" s="53">
        <v>0.16</v>
      </c>
      <c r="E27" s="30">
        <v>0.20100000000000001</v>
      </c>
      <c r="F27" s="53">
        <v>0.33</v>
      </c>
      <c r="G27" s="30">
        <v>0.158</v>
      </c>
      <c r="H27" s="53">
        <v>0.41</v>
      </c>
      <c r="I27" s="30">
        <v>6.0999999999999999E-2</v>
      </c>
      <c r="J27" s="53">
        <v>0.09</v>
      </c>
      <c r="K27" s="30">
        <v>0.13800000000000001</v>
      </c>
      <c r="L27" s="53">
        <v>0.27</v>
      </c>
      <c r="M27" s="30">
        <v>0</v>
      </c>
    </row>
    <row r="28" spans="2:13" ht="15.75" thickBot="1" x14ac:dyDescent="0.3">
      <c r="B28" s="18">
        <v>33</v>
      </c>
      <c r="C28" s="30">
        <v>0.08</v>
      </c>
      <c r="D28" s="53">
        <v>0.2</v>
      </c>
      <c r="E28" s="30">
        <v>0.14000000000000001</v>
      </c>
      <c r="F28" s="53">
        <v>0.38</v>
      </c>
      <c r="G28" s="30">
        <v>0.11</v>
      </c>
      <c r="H28" s="53">
        <v>0.28000000000000003</v>
      </c>
      <c r="I28" s="30">
        <v>0</v>
      </c>
      <c r="J28" s="53">
        <v>0.06</v>
      </c>
      <c r="K28" s="30">
        <v>0.09</v>
      </c>
      <c r="L28" s="53">
        <v>0.24</v>
      </c>
      <c r="M28" s="30">
        <v>0</v>
      </c>
    </row>
    <row r="29" spans="2:13" ht="15.75" thickBot="1" x14ac:dyDescent="0.3">
      <c r="B29" s="18">
        <v>34</v>
      </c>
      <c r="C29" s="30">
        <v>0.1</v>
      </c>
      <c r="D29" s="54">
        <v>0.15</v>
      </c>
      <c r="E29" s="49">
        <v>0.16</v>
      </c>
      <c r="F29" s="54">
        <v>0.16</v>
      </c>
      <c r="G29" s="49">
        <v>0.26</v>
      </c>
      <c r="H29" s="54">
        <v>0.34</v>
      </c>
      <c r="I29" s="49">
        <v>0.02</v>
      </c>
      <c r="J29" s="54">
        <v>0.06</v>
      </c>
      <c r="K29" s="49">
        <v>0.17</v>
      </c>
      <c r="L29" s="54">
        <v>0.19</v>
      </c>
      <c r="M29" s="30">
        <v>0</v>
      </c>
    </row>
    <row r="30" spans="2:13" ht="15.75" thickBot="1" x14ac:dyDescent="0.3">
      <c r="B30" s="18">
        <v>35</v>
      </c>
      <c r="C30" s="48">
        <v>0.13</v>
      </c>
      <c r="D30" s="54">
        <v>0.03</v>
      </c>
      <c r="E30" s="48">
        <v>0.39</v>
      </c>
      <c r="F30" s="54">
        <v>0.11</v>
      </c>
      <c r="G30" s="48">
        <v>0.41</v>
      </c>
      <c r="H30" s="54">
        <v>0.18</v>
      </c>
      <c r="I30" s="48">
        <v>0.02</v>
      </c>
      <c r="J30" s="54">
        <v>0.16</v>
      </c>
      <c r="K30" s="48">
        <v>0.28000000000000003</v>
      </c>
      <c r="L30" s="54">
        <v>0.13</v>
      </c>
      <c r="M30" s="48">
        <v>0.06</v>
      </c>
    </row>
    <row r="31" spans="2:13" ht="15.75" thickBot="1" x14ac:dyDescent="0.3">
      <c r="B31" s="18">
        <v>36</v>
      </c>
      <c r="C31" s="21"/>
      <c r="D31" s="21"/>
      <c r="E31" s="21"/>
      <c r="F31" s="21"/>
      <c r="G31" s="21"/>
      <c r="H31" s="21"/>
      <c r="I31" s="21"/>
      <c r="J31" s="21"/>
      <c r="K31" s="21"/>
      <c r="L31" s="21"/>
      <c r="M31" s="21"/>
    </row>
    <row r="32" spans="2:13" ht="15.75" thickBot="1" x14ac:dyDescent="0.3"/>
    <row r="33" spans="1:13" x14ac:dyDescent="0.25">
      <c r="A33" t="s">
        <v>50</v>
      </c>
      <c r="B33" s="4"/>
      <c r="C33" s="65" t="s">
        <v>25</v>
      </c>
      <c r="D33" s="84"/>
      <c r="E33" s="66"/>
      <c r="F33" s="15"/>
      <c r="G33" s="65" t="s">
        <v>28</v>
      </c>
      <c r="H33" s="84"/>
      <c r="I33" s="66"/>
    </row>
    <row r="34" spans="1:13" ht="38.25" x14ac:dyDescent="0.25">
      <c r="B34" s="5"/>
      <c r="C34" s="67" t="s">
        <v>26</v>
      </c>
      <c r="D34" s="85"/>
      <c r="E34" s="68"/>
      <c r="F34" s="14" t="s">
        <v>27</v>
      </c>
      <c r="G34" s="67"/>
      <c r="H34" s="86"/>
      <c r="I34" s="68"/>
    </row>
    <row r="35" spans="1:13" ht="15.75" thickBot="1" x14ac:dyDescent="0.3">
      <c r="B35" s="5"/>
      <c r="C35" s="71"/>
      <c r="D35" s="79"/>
      <c r="E35" s="72"/>
      <c r="F35" s="22"/>
      <c r="G35" s="69"/>
      <c r="H35" s="87"/>
      <c r="I35" s="70"/>
    </row>
    <row r="36" spans="1:13" x14ac:dyDescent="0.25">
      <c r="B36" s="5" t="s">
        <v>10</v>
      </c>
      <c r="C36" s="61" t="s">
        <v>15</v>
      </c>
      <c r="D36" s="61" t="s">
        <v>16</v>
      </c>
      <c r="E36" s="88" t="s">
        <v>29</v>
      </c>
      <c r="F36" s="22"/>
      <c r="G36" s="90" t="s">
        <v>30</v>
      </c>
      <c r="H36" s="90" t="s">
        <v>31</v>
      </c>
      <c r="I36" s="27" t="s">
        <v>20</v>
      </c>
    </row>
    <row r="37" spans="1:13" ht="15.75" thickBot="1" x14ac:dyDescent="0.3">
      <c r="B37" s="6"/>
      <c r="C37" s="62"/>
      <c r="D37" s="62"/>
      <c r="E37" s="89"/>
      <c r="F37" s="13"/>
      <c r="G37" s="91"/>
      <c r="H37" s="91"/>
      <c r="I37" s="28" t="s">
        <v>32</v>
      </c>
    </row>
    <row r="38" spans="1:13" ht="26.25" thickBot="1" x14ac:dyDescent="0.3">
      <c r="B38" s="11" t="s">
        <v>56</v>
      </c>
      <c r="C38" s="59">
        <f>'Total Number Of Ind'!H7</f>
        <v>24</v>
      </c>
      <c r="D38" s="59">
        <f>'Total Number Of Ind'!I7</f>
        <v>24</v>
      </c>
      <c r="E38" s="59">
        <f>C38+D38</f>
        <v>48</v>
      </c>
      <c r="F38" s="59">
        <v>9</v>
      </c>
      <c r="G38" s="26">
        <f>C38/F38</f>
        <v>2.6666666666666665</v>
      </c>
      <c r="H38" s="26">
        <f>D38/F38</f>
        <v>2.6666666666666665</v>
      </c>
      <c r="I38" s="26">
        <f>E38/F38</f>
        <v>5.333333333333333</v>
      </c>
    </row>
    <row r="39" spans="1:13" ht="26.25" thickBot="1" x14ac:dyDescent="0.3">
      <c r="B39" s="11" t="s">
        <v>57</v>
      </c>
      <c r="C39" s="59">
        <f>'Total Number Of Ind'!H6</f>
        <v>141</v>
      </c>
      <c r="D39" s="59">
        <f>'Total Number Of Ind'!I6</f>
        <v>113</v>
      </c>
      <c r="E39" s="59">
        <f t="shared" ref="E39:E41" si="7">C39+D39</f>
        <v>254</v>
      </c>
      <c r="F39" s="59">
        <v>10</v>
      </c>
      <c r="G39" s="26">
        <f t="shared" ref="G39:G44" si="8">C39/F39</f>
        <v>14.1</v>
      </c>
      <c r="H39" s="26">
        <f t="shared" ref="H39:H42" si="9">D39/F39</f>
        <v>11.3</v>
      </c>
      <c r="I39" s="26">
        <f t="shared" ref="I39:I44" si="10">E39/F39</f>
        <v>25.4</v>
      </c>
    </row>
    <row r="40" spans="1:13" ht="26.25" thickBot="1" x14ac:dyDescent="0.3">
      <c r="B40" s="11" t="s">
        <v>59</v>
      </c>
      <c r="C40" s="59">
        <f>'Total Number Of Ind'!H8</f>
        <v>187</v>
      </c>
      <c r="D40" s="59">
        <f>'Total Number Of Ind'!I8</f>
        <v>72</v>
      </c>
      <c r="E40" s="59">
        <f t="shared" si="7"/>
        <v>259</v>
      </c>
      <c r="F40" s="59">
        <v>15</v>
      </c>
      <c r="G40" s="26">
        <f t="shared" si="8"/>
        <v>12.466666666666667</v>
      </c>
      <c r="H40" s="26">
        <f>D40/F40</f>
        <v>4.8</v>
      </c>
      <c r="I40" s="26">
        <f t="shared" si="10"/>
        <v>17.266666666666666</v>
      </c>
    </row>
    <row r="41" spans="1:13" ht="26.25" thickBot="1" x14ac:dyDescent="0.3">
      <c r="B41" s="11" t="s">
        <v>58</v>
      </c>
      <c r="C41" s="59">
        <f>'Total Number Of Ind'!H9</f>
        <v>10</v>
      </c>
      <c r="D41" s="59">
        <f>'Total Number Of Ind'!I9</f>
        <v>13</v>
      </c>
      <c r="E41" s="59">
        <f t="shared" si="7"/>
        <v>23</v>
      </c>
      <c r="F41" s="59">
        <v>9</v>
      </c>
      <c r="G41" s="26">
        <f t="shared" si="8"/>
        <v>1.1111111111111112</v>
      </c>
      <c r="H41" s="26">
        <f t="shared" si="9"/>
        <v>1.4444444444444444</v>
      </c>
      <c r="I41" s="26">
        <f t="shared" si="10"/>
        <v>2.5555555555555554</v>
      </c>
    </row>
    <row r="42" spans="1:13" ht="26.25" thickBot="1" x14ac:dyDescent="0.3">
      <c r="B42" s="11" t="s">
        <v>22</v>
      </c>
      <c r="C42" s="59">
        <f>SUM(C38:C41)</f>
        <v>362</v>
      </c>
      <c r="D42" s="59">
        <f>SUM(D38:D41)</f>
        <v>222</v>
      </c>
      <c r="E42" s="59">
        <f>SUM(E38:E41)</f>
        <v>584</v>
      </c>
      <c r="F42" s="59">
        <v>43</v>
      </c>
      <c r="G42" s="26">
        <f t="shared" si="8"/>
        <v>8.4186046511627914</v>
      </c>
      <c r="H42" s="26">
        <f t="shared" si="9"/>
        <v>5.1627906976744189</v>
      </c>
      <c r="I42" s="26">
        <f>E42/F42</f>
        <v>13.581395348837209</v>
      </c>
    </row>
    <row r="43" spans="1:13" ht="15.75" thickBot="1" x14ac:dyDescent="0.3">
      <c r="B43" s="11"/>
      <c r="C43" s="59"/>
      <c r="D43" s="59"/>
      <c r="E43" s="59"/>
      <c r="F43" s="59"/>
      <c r="G43" s="26"/>
      <c r="H43" s="26"/>
      <c r="I43" s="26"/>
    </row>
    <row r="44" spans="1:13" ht="15.75" thickBot="1" x14ac:dyDescent="0.3">
      <c r="B44" s="11" t="s">
        <v>9</v>
      </c>
      <c r="C44" s="59">
        <f>'Total Number Of Ind'!H5</f>
        <v>4</v>
      </c>
      <c r="D44" s="59">
        <f>'Total Number Of Ind'!I5</f>
        <v>118</v>
      </c>
      <c r="E44" s="59">
        <f>C44+D44</f>
        <v>122</v>
      </c>
      <c r="F44" s="59">
        <v>37</v>
      </c>
      <c r="G44" s="26">
        <f t="shared" si="8"/>
        <v>0.10810810810810811</v>
      </c>
      <c r="H44" s="26">
        <f>D44/F44</f>
        <v>3.189189189189189</v>
      </c>
      <c r="I44" s="26">
        <f t="shared" si="10"/>
        <v>3.2972972972972974</v>
      </c>
    </row>
    <row r="45" spans="1:13" ht="15.75" thickBot="1" x14ac:dyDescent="0.3"/>
    <row r="46" spans="1:13" x14ac:dyDescent="0.25">
      <c r="A46" t="s">
        <v>51</v>
      </c>
      <c r="B46" s="16"/>
      <c r="C46" s="80" t="s">
        <v>56</v>
      </c>
      <c r="D46" s="81"/>
      <c r="E46" s="80" t="s">
        <v>57</v>
      </c>
      <c r="F46" s="81"/>
      <c r="G46" s="80" t="s">
        <v>59</v>
      </c>
      <c r="H46" s="81"/>
      <c r="I46" s="80" t="s">
        <v>58</v>
      </c>
      <c r="J46" s="81"/>
      <c r="K46" s="80" t="s">
        <v>22</v>
      </c>
      <c r="L46" s="81"/>
      <c r="M46" s="19"/>
    </row>
    <row r="47" spans="1:13" ht="15.75" thickBot="1" x14ac:dyDescent="0.3">
      <c r="B47" s="17"/>
      <c r="C47" s="82"/>
      <c r="D47" s="83"/>
      <c r="E47" s="82"/>
      <c r="F47" s="83"/>
      <c r="G47" s="82"/>
      <c r="H47" s="83"/>
      <c r="I47" s="82"/>
      <c r="J47" s="83"/>
      <c r="K47" s="82"/>
      <c r="L47" s="83"/>
      <c r="M47" s="20"/>
    </row>
    <row r="48" spans="1:13" ht="26.25" thickBot="1" x14ac:dyDescent="0.3">
      <c r="B48" s="18" t="s">
        <v>8</v>
      </c>
      <c r="C48" s="21" t="s">
        <v>23</v>
      </c>
      <c r="D48" s="21" t="s">
        <v>24</v>
      </c>
      <c r="E48" s="21" t="s">
        <v>23</v>
      </c>
      <c r="F48" s="21" t="s">
        <v>24</v>
      </c>
      <c r="G48" s="21" t="s">
        <v>23</v>
      </c>
      <c r="H48" s="21" t="s">
        <v>24</v>
      </c>
      <c r="I48" s="21" t="s">
        <v>23</v>
      </c>
      <c r="J48" s="21" t="s">
        <v>24</v>
      </c>
      <c r="K48" s="21" t="s">
        <v>23</v>
      </c>
      <c r="L48" s="21" t="s">
        <v>24</v>
      </c>
      <c r="M48" s="21" t="s">
        <v>9</v>
      </c>
    </row>
    <row r="49" spans="2:13" ht="15.75" thickBot="1" x14ac:dyDescent="0.3">
      <c r="B49" s="18">
        <v>22</v>
      </c>
      <c r="C49" s="21"/>
      <c r="D49" s="21"/>
      <c r="E49" s="21"/>
      <c r="F49" s="21"/>
      <c r="G49" s="21"/>
      <c r="H49" s="21"/>
      <c r="I49" s="21"/>
      <c r="J49" s="21"/>
      <c r="K49" s="21"/>
      <c r="L49" s="21"/>
      <c r="M49" s="21"/>
    </row>
    <row r="50" spans="2:13" ht="15.75" thickBot="1" x14ac:dyDescent="0.3">
      <c r="B50" s="18">
        <v>23</v>
      </c>
      <c r="C50" s="48" t="s">
        <v>105</v>
      </c>
      <c r="D50" s="50">
        <v>2.19</v>
      </c>
      <c r="E50" s="48" t="s">
        <v>105</v>
      </c>
      <c r="F50" s="50">
        <v>5.32</v>
      </c>
      <c r="G50" s="48" t="s">
        <v>105</v>
      </c>
      <c r="H50" s="50">
        <v>7.79</v>
      </c>
      <c r="I50" s="48" t="s">
        <v>105</v>
      </c>
      <c r="J50" s="50">
        <v>0.35</v>
      </c>
      <c r="K50" s="48" t="s">
        <v>105</v>
      </c>
      <c r="L50" s="50">
        <v>4.7699999999999996</v>
      </c>
      <c r="M50" s="48" t="s">
        <v>105</v>
      </c>
    </row>
    <row r="51" spans="2:13" ht="15.75" thickBot="1" x14ac:dyDescent="0.3">
      <c r="B51" s="18">
        <v>24</v>
      </c>
      <c r="C51" s="30">
        <v>3.11</v>
      </c>
      <c r="D51" s="51">
        <v>2.2000000000000002</v>
      </c>
      <c r="E51" s="30">
        <v>13.1</v>
      </c>
      <c r="F51" s="51">
        <v>7.84</v>
      </c>
      <c r="G51" s="30">
        <v>5.53</v>
      </c>
      <c r="H51" s="51">
        <v>11.49</v>
      </c>
      <c r="I51" s="30">
        <v>5.44</v>
      </c>
      <c r="J51" s="51">
        <v>0.64</v>
      </c>
      <c r="K51" s="30">
        <v>6.77</v>
      </c>
      <c r="L51" s="51">
        <v>6.37</v>
      </c>
      <c r="M51" s="30">
        <v>7.19</v>
      </c>
    </row>
    <row r="52" spans="2:13" ht="15.75" thickBot="1" x14ac:dyDescent="0.3">
      <c r="B52" s="18">
        <v>25</v>
      </c>
      <c r="C52" s="30">
        <v>22.22</v>
      </c>
      <c r="D52" s="51">
        <v>6.39</v>
      </c>
      <c r="E52" s="30">
        <v>61.3</v>
      </c>
      <c r="F52" s="51">
        <v>16.88</v>
      </c>
      <c r="G52" s="30">
        <v>70.33</v>
      </c>
      <c r="H52" s="51">
        <v>21.12</v>
      </c>
      <c r="I52" s="30">
        <v>18</v>
      </c>
      <c r="J52" s="51">
        <v>1.92</v>
      </c>
      <c r="K52" s="30">
        <v>47.21</v>
      </c>
      <c r="L52" s="51">
        <v>13.09</v>
      </c>
      <c r="M52" s="26">
        <v>107.14</v>
      </c>
    </row>
    <row r="53" spans="2:13" ht="15.75" thickBot="1" x14ac:dyDescent="0.3">
      <c r="B53" s="18">
        <v>26</v>
      </c>
      <c r="C53" s="30">
        <v>34.44</v>
      </c>
      <c r="D53" s="51">
        <v>11.54</v>
      </c>
      <c r="E53" s="30">
        <v>79.599999999999994</v>
      </c>
      <c r="F53" s="51">
        <v>35.479999999999997</v>
      </c>
      <c r="G53" s="30">
        <v>70.53</v>
      </c>
      <c r="H53" s="51">
        <v>33.090000000000003</v>
      </c>
      <c r="I53" s="30">
        <v>11.33</v>
      </c>
      <c r="J53" s="51">
        <v>5.81</v>
      </c>
      <c r="K53" s="30">
        <v>52.7</v>
      </c>
      <c r="L53" s="51">
        <v>23.19</v>
      </c>
      <c r="M53" s="26">
        <v>60</v>
      </c>
    </row>
    <row r="54" spans="2:13" ht="15.75" thickBot="1" x14ac:dyDescent="0.3">
      <c r="B54" s="18">
        <v>27</v>
      </c>
      <c r="C54" s="30">
        <v>18</v>
      </c>
      <c r="D54" s="51">
        <v>30.65</v>
      </c>
      <c r="E54" s="30">
        <v>57.4</v>
      </c>
      <c r="F54" s="51">
        <v>68.92</v>
      </c>
      <c r="G54" s="30">
        <v>52.33</v>
      </c>
      <c r="H54" s="51">
        <v>43.03</v>
      </c>
      <c r="I54" s="30">
        <v>7.44</v>
      </c>
      <c r="J54" s="51">
        <v>12.58</v>
      </c>
      <c r="K54" s="30">
        <v>36.93</v>
      </c>
      <c r="L54" s="51">
        <v>42.47</v>
      </c>
      <c r="M54" s="30">
        <v>51.16</v>
      </c>
    </row>
    <row r="55" spans="2:13" ht="15.75" thickBot="1" x14ac:dyDescent="0.3">
      <c r="B55" s="18">
        <v>28</v>
      </c>
      <c r="C55" s="30">
        <v>34.11</v>
      </c>
      <c r="D55" s="51">
        <v>48.06</v>
      </c>
      <c r="E55" s="30">
        <v>122.1</v>
      </c>
      <c r="F55" s="51">
        <v>84.97</v>
      </c>
      <c r="G55" s="30">
        <v>133.27000000000001</v>
      </c>
      <c r="H55" s="51">
        <v>67.44</v>
      </c>
      <c r="I55" s="30">
        <v>11.33</v>
      </c>
      <c r="J55" s="51">
        <v>13.15</v>
      </c>
      <c r="K55" s="30">
        <v>84.4</v>
      </c>
      <c r="L55" s="51">
        <v>55.87</v>
      </c>
      <c r="M55" s="30">
        <v>95.3</v>
      </c>
    </row>
    <row r="56" spans="2:13" ht="15.75" thickBot="1" x14ac:dyDescent="0.3">
      <c r="B56" s="18">
        <v>29</v>
      </c>
      <c r="C56" s="30">
        <v>56.44</v>
      </c>
      <c r="D56" s="51">
        <v>55.24</v>
      </c>
      <c r="E56" s="30">
        <v>101.3</v>
      </c>
      <c r="F56" s="51">
        <v>83.97</v>
      </c>
      <c r="G56" s="30">
        <v>118.13</v>
      </c>
      <c r="H56" s="51">
        <v>69.09</v>
      </c>
      <c r="I56" s="30">
        <v>44.56</v>
      </c>
      <c r="J56" s="51">
        <v>20.03</v>
      </c>
      <c r="K56" s="30">
        <v>85.91</v>
      </c>
      <c r="L56" s="51">
        <v>59.75</v>
      </c>
      <c r="M56" s="30">
        <v>92.49</v>
      </c>
    </row>
    <row r="57" spans="2:13" ht="15.75" thickBot="1" x14ac:dyDescent="0.3">
      <c r="B57" s="18">
        <v>30</v>
      </c>
      <c r="C57" s="30">
        <v>87.56</v>
      </c>
      <c r="D57" s="51">
        <v>48.71</v>
      </c>
      <c r="E57" s="30">
        <v>191</v>
      </c>
      <c r="F57" s="51">
        <v>120.93</v>
      </c>
      <c r="G57" s="30">
        <v>148.13</v>
      </c>
      <c r="H57" s="51">
        <v>79.38</v>
      </c>
      <c r="I57" s="30">
        <v>40.22</v>
      </c>
      <c r="J57" s="51">
        <v>17.11</v>
      </c>
      <c r="K57" s="30">
        <v>122.84</v>
      </c>
      <c r="L57" s="51">
        <v>70.39</v>
      </c>
      <c r="M57" s="30">
        <v>90.81</v>
      </c>
    </row>
    <row r="58" spans="2:13" ht="15.75" thickBot="1" x14ac:dyDescent="0.3">
      <c r="B58" s="18">
        <v>31</v>
      </c>
      <c r="C58" s="26">
        <v>54.33</v>
      </c>
      <c r="D58" s="51">
        <v>48.48</v>
      </c>
      <c r="E58" s="30">
        <v>155.1</v>
      </c>
      <c r="F58" s="51">
        <v>96.73</v>
      </c>
      <c r="G58" s="30">
        <v>58.8</v>
      </c>
      <c r="H58" s="51">
        <v>58.83</v>
      </c>
      <c r="I58" s="30">
        <v>40.56</v>
      </c>
      <c r="J58" s="51">
        <v>12.95</v>
      </c>
      <c r="K58" s="26">
        <v>76.44</v>
      </c>
      <c r="L58" s="51">
        <v>57.79</v>
      </c>
      <c r="M58" s="30">
        <v>45.81</v>
      </c>
    </row>
    <row r="59" spans="2:13" ht="15.75" thickBot="1" x14ac:dyDescent="0.3">
      <c r="B59" s="18">
        <v>32</v>
      </c>
      <c r="C59" s="30">
        <v>41.75</v>
      </c>
      <c r="D59" s="51">
        <v>41.25</v>
      </c>
      <c r="E59" s="30">
        <v>68.3</v>
      </c>
      <c r="F59" s="51">
        <v>68.12</v>
      </c>
      <c r="G59" s="30">
        <v>34.33</v>
      </c>
      <c r="H59" s="51">
        <v>57.75</v>
      </c>
      <c r="I59" s="30">
        <v>15.67</v>
      </c>
      <c r="J59" s="51">
        <v>14.77</v>
      </c>
      <c r="K59" s="30">
        <v>39.880000000000003</v>
      </c>
      <c r="L59" s="51">
        <v>48.11</v>
      </c>
      <c r="M59" s="30">
        <v>29.73</v>
      </c>
    </row>
    <row r="60" spans="2:13" ht="15.75" thickBot="1" x14ac:dyDescent="0.3">
      <c r="B60" s="18">
        <v>33</v>
      </c>
      <c r="C60" s="30">
        <v>7.44</v>
      </c>
      <c r="D60" s="51">
        <v>27.04</v>
      </c>
      <c r="E60" s="30">
        <v>26.8</v>
      </c>
      <c r="F60" s="51">
        <v>52.01</v>
      </c>
      <c r="G60" s="30">
        <v>14.27</v>
      </c>
      <c r="H60" s="51">
        <v>36.5</v>
      </c>
      <c r="I60" s="30">
        <v>4.78</v>
      </c>
      <c r="J60" s="51">
        <v>9.36</v>
      </c>
      <c r="K60" s="30">
        <v>13.77</v>
      </c>
      <c r="L60" s="51">
        <v>32.44</v>
      </c>
      <c r="M60" s="30">
        <v>8.84</v>
      </c>
    </row>
    <row r="61" spans="2:13" ht="15.75" thickBot="1" x14ac:dyDescent="0.3">
      <c r="B61" s="18">
        <v>34</v>
      </c>
      <c r="C61" s="30">
        <v>16.11</v>
      </c>
      <c r="D61" s="51">
        <v>20.04</v>
      </c>
      <c r="E61" s="30">
        <v>17.3</v>
      </c>
      <c r="F61" s="51">
        <v>46.6</v>
      </c>
      <c r="G61" s="30">
        <v>23.4</v>
      </c>
      <c r="H61" s="51">
        <v>27.58</v>
      </c>
      <c r="I61" s="30">
        <v>6.67</v>
      </c>
      <c r="J61" s="51">
        <v>6.54</v>
      </c>
      <c r="K61" s="30">
        <v>16.95</v>
      </c>
      <c r="L61" s="51">
        <v>26.43</v>
      </c>
      <c r="M61" s="30">
        <v>15.86</v>
      </c>
    </row>
    <row r="62" spans="2:13" ht="15.75" thickBot="1" x14ac:dyDescent="0.3">
      <c r="B62" s="18">
        <v>35</v>
      </c>
      <c r="C62" s="30">
        <v>5.33</v>
      </c>
      <c r="D62" s="51">
        <v>8.4499999999999993</v>
      </c>
      <c r="E62" s="30">
        <v>25.4</v>
      </c>
      <c r="F62" s="51">
        <v>20.21</v>
      </c>
      <c r="G62" s="30">
        <v>17.27</v>
      </c>
      <c r="H62" s="51">
        <v>13.06</v>
      </c>
      <c r="I62" s="30">
        <v>2.56</v>
      </c>
      <c r="J62" s="51">
        <v>4.12</v>
      </c>
      <c r="K62" s="30">
        <v>13.58</v>
      </c>
      <c r="L62" s="51">
        <v>11.98</v>
      </c>
      <c r="M62" s="30">
        <v>3.3</v>
      </c>
    </row>
    <row r="63" spans="2:13" ht="15.75" thickBot="1" x14ac:dyDescent="0.3">
      <c r="B63" s="18">
        <v>36</v>
      </c>
      <c r="C63" s="21"/>
      <c r="D63" s="21"/>
      <c r="E63" s="21"/>
      <c r="F63" s="21"/>
      <c r="G63" s="21"/>
      <c r="H63" s="21"/>
      <c r="I63" s="21"/>
      <c r="J63" s="21"/>
      <c r="K63" s="21"/>
      <c r="L63" s="21"/>
      <c r="M63" s="21"/>
    </row>
    <row r="64" spans="2:13" ht="15.75" thickBot="1" x14ac:dyDescent="0.3"/>
    <row r="65" spans="1:21" x14ac:dyDescent="0.25">
      <c r="A65" t="s">
        <v>52</v>
      </c>
      <c r="B65" s="16"/>
      <c r="C65" s="80" t="s">
        <v>34</v>
      </c>
      <c r="D65" s="92"/>
      <c r="E65" s="81"/>
      <c r="F65" s="80" t="s">
        <v>35</v>
      </c>
      <c r="G65" s="92"/>
      <c r="H65" s="81"/>
      <c r="I65" s="80" t="s">
        <v>33</v>
      </c>
      <c r="J65" s="92"/>
      <c r="K65" s="81"/>
      <c r="L65" s="80" t="s">
        <v>37</v>
      </c>
      <c r="M65" s="92"/>
      <c r="N65" s="81"/>
    </row>
    <row r="66" spans="1:21" x14ac:dyDescent="0.25">
      <c r="B66" s="17"/>
      <c r="C66" s="93"/>
      <c r="D66" s="94"/>
      <c r="E66" s="95"/>
      <c r="F66" s="93"/>
      <c r="G66" s="94"/>
      <c r="H66" s="95"/>
      <c r="I66" s="93" t="s">
        <v>36</v>
      </c>
      <c r="J66" s="97"/>
      <c r="K66" s="95"/>
      <c r="L66" s="93"/>
      <c r="M66" s="94"/>
      <c r="N66" s="95"/>
    </row>
    <row r="67" spans="1:21" ht="15.75" thickBot="1" x14ac:dyDescent="0.3">
      <c r="B67" s="17"/>
      <c r="C67" s="82"/>
      <c r="D67" s="96"/>
      <c r="E67" s="83"/>
      <c r="F67" s="82"/>
      <c r="G67" s="96"/>
      <c r="H67" s="83"/>
      <c r="I67" s="71"/>
      <c r="J67" s="79"/>
      <c r="K67" s="72"/>
      <c r="L67" s="82"/>
      <c r="M67" s="96"/>
      <c r="N67" s="83"/>
    </row>
    <row r="68" spans="1:21"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Q68" s="57"/>
      <c r="R68" s="58"/>
      <c r="T68" s="57"/>
      <c r="U68" s="58"/>
    </row>
    <row r="69" spans="1:21" ht="24.75" thickBot="1" x14ac:dyDescent="0.3">
      <c r="B69" s="18" t="s">
        <v>56</v>
      </c>
      <c r="C69" s="59">
        <f>'Total Number Ind Examined '!I8</f>
        <v>154</v>
      </c>
      <c r="D69" s="59">
        <f>'Total Number Ind Examined '!J8</f>
        <v>24</v>
      </c>
      <c r="E69" s="59">
        <f>C69+D69</f>
        <v>178</v>
      </c>
      <c r="F69" s="101">
        <f>'Total Number of Pools Examined'!H8</f>
        <v>12</v>
      </c>
      <c r="G69" s="101">
        <f>'Total Number of Pools Examined'!I8</f>
        <v>6</v>
      </c>
      <c r="H69" s="101">
        <f>F69+G69</f>
        <v>18</v>
      </c>
      <c r="I69" s="101">
        <f>'Total Number of WNV + Pools'!G7</f>
        <v>4</v>
      </c>
      <c r="J69" s="101">
        <f>'Total Number of WNV + Pools'!H7</f>
        <v>0</v>
      </c>
      <c r="K69" s="101">
        <f>'Total Number of WNV + Pools'!I7</f>
        <v>4</v>
      </c>
      <c r="L69" s="30">
        <f>ZONEINFRATE!C2</f>
        <v>47.258177848682003</v>
      </c>
      <c r="M69" s="30">
        <f>ZONEINFRATE!C3</f>
        <v>0</v>
      </c>
      <c r="N69" s="21">
        <v>35.799999999999997</v>
      </c>
      <c r="R69" s="31"/>
      <c r="U69" s="31"/>
    </row>
    <row r="70" spans="1:21" ht="24.75" thickBot="1" x14ac:dyDescent="0.3">
      <c r="B70" s="18" t="s">
        <v>57</v>
      </c>
      <c r="C70" s="59">
        <f>'Total Number Ind Examined '!I7</f>
        <v>398</v>
      </c>
      <c r="D70" s="59">
        <f>'Total Number Ind Examined '!J7</f>
        <v>113</v>
      </c>
      <c r="E70" s="59">
        <f t="shared" ref="E70:E73" si="11">C70+D70</f>
        <v>511</v>
      </c>
      <c r="F70" s="101">
        <f>'Total Number of Pools Examined'!H7</f>
        <v>17</v>
      </c>
      <c r="G70" s="101">
        <f>'Total Number of Pools Examined'!I7</f>
        <v>10</v>
      </c>
      <c r="H70" s="101">
        <f t="shared" ref="H70:H73" si="12">F70+G70</f>
        <v>27</v>
      </c>
      <c r="I70" s="101">
        <f>'Total Number of WNV + Pools'!G8</f>
        <v>6</v>
      </c>
      <c r="J70" s="101">
        <f>'Total Number of WNV + Pools'!H8</f>
        <v>1</v>
      </c>
      <c r="K70" s="101">
        <f>'Total Number of WNV + Pools'!I8</f>
        <v>7</v>
      </c>
      <c r="L70" s="30">
        <f>ZONEINFRATE!C4</f>
        <v>20.943357229192987</v>
      </c>
      <c r="M70" s="30">
        <f>ZONEINFRATE!C5</f>
        <v>8.5055429399774489</v>
      </c>
      <c r="N70" s="21">
        <v>17.66</v>
      </c>
      <c r="R70" s="31"/>
      <c r="U70" s="31"/>
    </row>
    <row r="71" spans="1:21" ht="24.75" thickBot="1" x14ac:dyDescent="0.3">
      <c r="B71" s="18" t="s">
        <v>59</v>
      </c>
      <c r="C71" s="59">
        <f>'Total Number Ind Examined '!I9</f>
        <v>458</v>
      </c>
      <c r="D71" s="59">
        <f>'Total Number Ind Examined '!J9</f>
        <v>72</v>
      </c>
      <c r="E71" s="59">
        <f t="shared" si="11"/>
        <v>530</v>
      </c>
      <c r="F71" s="101">
        <f>'Total Number of Pools Examined'!H9</f>
        <v>24</v>
      </c>
      <c r="G71" s="101">
        <f>'Total Number of Pools Examined'!I9</f>
        <v>15</v>
      </c>
      <c r="H71" s="101">
        <f t="shared" si="12"/>
        <v>39</v>
      </c>
      <c r="I71" s="101">
        <f>'Total Number of WNV + Pools'!G9</f>
        <v>7</v>
      </c>
      <c r="J71" s="101">
        <f>'Total Number of WNV + Pools'!H9</f>
        <v>2</v>
      </c>
      <c r="K71" s="101">
        <f>'Total Number of WNV + Pools'!I9</f>
        <v>9</v>
      </c>
      <c r="L71" s="30">
        <f>ZONEINFRATE!C6</f>
        <v>21.754017572111351</v>
      </c>
      <c r="M71" s="30">
        <f>ZONEINFRATE!C7</f>
        <v>29.049215303824052</v>
      </c>
      <c r="N71" s="21">
        <v>23.46</v>
      </c>
      <c r="R71" s="31"/>
    </row>
    <row r="72" spans="1:21" ht="24.75" thickBot="1" x14ac:dyDescent="0.3">
      <c r="B72" s="18" t="s">
        <v>58</v>
      </c>
      <c r="C72" s="59">
        <f>'Total Number Ind Examined '!I10</f>
        <v>159</v>
      </c>
      <c r="D72" s="59">
        <f>'Total Number Ind Examined '!J10</f>
        <v>13</v>
      </c>
      <c r="E72" s="59">
        <f t="shared" si="11"/>
        <v>172</v>
      </c>
      <c r="F72" s="101">
        <f>'Total Number of Pools Examined'!H10</f>
        <v>8</v>
      </c>
      <c r="G72" s="101">
        <f>'Total Number of Pools Examined'!I10</f>
        <v>6</v>
      </c>
      <c r="H72" s="101">
        <f t="shared" si="12"/>
        <v>14</v>
      </c>
      <c r="I72" s="101">
        <f>'Total Number of WNV + Pools'!G10</f>
        <v>2</v>
      </c>
      <c r="J72" s="101">
        <f>'Total Number of WNV + Pools'!H10</f>
        <v>0</v>
      </c>
      <c r="K72" s="101">
        <f>'Total Number of WNV + Pools'!I10</f>
        <v>2</v>
      </c>
      <c r="L72" s="30">
        <f>ZONEINFRATE!C8</f>
        <v>15.235082281023168</v>
      </c>
      <c r="M72" s="30">
        <f>ZONEINFRATE!C9</f>
        <v>0</v>
      </c>
      <c r="N72" s="21">
        <v>14.35</v>
      </c>
      <c r="R72" s="31"/>
    </row>
    <row r="73" spans="1:21" ht="24.75" thickBot="1" x14ac:dyDescent="0.3">
      <c r="B73" s="18" t="s">
        <v>22</v>
      </c>
      <c r="C73" s="59">
        <f>SUM(C69:C72)</f>
        <v>1169</v>
      </c>
      <c r="D73" s="59">
        <f>SUM(D69:D72)</f>
        <v>222</v>
      </c>
      <c r="E73" s="59">
        <f t="shared" si="11"/>
        <v>1391</v>
      </c>
      <c r="F73" s="101">
        <f t="shared" ref="F73:K73" si="13">SUM(F69:F72)</f>
        <v>61</v>
      </c>
      <c r="G73" s="101">
        <f t="shared" si="13"/>
        <v>37</v>
      </c>
      <c r="H73" s="101">
        <f t="shared" si="12"/>
        <v>98</v>
      </c>
      <c r="I73" s="101">
        <f t="shared" si="13"/>
        <v>19</v>
      </c>
      <c r="J73" s="101">
        <f t="shared" si="13"/>
        <v>3</v>
      </c>
      <c r="K73" s="101">
        <f t="shared" si="13"/>
        <v>22</v>
      </c>
      <c r="L73" s="30">
        <f>CITYINFRATE!C2</f>
        <v>24.780501879271462</v>
      </c>
      <c r="M73" s="30">
        <f>CITYINFRATE!C3</f>
        <v>13.756288781255989</v>
      </c>
      <c r="N73" s="21">
        <v>22.36</v>
      </c>
      <c r="R73" s="31"/>
    </row>
    <row r="74" spans="1:21" ht="15.75" thickBot="1" x14ac:dyDescent="0.3">
      <c r="B74" s="18"/>
      <c r="C74" s="101"/>
      <c r="D74" s="101"/>
      <c r="E74" s="101"/>
      <c r="F74" s="101"/>
      <c r="G74" s="101"/>
      <c r="H74" s="101"/>
      <c r="I74" s="101"/>
      <c r="J74" s="101"/>
      <c r="K74" s="101"/>
      <c r="L74" s="30"/>
      <c r="M74" s="30"/>
      <c r="N74" s="21"/>
    </row>
    <row r="75" spans="1:21" ht="15.75" thickBot="1" x14ac:dyDescent="0.3">
      <c r="B75" s="18" t="s">
        <v>9</v>
      </c>
      <c r="C75" s="101">
        <f>'Total Number Ind Examined '!I6</f>
        <v>4</v>
      </c>
      <c r="D75" s="101">
        <f>'Total Number Ind Examined '!J6</f>
        <v>118</v>
      </c>
      <c r="E75" s="101">
        <f>C75+D75</f>
        <v>122</v>
      </c>
      <c r="F75" s="101">
        <f>'Total Number of Pools Examined'!H6</f>
        <v>2</v>
      </c>
      <c r="G75" s="101">
        <f>'Total Number of Pools Examined'!I6</f>
        <v>7</v>
      </c>
      <c r="H75" s="101">
        <f>F75+G75</f>
        <v>9</v>
      </c>
      <c r="I75" s="101">
        <f>'Total Number of WNV + Pools'!G11</f>
        <v>0</v>
      </c>
      <c r="J75" s="101">
        <f>'Total Number of WNV + Pools'!H11</f>
        <v>2</v>
      </c>
      <c r="K75" s="101">
        <f>I75+J75</f>
        <v>2</v>
      </c>
      <c r="L75" s="30">
        <f>CITYINFRATE!C4</f>
        <v>0</v>
      </c>
      <c r="M75" s="30">
        <f>CITYINFRATE!C5</f>
        <v>18.202616187224425</v>
      </c>
      <c r="N75" s="21">
        <v>17.850000000000001</v>
      </c>
    </row>
    <row r="76" spans="1:21" ht="15.75" thickBot="1" x14ac:dyDescent="0.3"/>
    <row r="77" spans="1:21" x14ac:dyDescent="0.25">
      <c r="A77" t="s">
        <v>53</v>
      </c>
      <c r="B77" s="16"/>
      <c r="C77" s="80" t="s">
        <v>56</v>
      </c>
      <c r="D77" s="81"/>
      <c r="E77" s="80" t="s">
        <v>57</v>
      </c>
      <c r="F77" s="81"/>
      <c r="G77" s="80" t="s">
        <v>59</v>
      </c>
      <c r="H77" s="81"/>
      <c r="I77" s="80" t="s">
        <v>58</v>
      </c>
      <c r="J77" s="81"/>
      <c r="K77" s="80" t="s">
        <v>22</v>
      </c>
      <c r="L77" s="81"/>
      <c r="M77" s="19"/>
    </row>
    <row r="78" spans="1:21" ht="15.75" thickBot="1" x14ac:dyDescent="0.3">
      <c r="B78" s="17"/>
      <c r="C78" s="82"/>
      <c r="D78" s="83"/>
      <c r="E78" s="82"/>
      <c r="F78" s="83"/>
      <c r="G78" s="82"/>
      <c r="H78" s="83"/>
      <c r="I78" s="82"/>
      <c r="J78" s="83"/>
      <c r="K78" s="82"/>
      <c r="L78" s="83"/>
      <c r="M78" s="20"/>
    </row>
    <row r="79" spans="1:21" ht="26.25" thickBot="1" x14ac:dyDescent="0.3">
      <c r="B79" s="18" t="s">
        <v>8</v>
      </c>
      <c r="C79" s="21" t="s">
        <v>23</v>
      </c>
      <c r="D79" s="21" t="s">
        <v>24</v>
      </c>
      <c r="E79" s="21" t="s">
        <v>23</v>
      </c>
      <c r="F79" s="21" t="s">
        <v>24</v>
      </c>
      <c r="G79" s="21" t="s">
        <v>23</v>
      </c>
      <c r="H79" s="21" t="s">
        <v>24</v>
      </c>
      <c r="I79" s="21" t="s">
        <v>23</v>
      </c>
      <c r="J79" s="21" t="s">
        <v>24</v>
      </c>
      <c r="K79" s="21" t="s">
        <v>23</v>
      </c>
      <c r="L79" s="21" t="s">
        <v>24</v>
      </c>
      <c r="M79" s="21" t="s">
        <v>9</v>
      </c>
    </row>
    <row r="80" spans="1:21" ht="15.75" thickBot="1" x14ac:dyDescent="0.3">
      <c r="B80" s="18">
        <v>22</v>
      </c>
      <c r="C80" s="21"/>
      <c r="D80" s="21"/>
      <c r="E80" s="21"/>
      <c r="F80" s="21"/>
      <c r="G80" s="21"/>
      <c r="H80" s="21"/>
      <c r="I80" s="21"/>
      <c r="J80" s="21"/>
      <c r="K80" s="21"/>
      <c r="L80" s="21"/>
      <c r="M80" s="21"/>
    </row>
    <row r="81" spans="2:13" ht="15.75" thickBot="1" x14ac:dyDescent="0.3">
      <c r="B81" s="18">
        <v>23</v>
      </c>
      <c r="C81" s="30" t="s">
        <v>106</v>
      </c>
      <c r="D81" s="52">
        <v>0</v>
      </c>
      <c r="E81" s="30" t="s">
        <v>106</v>
      </c>
      <c r="F81" s="52">
        <v>0</v>
      </c>
      <c r="G81" s="30" t="s">
        <v>106</v>
      </c>
      <c r="H81" s="52">
        <v>1.99</v>
      </c>
      <c r="I81" s="30" t="s">
        <v>106</v>
      </c>
      <c r="J81" s="52">
        <v>0</v>
      </c>
      <c r="K81" s="30" t="s">
        <v>106</v>
      </c>
      <c r="L81" s="52">
        <v>0.57999999999999996</v>
      </c>
      <c r="M81" s="30" t="s">
        <v>106</v>
      </c>
    </row>
    <row r="82" spans="2:13" ht="15.75" thickBot="1" x14ac:dyDescent="0.3">
      <c r="B82" s="18">
        <v>24</v>
      </c>
      <c r="C82" s="30">
        <v>0</v>
      </c>
      <c r="D82" s="53">
        <v>0</v>
      </c>
      <c r="E82" s="30">
        <v>0</v>
      </c>
      <c r="F82" s="53">
        <v>0</v>
      </c>
      <c r="G82" s="30">
        <v>0</v>
      </c>
      <c r="H82" s="53">
        <v>1.52</v>
      </c>
      <c r="I82" s="30">
        <v>0</v>
      </c>
      <c r="J82" s="53">
        <v>0</v>
      </c>
      <c r="K82" s="30">
        <v>0</v>
      </c>
      <c r="L82" s="53">
        <v>0.57999999999999996</v>
      </c>
      <c r="M82" s="30">
        <v>0</v>
      </c>
    </row>
    <row r="83" spans="2:13" ht="15.75" thickBot="1" x14ac:dyDescent="0.3">
      <c r="B83" s="18">
        <v>25</v>
      </c>
      <c r="C83" s="30">
        <v>0</v>
      </c>
      <c r="D83" s="53">
        <v>0</v>
      </c>
      <c r="E83" s="30">
        <v>0</v>
      </c>
      <c r="F83" s="53">
        <v>0.69</v>
      </c>
      <c r="G83" s="30">
        <v>0</v>
      </c>
      <c r="H83" s="53">
        <v>0</v>
      </c>
      <c r="I83" s="30">
        <v>0</v>
      </c>
      <c r="J83" s="53">
        <v>0</v>
      </c>
      <c r="K83" s="30">
        <v>0</v>
      </c>
      <c r="L83" s="53">
        <v>0.09</v>
      </c>
      <c r="M83" s="30">
        <v>0</v>
      </c>
    </row>
    <row r="84" spans="2:13" ht="15.75" thickBot="1" x14ac:dyDescent="0.3">
      <c r="B84" s="18">
        <v>26</v>
      </c>
      <c r="C84" s="30">
        <v>0</v>
      </c>
      <c r="D84" s="53">
        <v>0</v>
      </c>
      <c r="E84" s="30">
        <v>1.08</v>
      </c>
      <c r="F84" s="53">
        <v>0</v>
      </c>
      <c r="G84" s="30">
        <v>0.75</v>
      </c>
      <c r="H84" s="53">
        <v>0.44</v>
      </c>
      <c r="I84" s="30">
        <v>0</v>
      </c>
      <c r="J84" s="53">
        <v>0.54</v>
      </c>
      <c r="K84" s="30">
        <v>0.75</v>
      </c>
      <c r="L84" s="53">
        <v>0.24</v>
      </c>
      <c r="M84" s="30">
        <v>0</v>
      </c>
    </row>
    <row r="85" spans="2:13" ht="15.75" thickBot="1" x14ac:dyDescent="0.3">
      <c r="B85" s="18">
        <v>27</v>
      </c>
      <c r="C85" s="30">
        <v>0</v>
      </c>
      <c r="D85" s="53">
        <v>0</v>
      </c>
      <c r="E85" s="30">
        <v>1.59</v>
      </c>
      <c r="F85" s="53">
        <v>0.09</v>
      </c>
      <c r="G85" s="30">
        <v>0</v>
      </c>
      <c r="H85" s="53">
        <v>0.25</v>
      </c>
      <c r="I85" s="30">
        <v>0</v>
      </c>
      <c r="J85" s="53">
        <v>0</v>
      </c>
      <c r="K85" s="30">
        <v>0.53</v>
      </c>
      <c r="L85" s="53">
        <v>0.17</v>
      </c>
      <c r="M85" s="30">
        <v>0</v>
      </c>
    </row>
    <row r="86" spans="2:13" ht="15.75" thickBot="1" x14ac:dyDescent="0.3">
      <c r="B86" s="18">
        <v>28</v>
      </c>
      <c r="C86" s="30">
        <v>0</v>
      </c>
      <c r="D86" s="53">
        <v>0</v>
      </c>
      <c r="E86" s="30">
        <v>0.65</v>
      </c>
      <c r="F86" s="53">
        <v>0.41</v>
      </c>
      <c r="G86" s="30">
        <v>1.43</v>
      </c>
      <c r="H86" s="53">
        <v>0.9</v>
      </c>
      <c r="I86" s="30">
        <v>0</v>
      </c>
      <c r="J86" s="53">
        <v>0.49</v>
      </c>
      <c r="K86" s="30">
        <v>0.97</v>
      </c>
      <c r="L86" s="53">
        <v>0.53</v>
      </c>
      <c r="M86" s="30">
        <v>0</v>
      </c>
    </row>
    <row r="87" spans="2:13" ht="15.75" thickBot="1" x14ac:dyDescent="0.3">
      <c r="B87" s="18">
        <v>29</v>
      </c>
      <c r="C87" s="30">
        <v>1.87</v>
      </c>
      <c r="D87" s="53">
        <v>1.58</v>
      </c>
      <c r="E87" s="30">
        <v>0</v>
      </c>
      <c r="F87" s="53">
        <v>1.4</v>
      </c>
      <c r="G87" s="30">
        <v>0</v>
      </c>
      <c r="H87" s="53">
        <v>3.22</v>
      </c>
      <c r="I87" s="30">
        <v>0</v>
      </c>
      <c r="J87" s="53">
        <v>1.17</v>
      </c>
      <c r="K87" s="30">
        <v>0.23</v>
      </c>
      <c r="L87" s="53">
        <v>2.0699999999999998</v>
      </c>
      <c r="M87" s="30">
        <v>0.89</v>
      </c>
    </row>
    <row r="88" spans="2:13" ht="15.75" thickBot="1" x14ac:dyDescent="0.3">
      <c r="B88" s="18">
        <v>30</v>
      </c>
      <c r="C88" s="30">
        <v>1.1599999999999999</v>
      </c>
      <c r="D88" s="53">
        <v>2.97</v>
      </c>
      <c r="E88" s="30">
        <v>0.47</v>
      </c>
      <c r="F88" s="53">
        <v>2.1</v>
      </c>
      <c r="G88" s="30">
        <v>2.42</v>
      </c>
      <c r="H88" s="53">
        <v>4.01</v>
      </c>
      <c r="I88" s="30">
        <v>0</v>
      </c>
      <c r="J88" s="53">
        <v>3.6</v>
      </c>
      <c r="K88" s="30">
        <v>1.38</v>
      </c>
      <c r="L88" s="53">
        <v>3.05</v>
      </c>
      <c r="M88" s="30">
        <v>3.18</v>
      </c>
    </row>
    <row r="89" spans="2:13" ht="15.75" thickBot="1" x14ac:dyDescent="0.3">
      <c r="B89" s="18">
        <v>31</v>
      </c>
      <c r="C89" s="30">
        <v>5.25</v>
      </c>
      <c r="D89" s="53">
        <v>4.29</v>
      </c>
      <c r="E89" s="30">
        <v>3.24</v>
      </c>
      <c r="F89" s="53">
        <v>1.42</v>
      </c>
      <c r="G89" s="30">
        <v>3.16</v>
      </c>
      <c r="H89" s="53">
        <v>4.2699999999999996</v>
      </c>
      <c r="I89" s="30">
        <v>2.4500000000000002</v>
      </c>
      <c r="J89" s="53">
        <v>3.4</v>
      </c>
      <c r="K89" s="30">
        <v>3.49</v>
      </c>
      <c r="L89" s="53">
        <v>3.27</v>
      </c>
      <c r="M89" s="30">
        <v>6.26</v>
      </c>
    </row>
    <row r="90" spans="2:13" ht="15.75" thickBot="1" x14ac:dyDescent="0.3">
      <c r="B90" s="18">
        <v>32</v>
      </c>
      <c r="C90" s="30">
        <v>1.98</v>
      </c>
      <c r="D90" s="53">
        <v>4.37</v>
      </c>
      <c r="E90" s="30">
        <v>3.85</v>
      </c>
      <c r="F90" s="53">
        <v>6.3</v>
      </c>
      <c r="G90" s="30">
        <v>7.18</v>
      </c>
      <c r="H90" s="53">
        <v>7.68</v>
      </c>
      <c r="I90" s="30">
        <v>5.85</v>
      </c>
      <c r="J90" s="53">
        <v>9.92</v>
      </c>
      <c r="K90" s="30">
        <v>4.75</v>
      </c>
      <c r="L90" s="53">
        <v>6.11</v>
      </c>
      <c r="M90" s="30">
        <v>0</v>
      </c>
    </row>
    <row r="91" spans="2:13" ht="15.75" thickBot="1" x14ac:dyDescent="0.3">
      <c r="B91" s="18">
        <v>33</v>
      </c>
      <c r="C91" s="30">
        <v>12.1</v>
      </c>
      <c r="D91" s="53">
        <v>8.34</v>
      </c>
      <c r="E91" s="30">
        <v>7.46</v>
      </c>
      <c r="F91" s="53">
        <v>7.54</v>
      </c>
      <c r="G91" s="30">
        <v>11.02</v>
      </c>
      <c r="H91" s="53">
        <v>10.85</v>
      </c>
      <c r="I91" s="30">
        <v>0</v>
      </c>
      <c r="J91" s="53">
        <v>4.8</v>
      </c>
      <c r="K91" s="30">
        <v>8.6999999999999993</v>
      </c>
      <c r="L91" s="53">
        <v>8.9600000000000009</v>
      </c>
      <c r="M91" s="30">
        <v>0</v>
      </c>
    </row>
    <row r="92" spans="2:13" ht="15.75" thickBot="1" x14ac:dyDescent="0.3">
      <c r="B92" s="18">
        <v>34</v>
      </c>
      <c r="C92" s="30">
        <v>14.48</v>
      </c>
      <c r="D92" s="53">
        <v>6.89</v>
      </c>
      <c r="E92" s="30">
        <v>11.52</v>
      </c>
      <c r="F92" s="53">
        <v>3.03</v>
      </c>
      <c r="G92" s="30">
        <v>13.9</v>
      </c>
      <c r="H92" s="53">
        <v>12.02</v>
      </c>
      <c r="I92" s="30">
        <v>10.86</v>
      </c>
      <c r="J92" s="53">
        <v>12.99</v>
      </c>
      <c r="K92" s="30">
        <v>13.89</v>
      </c>
      <c r="L92" s="53">
        <v>7.66</v>
      </c>
      <c r="M92" s="30">
        <v>0</v>
      </c>
    </row>
    <row r="93" spans="2:13" ht="15.75" thickBot="1" x14ac:dyDescent="0.3">
      <c r="B93" s="18">
        <v>35</v>
      </c>
      <c r="C93" s="48">
        <v>35.799999999999997</v>
      </c>
      <c r="D93" s="54">
        <v>8.1300000000000008</v>
      </c>
      <c r="E93" s="48">
        <v>17.66</v>
      </c>
      <c r="F93" s="54">
        <v>4.78</v>
      </c>
      <c r="G93" s="48">
        <v>23.46</v>
      </c>
      <c r="H93" s="54">
        <v>15.6</v>
      </c>
      <c r="I93" s="48">
        <v>14.35</v>
      </c>
      <c r="J93" s="54">
        <v>61.3</v>
      </c>
      <c r="K93" s="48">
        <v>22.36</v>
      </c>
      <c r="L93" s="54">
        <v>10.8</v>
      </c>
      <c r="M93" s="48">
        <v>17.850000000000001</v>
      </c>
    </row>
    <row r="94" spans="2:13" ht="15.75" thickBot="1" x14ac:dyDescent="0.3">
      <c r="B94" s="18">
        <v>36</v>
      </c>
      <c r="C94" s="21"/>
      <c r="D94" s="21"/>
      <c r="E94" s="21"/>
      <c r="F94" s="21"/>
      <c r="G94" s="21"/>
      <c r="H94" s="21"/>
      <c r="I94" s="21"/>
      <c r="J94" s="21"/>
      <c r="K94" s="21"/>
      <c r="L94" s="21"/>
      <c r="M94" s="21"/>
    </row>
  </sheetData>
  <mergeCells count="41">
    <mergeCell ref="L65:N67"/>
    <mergeCell ref="C77:D78"/>
    <mergeCell ref="E77:F78"/>
    <mergeCell ref="G77:H78"/>
    <mergeCell ref="I77:J78"/>
    <mergeCell ref="K77:L78"/>
    <mergeCell ref="C65:E67"/>
    <mergeCell ref="F65:H67"/>
    <mergeCell ref="I65:K65"/>
    <mergeCell ref="I66:K66"/>
    <mergeCell ref="I67:K67"/>
    <mergeCell ref="C46:D47"/>
    <mergeCell ref="E46:F47"/>
    <mergeCell ref="G46:H47"/>
    <mergeCell ref="I46:J47"/>
    <mergeCell ref="K46:L47"/>
    <mergeCell ref="C33:E33"/>
    <mergeCell ref="C34:E34"/>
    <mergeCell ref="C35:E35"/>
    <mergeCell ref="G33:I35"/>
    <mergeCell ref="C36:C37"/>
    <mergeCell ref="D36:D37"/>
    <mergeCell ref="E36:E37"/>
    <mergeCell ref="G36:G37"/>
    <mergeCell ref="H36:H37"/>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workbookViewId="0">
      <selection activeCell="A93" sqref="A93:XFD94"/>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1"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row>
    <row r="2" spans="1:21" s="99" customFormat="1" x14ac:dyDescent="0.25">
      <c r="A2" s="98">
        <v>2015</v>
      </c>
      <c r="B2" s="99" t="s">
        <v>107</v>
      </c>
      <c r="C2" s="99">
        <v>18242</v>
      </c>
      <c r="D2" s="99">
        <v>35</v>
      </c>
      <c r="E2" s="100">
        <v>42247</v>
      </c>
      <c r="F2" s="99" t="s">
        <v>108</v>
      </c>
      <c r="G2" s="99" t="s">
        <v>9</v>
      </c>
      <c r="H2" s="99" t="s">
        <v>109</v>
      </c>
      <c r="I2" s="99" t="s">
        <v>9</v>
      </c>
      <c r="J2" s="99" t="s">
        <v>110</v>
      </c>
      <c r="K2" s="99" t="s">
        <v>111</v>
      </c>
      <c r="L2" s="99" t="s">
        <v>6</v>
      </c>
      <c r="M2" s="99" t="s">
        <v>112</v>
      </c>
      <c r="N2" s="99">
        <v>0</v>
      </c>
      <c r="O2" s="99">
        <v>50</v>
      </c>
      <c r="P2" s="99">
        <v>50</v>
      </c>
      <c r="Q2" s="99">
        <v>1</v>
      </c>
      <c r="R2" s="99" t="s">
        <v>113</v>
      </c>
      <c r="T2" s="99" t="s">
        <v>114</v>
      </c>
      <c r="U2" s="99" t="s">
        <v>114</v>
      </c>
    </row>
    <row r="3" spans="1:21" x14ac:dyDescent="0.25">
      <c r="A3" s="39">
        <v>2015</v>
      </c>
      <c r="B3" s="37" t="s">
        <v>115</v>
      </c>
      <c r="C3" s="37">
        <v>18243</v>
      </c>
      <c r="D3" s="37">
        <v>35</v>
      </c>
      <c r="E3" s="38">
        <v>42247</v>
      </c>
      <c r="F3" s="37" t="s">
        <v>108</v>
      </c>
      <c r="G3" s="37" t="s">
        <v>9</v>
      </c>
      <c r="H3" s="37" t="s">
        <v>109</v>
      </c>
      <c r="I3" s="37" t="s">
        <v>9</v>
      </c>
      <c r="J3" s="37" t="s">
        <v>110</v>
      </c>
      <c r="K3" s="37" t="s">
        <v>111</v>
      </c>
      <c r="L3" s="37" t="s">
        <v>6</v>
      </c>
      <c r="M3" s="37" t="s">
        <v>112</v>
      </c>
      <c r="N3" s="37">
        <v>0</v>
      </c>
      <c r="O3" s="37">
        <v>4</v>
      </c>
      <c r="P3" s="37">
        <v>4</v>
      </c>
      <c r="Q3" s="37">
        <v>0</v>
      </c>
      <c r="R3" s="37" t="s">
        <v>116</v>
      </c>
      <c r="T3" s="37" t="s">
        <v>114</v>
      </c>
      <c r="U3" s="37" t="s">
        <v>114</v>
      </c>
    </row>
    <row r="4" spans="1:21" x14ac:dyDescent="0.25">
      <c r="A4" s="39">
        <v>2015</v>
      </c>
      <c r="B4" s="37" t="s">
        <v>117</v>
      </c>
      <c r="C4" s="37">
        <v>18244</v>
      </c>
      <c r="D4" s="37">
        <v>35</v>
      </c>
      <c r="E4" s="38">
        <v>42247</v>
      </c>
      <c r="F4" s="37" t="s">
        <v>108</v>
      </c>
      <c r="G4" s="37" t="s">
        <v>9</v>
      </c>
      <c r="H4" s="37" t="s">
        <v>118</v>
      </c>
      <c r="I4" s="37" t="s">
        <v>9</v>
      </c>
      <c r="J4" s="37" t="s">
        <v>110</v>
      </c>
      <c r="K4" s="37" t="s">
        <v>111</v>
      </c>
      <c r="L4" s="37" t="s">
        <v>6</v>
      </c>
      <c r="M4" s="37" t="s">
        <v>112</v>
      </c>
      <c r="N4" s="37">
        <v>0</v>
      </c>
      <c r="O4" s="37">
        <v>4</v>
      </c>
      <c r="P4" s="37">
        <v>4</v>
      </c>
      <c r="Q4" s="37">
        <v>0</v>
      </c>
      <c r="R4" s="37" t="s">
        <v>116</v>
      </c>
      <c r="T4" s="37" t="s">
        <v>114</v>
      </c>
      <c r="U4" s="37" t="s">
        <v>114</v>
      </c>
    </row>
    <row r="5" spans="1:21" s="99" customFormat="1" x14ac:dyDescent="0.25">
      <c r="A5" s="98">
        <v>2015</v>
      </c>
      <c r="B5" s="99" t="s">
        <v>119</v>
      </c>
      <c r="C5" s="99">
        <v>18245</v>
      </c>
      <c r="D5" s="99">
        <v>35</v>
      </c>
      <c r="E5" s="100">
        <v>42247</v>
      </c>
      <c r="F5" s="99" t="s">
        <v>108</v>
      </c>
      <c r="G5" s="99" t="s">
        <v>9</v>
      </c>
      <c r="H5" s="99" t="s">
        <v>120</v>
      </c>
      <c r="I5" s="99" t="s">
        <v>9</v>
      </c>
      <c r="J5" s="99" t="s">
        <v>110</v>
      </c>
      <c r="K5" s="99" t="s">
        <v>111</v>
      </c>
      <c r="L5" s="99" t="s">
        <v>6</v>
      </c>
      <c r="M5" s="99" t="s">
        <v>112</v>
      </c>
      <c r="N5" s="99">
        <v>0</v>
      </c>
      <c r="O5" s="99">
        <v>6</v>
      </c>
      <c r="P5" s="99">
        <v>6</v>
      </c>
      <c r="Q5" s="99">
        <v>1</v>
      </c>
      <c r="R5" s="99" t="s">
        <v>113</v>
      </c>
      <c r="T5" s="99" t="s">
        <v>114</v>
      </c>
      <c r="U5" s="99" t="s">
        <v>114</v>
      </c>
    </row>
    <row r="6" spans="1:21" x14ac:dyDescent="0.25">
      <c r="A6" s="39">
        <v>2015</v>
      </c>
      <c r="B6" s="37" t="s">
        <v>121</v>
      </c>
      <c r="C6" s="37">
        <v>18246</v>
      </c>
      <c r="D6" s="37">
        <v>35</v>
      </c>
      <c r="E6" s="38">
        <v>42247</v>
      </c>
      <c r="F6" s="37" t="s">
        <v>108</v>
      </c>
      <c r="G6" s="37" t="s">
        <v>9</v>
      </c>
      <c r="H6" s="37" t="s">
        <v>120</v>
      </c>
      <c r="I6" s="37" t="s">
        <v>9</v>
      </c>
      <c r="J6" s="37" t="s">
        <v>110</v>
      </c>
      <c r="K6" s="37" t="s">
        <v>111</v>
      </c>
      <c r="L6" s="37" t="s">
        <v>5</v>
      </c>
      <c r="M6" s="37" t="s">
        <v>112</v>
      </c>
      <c r="N6" s="37">
        <v>0</v>
      </c>
      <c r="O6" s="37">
        <v>1</v>
      </c>
      <c r="P6" s="37">
        <v>1</v>
      </c>
      <c r="Q6" s="37">
        <v>0</v>
      </c>
      <c r="R6" s="37" t="s">
        <v>116</v>
      </c>
      <c r="T6" s="37" t="s">
        <v>122</v>
      </c>
      <c r="U6" s="37" t="s">
        <v>122</v>
      </c>
    </row>
    <row r="7" spans="1:21" x14ac:dyDescent="0.25">
      <c r="A7" s="39">
        <v>2015</v>
      </c>
      <c r="B7" s="37" t="s">
        <v>123</v>
      </c>
      <c r="C7" s="37">
        <v>18247</v>
      </c>
      <c r="D7" s="37">
        <v>35</v>
      </c>
      <c r="E7" s="38">
        <v>42247</v>
      </c>
      <c r="F7" s="37" t="s">
        <v>108</v>
      </c>
      <c r="G7" s="37" t="s">
        <v>9</v>
      </c>
      <c r="H7" s="37" t="s">
        <v>124</v>
      </c>
      <c r="I7" s="37" t="s">
        <v>9</v>
      </c>
      <c r="J7" s="37" t="s">
        <v>110</v>
      </c>
      <c r="K7" s="37" t="s">
        <v>111</v>
      </c>
      <c r="L7" s="37" t="s">
        <v>6</v>
      </c>
      <c r="M7" s="37" t="s">
        <v>112</v>
      </c>
      <c r="N7" s="37">
        <v>0</v>
      </c>
      <c r="O7" s="37">
        <v>43</v>
      </c>
      <c r="P7" s="37">
        <v>43</v>
      </c>
      <c r="Q7" s="37">
        <v>0</v>
      </c>
      <c r="R7" s="37" t="s">
        <v>116</v>
      </c>
      <c r="T7" s="37" t="s">
        <v>114</v>
      </c>
      <c r="U7" s="37" t="s">
        <v>114</v>
      </c>
    </row>
    <row r="8" spans="1:21" x14ac:dyDescent="0.25">
      <c r="A8" s="39">
        <v>2015</v>
      </c>
      <c r="B8" s="37" t="s">
        <v>125</v>
      </c>
      <c r="C8" s="37">
        <v>18248</v>
      </c>
      <c r="D8" s="37">
        <v>35</v>
      </c>
      <c r="E8" s="38">
        <v>42247</v>
      </c>
      <c r="F8" s="37" t="s">
        <v>108</v>
      </c>
      <c r="G8" s="37" t="s">
        <v>9</v>
      </c>
      <c r="H8" s="37" t="s">
        <v>124</v>
      </c>
      <c r="I8" s="37" t="s">
        <v>9</v>
      </c>
      <c r="J8" s="37" t="s">
        <v>110</v>
      </c>
      <c r="K8" s="37" t="s">
        <v>111</v>
      </c>
      <c r="L8" s="37" t="s">
        <v>5</v>
      </c>
      <c r="M8" s="37" t="s">
        <v>112</v>
      </c>
      <c r="N8" s="37">
        <v>0</v>
      </c>
      <c r="O8" s="37">
        <v>3</v>
      </c>
      <c r="P8" s="37">
        <v>3</v>
      </c>
      <c r="Q8" s="37">
        <v>0</v>
      </c>
      <c r="R8" s="37" t="s">
        <v>116</v>
      </c>
      <c r="T8" s="37" t="s">
        <v>122</v>
      </c>
      <c r="U8" s="37" t="s">
        <v>122</v>
      </c>
    </row>
    <row r="9" spans="1:21" x14ac:dyDescent="0.25">
      <c r="A9" s="39">
        <v>2015</v>
      </c>
      <c r="B9" s="37" t="s">
        <v>126</v>
      </c>
      <c r="C9" s="37">
        <v>18249</v>
      </c>
      <c r="D9" s="37">
        <v>35</v>
      </c>
      <c r="E9" s="38">
        <v>42247</v>
      </c>
      <c r="F9" s="37" t="s">
        <v>108</v>
      </c>
      <c r="G9" s="37" t="s">
        <v>9</v>
      </c>
      <c r="H9" s="37" t="s">
        <v>127</v>
      </c>
      <c r="I9" s="37" t="s">
        <v>9</v>
      </c>
      <c r="J9" s="37" t="s">
        <v>110</v>
      </c>
      <c r="K9" s="37" t="s">
        <v>111</v>
      </c>
      <c r="L9" s="37" t="s">
        <v>6</v>
      </c>
      <c r="M9" s="37" t="s">
        <v>112</v>
      </c>
      <c r="N9" s="37">
        <v>0</v>
      </c>
      <c r="O9" s="37">
        <v>4</v>
      </c>
      <c r="P9" s="37">
        <v>4</v>
      </c>
      <c r="Q9" s="37">
        <v>0</v>
      </c>
      <c r="R9" s="37" t="s">
        <v>116</v>
      </c>
      <c r="T9" s="37" t="s">
        <v>114</v>
      </c>
      <c r="U9" s="37" t="s">
        <v>114</v>
      </c>
    </row>
    <row r="10" spans="1:21" x14ac:dyDescent="0.25">
      <c r="A10" s="39">
        <v>2015</v>
      </c>
      <c r="B10" s="37" t="s">
        <v>128</v>
      </c>
      <c r="C10" s="37">
        <v>18250</v>
      </c>
      <c r="D10" s="37">
        <v>35</v>
      </c>
      <c r="E10" s="38">
        <v>42247</v>
      </c>
      <c r="F10" s="37" t="s">
        <v>108</v>
      </c>
      <c r="G10" s="37" t="s">
        <v>9</v>
      </c>
      <c r="H10" s="37" t="s">
        <v>129</v>
      </c>
      <c r="I10" s="37" t="s">
        <v>9</v>
      </c>
      <c r="J10" s="37" t="s">
        <v>110</v>
      </c>
      <c r="K10" s="37" t="s">
        <v>111</v>
      </c>
      <c r="L10" s="37" t="s">
        <v>6</v>
      </c>
      <c r="M10" s="37" t="s">
        <v>112</v>
      </c>
      <c r="N10" s="37">
        <v>0</v>
      </c>
      <c r="O10" s="37">
        <v>7</v>
      </c>
      <c r="P10" s="37">
        <v>7</v>
      </c>
      <c r="Q10" s="37">
        <v>0</v>
      </c>
      <c r="R10" s="37" t="s">
        <v>116</v>
      </c>
      <c r="T10" s="37" t="s">
        <v>114</v>
      </c>
      <c r="U10" s="37" t="s">
        <v>114</v>
      </c>
    </row>
    <row r="11" spans="1:21" x14ac:dyDescent="0.25">
      <c r="A11" s="39">
        <v>2015</v>
      </c>
      <c r="B11" s="37" t="s">
        <v>130</v>
      </c>
      <c r="C11" s="37">
        <v>18251</v>
      </c>
      <c r="D11" s="37">
        <v>35</v>
      </c>
      <c r="E11" s="38">
        <v>42247</v>
      </c>
      <c r="F11" s="37" t="s">
        <v>108</v>
      </c>
      <c r="G11" s="37" t="s">
        <v>47</v>
      </c>
      <c r="H11" s="37" t="s">
        <v>131</v>
      </c>
      <c r="I11" s="37" t="s">
        <v>61</v>
      </c>
      <c r="J11" s="37" t="s">
        <v>110</v>
      </c>
      <c r="K11" s="37" t="s">
        <v>111</v>
      </c>
      <c r="L11" s="37" t="s">
        <v>6</v>
      </c>
      <c r="M11" s="37" t="s">
        <v>112</v>
      </c>
      <c r="N11" s="37">
        <v>0</v>
      </c>
      <c r="O11" s="37">
        <v>12</v>
      </c>
      <c r="P11" s="37">
        <v>12</v>
      </c>
      <c r="Q11" s="37">
        <v>0</v>
      </c>
      <c r="R11" s="37" t="s">
        <v>116</v>
      </c>
      <c r="T11" s="37" t="s">
        <v>132</v>
      </c>
      <c r="U11" s="37" t="s">
        <v>133</v>
      </c>
    </row>
    <row r="12" spans="1:21" x14ac:dyDescent="0.25">
      <c r="A12" s="39">
        <v>2015</v>
      </c>
      <c r="B12" s="37" t="s">
        <v>134</v>
      </c>
      <c r="C12" s="37">
        <v>18252</v>
      </c>
      <c r="D12" s="37">
        <v>35</v>
      </c>
      <c r="E12" s="38">
        <v>42247</v>
      </c>
      <c r="F12" s="37" t="s">
        <v>108</v>
      </c>
      <c r="G12" s="37" t="s">
        <v>47</v>
      </c>
      <c r="H12" s="37" t="s">
        <v>135</v>
      </c>
      <c r="I12" s="37" t="s">
        <v>61</v>
      </c>
      <c r="J12" s="37" t="s">
        <v>110</v>
      </c>
      <c r="K12" s="37" t="s">
        <v>111</v>
      </c>
      <c r="L12" s="37" t="s">
        <v>6</v>
      </c>
      <c r="M12" s="37" t="s">
        <v>112</v>
      </c>
      <c r="N12" s="37">
        <v>0</v>
      </c>
      <c r="O12" s="37">
        <v>7</v>
      </c>
      <c r="P12" s="37">
        <v>7</v>
      </c>
      <c r="Q12" s="37">
        <v>0</v>
      </c>
      <c r="R12" s="37" t="s">
        <v>116</v>
      </c>
      <c r="T12" s="37" t="s">
        <v>132</v>
      </c>
      <c r="U12" s="37" t="s">
        <v>133</v>
      </c>
    </row>
    <row r="13" spans="1:21" x14ac:dyDescent="0.25">
      <c r="A13" s="39">
        <v>2015</v>
      </c>
      <c r="B13" s="37" t="s">
        <v>136</v>
      </c>
      <c r="C13" s="37">
        <v>18253</v>
      </c>
      <c r="D13" s="37">
        <v>35</v>
      </c>
      <c r="E13" s="38">
        <v>42247</v>
      </c>
      <c r="F13" s="37" t="s">
        <v>108</v>
      </c>
      <c r="G13" s="37" t="s">
        <v>47</v>
      </c>
      <c r="H13" s="37" t="s">
        <v>135</v>
      </c>
      <c r="I13" s="37" t="s">
        <v>61</v>
      </c>
      <c r="J13" s="37" t="s">
        <v>110</v>
      </c>
      <c r="K13" s="37" t="s">
        <v>111</v>
      </c>
      <c r="L13" s="37" t="s">
        <v>5</v>
      </c>
      <c r="M13" s="37" t="s">
        <v>112</v>
      </c>
      <c r="N13" s="37">
        <v>0</v>
      </c>
      <c r="O13" s="37">
        <v>16</v>
      </c>
      <c r="P13" s="37">
        <v>16</v>
      </c>
      <c r="Q13" s="37">
        <v>0</v>
      </c>
      <c r="R13" s="37" t="s">
        <v>116</v>
      </c>
      <c r="T13" s="37" t="s">
        <v>137</v>
      </c>
      <c r="U13" s="37" t="s">
        <v>138</v>
      </c>
    </row>
    <row r="14" spans="1:21" x14ac:dyDescent="0.25">
      <c r="A14" s="39">
        <v>2015</v>
      </c>
      <c r="B14" s="37" t="s">
        <v>139</v>
      </c>
      <c r="C14" s="37">
        <v>18254</v>
      </c>
      <c r="D14" s="37">
        <v>35</v>
      </c>
      <c r="E14" s="38">
        <v>42247</v>
      </c>
      <c r="F14" s="37" t="s">
        <v>108</v>
      </c>
      <c r="G14" s="37" t="s">
        <v>47</v>
      </c>
      <c r="H14" s="37" t="s">
        <v>140</v>
      </c>
      <c r="I14" s="37" t="s">
        <v>62</v>
      </c>
      <c r="J14" s="37" t="s">
        <v>110</v>
      </c>
      <c r="K14" s="37" t="s">
        <v>111</v>
      </c>
      <c r="L14" s="37" t="s">
        <v>6</v>
      </c>
      <c r="M14" s="37" t="s">
        <v>112</v>
      </c>
      <c r="N14" s="37">
        <v>0</v>
      </c>
      <c r="O14" s="37">
        <v>4</v>
      </c>
      <c r="P14" s="37">
        <v>4</v>
      </c>
      <c r="Q14" s="37">
        <v>0</v>
      </c>
      <c r="R14" s="37" t="s">
        <v>116</v>
      </c>
      <c r="T14" s="37" t="s">
        <v>132</v>
      </c>
      <c r="U14" s="37" t="s">
        <v>141</v>
      </c>
    </row>
    <row r="15" spans="1:21" s="99" customFormat="1" x14ac:dyDescent="0.25">
      <c r="A15" s="98">
        <v>2015</v>
      </c>
      <c r="B15" s="99" t="s">
        <v>142</v>
      </c>
      <c r="C15" s="99">
        <v>18255</v>
      </c>
      <c r="D15" s="99">
        <v>35</v>
      </c>
      <c r="E15" s="100">
        <v>42247</v>
      </c>
      <c r="F15" s="99" t="s">
        <v>108</v>
      </c>
      <c r="G15" s="99" t="s">
        <v>47</v>
      </c>
      <c r="H15" s="99" t="s">
        <v>140</v>
      </c>
      <c r="I15" s="99" t="s">
        <v>62</v>
      </c>
      <c r="J15" s="99" t="s">
        <v>110</v>
      </c>
      <c r="K15" s="99" t="s">
        <v>111</v>
      </c>
      <c r="L15" s="99" t="s">
        <v>5</v>
      </c>
      <c r="M15" s="99" t="s">
        <v>112</v>
      </c>
      <c r="N15" s="99">
        <v>0</v>
      </c>
      <c r="O15" s="99">
        <v>1</v>
      </c>
      <c r="P15" s="99">
        <v>1</v>
      </c>
      <c r="Q15" s="99">
        <v>1</v>
      </c>
      <c r="R15" s="99" t="s">
        <v>113</v>
      </c>
      <c r="T15" s="99" t="s">
        <v>137</v>
      </c>
      <c r="U15" s="99" t="s">
        <v>143</v>
      </c>
    </row>
    <row r="16" spans="1:21" x14ac:dyDescent="0.25">
      <c r="A16" s="39">
        <v>2015</v>
      </c>
      <c r="B16" s="37" t="s">
        <v>144</v>
      </c>
      <c r="C16" s="37">
        <v>18256</v>
      </c>
      <c r="D16" s="37">
        <v>35</v>
      </c>
      <c r="E16" s="38">
        <v>42247</v>
      </c>
      <c r="F16" s="37" t="s">
        <v>108</v>
      </c>
      <c r="G16" s="37" t="s">
        <v>47</v>
      </c>
      <c r="H16" s="37" t="s">
        <v>145</v>
      </c>
      <c r="I16" s="37" t="s">
        <v>62</v>
      </c>
      <c r="J16" s="37" t="s">
        <v>110</v>
      </c>
      <c r="K16" s="37" t="s">
        <v>111</v>
      </c>
      <c r="L16" s="37" t="s">
        <v>6</v>
      </c>
      <c r="M16" s="37" t="s">
        <v>112</v>
      </c>
      <c r="N16" s="37">
        <v>0</v>
      </c>
      <c r="O16" s="37">
        <v>3</v>
      </c>
      <c r="P16" s="37">
        <v>3</v>
      </c>
      <c r="Q16" s="37">
        <v>0</v>
      </c>
      <c r="R16" s="37" t="s">
        <v>116</v>
      </c>
      <c r="T16" s="37" t="s">
        <v>132</v>
      </c>
      <c r="U16" s="37" t="s">
        <v>141</v>
      </c>
    </row>
    <row r="17" spans="1:21" x14ac:dyDescent="0.25">
      <c r="A17" s="39">
        <v>2015</v>
      </c>
      <c r="B17" s="37" t="s">
        <v>146</v>
      </c>
      <c r="C17" s="37">
        <v>18257</v>
      </c>
      <c r="D17" s="37">
        <v>35</v>
      </c>
      <c r="E17" s="38">
        <v>42247</v>
      </c>
      <c r="F17" s="37" t="s">
        <v>108</v>
      </c>
      <c r="G17" s="37" t="s">
        <v>47</v>
      </c>
      <c r="H17" s="37" t="s">
        <v>145</v>
      </c>
      <c r="I17" s="37" t="s">
        <v>62</v>
      </c>
      <c r="J17" s="37" t="s">
        <v>110</v>
      </c>
      <c r="K17" s="37" t="s">
        <v>111</v>
      </c>
      <c r="L17" s="37" t="s">
        <v>5</v>
      </c>
      <c r="M17" s="37" t="s">
        <v>112</v>
      </c>
      <c r="N17" s="37">
        <v>0</v>
      </c>
      <c r="O17" s="37">
        <v>16</v>
      </c>
      <c r="P17" s="37">
        <v>16</v>
      </c>
      <c r="Q17" s="37">
        <v>0</v>
      </c>
      <c r="R17" s="37" t="s">
        <v>116</v>
      </c>
      <c r="T17" s="37" t="s">
        <v>137</v>
      </c>
      <c r="U17" s="37" t="s">
        <v>143</v>
      </c>
    </row>
    <row r="18" spans="1:21" x14ac:dyDescent="0.25">
      <c r="A18" s="39">
        <v>2015</v>
      </c>
      <c r="B18" s="37" t="s">
        <v>147</v>
      </c>
      <c r="C18" s="37">
        <v>18258</v>
      </c>
      <c r="D18" s="37">
        <v>35</v>
      </c>
      <c r="E18" s="38">
        <v>42247</v>
      </c>
      <c r="F18" s="37" t="s">
        <v>108</v>
      </c>
      <c r="G18" s="37" t="s">
        <v>47</v>
      </c>
      <c r="H18" s="37" t="s">
        <v>148</v>
      </c>
      <c r="I18" s="37" t="s">
        <v>61</v>
      </c>
      <c r="J18" s="37" t="s">
        <v>110</v>
      </c>
      <c r="K18" s="37" t="s">
        <v>111</v>
      </c>
      <c r="L18" s="37" t="s">
        <v>6</v>
      </c>
      <c r="M18" s="37" t="s">
        <v>112</v>
      </c>
      <c r="N18" s="37">
        <v>0</v>
      </c>
      <c r="O18" s="37">
        <v>26</v>
      </c>
      <c r="P18" s="37">
        <v>26</v>
      </c>
      <c r="Q18" s="37">
        <v>0</v>
      </c>
      <c r="R18" s="37" t="s">
        <v>116</v>
      </c>
      <c r="T18" s="37" t="s">
        <v>132</v>
      </c>
      <c r="U18" s="37" t="s">
        <v>133</v>
      </c>
    </row>
    <row r="19" spans="1:21" x14ac:dyDescent="0.25">
      <c r="A19" s="39">
        <v>2015</v>
      </c>
      <c r="B19" s="37" t="s">
        <v>149</v>
      </c>
      <c r="C19" s="37">
        <v>18259</v>
      </c>
      <c r="D19" s="37">
        <v>35</v>
      </c>
      <c r="E19" s="38">
        <v>42247</v>
      </c>
      <c r="F19" s="37" t="s">
        <v>108</v>
      </c>
      <c r="G19" s="37" t="s">
        <v>47</v>
      </c>
      <c r="H19" s="37" t="s">
        <v>148</v>
      </c>
      <c r="I19" s="37" t="s">
        <v>61</v>
      </c>
      <c r="J19" s="37" t="s">
        <v>110</v>
      </c>
      <c r="K19" s="37" t="s">
        <v>111</v>
      </c>
      <c r="L19" s="37" t="s">
        <v>5</v>
      </c>
      <c r="M19" s="37" t="s">
        <v>112</v>
      </c>
      <c r="N19" s="37">
        <v>0</v>
      </c>
      <c r="O19" s="37">
        <v>13</v>
      </c>
      <c r="P19" s="37">
        <v>13</v>
      </c>
      <c r="Q19" s="37">
        <v>0</v>
      </c>
      <c r="R19" s="37" t="s">
        <v>116</v>
      </c>
      <c r="T19" s="37" t="s">
        <v>137</v>
      </c>
      <c r="U19" s="37" t="s">
        <v>138</v>
      </c>
    </row>
    <row r="20" spans="1:21" x14ac:dyDescent="0.25">
      <c r="A20" s="39">
        <v>2015</v>
      </c>
      <c r="B20" s="37" t="s">
        <v>150</v>
      </c>
      <c r="C20" s="37">
        <v>18260</v>
      </c>
      <c r="D20" s="37">
        <v>35</v>
      </c>
      <c r="E20" s="38">
        <v>42247</v>
      </c>
      <c r="F20" s="37" t="s">
        <v>108</v>
      </c>
      <c r="G20" s="37" t="s">
        <v>47</v>
      </c>
      <c r="H20" s="37" t="s">
        <v>151</v>
      </c>
      <c r="I20" s="37" t="s">
        <v>61</v>
      </c>
      <c r="J20" s="37" t="s">
        <v>110</v>
      </c>
      <c r="K20" s="37" t="s">
        <v>111</v>
      </c>
      <c r="L20" s="37" t="s">
        <v>6</v>
      </c>
      <c r="M20" s="37" t="s">
        <v>112</v>
      </c>
      <c r="N20" s="37">
        <v>0</v>
      </c>
      <c r="O20" s="37">
        <v>5</v>
      </c>
      <c r="P20" s="37">
        <v>5</v>
      </c>
      <c r="Q20" s="37">
        <v>0</v>
      </c>
      <c r="R20" s="37" t="s">
        <v>116</v>
      </c>
      <c r="T20" s="37" t="s">
        <v>132</v>
      </c>
      <c r="U20" s="37" t="s">
        <v>133</v>
      </c>
    </row>
    <row r="21" spans="1:21" x14ac:dyDescent="0.25">
      <c r="A21" s="39">
        <v>2015</v>
      </c>
      <c r="B21" s="37" t="s">
        <v>152</v>
      </c>
      <c r="C21" s="37">
        <v>18261</v>
      </c>
      <c r="D21" s="37">
        <v>35</v>
      </c>
      <c r="E21" s="38">
        <v>42247</v>
      </c>
      <c r="F21" s="37" t="s">
        <v>108</v>
      </c>
      <c r="G21" s="37" t="s">
        <v>47</v>
      </c>
      <c r="H21" s="37" t="s">
        <v>151</v>
      </c>
      <c r="I21" s="37" t="s">
        <v>61</v>
      </c>
      <c r="J21" s="37" t="s">
        <v>110</v>
      </c>
      <c r="K21" s="37" t="s">
        <v>111</v>
      </c>
      <c r="L21" s="37" t="s">
        <v>5</v>
      </c>
      <c r="M21" s="37" t="s">
        <v>112</v>
      </c>
      <c r="N21" s="37">
        <v>0</v>
      </c>
      <c r="O21" s="37">
        <v>5</v>
      </c>
      <c r="P21" s="37">
        <v>5</v>
      </c>
      <c r="Q21" s="37">
        <v>0</v>
      </c>
      <c r="R21" s="37" t="s">
        <v>116</v>
      </c>
      <c r="T21" s="37" t="s">
        <v>137</v>
      </c>
      <c r="U21" s="37" t="s">
        <v>138</v>
      </c>
    </row>
    <row r="22" spans="1:21" x14ac:dyDescent="0.25">
      <c r="A22" s="39">
        <v>2015</v>
      </c>
      <c r="B22" s="37" t="s">
        <v>153</v>
      </c>
      <c r="C22" s="37">
        <v>18262</v>
      </c>
      <c r="D22" s="37">
        <v>35</v>
      </c>
      <c r="E22" s="38">
        <v>42247</v>
      </c>
      <c r="F22" s="37" t="s">
        <v>108</v>
      </c>
      <c r="G22" s="37" t="s">
        <v>47</v>
      </c>
      <c r="H22" s="37" t="s">
        <v>154</v>
      </c>
      <c r="I22" s="37" t="s">
        <v>61</v>
      </c>
      <c r="J22" s="37" t="s">
        <v>110</v>
      </c>
      <c r="K22" s="37" t="s">
        <v>111</v>
      </c>
      <c r="L22" s="37" t="s">
        <v>6</v>
      </c>
      <c r="M22" s="37" t="s">
        <v>112</v>
      </c>
      <c r="N22" s="37">
        <v>0</v>
      </c>
      <c r="O22" s="37">
        <v>3</v>
      </c>
      <c r="P22" s="37">
        <v>3</v>
      </c>
      <c r="Q22" s="37">
        <v>0</v>
      </c>
      <c r="R22" s="37" t="s">
        <v>116</v>
      </c>
      <c r="T22" s="37" t="s">
        <v>132</v>
      </c>
      <c r="U22" s="37" t="s">
        <v>133</v>
      </c>
    </row>
    <row r="23" spans="1:21" s="99" customFormat="1" x14ac:dyDescent="0.25">
      <c r="A23" s="98">
        <v>2015</v>
      </c>
      <c r="B23" s="99" t="s">
        <v>155</v>
      </c>
      <c r="C23" s="99">
        <v>18263</v>
      </c>
      <c r="D23" s="99">
        <v>35</v>
      </c>
      <c r="E23" s="100">
        <v>42247</v>
      </c>
      <c r="F23" s="99" t="s">
        <v>108</v>
      </c>
      <c r="G23" s="99" t="s">
        <v>47</v>
      </c>
      <c r="H23" s="99" t="s">
        <v>156</v>
      </c>
      <c r="I23" s="99" t="s">
        <v>61</v>
      </c>
      <c r="J23" s="99" t="s">
        <v>110</v>
      </c>
      <c r="K23" s="99" t="s">
        <v>111</v>
      </c>
      <c r="L23" s="99" t="s">
        <v>6</v>
      </c>
      <c r="M23" s="99" t="s">
        <v>112</v>
      </c>
      <c r="N23" s="99">
        <v>0</v>
      </c>
      <c r="O23" s="99">
        <v>7</v>
      </c>
      <c r="P23" s="99">
        <v>7</v>
      </c>
      <c r="Q23" s="99">
        <v>1</v>
      </c>
      <c r="R23" s="99" t="s">
        <v>113</v>
      </c>
      <c r="T23" s="99" t="s">
        <v>132</v>
      </c>
      <c r="U23" s="99" t="s">
        <v>133</v>
      </c>
    </row>
    <row r="24" spans="1:21" s="99" customFormat="1" x14ac:dyDescent="0.25">
      <c r="A24" s="98">
        <v>2015</v>
      </c>
      <c r="B24" s="99" t="s">
        <v>157</v>
      </c>
      <c r="C24" s="99">
        <v>18264</v>
      </c>
      <c r="D24" s="99">
        <v>35</v>
      </c>
      <c r="E24" s="100">
        <v>42247</v>
      </c>
      <c r="F24" s="99" t="s">
        <v>108</v>
      </c>
      <c r="G24" s="99" t="s">
        <v>47</v>
      </c>
      <c r="H24" s="99" t="s">
        <v>156</v>
      </c>
      <c r="I24" s="99" t="s">
        <v>61</v>
      </c>
      <c r="J24" s="99" t="s">
        <v>110</v>
      </c>
      <c r="K24" s="99" t="s">
        <v>111</v>
      </c>
      <c r="L24" s="99" t="s">
        <v>5</v>
      </c>
      <c r="M24" s="99" t="s">
        <v>112</v>
      </c>
      <c r="N24" s="99">
        <v>0</v>
      </c>
      <c r="O24" s="99">
        <v>12</v>
      </c>
      <c r="P24" s="99">
        <v>12</v>
      </c>
      <c r="Q24" s="99">
        <v>1</v>
      </c>
      <c r="R24" s="99" t="s">
        <v>113</v>
      </c>
      <c r="T24" s="99" t="s">
        <v>137</v>
      </c>
      <c r="U24" s="99" t="s">
        <v>138</v>
      </c>
    </row>
    <row r="25" spans="1:21" s="99" customFormat="1" x14ac:dyDescent="0.25">
      <c r="A25" s="98">
        <v>2015</v>
      </c>
      <c r="B25" s="99" t="s">
        <v>158</v>
      </c>
      <c r="C25" s="99">
        <v>18265</v>
      </c>
      <c r="D25" s="99">
        <v>35</v>
      </c>
      <c r="E25" s="100">
        <v>42247</v>
      </c>
      <c r="F25" s="99" t="s">
        <v>108</v>
      </c>
      <c r="G25" s="99" t="s">
        <v>47</v>
      </c>
      <c r="H25" s="99" t="s">
        <v>159</v>
      </c>
      <c r="I25" s="99" t="s">
        <v>61</v>
      </c>
      <c r="J25" s="99" t="s">
        <v>160</v>
      </c>
      <c r="K25" s="99" t="s">
        <v>111</v>
      </c>
      <c r="L25" s="99" t="s">
        <v>5</v>
      </c>
      <c r="M25" s="99" t="s">
        <v>112</v>
      </c>
      <c r="N25" s="99">
        <v>50</v>
      </c>
      <c r="O25" s="99">
        <v>0</v>
      </c>
      <c r="P25" s="99">
        <v>50</v>
      </c>
      <c r="Q25" s="99">
        <v>1</v>
      </c>
      <c r="R25" s="99" t="s">
        <v>113</v>
      </c>
      <c r="T25" s="99" t="s">
        <v>137</v>
      </c>
      <c r="U25" s="99" t="s">
        <v>138</v>
      </c>
    </row>
    <row r="26" spans="1:21" s="99" customFormat="1" x14ac:dyDescent="0.25">
      <c r="A26" s="98">
        <v>2015</v>
      </c>
      <c r="B26" s="99" t="s">
        <v>161</v>
      </c>
      <c r="C26" s="99">
        <v>18266</v>
      </c>
      <c r="D26" s="99">
        <v>35</v>
      </c>
      <c r="E26" s="100">
        <v>42247</v>
      </c>
      <c r="F26" s="99" t="s">
        <v>108</v>
      </c>
      <c r="G26" s="99" t="s">
        <v>47</v>
      </c>
      <c r="H26" s="99" t="s">
        <v>159</v>
      </c>
      <c r="I26" s="99" t="s">
        <v>61</v>
      </c>
      <c r="J26" s="99" t="s">
        <v>160</v>
      </c>
      <c r="K26" s="99" t="s">
        <v>111</v>
      </c>
      <c r="L26" s="99" t="s">
        <v>5</v>
      </c>
      <c r="M26" s="99" t="s">
        <v>112</v>
      </c>
      <c r="N26" s="99">
        <v>50</v>
      </c>
      <c r="O26" s="99">
        <v>0</v>
      </c>
      <c r="P26" s="99">
        <v>50</v>
      </c>
      <c r="Q26" s="99">
        <v>1</v>
      </c>
      <c r="R26" s="99" t="s">
        <v>113</v>
      </c>
      <c r="T26" s="99" t="s">
        <v>137</v>
      </c>
      <c r="U26" s="99" t="s">
        <v>138</v>
      </c>
    </row>
    <row r="27" spans="1:21" x14ac:dyDescent="0.25">
      <c r="A27" s="39">
        <v>2015</v>
      </c>
      <c r="B27" s="37" t="s">
        <v>162</v>
      </c>
      <c r="C27" s="37">
        <v>18267</v>
      </c>
      <c r="D27" s="37">
        <v>35</v>
      </c>
      <c r="E27" s="38">
        <v>42247</v>
      </c>
      <c r="F27" s="37" t="s">
        <v>108</v>
      </c>
      <c r="G27" s="37" t="s">
        <v>47</v>
      </c>
      <c r="H27" s="37" t="s">
        <v>159</v>
      </c>
      <c r="I27" s="37" t="s">
        <v>61</v>
      </c>
      <c r="J27" s="37" t="s">
        <v>160</v>
      </c>
      <c r="K27" s="37" t="s">
        <v>111</v>
      </c>
      <c r="L27" s="37" t="s">
        <v>5</v>
      </c>
      <c r="M27" s="37" t="s">
        <v>112</v>
      </c>
      <c r="N27" s="37">
        <v>3</v>
      </c>
      <c r="O27" s="37">
        <v>0</v>
      </c>
      <c r="P27" s="37">
        <v>3</v>
      </c>
      <c r="Q27" s="37">
        <v>0</v>
      </c>
      <c r="R27" s="37" t="s">
        <v>116</v>
      </c>
      <c r="T27" s="37" t="s">
        <v>137</v>
      </c>
      <c r="U27" s="37" t="s">
        <v>138</v>
      </c>
    </row>
    <row r="28" spans="1:21" x14ac:dyDescent="0.25">
      <c r="A28" s="39">
        <v>2015</v>
      </c>
      <c r="B28" s="37" t="s">
        <v>163</v>
      </c>
      <c r="C28" s="37">
        <v>18268</v>
      </c>
      <c r="D28" s="37">
        <v>35</v>
      </c>
      <c r="E28" s="38">
        <v>42247</v>
      </c>
      <c r="F28" s="37" t="s">
        <v>108</v>
      </c>
      <c r="G28" s="37" t="s">
        <v>47</v>
      </c>
      <c r="H28" s="37" t="s">
        <v>164</v>
      </c>
      <c r="I28" s="37" t="s">
        <v>60</v>
      </c>
      <c r="J28" s="37" t="s">
        <v>110</v>
      </c>
      <c r="K28" s="37" t="s">
        <v>111</v>
      </c>
      <c r="L28" s="37" t="s">
        <v>6</v>
      </c>
      <c r="M28" s="37" t="s">
        <v>112</v>
      </c>
      <c r="N28" s="37">
        <v>0</v>
      </c>
      <c r="O28" s="37">
        <v>10</v>
      </c>
      <c r="P28" s="37">
        <v>10</v>
      </c>
      <c r="Q28" s="37">
        <v>0</v>
      </c>
      <c r="R28" s="37" t="s">
        <v>116</v>
      </c>
      <c r="T28" s="37" t="s">
        <v>132</v>
      </c>
      <c r="U28" s="37" t="s">
        <v>165</v>
      </c>
    </row>
    <row r="29" spans="1:21" x14ac:dyDescent="0.25">
      <c r="A29" s="39">
        <v>2015</v>
      </c>
      <c r="B29" s="37" t="s">
        <v>166</v>
      </c>
      <c r="C29" s="37">
        <v>18269</v>
      </c>
      <c r="D29" s="37">
        <v>35</v>
      </c>
      <c r="E29" s="38">
        <v>42247</v>
      </c>
      <c r="F29" s="37" t="s">
        <v>108</v>
      </c>
      <c r="G29" s="37" t="s">
        <v>47</v>
      </c>
      <c r="H29" s="37" t="s">
        <v>164</v>
      </c>
      <c r="I29" s="37" t="s">
        <v>60</v>
      </c>
      <c r="J29" s="37" t="s">
        <v>110</v>
      </c>
      <c r="K29" s="37" t="s">
        <v>111</v>
      </c>
      <c r="L29" s="37" t="s">
        <v>5</v>
      </c>
      <c r="M29" s="37" t="s">
        <v>112</v>
      </c>
      <c r="N29" s="37">
        <v>0</v>
      </c>
      <c r="O29" s="37">
        <v>2</v>
      </c>
      <c r="P29" s="37">
        <v>2</v>
      </c>
      <c r="Q29" s="37">
        <v>0</v>
      </c>
      <c r="R29" s="37" t="s">
        <v>116</v>
      </c>
      <c r="T29" s="37" t="s">
        <v>137</v>
      </c>
      <c r="U29" s="37" t="s">
        <v>167</v>
      </c>
    </row>
    <row r="30" spans="1:21" x14ac:dyDescent="0.25">
      <c r="A30" s="39">
        <v>2015</v>
      </c>
      <c r="B30" s="37" t="s">
        <v>168</v>
      </c>
      <c r="C30" s="37">
        <v>18270</v>
      </c>
      <c r="D30" s="37">
        <v>35</v>
      </c>
      <c r="E30" s="38">
        <v>42247</v>
      </c>
      <c r="F30" s="37" t="s">
        <v>108</v>
      </c>
      <c r="G30" s="37" t="s">
        <v>47</v>
      </c>
      <c r="H30" s="37" t="s">
        <v>169</v>
      </c>
      <c r="I30" s="37" t="s">
        <v>61</v>
      </c>
      <c r="J30" s="37" t="s">
        <v>110</v>
      </c>
      <c r="K30" s="37" t="s">
        <v>111</v>
      </c>
      <c r="L30" s="37" t="s">
        <v>6</v>
      </c>
      <c r="M30" s="37" t="s">
        <v>112</v>
      </c>
      <c r="N30" s="37">
        <v>0</v>
      </c>
      <c r="O30" s="37">
        <v>12</v>
      </c>
      <c r="P30" s="37">
        <v>12</v>
      </c>
      <c r="Q30" s="37">
        <v>0</v>
      </c>
      <c r="R30" s="37" t="s">
        <v>116</v>
      </c>
      <c r="T30" s="37" t="s">
        <v>132</v>
      </c>
      <c r="U30" s="37" t="s">
        <v>133</v>
      </c>
    </row>
    <row r="31" spans="1:21" x14ac:dyDescent="0.25">
      <c r="A31" s="39">
        <v>2015</v>
      </c>
      <c r="B31" s="37" t="s">
        <v>170</v>
      </c>
      <c r="C31" s="37">
        <v>18271</v>
      </c>
      <c r="D31" s="37">
        <v>35</v>
      </c>
      <c r="E31" s="38">
        <v>42247</v>
      </c>
      <c r="F31" s="37" t="s">
        <v>108</v>
      </c>
      <c r="G31" s="37" t="s">
        <v>47</v>
      </c>
      <c r="H31" s="37" t="s">
        <v>169</v>
      </c>
      <c r="I31" s="37" t="s">
        <v>61</v>
      </c>
      <c r="J31" s="37" t="s">
        <v>110</v>
      </c>
      <c r="K31" s="37" t="s">
        <v>111</v>
      </c>
      <c r="L31" s="37" t="s">
        <v>5</v>
      </c>
      <c r="M31" s="37" t="s">
        <v>112</v>
      </c>
      <c r="N31" s="37">
        <v>0</v>
      </c>
      <c r="O31" s="37">
        <v>12</v>
      </c>
      <c r="P31" s="37">
        <v>12</v>
      </c>
      <c r="Q31" s="37">
        <v>0</v>
      </c>
      <c r="R31" s="37" t="s">
        <v>116</v>
      </c>
      <c r="T31" s="37" t="s">
        <v>137</v>
      </c>
      <c r="U31" s="37" t="s">
        <v>138</v>
      </c>
    </row>
    <row r="32" spans="1:21" s="99" customFormat="1" x14ac:dyDescent="0.25">
      <c r="A32" s="98">
        <v>2015</v>
      </c>
      <c r="B32" s="99" t="s">
        <v>171</v>
      </c>
      <c r="C32" s="99">
        <v>18272</v>
      </c>
      <c r="D32" s="99">
        <v>35</v>
      </c>
      <c r="E32" s="100">
        <v>42247</v>
      </c>
      <c r="F32" s="99" t="s">
        <v>108</v>
      </c>
      <c r="G32" s="99" t="s">
        <v>47</v>
      </c>
      <c r="H32" s="99" t="s">
        <v>172</v>
      </c>
      <c r="I32" s="99" t="s">
        <v>61</v>
      </c>
      <c r="J32" s="99" t="s">
        <v>160</v>
      </c>
      <c r="K32" s="99" t="s">
        <v>111</v>
      </c>
      <c r="L32" s="99" t="s">
        <v>5</v>
      </c>
      <c r="M32" s="99" t="s">
        <v>112</v>
      </c>
      <c r="N32" s="99">
        <v>50</v>
      </c>
      <c r="O32" s="99">
        <v>0</v>
      </c>
      <c r="P32" s="99">
        <v>50</v>
      </c>
      <c r="Q32" s="99">
        <v>1</v>
      </c>
      <c r="R32" s="99" t="s">
        <v>113</v>
      </c>
      <c r="T32" s="99" t="s">
        <v>137</v>
      </c>
      <c r="U32" s="99" t="s">
        <v>138</v>
      </c>
    </row>
    <row r="33" spans="1:21" s="99" customFormat="1" x14ac:dyDescent="0.25">
      <c r="A33" s="98">
        <v>2015</v>
      </c>
      <c r="B33" s="99" t="s">
        <v>173</v>
      </c>
      <c r="C33" s="99">
        <v>18273</v>
      </c>
      <c r="D33" s="99">
        <v>35</v>
      </c>
      <c r="E33" s="100">
        <v>42247</v>
      </c>
      <c r="F33" s="99" t="s">
        <v>108</v>
      </c>
      <c r="G33" s="99" t="s">
        <v>47</v>
      </c>
      <c r="H33" s="99" t="s">
        <v>172</v>
      </c>
      <c r="I33" s="99" t="s">
        <v>61</v>
      </c>
      <c r="J33" s="99" t="s">
        <v>160</v>
      </c>
      <c r="K33" s="99" t="s">
        <v>111</v>
      </c>
      <c r="L33" s="99" t="s">
        <v>5</v>
      </c>
      <c r="M33" s="99" t="s">
        <v>112</v>
      </c>
      <c r="N33" s="99">
        <v>50</v>
      </c>
      <c r="O33" s="99">
        <v>0</v>
      </c>
      <c r="P33" s="99">
        <v>50</v>
      </c>
      <c r="Q33" s="99">
        <v>1</v>
      </c>
      <c r="R33" s="99" t="s">
        <v>113</v>
      </c>
      <c r="T33" s="99" t="s">
        <v>137</v>
      </c>
      <c r="U33" s="99" t="s">
        <v>138</v>
      </c>
    </row>
    <row r="34" spans="1:21" s="99" customFormat="1" x14ac:dyDescent="0.25">
      <c r="A34" s="98">
        <v>2015</v>
      </c>
      <c r="B34" s="99" t="s">
        <v>174</v>
      </c>
      <c r="C34" s="99">
        <v>18274</v>
      </c>
      <c r="D34" s="99">
        <v>35</v>
      </c>
      <c r="E34" s="100">
        <v>42247</v>
      </c>
      <c r="F34" s="99" t="s">
        <v>108</v>
      </c>
      <c r="G34" s="99" t="s">
        <v>47</v>
      </c>
      <c r="H34" s="99" t="s">
        <v>172</v>
      </c>
      <c r="I34" s="99" t="s">
        <v>61</v>
      </c>
      <c r="J34" s="99" t="s">
        <v>160</v>
      </c>
      <c r="K34" s="99" t="s">
        <v>111</v>
      </c>
      <c r="L34" s="99" t="s">
        <v>5</v>
      </c>
      <c r="M34" s="99" t="s">
        <v>112</v>
      </c>
      <c r="N34" s="99">
        <v>15</v>
      </c>
      <c r="O34" s="99">
        <v>0</v>
      </c>
      <c r="P34" s="99">
        <v>15</v>
      </c>
      <c r="Q34" s="99">
        <v>1</v>
      </c>
      <c r="R34" s="99" t="s">
        <v>113</v>
      </c>
      <c r="T34" s="99" t="s">
        <v>137</v>
      </c>
      <c r="U34" s="99" t="s">
        <v>138</v>
      </c>
    </row>
    <row r="35" spans="1:21" x14ac:dyDescent="0.25">
      <c r="A35" s="39">
        <v>2015</v>
      </c>
      <c r="B35" s="37" t="s">
        <v>175</v>
      </c>
      <c r="C35" s="37">
        <v>18275</v>
      </c>
      <c r="D35" s="37">
        <v>35</v>
      </c>
      <c r="E35" s="38">
        <v>42247</v>
      </c>
      <c r="F35" s="37" t="s">
        <v>108</v>
      </c>
      <c r="G35" s="37" t="s">
        <v>47</v>
      </c>
      <c r="H35" s="37" t="s">
        <v>176</v>
      </c>
      <c r="I35" s="37" t="s">
        <v>61</v>
      </c>
      <c r="J35" s="37" t="s">
        <v>110</v>
      </c>
      <c r="K35" s="37" t="s">
        <v>111</v>
      </c>
      <c r="L35" s="37" t="s">
        <v>6</v>
      </c>
      <c r="M35" s="37" t="s">
        <v>112</v>
      </c>
      <c r="N35" s="37">
        <v>0</v>
      </c>
      <c r="O35" s="37">
        <v>13</v>
      </c>
      <c r="P35" s="37">
        <v>13</v>
      </c>
      <c r="Q35" s="37">
        <v>0</v>
      </c>
      <c r="R35" s="37" t="s">
        <v>116</v>
      </c>
      <c r="T35" s="37" t="s">
        <v>132</v>
      </c>
      <c r="U35" s="37" t="s">
        <v>133</v>
      </c>
    </row>
    <row r="36" spans="1:21" x14ac:dyDescent="0.25">
      <c r="A36" s="39">
        <v>2015</v>
      </c>
      <c r="B36" s="37" t="s">
        <v>177</v>
      </c>
      <c r="C36" s="37">
        <v>18276</v>
      </c>
      <c r="D36" s="37">
        <v>35</v>
      </c>
      <c r="E36" s="38">
        <v>42247</v>
      </c>
      <c r="F36" s="37" t="s">
        <v>108</v>
      </c>
      <c r="G36" s="37" t="s">
        <v>47</v>
      </c>
      <c r="H36" s="37" t="s">
        <v>176</v>
      </c>
      <c r="I36" s="37" t="s">
        <v>61</v>
      </c>
      <c r="J36" s="37" t="s">
        <v>110</v>
      </c>
      <c r="K36" s="37" t="s">
        <v>111</v>
      </c>
      <c r="L36" s="37" t="s">
        <v>5</v>
      </c>
      <c r="M36" s="37" t="s">
        <v>112</v>
      </c>
      <c r="N36" s="37">
        <v>0</v>
      </c>
      <c r="O36" s="37">
        <v>4</v>
      </c>
      <c r="P36" s="37">
        <v>4</v>
      </c>
      <c r="Q36" s="37">
        <v>0</v>
      </c>
      <c r="R36" s="37" t="s">
        <v>116</v>
      </c>
      <c r="T36" s="37" t="s">
        <v>137</v>
      </c>
      <c r="U36" s="37" t="s">
        <v>138</v>
      </c>
    </row>
    <row r="37" spans="1:21" x14ac:dyDescent="0.25">
      <c r="A37" s="39">
        <v>2015</v>
      </c>
      <c r="B37" s="37" t="s">
        <v>178</v>
      </c>
      <c r="C37" s="37">
        <v>18277</v>
      </c>
      <c r="D37" s="37">
        <v>35</v>
      </c>
      <c r="E37" s="38">
        <v>42247</v>
      </c>
      <c r="F37" s="37" t="s">
        <v>108</v>
      </c>
      <c r="G37" s="37" t="s">
        <v>47</v>
      </c>
      <c r="H37" s="37" t="s">
        <v>179</v>
      </c>
      <c r="I37" s="37" t="s">
        <v>61</v>
      </c>
      <c r="J37" s="37" t="s">
        <v>160</v>
      </c>
      <c r="K37" s="37" t="s">
        <v>111</v>
      </c>
      <c r="L37" s="37" t="s">
        <v>5</v>
      </c>
      <c r="M37" s="37" t="s">
        <v>112</v>
      </c>
      <c r="N37" s="37">
        <v>8</v>
      </c>
      <c r="O37" s="37">
        <v>0</v>
      </c>
      <c r="P37" s="37">
        <v>8</v>
      </c>
      <c r="Q37" s="37">
        <v>0</v>
      </c>
      <c r="R37" s="37" t="s">
        <v>116</v>
      </c>
      <c r="T37" s="37" t="s">
        <v>137</v>
      </c>
      <c r="U37" s="37" t="s">
        <v>138</v>
      </c>
    </row>
    <row r="38" spans="1:21" x14ac:dyDescent="0.25">
      <c r="A38" s="39">
        <v>2015</v>
      </c>
      <c r="B38" s="37" t="s">
        <v>180</v>
      </c>
      <c r="C38" s="37">
        <v>18278</v>
      </c>
      <c r="D38" s="37">
        <v>35</v>
      </c>
      <c r="E38" s="38">
        <v>42247</v>
      </c>
      <c r="F38" s="37" t="s">
        <v>108</v>
      </c>
      <c r="G38" s="37" t="s">
        <v>47</v>
      </c>
      <c r="H38" s="37" t="s">
        <v>181</v>
      </c>
      <c r="I38" s="37" t="s">
        <v>61</v>
      </c>
      <c r="J38" s="37" t="s">
        <v>110</v>
      </c>
      <c r="K38" s="37" t="s">
        <v>111</v>
      </c>
      <c r="L38" s="37" t="s">
        <v>6</v>
      </c>
      <c r="M38" s="37" t="s">
        <v>112</v>
      </c>
      <c r="N38" s="37">
        <v>0</v>
      </c>
      <c r="O38" s="37">
        <v>10</v>
      </c>
      <c r="P38" s="37">
        <v>10</v>
      </c>
      <c r="Q38" s="37">
        <v>0</v>
      </c>
      <c r="R38" s="37" t="s">
        <v>116</v>
      </c>
      <c r="T38" s="37" t="s">
        <v>132</v>
      </c>
      <c r="U38" s="37" t="s">
        <v>133</v>
      </c>
    </row>
    <row r="39" spans="1:21" x14ac:dyDescent="0.25">
      <c r="A39" s="39">
        <v>2015</v>
      </c>
      <c r="B39" s="37" t="s">
        <v>182</v>
      </c>
      <c r="C39" s="37">
        <v>18279</v>
      </c>
      <c r="D39" s="37">
        <v>35</v>
      </c>
      <c r="E39" s="38">
        <v>42247</v>
      </c>
      <c r="F39" s="37" t="s">
        <v>108</v>
      </c>
      <c r="G39" s="37" t="s">
        <v>47</v>
      </c>
      <c r="H39" s="37" t="s">
        <v>181</v>
      </c>
      <c r="I39" s="37" t="s">
        <v>61</v>
      </c>
      <c r="J39" s="37" t="s">
        <v>110</v>
      </c>
      <c r="K39" s="37" t="s">
        <v>111</v>
      </c>
      <c r="L39" s="37" t="s">
        <v>5</v>
      </c>
      <c r="M39" s="37" t="s">
        <v>112</v>
      </c>
      <c r="N39" s="37">
        <v>0</v>
      </c>
      <c r="O39" s="37">
        <v>9</v>
      </c>
      <c r="P39" s="37">
        <v>9</v>
      </c>
      <c r="Q39" s="37">
        <v>0</v>
      </c>
      <c r="R39" s="37" t="s">
        <v>116</v>
      </c>
      <c r="T39" s="37" t="s">
        <v>137</v>
      </c>
      <c r="U39" s="37" t="s">
        <v>138</v>
      </c>
    </row>
    <row r="40" spans="1:21" x14ac:dyDescent="0.25">
      <c r="A40" s="39">
        <v>2015</v>
      </c>
      <c r="B40" s="37" t="s">
        <v>183</v>
      </c>
      <c r="C40" s="37">
        <v>18280</v>
      </c>
      <c r="D40" s="37">
        <v>35</v>
      </c>
      <c r="E40" s="38">
        <v>42247</v>
      </c>
      <c r="F40" s="37" t="s">
        <v>108</v>
      </c>
      <c r="G40" s="37" t="s">
        <v>47</v>
      </c>
      <c r="H40" s="37" t="s">
        <v>184</v>
      </c>
      <c r="I40" s="37" t="s">
        <v>61</v>
      </c>
      <c r="J40" s="37" t="s">
        <v>160</v>
      </c>
      <c r="K40" s="37" t="s">
        <v>111</v>
      </c>
      <c r="L40" s="37" t="s">
        <v>5</v>
      </c>
      <c r="M40" s="37" t="s">
        <v>112</v>
      </c>
      <c r="N40" s="37">
        <v>31</v>
      </c>
      <c r="O40" s="37">
        <v>0</v>
      </c>
      <c r="P40" s="37">
        <v>31</v>
      </c>
      <c r="Q40" s="37">
        <v>0</v>
      </c>
      <c r="R40" s="37" t="s">
        <v>116</v>
      </c>
      <c r="T40" s="37" t="s">
        <v>137</v>
      </c>
      <c r="U40" s="37" t="s">
        <v>138</v>
      </c>
    </row>
    <row r="41" spans="1:21" x14ac:dyDescent="0.25">
      <c r="A41" s="39">
        <v>2015</v>
      </c>
      <c r="B41" s="37" t="s">
        <v>185</v>
      </c>
      <c r="C41" s="37">
        <v>18281</v>
      </c>
      <c r="D41" s="37">
        <v>35</v>
      </c>
      <c r="E41" s="38">
        <v>42247</v>
      </c>
      <c r="F41" s="37" t="s">
        <v>108</v>
      </c>
      <c r="G41" s="37" t="s">
        <v>47</v>
      </c>
      <c r="H41" s="37" t="s">
        <v>186</v>
      </c>
      <c r="I41" s="37" t="s">
        <v>61</v>
      </c>
      <c r="J41" s="37" t="s">
        <v>110</v>
      </c>
      <c r="K41" s="37" t="s">
        <v>111</v>
      </c>
      <c r="L41" s="37" t="s">
        <v>6</v>
      </c>
      <c r="M41" s="37" t="s">
        <v>112</v>
      </c>
      <c r="N41" s="37">
        <v>0</v>
      </c>
      <c r="O41" s="37">
        <v>18</v>
      </c>
      <c r="P41" s="37">
        <v>18</v>
      </c>
      <c r="Q41" s="37">
        <v>0</v>
      </c>
      <c r="R41" s="37" t="s">
        <v>116</v>
      </c>
      <c r="T41" s="37" t="s">
        <v>132</v>
      </c>
      <c r="U41" s="37" t="s">
        <v>133</v>
      </c>
    </row>
    <row r="42" spans="1:21" x14ac:dyDescent="0.25">
      <c r="A42" s="39">
        <v>2015</v>
      </c>
      <c r="B42" s="37" t="s">
        <v>187</v>
      </c>
      <c r="C42" s="37">
        <v>18282</v>
      </c>
      <c r="D42" s="37">
        <v>35</v>
      </c>
      <c r="E42" s="38">
        <v>42247</v>
      </c>
      <c r="F42" s="37" t="s">
        <v>108</v>
      </c>
      <c r="G42" s="37" t="s">
        <v>47</v>
      </c>
      <c r="H42" s="37" t="s">
        <v>186</v>
      </c>
      <c r="I42" s="37" t="s">
        <v>61</v>
      </c>
      <c r="J42" s="37" t="s">
        <v>110</v>
      </c>
      <c r="K42" s="37" t="s">
        <v>111</v>
      </c>
      <c r="L42" s="37" t="s">
        <v>5</v>
      </c>
      <c r="M42" s="37" t="s">
        <v>112</v>
      </c>
      <c r="N42" s="37">
        <v>0</v>
      </c>
      <c r="O42" s="37">
        <v>50</v>
      </c>
      <c r="P42" s="37">
        <v>50</v>
      </c>
      <c r="Q42" s="37">
        <v>0</v>
      </c>
      <c r="R42" s="37" t="s">
        <v>116</v>
      </c>
      <c r="T42" s="37" t="s">
        <v>137</v>
      </c>
      <c r="U42" s="37" t="s">
        <v>138</v>
      </c>
    </row>
    <row r="43" spans="1:21" x14ac:dyDescent="0.25">
      <c r="A43" s="39">
        <v>2015</v>
      </c>
      <c r="B43" s="37" t="s">
        <v>188</v>
      </c>
      <c r="C43" s="37">
        <v>18283</v>
      </c>
      <c r="D43" s="37">
        <v>35</v>
      </c>
      <c r="E43" s="38">
        <v>42247</v>
      </c>
      <c r="F43" s="37" t="s">
        <v>108</v>
      </c>
      <c r="G43" s="37" t="s">
        <v>47</v>
      </c>
      <c r="H43" s="37" t="s">
        <v>186</v>
      </c>
      <c r="I43" s="37" t="s">
        <v>61</v>
      </c>
      <c r="J43" s="37" t="s">
        <v>110</v>
      </c>
      <c r="K43" s="37" t="s">
        <v>111</v>
      </c>
      <c r="L43" s="37" t="s">
        <v>5</v>
      </c>
      <c r="M43" s="37" t="s">
        <v>112</v>
      </c>
      <c r="N43" s="37">
        <v>0</v>
      </c>
      <c r="O43" s="37">
        <v>20</v>
      </c>
      <c r="P43" s="37">
        <v>20</v>
      </c>
      <c r="Q43" s="37">
        <v>0</v>
      </c>
      <c r="R43" s="37" t="s">
        <v>116</v>
      </c>
      <c r="T43" s="37" t="s">
        <v>137</v>
      </c>
      <c r="U43" s="37" t="s">
        <v>138</v>
      </c>
    </row>
    <row r="44" spans="1:21" x14ac:dyDescent="0.25">
      <c r="A44" s="39">
        <v>2015</v>
      </c>
      <c r="B44" s="37" t="s">
        <v>189</v>
      </c>
      <c r="C44" s="37">
        <v>18284</v>
      </c>
      <c r="D44" s="37">
        <v>35</v>
      </c>
      <c r="E44" s="38">
        <v>42248</v>
      </c>
      <c r="F44" s="37" t="s">
        <v>108</v>
      </c>
      <c r="G44" s="37" t="s">
        <v>47</v>
      </c>
      <c r="H44" s="37" t="s">
        <v>190</v>
      </c>
      <c r="I44" s="37" t="s">
        <v>62</v>
      </c>
      <c r="J44" s="37" t="s">
        <v>110</v>
      </c>
      <c r="K44" s="37" t="s">
        <v>111</v>
      </c>
      <c r="L44" s="37" t="s">
        <v>6</v>
      </c>
      <c r="M44" s="37" t="s">
        <v>112</v>
      </c>
      <c r="N44" s="37">
        <v>0</v>
      </c>
      <c r="O44" s="37">
        <v>5</v>
      </c>
      <c r="P44" s="37">
        <v>5</v>
      </c>
      <c r="Q44" s="37">
        <v>0</v>
      </c>
      <c r="R44" s="37" t="s">
        <v>116</v>
      </c>
      <c r="T44" s="37" t="s">
        <v>132</v>
      </c>
      <c r="U44" s="37" t="s">
        <v>141</v>
      </c>
    </row>
    <row r="45" spans="1:21" x14ac:dyDescent="0.25">
      <c r="A45" s="39">
        <v>2015</v>
      </c>
      <c r="B45" s="37" t="s">
        <v>191</v>
      </c>
      <c r="C45" s="37">
        <v>18285</v>
      </c>
      <c r="D45" s="37">
        <v>35</v>
      </c>
      <c r="E45" s="38">
        <v>42248</v>
      </c>
      <c r="F45" s="37" t="s">
        <v>108</v>
      </c>
      <c r="G45" s="37" t="s">
        <v>47</v>
      </c>
      <c r="H45" s="37" t="s">
        <v>190</v>
      </c>
      <c r="I45" s="37" t="s">
        <v>62</v>
      </c>
      <c r="J45" s="37" t="s">
        <v>110</v>
      </c>
      <c r="K45" s="37" t="s">
        <v>111</v>
      </c>
      <c r="L45" s="37" t="s">
        <v>5</v>
      </c>
      <c r="M45" s="37" t="s">
        <v>112</v>
      </c>
      <c r="N45" s="37">
        <v>0</v>
      </c>
      <c r="O45" s="37">
        <v>3</v>
      </c>
      <c r="P45" s="37">
        <v>3</v>
      </c>
      <c r="Q45" s="37">
        <v>0</v>
      </c>
      <c r="R45" s="37" t="s">
        <v>116</v>
      </c>
      <c r="T45" s="37" t="s">
        <v>137</v>
      </c>
      <c r="U45" s="37" t="s">
        <v>143</v>
      </c>
    </row>
    <row r="46" spans="1:21" x14ac:dyDescent="0.25">
      <c r="A46" s="39">
        <v>2015</v>
      </c>
      <c r="B46" s="37" t="s">
        <v>192</v>
      </c>
      <c r="C46" s="37">
        <v>18286</v>
      </c>
      <c r="D46" s="37">
        <v>35</v>
      </c>
      <c r="E46" s="38">
        <v>42248</v>
      </c>
      <c r="F46" s="37" t="s">
        <v>108</v>
      </c>
      <c r="G46" s="37" t="s">
        <v>47</v>
      </c>
      <c r="H46" s="37" t="s">
        <v>193</v>
      </c>
      <c r="I46" s="37" t="s">
        <v>62</v>
      </c>
      <c r="J46" s="37" t="s">
        <v>110</v>
      </c>
      <c r="K46" s="37" t="s">
        <v>111</v>
      </c>
      <c r="L46" s="37" t="s">
        <v>6</v>
      </c>
      <c r="M46" s="37" t="s">
        <v>112</v>
      </c>
      <c r="N46" s="37">
        <v>0</v>
      </c>
      <c r="O46" s="37">
        <v>7</v>
      </c>
      <c r="P46" s="37">
        <v>7</v>
      </c>
      <c r="Q46" s="37">
        <v>0</v>
      </c>
      <c r="R46" s="37" t="s">
        <v>116</v>
      </c>
      <c r="T46" s="37" t="s">
        <v>132</v>
      </c>
      <c r="U46" s="37" t="s">
        <v>141</v>
      </c>
    </row>
    <row r="47" spans="1:21" x14ac:dyDescent="0.25">
      <c r="A47" s="39">
        <v>2015</v>
      </c>
      <c r="B47" s="37" t="s">
        <v>194</v>
      </c>
      <c r="C47" s="37">
        <v>18287</v>
      </c>
      <c r="D47" s="37">
        <v>35</v>
      </c>
      <c r="E47" s="38">
        <v>42248</v>
      </c>
      <c r="F47" s="37" t="s">
        <v>108</v>
      </c>
      <c r="G47" s="37" t="s">
        <v>47</v>
      </c>
      <c r="H47" s="37" t="s">
        <v>193</v>
      </c>
      <c r="I47" s="37" t="s">
        <v>62</v>
      </c>
      <c r="J47" s="37" t="s">
        <v>110</v>
      </c>
      <c r="K47" s="37" t="s">
        <v>111</v>
      </c>
      <c r="L47" s="37" t="s">
        <v>5</v>
      </c>
      <c r="M47" s="37" t="s">
        <v>112</v>
      </c>
      <c r="N47" s="37">
        <v>0</v>
      </c>
      <c r="O47" s="37">
        <v>2</v>
      </c>
      <c r="P47" s="37">
        <v>2</v>
      </c>
      <c r="Q47" s="37">
        <v>0</v>
      </c>
      <c r="R47" s="37" t="s">
        <v>116</v>
      </c>
      <c r="T47" s="37" t="s">
        <v>137</v>
      </c>
      <c r="U47" s="37" t="s">
        <v>143</v>
      </c>
    </row>
    <row r="48" spans="1:21" x14ac:dyDescent="0.25">
      <c r="A48" s="39">
        <v>2015</v>
      </c>
      <c r="B48" s="37" t="s">
        <v>195</v>
      </c>
      <c r="C48" s="37">
        <v>18288</v>
      </c>
      <c r="D48" s="37">
        <v>35</v>
      </c>
      <c r="E48" s="38">
        <v>42248</v>
      </c>
      <c r="F48" s="37" t="s">
        <v>108</v>
      </c>
      <c r="G48" s="37" t="s">
        <v>47</v>
      </c>
      <c r="H48" s="37" t="s">
        <v>196</v>
      </c>
      <c r="I48" s="37" t="s">
        <v>62</v>
      </c>
      <c r="J48" s="37" t="s">
        <v>110</v>
      </c>
      <c r="K48" s="37" t="s">
        <v>111</v>
      </c>
      <c r="L48" s="37" t="s">
        <v>6</v>
      </c>
      <c r="M48" s="37" t="s">
        <v>112</v>
      </c>
      <c r="N48" s="37">
        <v>0</v>
      </c>
      <c r="O48" s="37">
        <v>3</v>
      </c>
      <c r="P48" s="37">
        <v>3</v>
      </c>
      <c r="Q48" s="37">
        <v>0</v>
      </c>
      <c r="R48" s="37" t="s">
        <v>116</v>
      </c>
      <c r="T48" s="37" t="s">
        <v>132</v>
      </c>
      <c r="U48" s="37" t="s">
        <v>141</v>
      </c>
    </row>
    <row r="49" spans="1:21" x14ac:dyDescent="0.25">
      <c r="A49" s="39">
        <v>2015</v>
      </c>
      <c r="B49" s="37" t="s">
        <v>197</v>
      </c>
      <c r="C49" s="37">
        <v>18289</v>
      </c>
      <c r="D49" s="37">
        <v>35</v>
      </c>
      <c r="E49" s="38">
        <v>42248</v>
      </c>
      <c r="F49" s="37" t="s">
        <v>108</v>
      </c>
      <c r="G49" s="37" t="s">
        <v>47</v>
      </c>
      <c r="H49" s="37" t="s">
        <v>196</v>
      </c>
      <c r="I49" s="37" t="s">
        <v>62</v>
      </c>
      <c r="J49" s="37" t="s">
        <v>110</v>
      </c>
      <c r="K49" s="37" t="s">
        <v>111</v>
      </c>
      <c r="L49" s="37" t="s">
        <v>5</v>
      </c>
      <c r="M49" s="37" t="s">
        <v>112</v>
      </c>
      <c r="N49" s="37">
        <v>0</v>
      </c>
      <c r="O49" s="37">
        <v>9</v>
      </c>
      <c r="P49" s="37">
        <v>9</v>
      </c>
      <c r="Q49" s="37">
        <v>0</v>
      </c>
      <c r="R49" s="37" t="s">
        <v>116</v>
      </c>
      <c r="T49" s="37" t="s">
        <v>137</v>
      </c>
      <c r="U49" s="37" t="s">
        <v>143</v>
      </c>
    </row>
    <row r="50" spans="1:21" s="99" customFormat="1" x14ac:dyDescent="0.25">
      <c r="A50" s="98">
        <v>2015</v>
      </c>
      <c r="B50" s="99" t="s">
        <v>198</v>
      </c>
      <c r="C50" s="99">
        <v>18290</v>
      </c>
      <c r="D50" s="99">
        <v>35</v>
      </c>
      <c r="E50" s="100">
        <v>42248</v>
      </c>
      <c r="F50" s="99" t="s">
        <v>108</v>
      </c>
      <c r="G50" s="99" t="s">
        <v>47</v>
      </c>
      <c r="H50" s="99" t="s">
        <v>199</v>
      </c>
      <c r="I50" s="99" t="s">
        <v>62</v>
      </c>
      <c r="J50" s="99" t="s">
        <v>160</v>
      </c>
      <c r="K50" s="99" t="s">
        <v>111</v>
      </c>
      <c r="L50" s="99" t="s">
        <v>5</v>
      </c>
      <c r="M50" s="99" t="s">
        <v>112</v>
      </c>
      <c r="N50" s="99">
        <v>50</v>
      </c>
      <c r="O50" s="99">
        <v>0</v>
      </c>
      <c r="P50" s="99">
        <v>50</v>
      </c>
      <c r="Q50" s="99">
        <v>1</v>
      </c>
      <c r="R50" s="99" t="s">
        <v>113</v>
      </c>
      <c r="T50" s="99" t="s">
        <v>137</v>
      </c>
      <c r="U50" s="99" t="s">
        <v>143</v>
      </c>
    </row>
    <row r="51" spans="1:21" x14ac:dyDescent="0.25">
      <c r="A51" s="39">
        <v>2015</v>
      </c>
      <c r="B51" s="37" t="s">
        <v>200</v>
      </c>
      <c r="C51" s="37">
        <v>18291</v>
      </c>
      <c r="D51" s="37">
        <v>35</v>
      </c>
      <c r="E51" s="38">
        <v>42248</v>
      </c>
      <c r="F51" s="37" t="s">
        <v>108</v>
      </c>
      <c r="G51" s="37" t="s">
        <v>47</v>
      </c>
      <c r="H51" s="37" t="s">
        <v>199</v>
      </c>
      <c r="I51" s="37" t="s">
        <v>62</v>
      </c>
      <c r="J51" s="37" t="s">
        <v>160</v>
      </c>
      <c r="K51" s="37" t="s">
        <v>111</v>
      </c>
      <c r="L51" s="37" t="s">
        <v>5</v>
      </c>
      <c r="M51" s="37" t="s">
        <v>112</v>
      </c>
      <c r="N51" s="37">
        <v>13</v>
      </c>
      <c r="O51" s="37">
        <v>0</v>
      </c>
      <c r="P51" s="37">
        <v>13</v>
      </c>
      <c r="Q51" s="37">
        <v>0</v>
      </c>
      <c r="R51" s="37" t="s">
        <v>116</v>
      </c>
      <c r="T51" s="37" t="s">
        <v>137</v>
      </c>
      <c r="U51" s="37" t="s">
        <v>143</v>
      </c>
    </row>
    <row r="52" spans="1:21" x14ac:dyDescent="0.25">
      <c r="A52" s="39">
        <v>2015</v>
      </c>
      <c r="B52" s="37" t="s">
        <v>201</v>
      </c>
      <c r="C52" s="37">
        <v>18292</v>
      </c>
      <c r="D52" s="37">
        <v>35</v>
      </c>
      <c r="E52" s="38">
        <v>42248</v>
      </c>
      <c r="F52" s="37" t="s">
        <v>108</v>
      </c>
      <c r="G52" s="37" t="s">
        <v>47</v>
      </c>
      <c r="H52" s="37" t="s">
        <v>202</v>
      </c>
      <c r="I52" s="37" t="s">
        <v>62</v>
      </c>
      <c r="J52" s="37" t="s">
        <v>110</v>
      </c>
      <c r="K52" s="37" t="s">
        <v>111</v>
      </c>
      <c r="L52" s="37" t="s">
        <v>6</v>
      </c>
      <c r="M52" s="37" t="s">
        <v>112</v>
      </c>
      <c r="N52" s="37">
        <v>0</v>
      </c>
      <c r="O52" s="37">
        <v>11</v>
      </c>
      <c r="P52" s="37">
        <v>11</v>
      </c>
      <c r="Q52" s="37">
        <v>0</v>
      </c>
      <c r="R52" s="37" t="s">
        <v>116</v>
      </c>
      <c r="T52" s="37" t="s">
        <v>132</v>
      </c>
      <c r="U52" s="37" t="s">
        <v>141</v>
      </c>
    </row>
    <row r="53" spans="1:21" x14ac:dyDescent="0.25">
      <c r="A53" s="39">
        <v>2015</v>
      </c>
      <c r="B53" s="37" t="s">
        <v>203</v>
      </c>
      <c r="C53" s="37">
        <v>18293</v>
      </c>
      <c r="D53" s="37">
        <v>35</v>
      </c>
      <c r="E53" s="38">
        <v>42248</v>
      </c>
      <c r="F53" s="37" t="s">
        <v>108</v>
      </c>
      <c r="G53" s="37" t="s">
        <v>47</v>
      </c>
      <c r="H53" s="37" t="s">
        <v>202</v>
      </c>
      <c r="I53" s="37" t="s">
        <v>62</v>
      </c>
      <c r="J53" s="37" t="s">
        <v>110</v>
      </c>
      <c r="K53" s="37" t="s">
        <v>111</v>
      </c>
      <c r="L53" s="37" t="s">
        <v>5</v>
      </c>
      <c r="M53" s="37" t="s">
        <v>112</v>
      </c>
      <c r="N53" s="37">
        <v>0</v>
      </c>
      <c r="O53" s="37">
        <v>4</v>
      </c>
      <c r="P53" s="37">
        <v>4</v>
      </c>
      <c r="Q53" s="37">
        <v>0</v>
      </c>
      <c r="R53" s="37" t="s">
        <v>116</v>
      </c>
      <c r="T53" s="37" t="s">
        <v>137</v>
      </c>
      <c r="U53" s="37" t="s">
        <v>143</v>
      </c>
    </row>
    <row r="54" spans="1:21" s="99" customFormat="1" x14ac:dyDescent="0.25">
      <c r="A54" s="98">
        <v>2015</v>
      </c>
      <c r="B54" s="99" t="s">
        <v>204</v>
      </c>
      <c r="C54" s="99">
        <v>18294</v>
      </c>
      <c r="D54" s="99">
        <v>35</v>
      </c>
      <c r="E54" s="100">
        <v>42248</v>
      </c>
      <c r="F54" s="99" t="s">
        <v>108</v>
      </c>
      <c r="G54" s="99" t="s">
        <v>47</v>
      </c>
      <c r="H54" s="99" t="s">
        <v>205</v>
      </c>
      <c r="I54" s="99" t="s">
        <v>62</v>
      </c>
      <c r="J54" s="99" t="s">
        <v>160</v>
      </c>
      <c r="K54" s="99" t="s">
        <v>111</v>
      </c>
      <c r="L54" s="99" t="s">
        <v>5</v>
      </c>
      <c r="M54" s="99" t="s">
        <v>112</v>
      </c>
      <c r="N54" s="99">
        <v>50</v>
      </c>
      <c r="O54" s="99">
        <v>0</v>
      </c>
      <c r="P54" s="99">
        <v>50</v>
      </c>
      <c r="Q54" s="99">
        <v>1</v>
      </c>
      <c r="R54" s="99" t="s">
        <v>113</v>
      </c>
      <c r="T54" s="99" t="s">
        <v>137</v>
      </c>
      <c r="U54" s="99" t="s">
        <v>143</v>
      </c>
    </row>
    <row r="55" spans="1:21" s="99" customFormat="1" x14ac:dyDescent="0.25">
      <c r="A55" s="98">
        <v>2015</v>
      </c>
      <c r="B55" s="99" t="s">
        <v>206</v>
      </c>
      <c r="C55" s="99">
        <v>18295</v>
      </c>
      <c r="D55" s="99">
        <v>35</v>
      </c>
      <c r="E55" s="100">
        <v>42248</v>
      </c>
      <c r="F55" s="99" t="s">
        <v>108</v>
      </c>
      <c r="G55" s="99" t="s">
        <v>47</v>
      </c>
      <c r="H55" s="99" t="s">
        <v>205</v>
      </c>
      <c r="I55" s="99" t="s">
        <v>62</v>
      </c>
      <c r="J55" s="99" t="s">
        <v>160</v>
      </c>
      <c r="K55" s="99" t="s">
        <v>111</v>
      </c>
      <c r="L55" s="99" t="s">
        <v>5</v>
      </c>
      <c r="M55" s="99" t="s">
        <v>112</v>
      </c>
      <c r="N55" s="99">
        <v>50</v>
      </c>
      <c r="O55" s="99">
        <v>0</v>
      </c>
      <c r="P55" s="99">
        <v>50</v>
      </c>
      <c r="Q55" s="99">
        <v>1</v>
      </c>
      <c r="R55" s="99" t="s">
        <v>113</v>
      </c>
      <c r="T55" s="99" t="s">
        <v>137</v>
      </c>
      <c r="U55" s="99" t="s">
        <v>143</v>
      </c>
    </row>
    <row r="56" spans="1:21" x14ac:dyDescent="0.25">
      <c r="A56" s="39">
        <v>2015</v>
      </c>
      <c r="B56" s="37" t="s">
        <v>207</v>
      </c>
      <c r="C56" s="37">
        <v>18296</v>
      </c>
      <c r="D56" s="37">
        <v>35</v>
      </c>
      <c r="E56" s="38">
        <v>42248</v>
      </c>
      <c r="F56" s="37" t="s">
        <v>108</v>
      </c>
      <c r="G56" s="37" t="s">
        <v>47</v>
      </c>
      <c r="H56" s="37" t="s">
        <v>205</v>
      </c>
      <c r="I56" s="37" t="s">
        <v>62</v>
      </c>
      <c r="J56" s="37" t="s">
        <v>160</v>
      </c>
      <c r="K56" s="37" t="s">
        <v>111</v>
      </c>
      <c r="L56" s="37" t="s">
        <v>5</v>
      </c>
      <c r="M56" s="37" t="s">
        <v>112</v>
      </c>
      <c r="N56" s="37">
        <v>3</v>
      </c>
      <c r="O56" s="37">
        <v>0</v>
      </c>
      <c r="P56" s="37">
        <v>3</v>
      </c>
      <c r="Q56" s="37">
        <v>0</v>
      </c>
      <c r="R56" s="37" t="s">
        <v>116</v>
      </c>
      <c r="T56" s="37" t="s">
        <v>137</v>
      </c>
      <c r="U56" s="37" t="s">
        <v>143</v>
      </c>
    </row>
    <row r="57" spans="1:21" s="99" customFormat="1" x14ac:dyDescent="0.25">
      <c r="A57" s="98">
        <v>2015</v>
      </c>
      <c r="B57" s="99" t="s">
        <v>208</v>
      </c>
      <c r="C57" s="99">
        <v>18297</v>
      </c>
      <c r="D57" s="99">
        <v>35</v>
      </c>
      <c r="E57" s="100">
        <v>42248</v>
      </c>
      <c r="F57" s="99" t="s">
        <v>108</v>
      </c>
      <c r="G57" s="99" t="s">
        <v>47</v>
      </c>
      <c r="H57" s="99" t="s">
        <v>209</v>
      </c>
      <c r="I57" s="99" t="s">
        <v>62</v>
      </c>
      <c r="J57" s="99" t="s">
        <v>110</v>
      </c>
      <c r="K57" s="99" t="s">
        <v>111</v>
      </c>
      <c r="L57" s="99" t="s">
        <v>6</v>
      </c>
      <c r="M57" s="99" t="s">
        <v>112</v>
      </c>
      <c r="N57" s="99">
        <v>0</v>
      </c>
      <c r="O57" s="99">
        <v>8</v>
      </c>
      <c r="P57" s="99">
        <v>8</v>
      </c>
      <c r="Q57" s="99">
        <v>1</v>
      </c>
      <c r="R57" s="99" t="s">
        <v>113</v>
      </c>
      <c r="T57" s="99" t="s">
        <v>132</v>
      </c>
      <c r="U57" s="99" t="s">
        <v>141</v>
      </c>
    </row>
    <row r="58" spans="1:21" x14ac:dyDescent="0.25">
      <c r="A58" s="39">
        <v>2015</v>
      </c>
      <c r="B58" s="37" t="s">
        <v>210</v>
      </c>
      <c r="C58" s="37">
        <v>18298</v>
      </c>
      <c r="D58" s="37">
        <v>35</v>
      </c>
      <c r="E58" s="38">
        <v>42248</v>
      </c>
      <c r="F58" s="37" t="s">
        <v>108</v>
      </c>
      <c r="G58" s="37" t="s">
        <v>47</v>
      </c>
      <c r="H58" s="37" t="s">
        <v>209</v>
      </c>
      <c r="I58" s="37" t="s">
        <v>62</v>
      </c>
      <c r="J58" s="37" t="s">
        <v>110</v>
      </c>
      <c r="K58" s="37" t="s">
        <v>111</v>
      </c>
      <c r="L58" s="37" t="s">
        <v>5</v>
      </c>
      <c r="M58" s="37" t="s">
        <v>112</v>
      </c>
      <c r="N58" s="37">
        <v>0</v>
      </c>
      <c r="O58" s="37">
        <v>25</v>
      </c>
      <c r="P58" s="37">
        <v>25</v>
      </c>
      <c r="Q58" s="37">
        <v>0</v>
      </c>
      <c r="R58" s="37" t="s">
        <v>116</v>
      </c>
      <c r="T58" s="37" t="s">
        <v>137</v>
      </c>
      <c r="U58" s="37" t="s">
        <v>143</v>
      </c>
    </row>
    <row r="59" spans="1:21" x14ac:dyDescent="0.25">
      <c r="A59" s="39">
        <v>2015</v>
      </c>
      <c r="B59" s="37" t="s">
        <v>211</v>
      </c>
      <c r="C59" s="37">
        <v>18299</v>
      </c>
      <c r="D59" s="37">
        <v>35</v>
      </c>
      <c r="E59" s="38">
        <v>42248</v>
      </c>
      <c r="F59" s="37" t="s">
        <v>108</v>
      </c>
      <c r="G59" s="37" t="s">
        <v>47</v>
      </c>
      <c r="H59" s="37" t="s">
        <v>212</v>
      </c>
      <c r="I59" s="37" t="s">
        <v>62</v>
      </c>
      <c r="J59" s="37" t="s">
        <v>110</v>
      </c>
      <c r="K59" s="37" t="s">
        <v>111</v>
      </c>
      <c r="L59" s="37" t="s">
        <v>6</v>
      </c>
      <c r="M59" s="37" t="s">
        <v>112</v>
      </c>
      <c r="N59" s="37">
        <v>0</v>
      </c>
      <c r="O59" s="37">
        <v>7</v>
      </c>
      <c r="P59" s="37">
        <v>7</v>
      </c>
      <c r="Q59" s="37">
        <v>0</v>
      </c>
      <c r="R59" s="37" t="s">
        <v>116</v>
      </c>
      <c r="T59" s="37" t="s">
        <v>132</v>
      </c>
      <c r="U59" s="37" t="s">
        <v>141</v>
      </c>
    </row>
    <row r="60" spans="1:21" x14ac:dyDescent="0.25">
      <c r="A60" s="39">
        <v>2015</v>
      </c>
      <c r="B60" s="37" t="s">
        <v>213</v>
      </c>
      <c r="C60" s="37">
        <v>18300</v>
      </c>
      <c r="D60" s="37">
        <v>35</v>
      </c>
      <c r="E60" s="38">
        <v>42248</v>
      </c>
      <c r="F60" s="37" t="s">
        <v>108</v>
      </c>
      <c r="G60" s="37" t="s">
        <v>47</v>
      </c>
      <c r="H60" s="37" t="s">
        <v>212</v>
      </c>
      <c r="I60" s="37" t="s">
        <v>62</v>
      </c>
      <c r="J60" s="37" t="s">
        <v>110</v>
      </c>
      <c r="K60" s="37" t="s">
        <v>111</v>
      </c>
      <c r="L60" s="37" t="s">
        <v>5</v>
      </c>
      <c r="M60" s="37" t="s">
        <v>112</v>
      </c>
      <c r="N60" s="37">
        <v>0</v>
      </c>
      <c r="O60" s="37">
        <v>14</v>
      </c>
      <c r="P60" s="37">
        <v>14</v>
      </c>
      <c r="Q60" s="37">
        <v>0</v>
      </c>
      <c r="R60" s="37" t="s">
        <v>116</v>
      </c>
      <c r="T60" s="37" t="s">
        <v>137</v>
      </c>
      <c r="U60" s="37" t="s">
        <v>143</v>
      </c>
    </row>
    <row r="61" spans="1:21" x14ac:dyDescent="0.25">
      <c r="A61" s="39">
        <v>2015</v>
      </c>
      <c r="B61" s="37" t="s">
        <v>214</v>
      </c>
      <c r="C61" s="37">
        <v>18301</v>
      </c>
      <c r="D61" s="37">
        <v>35</v>
      </c>
      <c r="E61" s="38">
        <v>42248</v>
      </c>
      <c r="F61" s="37" t="s">
        <v>108</v>
      </c>
      <c r="G61" s="37" t="s">
        <v>47</v>
      </c>
      <c r="H61" s="37" t="s">
        <v>215</v>
      </c>
      <c r="I61" s="37" t="s">
        <v>62</v>
      </c>
      <c r="J61" s="37" t="s">
        <v>110</v>
      </c>
      <c r="K61" s="37" t="s">
        <v>111</v>
      </c>
      <c r="L61" s="37" t="s">
        <v>6</v>
      </c>
      <c r="M61" s="37" t="s">
        <v>112</v>
      </c>
      <c r="N61" s="37">
        <v>0</v>
      </c>
      <c r="O61" s="37">
        <v>5</v>
      </c>
      <c r="P61" s="37">
        <v>5</v>
      </c>
      <c r="Q61" s="37">
        <v>0</v>
      </c>
      <c r="R61" s="37" t="s">
        <v>116</v>
      </c>
      <c r="T61" s="37" t="s">
        <v>132</v>
      </c>
      <c r="U61" s="37" t="s">
        <v>141</v>
      </c>
    </row>
    <row r="62" spans="1:21" x14ac:dyDescent="0.25">
      <c r="A62" s="39">
        <v>2015</v>
      </c>
      <c r="B62" s="37" t="s">
        <v>216</v>
      </c>
      <c r="C62" s="37">
        <v>18302</v>
      </c>
      <c r="D62" s="37">
        <v>35</v>
      </c>
      <c r="E62" s="38">
        <v>42248</v>
      </c>
      <c r="F62" s="37" t="s">
        <v>108</v>
      </c>
      <c r="G62" s="37" t="s">
        <v>47</v>
      </c>
      <c r="H62" s="37" t="s">
        <v>215</v>
      </c>
      <c r="I62" s="37" t="s">
        <v>62</v>
      </c>
      <c r="J62" s="37" t="s">
        <v>110</v>
      </c>
      <c r="K62" s="37" t="s">
        <v>111</v>
      </c>
      <c r="L62" s="37" t="s">
        <v>5</v>
      </c>
      <c r="M62" s="37" t="s">
        <v>112</v>
      </c>
      <c r="N62" s="37">
        <v>0</v>
      </c>
      <c r="O62" s="37">
        <v>15</v>
      </c>
      <c r="P62" s="37">
        <v>15</v>
      </c>
      <c r="Q62" s="37">
        <v>0</v>
      </c>
      <c r="R62" s="37" t="s">
        <v>116</v>
      </c>
      <c r="T62" s="37" t="s">
        <v>137</v>
      </c>
      <c r="U62" s="37" t="s">
        <v>143</v>
      </c>
    </row>
    <row r="63" spans="1:21" x14ac:dyDescent="0.25">
      <c r="A63" s="39">
        <v>2015</v>
      </c>
      <c r="B63" s="37" t="s">
        <v>217</v>
      </c>
      <c r="C63" s="37">
        <v>18303</v>
      </c>
      <c r="D63" s="37">
        <v>35</v>
      </c>
      <c r="E63" s="38">
        <v>42248</v>
      </c>
      <c r="F63" s="37" t="s">
        <v>108</v>
      </c>
      <c r="G63" s="37" t="s">
        <v>47</v>
      </c>
      <c r="H63" s="37" t="s">
        <v>218</v>
      </c>
      <c r="I63" s="37" t="s">
        <v>62</v>
      </c>
      <c r="J63" s="37" t="s">
        <v>110</v>
      </c>
      <c r="K63" s="37" t="s">
        <v>111</v>
      </c>
      <c r="L63" s="37" t="s">
        <v>6</v>
      </c>
      <c r="M63" s="37" t="s">
        <v>112</v>
      </c>
      <c r="N63" s="37">
        <v>0</v>
      </c>
      <c r="O63" s="37">
        <v>2</v>
      </c>
      <c r="P63" s="37">
        <v>2</v>
      </c>
      <c r="Q63" s="37">
        <v>0</v>
      </c>
      <c r="R63" s="37" t="s">
        <v>116</v>
      </c>
      <c r="T63" s="37" t="s">
        <v>132</v>
      </c>
      <c r="U63" s="37" t="s">
        <v>141</v>
      </c>
    </row>
    <row r="64" spans="1:21" x14ac:dyDescent="0.25">
      <c r="A64" s="39">
        <v>2015</v>
      </c>
      <c r="B64" s="37" t="s">
        <v>219</v>
      </c>
      <c r="C64" s="37">
        <v>18304</v>
      </c>
      <c r="D64" s="37">
        <v>35</v>
      </c>
      <c r="E64" s="38">
        <v>42248</v>
      </c>
      <c r="F64" s="37" t="s">
        <v>108</v>
      </c>
      <c r="G64" s="37" t="s">
        <v>47</v>
      </c>
      <c r="H64" s="37" t="s">
        <v>218</v>
      </c>
      <c r="I64" s="37" t="s">
        <v>62</v>
      </c>
      <c r="J64" s="37" t="s">
        <v>110</v>
      </c>
      <c r="K64" s="37" t="s">
        <v>111</v>
      </c>
      <c r="L64" s="37" t="s">
        <v>5</v>
      </c>
      <c r="M64" s="37" t="s">
        <v>112</v>
      </c>
      <c r="N64" s="37">
        <v>0</v>
      </c>
      <c r="O64" s="37">
        <v>50</v>
      </c>
      <c r="P64" s="37">
        <v>50</v>
      </c>
      <c r="Q64" s="37">
        <v>0</v>
      </c>
      <c r="R64" s="37" t="s">
        <v>116</v>
      </c>
      <c r="T64" s="37" t="s">
        <v>137</v>
      </c>
      <c r="U64" s="37" t="s">
        <v>143</v>
      </c>
    </row>
    <row r="65" spans="1:21" x14ac:dyDescent="0.25">
      <c r="A65" s="39">
        <v>2015</v>
      </c>
      <c r="B65" s="37" t="s">
        <v>220</v>
      </c>
      <c r="C65" s="37">
        <v>18305</v>
      </c>
      <c r="D65" s="37">
        <v>35</v>
      </c>
      <c r="E65" s="38">
        <v>42248</v>
      </c>
      <c r="F65" s="37" t="s">
        <v>108</v>
      </c>
      <c r="G65" s="37" t="s">
        <v>47</v>
      </c>
      <c r="H65" s="37" t="s">
        <v>218</v>
      </c>
      <c r="I65" s="37" t="s">
        <v>62</v>
      </c>
      <c r="J65" s="37" t="s">
        <v>110</v>
      </c>
      <c r="K65" s="37" t="s">
        <v>111</v>
      </c>
      <c r="L65" s="37" t="s">
        <v>5</v>
      </c>
      <c r="M65" s="37" t="s">
        <v>112</v>
      </c>
      <c r="N65" s="37">
        <v>0</v>
      </c>
      <c r="O65" s="37">
        <v>7</v>
      </c>
      <c r="P65" s="37">
        <v>7</v>
      </c>
      <c r="Q65" s="37">
        <v>0</v>
      </c>
      <c r="R65" s="37" t="s">
        <v>116</v>
      </c>
      <c r="T65" s="37" t="s">
        <v>137</v>
      </c>
      <c r="U65" s="37" t="s">
        <v>143</v>
      </c>
    </row>
    <row r="66" spans="1:21" s="99" customFormat="1" x14ac:dyDescent="0.25">
      <c r="A66" s="98">
        <v>2015</v>
      </c>
      <c r="B66" s="99" t="s">
        <v>221</v>
      </c>
      <c r="C66" s="99">
        <v>18306</v>
      </c>
      <c r="D66" s="99">
        <v>35</v>
      </c>
      <c r="E66" s="100">
        <v>42248</v>
      </c>
      <c r="F66" s="99" t="s">
        <v>108</v>
      </c>
      <c r="G66" s="99" t="s">
        <v>47</v>
      </c>
      <c r="H66" s="99" t="s">
        <v>222</v>
      </c>
      <c r="I66" s="99" t="s">
        <v>62</v>
      </c>
      <c r="J66" s="99" t="s">
        <v>110</v>
      </c>
      <c r="K66" s="99" t="s">
        <v>111</v>
      </c>
      <c r="L66" s="99" t="s">
        <v>6</v>
      </c>
      <c r="M66" s="99" t="s">
        <v>112</v>
      </c>
      <c r="N66" s="99">
        <v>0</v>
      </c>
      <c r="O66" s="99">
        <v>5</v>
      </c>
      <c r="P66" s="99">
        <v>5</v>
      </c>
      <c r="Q66" s="99">
        <v>1</v>
      </c>
      <c r="R66" s="99" t="s">
        <v>113</v>
      </c>
      <c r="T66" s="99" t="s">
        <v>132</v>
      </c>
      <c r="U66" s="99" t="s">
        <v>141</v>
      </c>
    </row>
    <row r="67" spans="1:21" s="99" customFormat="1" x14ac:dyDescent="0.25">
      <c r="A67" s="98">
        <v>2015</v>
      </c>
      <c r="B67" s="99" t="s">
        <v>223</v>
      </c>
      <c r="C67" s="99">
        <v>18307</v>
      </c>
      <c r="D67" s="99">
        <v>35</v>
      </c>
      <c r="E67" s="100">
        <v>42248</v>
      </c>
      <c r="F67" s="99" t="s">
        <v>108</v>
      </c>
      <c r="G67" s="99" t="s">
        <v>47</v>
      </c>
      <c r="H67" s="99" t="s">
        <v>222</v>
      </c>
      <c r="I67" s="99" t="s">
        <v>62</v>
      </c>
      <c r="J67" s="99" t="s">
        <v>110</v>
      </c>
      <c r="K67" s="99" t="s">
        <v>111</v>
      </c>
      <c r="L67" s="99" t="s">
        <v>5</v>
      </c>
      <c r="M67" s="99" t="s">
        <v>112</v>
      </c>
      <c r="N67" s="99">
        <v>0</v>
      </c>
      <c r="O67" s="99">
        <v>15</v>
      </c>
      <c r="P67" s="99">
        <v>15</v>
      </c>
      <c r="Q67" s="99">
        <v>1</v>
      </c>
      <c r="R67" s="99" t="s">
        <v>113</v>
      </c>
      <c r="T67" s="99" t="s">
        <v>137</v>
      </c>
      <c r="U67" s="99" t="s">
        <v>143</v>
      </c>
    </row>
    <row r="68" spans="1:21" x14ac:dyDescent="0.25">
      <c r="A68" s="39">
        <v>2015</v>
      </c>
      <c r="B68" s="37" t="s">
        <v>224</v>
      </c>
      <c r="C68" s="37">
        <v>18308</v>
      </c>
      <c r="D68" s="37">
        <v>35</v>
      </c>
      <c r="E68" s="38">
        <v>42248</v>
      </c>
      <c r="F68" s="37" t="s">
        <v>108</v>
      </c>
      <c r="G68" s="37" t="s">
        <v>47</v>
      </c>
      <c r="H68" s="37" t="s">
        <v>225</v>
      </c>
      <c r="I68" s="37" t="s">
        <v>62</v>
      </c>
      <c r="J68" s="37" t="s">
        <v>110</v>
      </c>
      <c r="K68" s="37" t="s">
        <v>111</v>
      </c>
      <c r="L68" s="37" t="s">
        <v>6</v>
      </c>
      <c r="M68" s="37" t="s">
        <v>112</v>
      </c>
      <c r="N68" s="37">
        <v>0</v>
      </c>
      <c r="O68" s="37">
        <v>1</v>
      </c>
      <c r="P68" s="37">
        <v>1</v>
      </c>
      <c r="Q68" s="37">
        <v>0</v>
      </c>
      <c r="R68" s="37" t="s">
        <v>116</v>
      </c>
      <c r="T68" s="37" t="s">
        <v>132</v>
      </c>
      <c r="U68" s="37" t="s">
        <v>141</v>
      </c>
    </row>
    <row r="69" spans="1:21" x14ac:dyDescent="0.25">
      <c r="A69" s="39">
        <v>2015</v>
      </c>
      <c r="B69" s="37" t="s">
        <v>226</v>
      </c>
      <c r="C69" s="37">
        <v>18309</v>
      </c>
      <c r="D69" s="37">
        <v>35</v>
      </c>
      <c r="E69" s="38">
        <v>42248</v>
      </c>
      <c r="F69" s="37" t="s">
        <v>108</v>
      </c>
      <c r="G69" s="37" t="s">
        <v>47</v>
      </c>
      <c r="H69" s="37" t="s">
        <v>225</v>
      </c>
      <c r="I69" s="37" t="s">
        <v>62</v>
      </c>
      <c r="J69" s="37" t="s">
        <v>110</v>
      </c>
      <c r="K69" s="37" t="s">
        <v>111</v>
      </c>
      <c r="L69" s="37" t="s">
        <v>5</v>
      </c>
      <c r="M69" s="37" t="s">
        <v>112</v>
      </c>
      <c r="N69" s="37">
        <v>0</v>
      </c>
      <c r="O69" s="37">
        <v>5</v>
      </c>
      <c r="P69" s="37">
        <v>5</v>
      </c>
      <c r="Q69" s="37">
        <v>0</v>
      </c>
      <c r="R69" s="37" t="s">
        <v>116</v>
      </c>
      <c r="T69" s="37" t="s">
        <v>137</v>
      </c>
      <c r="U69" s="37" t="s">
        <v>143</v>
      </c>
    </row>
    <row r="70" spans="1:21" x14ac:dyDescent="0.25">
      <c r="A70" s="39">
        <v>2015</v>
      </c>
      <c r="B70" s="37" t="s">
        <v>227</v>
      </c>
      <c r="C70" s="37">
        <v>18310</v>
      </c>
      <c r="D70" s="37">
        <v>35</v>
      </c>
      <c r="E70" s="38">
        <v>42248</v>
      </c>
      <c r="F70" s="37" t="s">
        <v>108</v>
      </c>
      <c r="G70" s="37" t="s">
        <v>47</v>
      </c>
      <c r="H70" s="37" t="s">
        <v>228</v>
      </c>
      <c r="I70" s="37" t="s">
        <v>62</v>
      </c>
      <c r="J70" s="37" t="s">
        <v>110</v>
      </c>
      <c r="K70" s="37" t="s">
        <v>111</v>
      </c>
      <c r="L70" s="37" t="s">
        <v>6</v>
      </c>
      <c r="M70" s="37" t="s">
        <v>112</v>
      </c>
      <c r="N70" s="37">
        <v>0</v>
      </c>
      <c r="O70" s="37">
        <v>4</v>
      </c>
      <c r="P70" s="37">
        <v>4</v>
      </c>
      <c r="Q70" s="37">
        <v>0</v>
      </c>
      <c r="R70" s="37" t="s">
        <v>116</v>
      </c>
      <c r="T70" s="37" t="s">
        <v>132</v>
      </c>
      <c r="U70" s="37" t="s">
        <v>141</v>
      </c>
    </row>
    <row r="71" spans="1:21" x14ac:dyDescent="0.25">
      <c r="A71" s="37">
        <v>2015</v>
      </c>
      <c r="B71" s="37" t="s">
        <v>229</v>
      </c>
      <c r="C71" s="37">
        <v>18311</v>
      </c>
      <c r="D71" s="37">
        <v>35</v>
      </c>
      <c r="E71" s="37">
        <v>42248</v>
      </c>
      <c r="F71" s="37" t="s">
        <v>108</v>
      </c>
      <c r="G71" s="37" t="s">
        <v>47</v>
      </c>
      <c r="H71" s="37" t="s">
        <v>228</v>
      </c>
      <c r="I71" s="37" t="s">
        <v>62</v>
      </c>
      <c r="J71" s="37" t="s">
        <v>110</v>
      </c>
      <c r="K71" s="37" t="s">
        <v>111</v>
      </c>
      <c r="L71" s="37" t="s">
        <v>5</v>
      </c>
      <c r="M71" s="37" t="s">
        <v>112</v>
      </c>
      <c r="N71" s="37">
        <v>0</v>
      </c>
      <c r="O71" s="37">
        <v>4</v>
      </c>
      <c r="P71" s="37">
        <v>4</v>
      </c>
      <c r="Q71" s="37">
        <v>0</v>
      </c>
      <c r="R71" s="37" t="s">
        <v>116</v>
      </c>
      <c r="T71" s="37" t="s">
        <v>137</v>
      </c>
      <c r="U71" s="37" t="s">
        <v>143</v>
      </c>
    </row>
    <row r="72" spans="1:21" x14ac:dyDescent="0.25">
      <c r="A72" s="37">
        <v>2015</v>
      </c>
      <c r="B72" s="37" t="s">
        <v>230</v>
      </c>
      <c r="C72" s="37">
        <v>18312</v>
      </c>
      <c r="D72" s="37">
        <v>35</v>
      </c>
      <c r="E72" s="37">
        <v>42249</v>
      </c>
      <c r="F72" s="37" t="s">
        <v>108</v>
      </c>
      <c r="G72" s="37" t="s">
        <v>47</v>
      </c>
      <c r="H72" s="37" t="s">
        <v>231</v>
      </c>
      <c r="I72" s="37" t="s">
        <v>60</v>
      </c>
      <c r="J72" s="37" t="s">
        <v>110</v>
      </c>
      <c r="K72" s="37" t="s">
        <v>111</v>
      </c>
      <c r="L72" s="37" t="s">
        <v>6</v>
      </c>
      <c r="M72" s="37" t="s">
        <v>112</v>
      </c>
      <c r="N72" s="37">
        <v>0</v>
      </c>
      <c r="O72" s="37">
        <v>3</v>
      </c>
      <c r="P72" s="37">
        <v>3</v>
      </c>
      <c r="Q72" s="37">
        <v>0</v>
      </c>
      <c r="R72" s="37" t="s">
        <v>116</v>
      </c>
      <c r="T72" s="37" t="s">
        <v>132</v>
      </c>
      <c r="U72" s="37" t="s">
        <v>165</v>
      </c>
    </row>
    <row r="73" spans="1:21" x14ac:dyDescent="0.25">
      <c r="A73" s="37">
        <v>2015</v>
      </c>
      <c r="B73" s="37" t="s">
        <v>232</v>
      </c>
      <c r="C73" s="37">
        <v>18313</v>
      </c>
      <c r="D73" s="37">
        <v>35</v>
      </c>
      <c r="E73" s="37">
        <v>42249</v>
      </c>
      <c r="F73" s="37" t="s">
        <v>108</v>
      </c>
      <c r="G73" s="37" t="s">
        <v>47</v>
      </c>
      <c r="H73" s="37" t="s">
        <v>233</v>
      </c>
      <c r="I73" s="37" t="s">
        <v>60</v>
      </c>
      <c r="J73" s="37" t="s">
        <v>110</v>
      </c>
      <c r="K73" s="37" t="s">
        <v>111</v>
      </c>
      <c r="L73" s="37" t="s">
        <v>6</v>
      </c>
      <c r="M73" s="37" t="s">
        <v>112</v>
      </c>
      <c r="N73" s="37">
        <v>0</v>
      </c>
      <c r="O73" s="37">
        <v>4</v>
      </c>
      <c r="P73" s="37">
        <v>4</v>
      </c>
      <c r="Q73" s="37">
        <v>0</v>
      </c>
      <c r="R73" s="37" t="s">
        <v>116</v>
      </c>
      <c r="T73" s="37" t="s">
        <v>132</v>
      </c>
      <c r="U73" s="37" t="s">
        <v>165</v>
      </c>
    </row>
    <row r="74" spans="1:21" x14ac:dyDescent="0.25">
      <c r="A74" s="37">
        <v>2015</v>
      </c>
      <c r="B74" s="37" t="s">
        <v>234</v>
      </c>
      <c r="C74" s="37">
        <v>18314</v>
      </c>
      <c r="D74" s="37">
        <v>35</v>
      </c>
      <c r="E74" s="37">
        <v>42249</v>
      </c>
      <c r="F74" s="37" t="s">
        <v>108</v>
      </c>
      <c r="G74" s="37" t="s">
        <v>47</v>
      </c>
      <c r="H74" s="37" t="s">
        <v>233</v>
      </c>
      <c r="I74" s="37" t="s">
        <v>60</v>
      </c>
      <c r="J74" s="37" t="s">
        <v>110</v>
      </c>
      <c r="K74" s="37" t="s">
        <v>111</v>
      </c>
      <c r="L74" s="37" t="s">
        <v>5</v>
      </c>
      <c r="M74" s="37" t="s">
        <v>112</v>
      </c>
      <c r="N74" s="37">
        <v>0</v>
      </c>
      <c r="O74" s="37">
        <v>4</v>
      </c>
      <c r="P74" s="37">
        <v>4</v>
      </c>
      <c r="Q74" s="37">
        <v>0</v>
      </c>
      <c r="R74" s="37" t="s">
        <v>116</v>
      </c>
      <c r="T74" s="37" t="s">
        <v>137</v>
      </c>
      <c r="U74" s="37" t="s">
        <v>167</v>
      </c>
    </row>
    <row r="75" spans="1:21" x14ac:dyDescent="0.25">
      <c r="A75" s="37">
        <v>2015</v>
      </c>
      <c r="B75" s="37" t="s">
        <v>235</v>
      </c>
      <c r="C75" s="37">
        <v>18315</v>
      </c>
      <c r="D75" s="37">
        <v>35</v>
      </c>
      <c r="E75" s="37">
        <v>42249</v>
      </c>
      <c r="F75" s="37" t="s">
        <v>108</v>
      </c>
      <c r="G75" s="37" t="s">
        <v>47</v>
      </c>
      <c r="H75" s="37" t="s">
        <v>236</v>
      </c>
      <c r="I75" s="37" t="s">
        <v>60</v>
      </c>
      <c r="J75" s="37" t="s">
        <v>110</v>
      </c>
      <c r="K75" s="37" t="s">
        <v>111</v>
      </c>
      <c r="L75" s="37" t="s">
        <v>5</v>
      </c>
      <c r="M75" s="37" t="s">
        <v>112</v>
      </c>
      <c r="N75" s="37">
        <v>0</v>
      </c>
      <c r="O75" s="37">
        <v>1</v>
      </c>
      <c r="P75" s="37">
        <v>1</v>
      </c>
      <c r="Q75" s="37">
        <v>0</v>
      </c>
      <c r="R75" s="37" t="s">
        <v>116</v>
      </c>
      <c r="T75" s="37" t="s">
        <v>137</v>
      </c>
      <c r="U75" s="37" t="s">
        <v>167</v>
      </c>
    </row>
    <row r="76" spans="1:21" x14ac:dyDescent="0.25">
      <c r="A76" s="37">
        <v>2015</v>
      </c>
      <c r="B76" s="37" t="s">
        <v>237</v>
      </c>
      <c r="C76" s="37">
        <v>18316</v>
      </c>
      <c r="D76" s="37">
        <v>35</v>
      </c>
      <c r="E76" s="37">
        <v>42249</v>
      </c>
      <c r="F76" s="37" t="s">
        <v>108</v>
      </c>
      <c r="G76" s="37" t="s">
        <v>47</v>
      </c>
      <c r="H76" s="37" t="s">
        <v>238</v>
      </c>
      <c r="I76" s="37" t="s">
        <v>60</v>
      </c>
      <c r="J76" s="37" t="s">
        <v>110</v>
      </c>
      <c r="K76" s="37" t="s">
        <v>111</v>
      </c>
      <c r="L76" s="37" t="s">
        <v>6</v>
      </c>
      <c r="M76" s="37" t="s">
        <v>112</v>
      </c>
      <c r="N76" s="37">
        <v>0</v>
      </c>
      <c r="O76" s="37">
        <v>4</v>
      </c>
      <c r="P76" s="37">
        <v>4</v>
      </c>
      <c r="Q76" s="37">
        <v>0</v>
      </c>
      <c r="R76" s="37" t="s">
        <v>116</v>
      </c>
      <c r="T76" s="37" t="s">
        <v>132</v>
      </c>
      <c r="U76" s="37" t="s">
        <v>165</v>
      </c>
    </row>
    <row r="77" spans="1:21" x14ac:dyDescent="0.25">
      <c r="A77" s="37">
        <v>2015</v>
      </c>
      <c r="B77" s="37" t="s">
        <v>239</v>
      </c>
      <c r="C77" s="37">
        <v>18317</v>
      </c>
      <c r="D77" s="37">
        <v>35</v>
      </c>
      <c r="E77" s="37">
        <v>42249</v>
      </c>
      <c r="F77" s="37" t="s">
        <v>108</v>
      </c>
      <c r="G77" s="37" t="s">
        <v>47</v>
      </c>
      <c r="H77" s="37" t="s">
        <v>238</v>
      </c>
      <c r="I77" s="37" t="s">
        <v>60</v>
      </c>
      <c r="J77" s="37" t="s">
        <v>110</v>
      </c>
      <c r="K77" s="37" t="s">
        <v>111</v>
      </c>
      <c r="L77" s="37" t="s">
        <v>5</v>
      </c>
      <c r="M77" s="37" t="s">
        <v>112</v>
      </c>
      <c r="N77" s="37">
        <v>0</v>
      </c>
      <c r="O77" s="37">
        <v>8</v>
      </c>
      <c r="P77" s="37">
        <v>8</v>
      </c>
      <c r="Q77" s="37">
        <v>0</v>
      </c>
      <c r="R77" s="37" t="s">
        <v>116</v>
      </c>
      <c r="T77" s="37" t="s">
        <v>137</v>
      </c>
      <c r="U77" s="37" t="s">
        <v>167</v>
      </c>
    </row>
    <row r="78" spans="1:21" x14ac:dyDescent="0.25">
      <c r="A78" s="37">
        <v>2015</v>
      </c>
      <c r="B78" s="37" t="s">
        <v>240</v>
      </c>
      <c r="C78" s="37">
        <v>18318</v>
      </c>
      <c r="D78" s="37">
        <v>35</v>
      </c>
      <c r="E78" s="37">
        <v>42249</v>
      </c>
      <c r="F78" s="37" t="s">
        <v>108</v>
      </c>
      <c r="G78" s="37" t="s">
        <v>47</v>
      </c>
      <c r="H78" s="37" t="s">
        <v>241</v>
      </c>
      <c r="I78" s="37" t="s">
        <v>60</v>
      </c>
      <c r="J78" s="37" t="s">
        <v>160</v>
      </c>
      <c r="K78" s="37" t="s">
        <v>111</v>
      </c>
      <c r="L78" s="37" t="s">
        <v>5</v>
      </c>
      <c r="M78" s="37" t="s">
        <v>112</v>
      </c>
      <c r="N78" s="37">
        <v>7</v>
      </c>
      <c r="O78" s="37">
        <v>0</v>
      </c>
      <c r="P78" s="37">
        <v>7</v>
      </c>
      <c r="Q78" s="37">
        <v>0</v>
      </c>
      <c r="R78" s="37" t="s">
        <v>116</v>
      </c>
      <c r="T78" s="37" t="s">
        <v>137</v>
      </c>
      <c r="U78" s="37" t="s">
        <v>167</v>
      </c>
    </row>
    <row r="79" spans="1:21" x14ac:dyDescent="0.25">
      <c r="A79" s="37">
        <v>2015</v>
      </c>
      <c r="B79" s="37" t="s">
        <v>242</v>
      </c>
      <c r="C79" s="37">
        <v>18319</v>
      </c>
      <c r="D79" s="37">
        <v>35</v>
      </c>
      <c r="E79" s="37">
        <v>42249</v>
      </c>
      <c r="F79" s="37" t="s">
        <v>108</v>
      </c>
      <c r="G79" s="37" t="s">
        <v>47</v>
      </c>
      <c r="H79" s="37" t="s">
        <v>243</v>
      </c>
      <c r="I79" s="37" t="s">
        <v>60</v>
      </c>
      <c r="J79" s="37" t="s">
        <v>110</v>
      </c>
      <c r="K79" s="37" t="s">
        <v>111</v>
      </c>
      <c r="L79" s="37" t="s">
        <v>6</v>
      </c>
      <c r="M79" s="37" t="s">
        <v>112</v>
      </c>
      <c r="N79" s="37">
        <v>0</v>
      </c>
      <c r="O79" s="37">
        <v>2</v>
      </c>
      <c r="P79" s="37">
        <v>2</v>
      </c>
      <c r="Q79" s="37">
        <v>0</v>
      </c>
      <c r="R79" s="37" t="s">
        <v>116</v>
      </c>
      <c r="T79" s="37" t="s">
        <v>132</v>
      </c>
      <c r="U79" s="37" t="s">
        <v>165</v>
      </c>
    </row>
    <row r="80" spans="1:21" x14ac:dyDescent="0.25">
      <c r="A80" s="37">
        <v>2015</v>
      </c>
      <c r="B80" s="37" t="s">
        <v>244</v>
      </c>
      <c r="C80" s="37">
        <v>18320</v>
      </c>
      <c r="D80" s="37">
        <v>35</v>
      </c>
      <c r="E80" s="37">
        <v>42249</v>
      </c>
      <c r="F80" s="37" t="s">
        <v>108</v>
      </c>
      <c r="G80" s="37" t="s">
        <v>47</v>
      </c>
      <c r="H80" s="37" t="s">
        <v>243</v>
      </c>
      <c r="I80" s="37" t="s">
        <v>60</v>
      </c>
      <c r="J80" s="37" t="s">
        <v>110</v>
      </c>
      <c r="K80" s="37" t="s">
        <v>111</v>
      </c>
      <c r="L80" s="37" t="s">
        <v>5</v>
      </c>
      <c r="M80" s="37" t="s">
        <v>112</v>
      </c>
      <c r="N80" s="37">
        <v>0</v>
      </c>
      <c r="O80" s="37">
        <v>2</v>
      </c>
      <c r="P80" s="37">
        <v>2</v>
      </c>
      <c r="Q80" s="37">
        <v>0</v>
      </c>
      <c r="R80" s="37" t="s">
        <v>116</v>
      </c>
      <c r="T80" s="37" t="s">
        <v>137</v>
      </c>
      <c r="U80" s="37" t="s">
        <v>167</v>
      </c>
    </row>
    <row r="81" spans="1:21" x14ac:dyDescent="0.25">
      <c r="A81" s="37">
        <v>2015</v>
      </c>
      <c r="B81" s="37" t="s">
        <v>245</v>
      </c>
      <c r="C81" s="37">
        <v>18321</v>
      </c>
      <c r="D81" s="37">
        <v>35</v>
      </c>
      <c r="E81" s="37">
        <v>42249</v>
      </c>
      <c r="F81" s="37" t="s">
        <v>108</v>
      </c>
      <c r="G81" s="37" t="s">
        <v>47</v>
      </c>
      <c r="H81" s="37" t="s">
        <v>246</v>
      </c>
      <c r="I81" s="37" t="s">
        <v>60</v>
      </c>
      <c r="J81" s="37" t="s">
        <v>110</v>
      </c>
      <c r="K81" s="37" t="s">
        <v>111</v>
      </c>
      <c r="L81" s="37" t="s">
        <v>5</v>
      </c>
      <c r="M81" s="37" t="s">
        <v>112</v>
      </c>
      <c r="N81" s="37">
        <v>0</v>
      </c>
      <c r="O81" s="37">
        <v>3</v>
      </c>
      <c r="P81" s="37">
        <v>3</v>
      </c>
      <c r="Q81" s="37">
        <v>0</v>
      </c>
      <c r="R81" s="37" t="s">
        <v>116</v>
      </c>
      <c r="T81" s="37" t="s">
        <v>137</v>
      </c>
      <c r="U81" s="37" t="s">
        <v>167</v>
      </c>
    </row>
    <row r="82" spans="1:21" x14ac:dyDescent="0.25">
      <c r="A82" s="37">
        <v>2015</v>
      </c>
      <c r="B82" s="37" t="s">
        <v>247</v>
      </c>
      <c r="C82" s="37">
        <v>18322</v>
      </c>
      <c r="D82" s="37">
        <v>35</v>
      </c>
      <c r="E82" s="37">
        <v>42249</v>
      </c>
      <c r="F82" s="37" t="s">
        <v>108</v>
      </c>
      <c r="G82" s="37" t="s">
        <v>47</v>
      </c>
      <c r="H82" s="37" t="s">
        <v>248</v>
      </c>
      <c r="I82" s="37" t="s">
        <v>60</v>
      </c>
      <c r="J82" s="37" t="s">
        <v>110</v>
      </c>
      <c r="K82" s="37" t="s">
        <v>111</v>
      </c>
      <c r="L82" s="37" t="s">
        <v>5</v>
      </c>
      <c r="M82" s="37" t="s">
        <v>112</v>
      </c>
      <c r="N82" s="37">
        <v>0</v>
      </c>
      <c r="O82" s="37">
        <v>1</v>
      </c>
      <c r="P82" s="37">
        <v>1</v>
      </c>
      <c r="Q82" s="37">
        <v>0</v>
      </c>
      <c r="R82" s="37" t="s">
        <v>116</v>
      </c>
      <c r="T82" s="37" t="s">
        <v>137</v>
      </c>
      <c r="U82" s="37" t="s">
        <v>167</v>
      </c>
    </row>
    <row r="83" spans="1:21" x14ac:dyDescent="0.25">
      <c r="A83" s="37">
        <v>2015</v>
      </c>
      <c r="B83" s="37" t="s">
        <v>249</v>
      </c>
      <c r="C83" s="37">
        <v>18323</v>
      </c>
      <c r="D83" s="37">
        <v>35</v>
      </c>
      <c r="E83" s="37">
        <v>42249</v>
      </c>
      <c r="F83" s="37" t="s">
        <v>108</v>
      </c>
      <c r="G83" s="37" t="s">
        <v>47</v>
      </c>
      <c r="H83" s="37" t="s">
        <v>250</v>
      </c>
      <c r="I83" s="37" t="s">
        <v>60</v>
      </c>
      <c r="J83" s="37" t="s">
        <v>110</v>
      </c>
      <c r="K83" s="37" t="s">
        <v>111</v>
      </c>
      <c r="L83" s="37" t="s">
        <v>6</v>
      </c>
      <c r="M83" s="37" t="s">
        <v>112</v>
      </c>
      <c r="N83" s="37">
        <v>0</v>
      </c>
      <c r="O83" s="37">
        <v>1</v>
      </c>
      <c r="P83" s="37">
        <v>1</v>
      </c>
      <c r="Q83" s="37">
        <v>0</v>
      </c>
      <c r="R83" s="37" t="s">
        <v>116</v>
      </c>
      <c r="T83" s="37" t="s">
        <v>132</v>
      </c>
      <c r="U83" s="37" t="s">
        <v>165</v>
      </c>
    </row>
    <row r="84" spans="1:21" s="99" customFormat="1" x14ac:dyDescent="0.25">
      <c r="A84" s="99">
        <v>2015</v>
      </c>
      <c r="B84" s="99" t="s">
        <v>251</v>
      </c>
      <c r="C84" s="99">
        <v>18324</v>
      </c>
      <c r="D84" s="99">
        <v>35</v>
      </c>
      <c r="E84" s="99">
        <v>42249</v>
      </c>
      <c r="F84" s="99" t="s">
        <v>108</v>
      </c>
      <c r="G84" s="99" t="s">
        <v>47</v>
      </c>
      <c r="H84" s="99" t="s">
        <v>250</v>
      </c>
      <c r="I84" s="99" t="s">
        <v>60</v>
      </c>
      <c r="J84" s="99" t="s">
        <v>110</v>
      </c>
      <c r="K84" s="99" t="s">
        <v>111</v>
      </c>
      <c r="L84" s="99" t="s">
        <v>5</v>
      </c>
      <c r="M84" s="99" t="s">
        <v>112</v>
      </c>
      <c r="N84" s="99">
        <v>0</v>
      </c>
      <c r="O84" s="99">
        <v>3</v>
      </c>
      <c r="P84" s="99">
        <v>3</v>
      </c>
      <c r="Q84" s="99">
        <v>1</v>
      </c>
      <c r="R84" s="99" t="s">
        <v>113</v>
      </c>
      <c r="T84" s="99" t="s">
        <v>137</v>
      </c>
      <c r="U84" s="99" t="s">
        <v>167</v>
      </c>
    </row>
    <row r="85" spans="1:21" x14ac:dyDescent="0.25">
      <c r="A85" s="37">
        <v>2015</v>
      </c>
      <c r="B85" s="37" t="s">
        <v>252</v>
      </c>
      <c r="C85" s="37">
        <v>18325</v>
      </c>
      <c r="D85" s="37">
        <v>35</v>
      </c>
      <c r="E85" s="37">
        <v>42249</v>
      </c>
      <c r="F85" s="37" t="s">
        <v>108</v>
      </c>
      <c r="G85" s="37" t="s">
        <v>47</v>
      </c>
      <c r="H85" s="37" t="s">
        <v>253</v>
      </c>
      <c r="I85" s="37" t="s">
        <v>63</v>
      </c>
      <c r="J85" s="37" t="s">
        <v>110</v>
      </c>
      <c r="K85" s="37" t="s">
        <v>111</v>
      </c>
      <c r="L85" s="37" t="s">
        <v>6</v>
      </c>
      <c r="M85" s="37" t="s">
        <v>112</v>
      </c>
      <c r="N85" s="37">
        <v>0</v>
      </c>
      <c r="O85" s="37">
        <v>2</v>
      </c>
      <c r="P85" s="37">
        <v>2</v>
      </c>
      <c r="Q85" s="37">
        <v>0</v>
      </c>
      <c r="R85" s="37" t="s">
        <v>116</v>
      </c>
      <c r="T85" s="37" t="s">
        <v>132</v>
      </c>
      <c r="U85" s="37" t="s">
        <v>254</v>
      </c>
    </row>
    <row r="86" spans="1:21" x14ac:dyDescent="0.25">
      <c r="A86" s="37">
        <v>2015</v>
      </c>
      <c r="B86" s="37" t="s">
        <v>255</v>
      </c>
      <c r="C86" s="37">
        <v>18326</v>
      </c>
      <c r="D86" s="37">
        <v>35</v>
      </c>
      <c r="E86" s="37">
        <v>42249</v>
      </c>
      <c r="F86" s="37" t="s">
        <v>108</v>
      </c>
      <c r="G86" s="37" t="s">
        <v>47</v>
      </c>
      <c r="H86" s="37" t="s">
        <v>256</v>
      </c>
      <c r="I86" s="37" t="s">
        <v>63</v>
      </c>
      <c r="J86" s="37" t="s">
        <v>110</v>
      </c>
      <c r="K86" s="37" t="s">
        <v>111</v>
      </c>
      <c r="L86" s="37" t="s">
        <v>5</v>
      </c>
      <c r="M86" s="37" t="s">
        <v>112</v>
      </c>
      <c r="N86" s="37">
        <v>0</v>
      </c>
      <c r="O86" s="37">
        <v>4</v>
      </c>
      <c r="P86" s="37">
        <v>4</v>
      </c>
      <c r="Q86" s="37">
        <v>0</v>
      </c>
      <c r="R86" s="37" t="s">
        <v>116</v>
      </c>
      <c r="T86" s="37" t="s">
        <v>137</v>
      </c>
      <c r="U86" s="37" t="s">
        <v>257</v>
      </c>
    </row>
    <row r="87" spans="1:21" s="99" customFormat="1" x14ac:dyDescent="0.25">
      <c r="A87" s="99">
        <v>2015</v>
      </c>
      <c r="B87" s="99" t="s">
        <v>258</v>
      </c>
      <c r="C87" s="99">
        <v>18327</v>
      </c>
      <c r="D87" s="99">
        <v>35</v>
      </c>
      <c r="E87" s="99">
        <v>42249</v>
      </c>
      <c r="F87" s="99" t="s">
        <v>108</v>
      </c>
      <c r="G87" s="99" t="s">
        <v>47</v>
      </c>
      <c r="H87" s="99" t="s">
        <v>259</v>
      </c>
      <c r="I87" s="99" t="s">
        <v>60</v>
      </c>
      <c r="J87" s="99" t="s">
        <v>160</v>
      </c>
      <c r="K87" s="99" t="s">
        <v>111</v>
      </c>
      <c r="L87" s="99" t="s">
        <v>5</v>
      </c>
      <c r="M87" s="99" t="s">
        <v>112</v>
      </c>
      <c r="N87" s="99">
        <v>50</v>
      </c>
      <c r="O87" s="99">
        <v>0</v>
      </c>
      <c r="P87" s="99">
        <v>50</v>
      </c>
      <c r="Q87" s="99">
        <v>1</v>
      </c>
      <c r="R87" s="99" t="s">
        <v>113</v>
      </c>
      <c r="T87" s="99" t="s">
        <v>137</v>
      </c>
      <c r="U87" s="99" t="s">
        <v>167</v>
      </c>
    </row>
    <row r="88" spans="1:21" s="99" customFormat="1" x14ac:dyDescent="0.25">
      <c r="A88" s="99">
        <v>2015</v>
      </c>
      <c r="B88" s="99" t="s">
        <v>260</v>
      </c>
      <c r="C88" s="99">
        <v>18328</v>
      </c>
      <c r="D88" s="99">
        <v>35</v>
      </c>
      <c r="E88" s="99">
        <v>42249</v>
      </c>
      <c r="F88" s="99" t="s">
        <v>108</v>
      </c>
      <c r="G88" s="99" t="s">
        <v>47</v>
      </c>
      <c r="H88" s="99" t="s">
        <v>259</v>
      </c>
      <c r="I88" s="99" t="s">
        <v>60</v>
      </c>
      <c r="J88" s="99" t="s">
        <v>160</v>
      </c>
      <c r="K88" s="99" t="s">
        <v>111</v>
      </c>
      <c r="L88" s="99" t="s">
        <v>5</v>
      </c>
      <c r="M88" s="99" t="s">
        <v>112</v>
      </c>
      <c r="N88" s="99">
        <v>50</v>
      </c>
      <c r="O88" s="99">
        <v>0</v>
      </c>
      <c r="P88" s="99">
        <v>50</v>
      </c>
      <c r="Q88" s="99">
        <v>1</v>
      </c>
      <c r="R88" s="99" t="s">
        <v>113</v>
      </c>
      <c r="T88" s="99" t="s">
        <v>137</v>
      </c>
      <c r="U88" s="99" t="s">
        <v>167</v>
      </c>
    </row>
    <row r="89" spans="1:21" s="99" customFormat="1" x14ac:dyDescent="0.25">
      <c r="A89" s="99">
        <v>2015</v>
      </c>
      <c r="B89" s="99" t="s">
        <v>261</v>
      </c>
      <c r="C89" s="99">
        <v>18329</v>
      </c>
      <c r="D89" s="99">
        <v>35</v>
      </c>
      <c r="E89" s="99">
        <v>42249</v>
      </c>
      <c r="F89" s="99" t="s">
        <v>108</v>
      </c>
      <c r="G89" s="99" t="s">
        <v>47</v>
      </c>
      <c r="H89" s="99" t="s">
        <v>259</v>
      </c>
      <c r="I89" s="99" t="s">
        <v>60</v>
      </c>
      <c r="J89" s="99" t="s">
        <v>160</v>
      </c>
      <c r="K89" s="99" t="s">
        <v>111</v>
      </c>
      <c r="L89" s="99" t="s">
        <v>5</v>
      </c>
      <c r="M89" s="99" t="s">
        <v>112</v>
      </c>
      <c r="N89" s="99">
        <v>23</v>
      </c>
      <c r="O89" s="99">
        <v>0</v>
      </c>
      <c r="P89" s="99">
        <v>23</v>
      </c>
      <c r="Q89" s="99">
        <v>1</v>
      </c>
      <c r="R89" s="99" t="s">
        <v>113</v>
      </c>
      <c r="T89" s="99" t="s">
        <v>137</v>
      </c>
      <c r="U89" s="99" t="s">
        <v>167</v>
      </c>
    </row>
    <row r="90" spans="1:21" s="99" customFormat="1" x14ac:dyDescent="0.25">
      <c r="A90" s="99">
        <v>2015</v>
      </c>
      <c r="B90" s="99" t="s">
        <v>262</v>
      </c>
      <c r="C90" s="99">
        <v>18330</v>
      </c>
      <c r="D90" s="99">
        <v>35</v>
      </c>
      <c r="E90" s="99">
        <v>42250</v>
      </c>
      <c r="F90" s="99" t="s">
        <v>108</v>
      </c>
      <c r="G90" s="99" t="s">
        <v>47</v>
      </c>
      <c r="H90" s="99" t="s">
        <v>263</v>
      </c>
      <c r="I90" s="99" t="s">
        <v>63</v>
      </c>
      <c r="J90" s="99" t="s">
        <v>160</v>
      </c>
      <c r="K90" s="99" t="s">
        <v>111</v>
      </c>
      <c r="L90" s="99" t="s">
        <v>5</v>
      </c>
      <c r="M90" s="99" t="s">
        <v>112</v>
      </c>
      <c r="N90" s="99">
        <v>50</v>
      </c>
      <c r="O90" s="99">
        <v>0</v>
      </c>
      <c r="P90" s="99">
        <v>50</v>
      </c>
      <c r="Q90" s="99">
        <v>1</v>
      </c>
      <c r="R90" s="99" t="s">
        <v>113</v>
      </c>
      <c r="T90" s="99" t="s">
        <v>137</v>
      </c>
      <c r="U90" s="99" t="s">
        <v>257</v>
      </c>
    </row>
    <row r="91" spans="1:21" s="99" customFormat="1" x14ac:dyDescent="0.25">
      <c r="A91" s="99">
        <v>2015</v>
      </c>
      <c r="B91" s="99" t="s">
        <v>264</v>
      </c>
      <c r="C91" s="99">
        <v>18331</v>
      </c>
      <c r="D91" s="99">
        <v>35</v>
      </c>
      <c r="E91" s="99">
        <v>42250</v>
      </c>
      <c r="F91" s="99" t="s">
        <v>108</v>
      </c>
      <c r="G91" s="99" t="s">
        <v>47</v>
      </c>
      <c r="H91" s="99" t="s">
        <v>263</v>
      </c>
      <c r="I91" s="99" t="s">
        <v>63</v>
      </c>
      <c r="J91" s="99" t="s">
        <v>160</v>
      </c>
      <c r="K91" s="99" t="s">
        <v>111</v>
      </c>
      <c r="L91" s="99" t="s">
        <v>5</v>
      </c>
      <c r="M91" s="99" t="s">
        <v>112</v>
      </c>
      <c r="N91" s="99">
        <v>50</v>
      </c>
      <c r="O91" s="99">
        <v>0</v>
      </c>
      <c r="P91" s="99">
        <v>50</v>
      </c>
      <c r="Q91" s="99">
        <v>1</v>
      </c>
      <c r="R91" s="99" t="s">
        <v>113</v>
      </c>
      <c r="T91" s="99" t="s">
        <v>137</v>
      </c>
      <c r="U91" s="99" t="s">
        <v>257</v>
      </c>
    </row>
    <row r="92" spans="1:21" x14ac:dyDescent="0.25">
      <c r="A92" s="37">
        <v>2015</v>
      </c>
      <c r="B92" s="37" t="s">
        <v>265</v>
      </c>
      <c r="C92" s="37">
        <v>18332</v>
      </c>
      <c r="D92" s="37">
        <v>35</v>
      </c>
      <c r="E92" s="37">
        <v>42250</v>
      </c>
      <c r="F92" s="37" t="s">
        <v>108</v>
      </c>
      <c r="G92" s="37" t="s">
        <v>47</v>
      </c>
      <c r="H92" s="37" t="s">
        <v>263</v>
      </c>
      <c r="I92" s="37" t="s">
        <v>63</v>
      </c>
      <c r="J92" s="37" t="s">
        <v>160</v>
      </c>
      <c r="K92" s="37" t="s">
        <v>111</v>
      </c>
      <c r="L92" s="37" t="s">
        <v>5</v>
      </c>
      <c r="M92" s="37" t="s">
        <v>112</v>
      </c>
      <c r="N92" s="37">
        <v>49</v>
      </c>
      <c r="O92" s="37">
        <v>0</v>
      </c>
      <c r="P92" s="37">
        <v>49</v>
      </c>
      <c r="Q92" s="37">
        <v>0</v>
      </c>
      <c r="R92" s="37" t="s">
        <v>116</v>
      </c>
      <c r="T92" s="37" t="s">
        <v>137</v>
      </c>
      <c r="U92" s="37" t="s">
        <v>257</v>
      </c>
    </row>
    <row r="93" spans="1:21" s="99" customFormat="1" x14ac:dyDescent="0.25">
      <c r="A93" s="99">
        <v>2015</v>
      </c>
      <c r="B93" s="99" t="s">
        <v>266</v>
      </c>
      <c r="C93" s="99">
        <v>18333</v>
      </c>
      <c r="D93" s="99">
        <v>35</v>
      </c>
      <c r="E93" s="99">
        <v>42250</v>
      </c>
      <c r="F93" s="99" t="s">
        <v>108</v>
      </c>
      <c r="G93" s="99" t="s">
        <v>47</v>
      </c>
      <c r="H93" s="99" t="s">
        <v>267</v>
      </c>
      <c r="I93" s="99" t="s">
        <v>62</v>
      </c>
      <c r="J93" s="99" t="s">
        <v>160</v>
      </c>
      <c r="K93" s="99" t="s">
        <v>111</v>
      </c>
      <c r="L93" s="99" t="s">
        <v>5</v>
      </c>
      <c r="M93" s="99" t="s">
        <v>112</v>
      </c>
      <c r="N93" s="99">
        <v>50</v>
      </c>
      <c r="O93" s="99">
        <v>0</v>
      </c>
      <c r="P93" s="99">
        <v>50</v>
      </c>
      <c r="Q93" s="99">
        <v>1</v>
      </c>
      <c r="R93" s="99" t="s">
        <v>113</v>
      </c>
      <c r="T93" s="99" t="s">
        <v>137</v>
      </c>
      <c r="U93" s="99" t="s">
        <v>143</v>
      </c>
    </row>
    <row r="94" spans="1:21" s="99" customFormat="1" x14ac:dyDescent="0.25">
      <c r="A94" s="99">
        <v>2015</v>
      </c>
      <c r="B94" s="99" t="s">
        <v>268</v>
      </c>
      <c r="C94" s="99">
        <v>18334</v>
      </c>
      <c r="D94" s="99">
        <v>35</v>
      </c>
      <c r="E94" s="99">
        <v>42250</v>
      </c>
      <c r="F94" s="99" t="s">
        <v>108</v>
      </c>
      <c r="G94" s="99" t="s">
        <v>47</v>
      </c>
      <c r="H94" s="99" t="s">
        <v>267</v>
      </c>
      <c r="I94" s="99" t="s">
        <v>62</v>
      </c>
      <c r="J94" s="99" t="s">
        <v>160</v>
      </c>
      <c r="K94" s="99" t="s">
        <v>111</v>
      </c>
      <c r="L94" s="99" t="s">
        <v>5</v>
      </c>
      <c r="M94" s="99" t="s">
        <v>112</v>
      </c>
      <c r="N94" s="99">
        <v>50</v>
      </c>
      <c r="O94" s="99">
        <v>0</v>
      </c>
      <c r="P94" s="99">
        <v>50</v>
      </c>
      <c r="Q94" s="99">
        <v>1</v>
      </c>
      <c r="R94" s="99" t="s">
        <v>113</v>
      </c>
      <c r="T94" s="99" t="s">
        <v>137</v>
      </c>
      <c r="U94" s="99" t="s">
        <v>143</v>
      </c>
    </row>
    <row r="95" spans="1:21" x14ac:dyDescent="0.25">
      <c r="A95" s="37">
        <v>2015</v>
      </c>
      <c r="B95" s="37" t="s">
        <v>269</v>
      </c>
      <c r="C95" s="37">
        <v>18335</v>
      </c>
      <c r="D95" s="37">
        <v>35</v>
      </c>
      <c r="E95" s="37">
        <v>42250</v>
      </c>
      <c r="F95" s="37" t="s">
        <v>108</v>
      </c>
      <c r="G95" s="37" t="s">
        <v>47</v>
      </c>
      <c r="H95" s="37" t="s">
        <v>267</v>
      </c>
      <c r="I95" s="37" t="s">
        <v>62</v>
      </c>
      <c r="J95" s="37" t="s">
        <v>160</v>
      </c>
      <c r="K95" s="37" t="s">
        <v>111</v>
      </c>
      <c r="L95" s="37" t="s">
        <v>5</v>
      </c>
      <c r="M95" s="37" t="s">
        <v>112</v>
      </c>
      <c r="N95" s="37">
        <v>5</v>
      </c>
      <c r="O95" s="37">
        <v>0</v>
      </c>
      <c r="P95" s="37">
        <v>5</v>
      </c>
      <c r="Q95" s="37">
        <v>0</v>
      </c>
      <c r="R95" s="37" t="s">
        <v>116</v>
      </c>
      <c r="T95" s="37" t="s">
        <v>137</v>
      </c>
      <c r="U95" s="37" t="s">
        <v>143</v>
      </c>
    </row>
    <row r="96" spans="1:21" x14ac:dyDescent="0.25">
      <c r="A96" s="37">
        <v>2015</v>
      </c>
      <c r="B96" s="37" t="s">
        <v>270</v>
      </c>
      <c r="C96" s="37">
        <v>18336</v>
      </c>
      <c r="D96" s="37">
        <v>35</v>
      </c>
      <c r="E96" s="37">
        <v>42250</v>
      </c>
      <c r="F96" s="37" t="s">
        <v>108</v>
      </c>
      <c r="G96" s="37" t="s">
        <v>47</v>
      </c>
      <c r="H96" s="37" t="s">
        <v>271</v>
      </c>
      <c r="I96" s="37" t="s">
        <v>63</v>
      </c>
      <c r="J96" s="37" t="s">
        <v>110</v>
      </c>
      <c r="K96" s="37" t="s">
        <v>111</v>
      </c>
      <c r="L96" s="37" t="s">
        <v>6</v>
      </c>
      <c r="M96" s="37" t="s">
        <v>112</v>
      </c>
      <c r="N96" s="37">
        <v>0</v>
      </c>
      <c r="O96" s="37">
        <v>3</v>
      </c>
      <c r="P96" s="37">
        <v>3</v>
      </c>
      <c r="Q96" s="37">
        <v>0</v>
      </c>
      <c r="R96" s="37" t="s">
        <v>116</v>
      </c>
      <c r="T96" s="37" t="s">
        <v>132</v>
      </c>
      <c r="U96" s="37" t="s">
        <v>254</v>
      </c>
    </row>
    <row r="97" spans="1:21" x14ac:dyDescent="0.25">
      <c r="A97" s="37">
        <v>2015</v>
      </c>
      <c r="B97" s="37" t="s">
        <v>272</v>
      </c>
      <c r="C97" s="37">
        <v>18337</v>
      </c>
      <c r="D97" s="37">
        <v>35</v>
      </c>
      <c r="E97" s="37">
        <v>42250</v>
      </c>
      <c r="F97" s="37" t="s">
        <v>108</v>
      </c>
      <c r="G97" s="37" t="s">
        <v>47</v>
      </c>
      <c r="H97" s="37" t="s">
        <v>271</v>
      </c>
      <c r="I97" s="37" t="s">
        <v>63</v>
      </c>
      <c r="J97" s="37" t="s">
        <v>110</v>
      </c>
      <c r="K97" s="37" t="s">
        <v>111</v>
      </c>
      <c r="L97" s="37" t="s">
        <v>5</v>
      </c>
      <c r="M97" s="37" t="s">
        <v>112</v>
      </c>
      <c r="N97" s="37">
        <v>0</v>
      </c>
      <c r="O97" s="37">
        <v>3</v>
      </c>
      <c r="P97" s="37">
        <v>3</v>
      </c>
      <c r="Q97" s="37">
        <v>0</v>
      </c>
      <c r="R97" s="37" t="s">
        <v>116</v>
      </c>
      <c r="T97" s="37" t="s">
        <v>137</v>
      </c>
      <c r="U97" s="37" t="s">
        <v>257</v>
      </c>
    </row>
    <row r="98" spans="1:21" x14ac:dyDescent="0.25">
      <c r="A98" s="37">
        <v>2015</v>
      </c>
      <c r="B98" s="37" t="s">
        <v>273</v>
      </c>
      <c r="C98" s="37">
        <v>18338</v>
      </c>
      <c r="D98" s="37">
        <v>35</v>
      </c>
      <c r="E98" s="37">
        <v>42250</v>
      </c>
      <c r="F98" s="37" t="s">
        <v>108</v>
      </c>
      <c r="G98" s="37" t="s">
        <v>47</v>
      </c>
      <c r="H98" s="37" t="s">
        <v>274</v>
      </c>
      <c r="I98" s="37" t="s">
        <v>63</v>
      </c>
      <c r="J98" s="37" t="s">
        <v>110</v>
      </c>
      <c r="K98" s="37" t="s">
        <v>111</v>
      </c>
      <c r="L98" s="37" t="s">
        <v>6</v>
      </c>
      <c r="M98" s="37" t="s">
        <v>112</v>
      </c>
      <c r="N98" s="37">
        <v>0</v>
      </c>
      <c r="O98" s="37">
        <v>1</v>
      </c>
      <c r="P98" s="37">
        <v>1</v>
      </c>
      <c r="Q98" s="37">
        <v>0</v>
      </c>
      <c r="R98" s="37" t="s">
        <v>116</v>
      </c>
      <c r="T98" s="37" t="s">
        <v>132</v>
      </c>
      <c r="U98" s="37" t="s">
        <v>254</v>
      </c>
    </row>
    <row r="99" spans="1:21" x14ac:dyDescent="0.25">
      <c r="A99" s="37">
        <v>2015</v>
      </c>
      <c r="B99" s="37" t="s">
        <v>275</v>
      </c>
      <c r="C99" s="37">
        <v>18339</v>
      </c>
      <c r="D99" s="37">
        <v>35</v>
      </c>
      <c r="E99" s="37">
        <v>42250</v>
      </c>
      <c r="F99" s="37" t="s">
        <v>108</v>
      </c>
      <c r="G99" s="37" t="s">
        <v>47</v>
      </c>
      <c r="H99" s="37" t="s">
        <v>274</v>
      </c>
      <c r="I99" s="37" t="s">
        <v>63</v>
      </c>
      <c r="J99" s="37" t="s">
        <v>110</v>
      </c>
      <c r="K99" s="37" t="s">
        <v>111</v>
      </c>
      <c r="L99" s="37" t="s">
        <v>5</v>
      </c>
      <c r="M99" s="37" t="s">
        <v>112</v>
      </c>
      <c r="N99" s="37">
        <v>0</v>
      </c>
      <c r="O99" s="37">
        <v>1</v>
      </c>
      <c r="P99" s="37">
        <v>1</v>
      </c>
      <c r="Q99" s="37">
        <v>0</v>
      </c>
      <c r="R99" s="37" t="s">
        <v>116</v>
      </c>
      <c r="T99" s="37" t="s">
        <v>137</v>
      </c>
      <c r="U99" s="37" t="s">
        <v>257</v>
      </c>
    </row>
    <row r="100" spans="1:21" x14ac:dyDescent="0.25">
      <c r="A100" s="37">
        <v>2015</v>
      </c>
      <c r="B100" s="37" t="s">
        <v>276</v>
      </c>
      <c r="C100" s="37">
        <v>18340</v>
      </c>
      <c r="D100" s="37">
        <v>35</v>
      </c>
      <c r="E100" s="37">
        <v>42250</v>
      </c>
      <c r="F100" s="37" t="s">
        <v>108</v>
      </c>
      <c r="G100" s="37" t="s">
        <v>47</v>
      </c>
      <c r="H100" s="37" t="s">
        <v>277</v>
      </c>
      <c r="I100" s="37" t="s">
        <v>63</v>
      </c>
      <c r="J100" s="37" t="s">
        <v>110</v>
      </c>
      <c r="K100" s="37" t="s">
        <v>111</v>
      </c>
      <c r="L100" s="37" t="s">
        <v>5</v>
      </c>
      <c r="M100" s="37" t="s">
        <v>112</v>
      </c>
      <c r="N100" s="37">
        <v>0</v>
      </c>
      <c r="O100" s="37">
        <v>1</v>
      </c>
      <c r="P100" s="37">
        <v>1</v>
      </c>
      <c r="Q100" s="37">
        <v>0</v>
      </c>
      <c r="R100" s="37" t="s">
        <v>116</v>
      </c>
      <c r="T100" s="37" t="s">
        <v>137</v>
      </c>
      <c r="U100" s="37" t="s">
        <v>257</v>
      </c>
    </row>
    <row r="101" spans="1:21" x14ac:dyDescent="0.25">
      <c r="A101" s="37">
        <v>2015</v>
      </c>
      <c r="B101" s="37" t="s">
        <v>278</v>
      </c>
      <c r="C101" s="37">
        <v>18341</v>
      </c>
      <c r="D101" s="37">
        <v>35</v>
      </c>
      <c r="E101" s="37">
        <v>42250</v>
      </c>
      <c r="F101" s="37" t="s">
        <v>108</v>
      </c>
      <c r="G101" s="37" t="s">
        <v>47</v>
      </c>
      <c r="H101" s="37" t="s">
        <v>279</v>
      </c>
      <c r="I101" s="37" t="s">
        <v>62</v>
      </c>
      <c r="J101" s="37" t="s">
        <v>110</v>
      </c>
      <c r="K101" s="37" t="s">
        <v>111</v>
      </c>
      <c r="L101" s="37" t="s">
        <v>6</v>
      </c>
      <c r="M101" s="37" t="s">
        <v>112</v>
      </c>
      <c r="N101" s="37">
        <v>0</v>
      </c>
      <c r="O101" s="37">
        <v>4</v>
      </c>
      <c r="P101" s="37">
        <v>4</v>
      </c>
      <c r="Q101" s="37">
        <v>0</v>
      </c>
      <c r="R101" s="37" t="s">
        <v>116</v>
      </c>
      <c r="T101" s="37" t="s">
        <v>132</v>
      </c>
      <c r="U101" s="37" t="s">
        <v>141</v>
      </c>
    </row>
    <row r="102" spans="1:21" x14ac:dyDescent="0.25">
      <c r="A102" s="37">
        <v>2015</v>
      </c>
      <c r="B102" s="37" t="s">
        <v>280</v>
      </c>
      <c r="C102" s="37">
        <v>18342</v>
      </c>
      <c r="D102" s="37">
        <v>35</v>
      </c>
      <c r="E102" s="37">
        <v>42250</v>
      </c>
      <c r="F102" s="37" t="s">
        <v>108</v>
      </c>
      <c r="G102" s="37" t="s">
        <v>47</v>
      </c>
      <c r="H102" s="37" t="s">
        <v>279</v>
      </c>
      <c r="I102" s="37" t="s">
        <v>62</v>
      </c>
      <c r="J102" s="37" t="s">
        <v>110</v>
      </c>
      <c r="K102" s="37" t="s">
        <v>111</v>
      </c>
      <c r="L102" s="37" t="s">
        <v>5</v>
      </c>
      <c r="M102" s="37" t="s">
        <v>112</v>
      </c>
      <c r="N102" s="37">
        <v>0</v>
      </c>
      <c r="O102" s="37">
        <v>2</v>
      </c>
      <c r="P102" s="37">
        <v>2</v>
      </c>
      <c r="Q102" s="37">
        <v>0</v>
      </c>
      <c r="R102" s="37" t="s">
        <v>116</v>
      </c>
      <c r="T102" s="37" t="s">
        <v>137</v>
      </c>
      <c r="U102" s="37" t="s">
        <v>143</v>
      </c>
    </row>
    <row r="103" spans="1:21" x14ac:dyDescent="0.25">
      <c r="A103" s="37">
        <v>2015</v>
      </c>
      <c r="B103" s="37" t="s">
        <v>281</v>
      </c>
      <c r="C103" s="37">
        <v>18343</v>
      </c>
      <c r="D103" s="37">
        <v>35</v>
      </c>
      <c r="E103" s="37">
        <v>42250</v>
      </c>
      <c r="F103" s="37" t="s">
        <v>108</v>
      </c>
      <c r="G103" s="37" t="s">
        <v>47</v>
      </c>
      <c r="H103" s="37" t="s">
        <v>282</v>
      </c>
      <c r="I103" s="37" t="s">
        <v>62</v>
      </c>
      <c r="J103" s="37" t="s">
        <v>110</v>
      </c>
      <c r="K103" s="37" t="s">
        <v>111</v>
      </c>
      <c r="L103" s="37" t="s">
        <v>6</v>
      </c>
      <c r="M103" s="37" t="s">
        <v>112</v>
      </c>
      <c r="N103" s="37">
        <v>0</v>
      </c>
      <c r="O103" s="37">
        <v>3</v>
      </c>
      <c r="P103" s="37">
        <v>3</v>
      </c>
      <c r="Q103" s="37">
        <v>0</v>
      </c>
      <c r="R103" s="37" t="s">
        <v>116</v>
      </c>
      <c r="T103" s="37" t="s">
        <v>132</v>
      </c>
      <c r="U103" s="37" t="s">
        <v>141</v>
      </c>
    </row>
    <row r="104" spans="1:21" x14ac:dyDescent="0.25">
      <c r="A104" s="37">
        <v>2015</v>
      </c>
      <c r="B104" s="37" t="s">
        <v>283</v>
      </c>
      <c r="C104" s="37">
        <v>18344</v>
      </c>
      <c r="D104" s="37">
        <v>35</v>
      </c>
      <c r="E104" s="37">
        <v>42250</v>
      </c>
      <c r="F104" s="37" t="s">
        <v>108</v>
      </c>
      <c r="G104" s="37" t="s">
        <v>47</v>
      </c>
      <c r="H104" s="37" t="s">
        <v>282</v>
      </c>
      <c r="I104" s="37" t="s">
        <v>62</v>
      </c>
      <c r="J104" s="37" t="s">
        <v>110</v>
      </c>
      <c r="K104" s="37" t="s">
        <v>111</v>
      </c>
      <c r="L104" s="37" t="s">
        <v>5</v>
      </c>
      <c r="M104" s="37" t="s">
        <v>112</v>
      </c>
      <c r="N104" s="37">
        <v>0</v>
      </c>
      <c r="O104" s="37">
        <v>15</v>
      </c>
      <c r="P104" s="37">
        <v>15</v>
      </c>
      <c r="Q104" s="37">
        <v>0</v>
      </c>
      <c r="R104" s="37" t="s">
        <v>116</v>
      </c>
      <c r="T104" s="37" t="s">
        <v>137</v>
      </c>
      <c r="U104" s="37" t="s">
        <v>143</v>
      </c>
    </row>
    <row r="105" spans="1:21" x14ac:dyDescent="0.25">
      <c r="A105" s="37">
        <v>2015</v>
      </c>
      <c r="B105" s="37" t="s">
        <v>284</v>
      </c>
      <c r="C105" s="37">
        <v>18345</v>
      </c>
      <c r="D105" s="37">
        <v>35</v>
      </c>
      <c r="E105" s="37">
        <v>42250</v>
      </c>
      <c r="F105" s="37" t="s">
        <v>108</v>
      </c>
      <c r="G105" s="37" t="s">
        <v>47</v>
      </c>
      <c r="H105" s="37" t="s">
        <v>285</v>
      </c>
      <c r="I105" s="37" t="s">
        <v>63</v>
      </c>
      <c r="J105" s="37" t="s">
        <v>110</v>
      </c>
      <c r="K105" s="37" t="s">
        <v>111</v>
      </c>
      <c r="L105" s="37" t="s">
        <v>6</v>
      </c>
      <c r="M105" s="37" t="s">
        <v>112</v>
      </c>
      <c r="N105" s="37">
        <v>0</v>
      </c>
      <c r="O105" s="37">
        <v>2</v>
      </c>
      <c r="P105" s="37">
        <v>2</v>
      </c>
      <c r="Q105" s="37">
        <v>0</v>
      </c>
      <c r="R105" s="37" t="s">
        <v>116</v>
      </c>
      <c r="T105" s="37" t="s">
        <v>132</v>
      </c>
      <c r="U105" s="37" t="s">
        <v>254</v>
      </c>
    </row>
    <row r="106" spans="1:21" x14ac:dyDescent="0.25">
      <c r="A106" s="37">
        <v>2015</v>
      </c>
      <c r="B106" s="37" t="s">
        <v>286</v>
      </c>
      <c r="C106" s="37">
        <v>18346</v>
      </c>
      <c r="D106" s="37">
        <v>35</v>
      </c>
      <c r="E106" s="37">
        <v>42250</v>
      </c>
      <c r="F106" s="37" t="s">
        <v>108</v>
      </c>
      <c r="G106" s="37" t="s">
        <v>47</v>
      </c>
      <c r="H106" s="37" t="s">
        <v>287</v>
      </c>
      <c r="I106" s="37" t="s">
        <v>63</v>
      </c>
      <c r="J106" s="37" t="s">
        <v>110</v>
      </c>
      <c r="K106" s="37" t="s">
        <v>111</v>
      </c>
      <c r="L106" s="37" t="s">
        <v>6</v>
      </c>
      <c r="M106" s="37" t="s">
        <v>112</v>
      </c>
      <c r="N106" s="37">
        <v>0</v>
      </c>
      <c r="O106" s="37">
        <v>1</v>
      </c>
      <c r="P106" s="37">
        <v>1</v>
      </c>
      <c r="Q106" s="37">
        <v>0</v>
      </c>
      <c r="R106" s="37" t="s">
        <v>116</v>
      </c>
      <c r="T106" s="37" t="s">
        <v>132</v>
      </c>
      <c r="U106" s="37" t="s">
        <v>254</v>
      </c>
    </row>
    <row r="107" spans="1:21" x14ac:dyDescent="0.25">
      <c r="A107" s="37">
        <v>2015</v>
      </c>
      <c r="B107" s="37" t="s">
        <v>288</v>
      </c>
      <c r="C107" s="37">
        <v>18347</v>
      </c>
      <c r="D107" s="37">
        <v>35</v>
      </c>
      <c r="E107" s="37">
        <v>42250</v>
      </c>
      <c r="F107" s="37" t="s">
        <v>108</v>
      </c>
      <c r="G107" s="37" t="s">
        <v>47</v>
      </c>
      <c r="H107" s="37" t="s">
        <v>287</v>
      </c>
      <c r="I107" s="37" t="s">
        <v>63</v>
      </c>
      <c r="J107" s="37" t="s">
        <v>110</v>
      </c>
      <c r="K107" s="37" t="s">
        <v>111</v>
      </c>
      <c r="L107" s="37" t="s">
        <v>5</v>
      </c>
      <c r="M107" s="37" t="s">
        <v>112</v>
      </c>
      <c r="N107" s="37">
        <v>0</v>
      </c>
      <c r="O107" s="37">
        <v>1</v>
      </c>
      <c r="P107" s="37">
        <v>1</v>
      </c>
      <c r="Q107" s="37">
        <v>0</v>
      </c>
      <c r="R107" s="37" t="s">
        <v>116</v>
      </c>
      <c r="T107" s="37" t="s">
        <v>137</v>
      </c>
      <c r="U107" s="37" t="s">
        <v>257</v>
      </c>
    </row>
    <row r="108" spans="1:21" x14ac:dyDescent="0.25">
      <c r="A108" s="37">
        <v>2015</v>
      </c>
      <c r="B108" s="37" t="s">
        <v>289</v>
      </c>
      <c r="C108" s="37">
        <v>18348</v>
      </c>
      <c r="D108" s="37">
        <v>35</v>
      </c>
      <c r="E108" s="37">
        <v>42250</v>
      </c>
      <c r="F108" s="37" t="s">
        <v>108</v>
      </c>
      <c r="G108" s="37" t="s">
        <v>47</v>
      </c>
      <c r="H108" s="37" t="s">
        <v>290</v>
      </c>
      <c r="I108" s="37" t="s">
        <v>63</v>
      </c>
      <c r="J108" s="37" t="s">
        <v>110</v>
      </c>
      <c r="K108" s="37" t="s">
        <v>111</v>
      </c>
      <c r="L108" s="37" t="s">
        <v>6</v>
      </c>
      <c r="M108" s="37" t="s">
        <v>112</v>
      </c>
      <c r="N108" s="37">
        <v>0</v>
      </c>
      <c r="O108" s="37">
        <v>4</v>
      </c>
      <c r="P108" s="37">
        <v>4</v>
      </c>
      <c r="Q108" s="37">
        <v>0</v>
      </c>
      <c r="R108" s="37" t="s">
        <v>116</v>
      </c>
      <c r="T108" s="37" t="s">
        <v>132</v>
      </c>
      <c r="U108" s="37" t="s">
        <v>254</v>
      </c>
    </row>
    <row r="109" spans="1:21" x14ac:dyDescent="0.25">
      <c r="A109" s="37"/>
      <c r="E109" s="37"/>
    </row>
    <row r="110" spans="1:21" x14ac:dyDescent="0.25">
      <c r="A110" s="37"/>
      <c r="E110" s="37"/>
    </row>
    <row r="111" spans="1:21" x14ac:dyDescent="0.25">
      <c r="A111" s="37"/>
      <c r="E111" s="37"/>
    </row>
    <row r="112" spans="1:21" x14ac:dyDescent="0.25">
      <c r="A112" s="37"/>
      <c r="E112" s="37"/>
    </row>
    <row r="113" spans="1:5" x14ac:dyDescent="0.25">
      <c r="A113" s="37"/>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U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B2" sqref="B2"/>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7" t="s">
        <v>46</v>
      </c>
      <c r="B1" s="58" t="s">
        <v>370</v>
      </c>
      <c r="C1" s="58" t="s">
        <v>371</v>
      </c>
      <c r="D1" s="58" t="s">
        <v>372</v>
      </c>
      <c r="E1" s="57" t="s">
        <v>373</v>
      </c>
      <c r="F1" s="57" t="s">
        <v>374</v>
      </c>
      <c r="G1" s="57" t="s">
        <v>375</v>
      </c>
      <c r="H1" s="57" t="s">
        <v>376</v>
      </c>
      <c r="I1" s="57" t="s">
        <v>377</v>
      </c>
      <c r="J1" s="57" t="s">
        <v>378</v>
      </c>
    </row>
    <row r="2" spans="1:10" x14ac:dyDescent="0.25">
      <c r="A2" t="s">
        <v>9</v>
      </c>
      <c r="B2" s="31">
        <v>17.854101114790897</v>
      </c>
      <c r="C2" s="31">
        <v>3.707418911410334</v>
      </c>
      <c r="D2" s="31">
        <v>64.438307552814123</v>
      </c>
      <c r="E2" s="55">
        <v>1000</v>
      </c>
      <c r="F2" s="56" t="s">
        <v>379</v>
      </c>
      <c r="G2" s="56" t="s">
        <v>380</v>
      </c>
      <c r="H2">
        <v>9</v>
      </c>
      <c r="I2">
        <v>2</v>
      </c>
      <c r="J2">
        <v>122</v>
      </c>
    </row>
    <row r="3" spans="1:10" x14ac:dyDescent="0.25">
      <c r="A3" t="s">
        <v>61</v>
      </c>
      <c r="B3" s="31">
        <v>17.6563861396038</v>
      </c>
      <c r="C3" s="31">
        <v>7.7809288851711615</v>
      </c>
      <c r="D3" s="31">
        <v>36.331873271165456</v>
      </c>
      <c r="E3" s="55">
        <v>1000</v>
      </c>
      <c r="F3" s="56" t="s">
        <v>379</v>
      </c>
      <c r="G3" s="56" t="s">
        <v>380</v>
      </c>
      <c r="H3">
        <v>27</v>
      </c>
      <c r="I3">
        <v>7</v>
      </c>
      <c r="J3">
        <v>511</v>
      </c>
    </row>
    <row r="4" spans="1:10" x14ac:dyDescent="0.25">
      <c r="A4" t="s">
        <v>60</v>
      </c>
      <c r="B4" s="31">
        <v>35.797259405174039</v>
      </c>
      <c r="C4" s="31">
        <v>11.171820983945452</v>
      </c>
      <c r="D4" s="31">
        <v>104.75958817623425</v>
      </c>
      <c r="E4" s="55">
        <v>1000</v>
      </c>
      <c r="F4" s="56" t="s">
        <v>379</v>
      </c>
      <c r="G4" s="56" t="s">
        <v>380</v>
      </c>
      <c r="H4">
        <v>18</v>
      </c>
      <c r="I4">
        <v>4</v>
      </c>
      <c r="J4">
        <v>178</v>
      </c>
    </row>
    <row r="5" spans="1:10" x14ac:dyDescent="0.25">
      <c r="A5" t="s">
        <v>62</v>
      </c>
      <c r="B5" s="31">
        <v>23.457557531797931</v>
      </c>
      <c r="C5" s="31">
        <v>11.482814465256352</v>
      </c>
      <c r="D5" s="31">
        <v>44.996251619979986</v>
      </c>
      <c r="E5" s="55">
        <v>1000</v>
      </c>
      <c r="F5" s="56" t="s">
        <v>379</v>
      </c>
      <c r="G5" s="56" t="s">
        <v>380</v>
      </c>
      <c r="H5">
        <v>39</v>
      </c>
      <c r="I5">
        <v>9</v>
      </c>
      <c r="J5">
        <v>530</v>
      </c>
    </row>
    <row r="6" spans="1:10" x14ac:dyDescent="0.25">
      <c r="A6" t="s">
        <v>63</v>
      </c>
      <c r="B6" s="31">
        <v>14.349242226412803</v>
      </c>
      <c r="C6" s="31">
        <v>2.6496726440682461</v>
      </c>
      <c r="D6" s="31">
        <v>55.522401668781036</v>
      </c>
      <c r="E6" s="55">
        <v>1000</v>
      </c>
      <c r="F6" s="56" t="s">
        <v>379</v>
      </c>
      <c r="G6" s="56" t="s">
        <v>380</v>
      </c>
      <c r="H6">
        <v>14</v>
      </c>
      <c r="I6">
        <v>2</v>
      </c>
      <c r="J6">
        <v>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7" t="s">
        <v>41</v>
      </c>
      <c r="B1" s="58" t="s">
        <v>370</v>
      </c>
      <c r="C1" s="58" t="s">
        <v>371</v>
      </c>
      <c r="D1" s="58" t="s">
        <v>372</v>
      </c>
      <c r="E1" s="57" t="s">
        <v>373</v>
      </c>
      <c r="F1" s="57" t="s">
        <v>374</v>
      </c>
      <c r="G1" s="57" t="s">
        <v>375</v>
      </c>
      <c r="H1" s="57" t="s">
        <v>376</v>
      </c>
      <c r="I1" s="57" t="s">
        <v>377</v>
      </c>
      <c r="J1" s="57" t="s">
        <v>378</v>
      </c>
    </row>
    <row r="2" spans="1:10" x14ac:dyDescent="0.25">
      <c r="A2" t="s">
        <v>47</v>
      </c>
      <c r="B2" s="31">
        <v>22.357509100527952</v>
      </c>
      <c r="C2" s="31">
        <v>14.260046170179402</v>
      </c>
      <c r="D2" s="31">
        <v>34.167774560582522</v>
      </c>
      <c r="E2" s="55">
        <v>1000</v>
      </c>
      <c r="F2" s="56" t="s">
        <v>379</v>
      </c>
      <c r="G2" s="56" t="s">
        <v>380</v>
      </c>
      <c r="H2">
        <v>98</v>
      </c>
      <c r="I2">
        <v>22</v>
      </c>
      <c r="J2">
        <v>1391</v>
      </c>
    </row>
    <row r="3" spans="1:10" x14ac:dyDescent="0.25">
      <c r="A3" t="s">
        <v>9</v>
      </c>
      <c r="B3" s="31">
        <v>17.854101114790897</v>
      </c>
      <c r="C3" s="31">
        <v>3.707418911410334</v>
      </c>
      <c r="D3" s="31">
        <v>64.438307552814123</v>
      </c>
      <c r="E3" s="55">
        <v>1000</v>
      </c>
      <c r="F3" s="56" t="s">
        <v>379</v>
      </c>
      <c r="G3" s="56" t="s">
        <v>380</v>
      </c>
      <c r="H3">
        <v>9</v>
      </c>
      <c r="I3">
        <v>2</v>
      </c>
      <c r="J3">
        <v>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7" t="s">
        <v>94</v>
      </c>
      <c r="B1" s="58" t="s">
        <v>370</v>
      </c>
      <c r="C1" s="58" t="s">
        <v>371</v>
      </c>
      <c r="D1" s="58" t="s">
        <v>372</v>
      </c>
      <c r="E1" s="57" t="s">
        <v>373</v>
      </c>
      <c r="F1" s="57" t="s">
        <v>374</v>
      </c>
      <c r="G1" s="57" t="s">
        <v>375</v>
      </c>
      <c r="H1" s="57" t="s">
        <v>376</v>
      </c>
      <c r="I1" s="57" t="s">
        <v>377</v>
      </c>
      <c r="J1" s="57" t="s">
        <v>378</v>
      </c>
    </row>
    <row r="2" spans="1:10" x14ac:dyDescent="0.25">
      <c r="A2" t="s">
        <v>122</v>
      </c>
      <c r="B2" s="31">
        <v>0</v>
      </c>
      <c r="C2" s="31">
        <v>0</v>
      </c>
      <c r="D2" s="31">
        <v>391.7916000001814</v>
      </c>
      <c r="E2" s="55">
        <v>1000</v>
      </c>
      <c r="F2" s="56" t="s">
        <v>64</v>
      </c>
      <c r="G2" s="56" t="s">
        <v>381</v>
      </c>
      <c r="H2">
        <v>2</v>
      </c>
      <c r="I2">
        <v>0</v>
      </c>
      <c r="J2">
        <v>4</v>
      </c>
    </row>
    <row r="3" spans="1:10" x14ac:dyDescent="0.25">
      <c r="A3" t="s">
        <v>114</v>
      </c>
      <c r="B3" s="31">
        <v>18.202616187224425</v>
      </c>
      <c r="C3" s="31">
        <v>3.8935085770835398</v>
      </c>
      <c r="D3" s="31">
        <v>66.937279800555416</v>
      </c>
      <c r="E3" s="55">
        <v>1000</v>
      </c>
      <c r="F3" s="56" t="s">
        <v>379</v>
      </c>
      <c r="G3" s="56" t="s">
        <v>380</v>
      </c>
      <c r="H3">
        <v>7</v>
      </c>
      <c r="I3">
        <v>2</v>
      </c>
      <c r="J3">
        <v>118</v>
      </c>
    </row>
    <row r="4" spans="1:10" x14ac:dyDescent="0.25">
      <c r="A4" t="s">
        <v>138</v>
      </c>
      <c r="B4" s="31">
        <v>20.943357229192987</v>
      </c>
      <c r="C4" s="31">
        <v>8.613824310867269</v>
      </c>
      <c r="D4" s="31">
        <v>46.69181828781209</v>
      </c>
      <c r="E4" s="55">
        <v>1000</v>
      </c>
      <c r="F4" s="56" t="s">
        <v>379</v>
      </c>
      <c r="G4" s="56" t="s">
        <v>380</v>
      </c>
      <c r="H4">
        <v>17</v>
      </c>
      <c r="I4">
        <v>6</v>
      </c>
      <c r="J4">
        <v>398</v>
      </c>
    </row>
    <row r="5" spans="1:10" x14ac:dyDescent="0.25">
      <c r="A5" t="s">
        <v>133</v>
      </c>
      <c r="B5" s="31">
        <v>8.5055429399774489</v>
      </c>
      <c r="C5" s="31">
        <v>0.5213409744477624</v>
      </c>
      <c r="D5" s="31">
        <v>40.705315663315815</v>
      </c>
      <c r="E5" s="55">
        <v>1000</v>
      </c>
      <c r="F5" s="56" t="s">
        <v>379</v>
      </c>
      <c r="G5" s="56" t="s">
        <v>380</v>
      </c>
      <c r="H5">
        <v>10</v>
      </c>
      <c r="I5">
        <v>1</v>
      </c>
      <c r="J5">
        <v>113</v>
      </c>
    </row>
    <row r="6" spans="1:10" x14ac:dyDescent="0.25">
      <c r="A6" t="s">
        <v>167</v>
      </c>
      <c r="B6" s="31">
        <v>47.258177848682003</v>
      </c>
      <c r="C6" s="31">
        <v>15.09386248107554</v>
      </c>
      <c r="D6" s="31">
        <v>159.27989965773463</v>
      </c>
      <c r="E6" s="55">
        <v>1000</v>
      </c>
      <c r="F6" s="56" t="s">
        <v>379</v>
      </c>
      <c r="G6" s="56" t="s">
        <v>380</v>
      </c>
      <c r="H6">
        <v>12</v>
      </c>
      <c r="I6">
        <v>4</v>
      </c>
      <c r="J6">
        <v>154</v>
      </c>
    </row>
    <row r="7" spans="1:10" x14ac:dyDescent="0.25">
      <c r="A7" t="s">
        <v>165</v>
      </c>
      <c r="B7" s="31">
        <v>0</v>
      </c>
      <c r="C7" s="31">
        <v>0</v>
      </c>
      <c r="D7" s="31">
        <v>106.95346771115925</v>
      </c>
      <c r="E7" s="55">
        <v>1000</v>
      </c>
      <c r="F7" s="56" t="s">
        <v>64</v>
      </c>
      <c r="G7" s="56" t="s">
        <v>381</v>
      </c>
      <c r="H7">
        <v>6</v>
      </c>
      <c r="I7">
        <v>0</v>
      </c>
      <c r="J7">
        <v>24</v>
      </c>
    </row>
    <row r="8" spans="1:10" x14ac:dyDescent="0.25">
      <c r="A8" t="s">
        <v>143</v>
      </c>
      <c r="B8" s="31">
        <v>21.754017572111351</v>
      </c>
      <c r="C8" s="31">
        <v>9.5332848642696817</v>
      </c>
      <c r="D8" s="31">
        <v>46.165684112291082</v>
      </c>
      <c r="E8" s="55">
        <v>1000</v>
      </c>
      <c r="F8" s="56" t="s">
        <v>379</v>
      </c>
      <c r="G8" s="56" t="s">
        <v>380</v>
      </c>
      <c r="H8">
        <v>24</v>
      </c>
      <c r="I8">
        <v>7</v>
      </c>
      <c r="J8">
        <v>458</v>
      </c>
    </row>
    <row r="9" spans="1:10" x14ac:dyDescent="0.25">
      <c r="A9" t="s">
        <v>141</v>
      </c>
      <c r="B9" s="31">
        <v>29.049215303824052</v>
      </c>
      <c r="C9" s="31">
        <v>5.293216695990572</v>
      </c>
      <c r="D9" s="31">
        <v>93.953637443737875</v>
      </c>
      <c r="E9" s="55">
        <v>1000</v>
      </c>
      <c r="F9" s="56" t="s">
        <v>379</v>
      </c>
      <c r="G9" s="56" t="s">
        <v>380</v>
      </c>
      <c r="H9">
        <v>15</v>
      </c>
      <c r="I9">
        <v>2</v>
      </c>
      <c r="J9">
        <v>72</v>
      </c>
    </row>
    <row r="10" spans="1:10" x14ac:dyDescent="0.25">
      <c r="A10" t="s">
        <v>257</v>
      </c>
      <c r="B10" s="31">
        <v>15.235082281023168</v>
      </c>
      <c r="C10" s="31">
        <v>2.9772034832666519</v>
      </c>
      <c r="D10" s="31">
        <v>63.066657913122143</v>
      </c>
      <c r="E10" s="55">
        <v>1000</v>
      </c>
      <c r="F10" s="56" t="s">
        <v>379</v>
      </c>
      <c r="G10" s="56" t="s">
        <v>380</v>
      </c>
      <c r="H10">
        <v>8</v>
      </c>
      <c r="I10">
        <v>2</v>
      </c>
      <c r="J10">
        <v>159</v>
      </c>
    </row>
    <row r="11" spans="1:10" x14ac:dyDescent="0.25">
      <c r="A11" t="s">
        <v>254</v>
      </c>
      <c r="B11" s="31">
        <v>0</v>
      </c>
      <c r="C11" s="31">
        <v>0</v>
      </c>
      <c r="D11" s="31">
        <v>196.1806725875968</v>
      </c>
      <c r="E11" s="55">
        <v>1000</v>
      </c>
      <c r="F11" s="56" t="s">
        <v>64</v>
      </c>
      <c r="G11" s="56" t="s">
        <v>381</v>
      </c>
      <c r="H11">
        <v>6</v>
      </c>
      <c r="I11">
        <v>0</v>
      </c>
      <c r="J11">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7" t="s">
        <v>93</v>
      </c>
      <c r="B1" s="58" t="s">
        <v>370</v>
      </c>
      <c r="C1" s="58" t="s">
        <v>371</v>
      </c>
      <c r="D1" s="58" t="s">
        <v>372</v>
      </c>
      <c r="E1" s="57" t="s">
        <v>373</v>
      </c>
      <c r="F1" s="57" t="s">
        <v>374</v>
      </c>
      <c r="G1" s="57" t="s">
        <v>375</v>
      </c>
      <c r="H1" s="57" t="s">
        <v>376</v>
      </c>
      <c r="I1" s="57" t="s">
        <v>377</v>
      </c>
      <c r="J1" s="57" t="s">
        <v>378</v>
      </c>
    </row>
    <row r="2" spans="1:10" x14ac:dyDescent="0.25">
      <c r="A2" t="s">
        <v>137</v>
      </c>
      <c r="B2" s="31">
        <v>24.780501879271462</v>
      </c>
      <c r="C2" s="31">
        <v>15.236406659077687</v>
      </c>
      <c r="D2" s="31">
        <v>39.467314513447519</v>
      </c>
      <c r="E2" s="55">
        <v>1000</v>
      </c>
      <c r="F2" s="56" t="s">
        <v>379</v>
      </c>
      <c r="G2" s="56" t="s">
        <v>380</v>
      </c>
      <c r="H2">
        <v>61</v>
      </c>
      <c r="I2">
        <v>19</v>
      </c>
      <c r="J2">
        <v>1169</v>
      </c>
    </row>
    <row r="3" spans="1:10" x14ac:dyDescent="0.25">
      <c r="A3" t="s">
        <v>132</v>
      </c>
      <c r="B3" s="31">
        <v>13.756288781255989</v>
      </c>
      <c r="C3" s="31">
        <v>3.7155652793815972</v>
      </c>
      <c r="D3" s="31">
        <v>36.603358413116112</v>
      </c>
      <c r="E3" s="55">
        <v>1000</v>
      </c>
      <c r="F3" s="56" t="s">
        <v>379</v>
      </c>
      <c r="G3" s="56" t="s">
        <v>380</v>
      </c>
      <c r="H3">
        <v>37</v>
      </c>
      <c r="I3">
        <v>3</v>
      </c>
      <c r="J3">
        <v>222</v>
      </c>
    </row>
    <row r="4" spans="1:10" x14ac:dyDescent="0.25">
      <c r="A4" t="s">
        <v>122</v>
      </c>
      <c r="B4" s="31">
        <v>0</v>
      </c>
      <c r="C4" s="31">
        <v>0</v>
      </c>
      <c r="D4" s="31">
        <v>391.7916000001814</v>
      </c>
      <c r="E4" s="55">
        <v>1000</v>
      </c>
      <c r="F4" s="56" t="s">
        <v>64</v>
      </c>
      <c r="G4" s="56" t="s">
        <v>381</v>
      </c>
      <c r="H4">
        <v>2</v>
      </c>
      <c r="I4">
        <v>0</v>
      </c>
      <c r="J4">
        <v>4</v>
      </c>
    </row>
    <row r="5" spans="1:10" x14ac:dyDescent="0.25">
      <c r="A5" t="s">
        <v>114</v>
      </c>
      <c r="B5" s="31">
        <v>18.202616187224425</v>
      </c>
      <c r="C5" s="31">
        <v>3.8935085770835398</v>
      </c>
      <c r="D5" s="31">
        <v>66.937279800555416</v>
      </c>
      <c r="E5" s="55">
        <v>1000</v>
      </c>
      <c r="F5" s="56" t="s">
        <v>379</v>
      </c>
      <c r="G5" s="56" t="s">
        <v>380</v>
      </c>
      <c r="H5">
        <v>7</v>
      </c>
      <c r="I5">
        <v>2</v>
      </c>
      <c r="J5">
        <v>118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
  <sheetViews>
    <sheetView topLeftCell="A27" workbookViewId="0">
      <selection activeCell="O22" sqref="O22"/>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5" t="s">
        <v>8</v>
      </c>
      <c r="B1" s="45" t="s">
        <v>0</v>
      </c>
      <c r="C1" s="45" t="s">
        <v>68</v>
      </c>
      <c r="D1" s="45" t="s">
        <v>46</v>
      </c>
      <c r="E1" s="45" t="s">
        <v>69</v>
      </c>
      <c r="F1" s="45" t="s">
        <v>70</v>
      </c>
      <c r="G1" s="45" t="s">
        <v>71</v>
      </c>
      <c r="H1" s="45" t="s">
        <v>72</v>
      </c>
      <c r="I1" s="45" t="s">
        <v>73</v>
      </c>
      <c r="J1" s="45" t="s">
        <v>74</v>
      </c>
      <c r="K1" s="45" t="s">
        <v>75</v>
      </c>
      <c r="L1" s="45" t="s">
        <v>45</v>
      </c>
    </row>
    <row r="2" spans="1:12" x14ac:dyDescent="0.25">
      <c r="A2" s="46">
        <v>35</v>
      </c>
      <c r="B2" s="46" t="s">
        <v>291</v>
      </c>
      <c r="C2" s="46" t="s">
        <v>169</v>
      </c>
      <c r="D2" s="46" t="s">
        <v>61</v>
      </c>
      <c r="E2" s="46" t="s">
        <v>292</v>
      </c>
      <c r="F2" s="46" t="s">
        <v>110</v>
      </c>
      <c r="G2" s="46" t="s">
        <v>293</v>
      </c>
      <c r="H2" s="46">
        <v>12</v>
      </c>
      <c r="I2" s="46">
        <v>12</v>
      </c>
      <c r="J2" s="46">
        <v>24</v>
      </c>
      <c r="K2" s="46">
        <v>128</v>
      </c>
      <c r="L2" s="46"/>
    </row>
    <row r="3" spans="1:12" x14ac:dyDescent="0.25">
      <c r="A3" s="46">
        <v>35</v>
      </c>
      <c r="B3" s="46" t="s">
        <v>291</v>
      </c>
      <c r="C3" s="46" t="s">
        <v>135</v>
      </c>
      <c r="D3" s="46" t="s">
        <v>61</v>
      </c>
      <c r="E3" s="46" t="s">
        <v>294</v>
      </c>
      <c r="F3" s="46" t="s">
        <v>110</v>
      </c>
      <c r="G3" s="46" t="s">
        <v>293</v>
      </c>
      <c r="H3" s="46">
        <v>7</v>
      </c>
      <c r="I3" s="46">
        <v>16</v>
      </c>
      <c r="J3" s="46">
        <v>23</v>
      </c>
      <c r="K3" s="46">
        <v>77</v>
      </c>
      <c r="L3" s="46"/>
    </row>
    <row r="4" spans="1:12" x14ac:dyDescent="0.25">
      <c r="A4" s="46">
        <v>35</v>
      </c>
      <c r="B4" s="46" t="s">
        <v>291</v>
      </c>
      <c r="C4" s="46" t="s">
        <v>181</v>
      </c>
      <c r="D4" s="46" t="s">
        <v>61</v>
      </c>
      <c r="E4" s="46" t="s">
        <v>295</v>
      </c>
      <c r="F4" s="46" t="s">
        <v>110</v>
      </c>
      <c r="G4" s="46" t="s">
        <v>293</v>
      </c>
      <c r="H4" s="46">
        <v>10</v>
      </c>
      <c r="I4" s="46">
        <v>9</v>
      </c>
      <c r="J4" s="46">
        <v>19</v>
      </c>
      <c r="K4" s="46">
        <v>53</v>
      </c>
      <c r="L4" s="46"/>
    </row>
    <row r="5" spans="1:12" x14ac:dyDescent="0.25">
      <c r="A5" s="46">
        <v>35</v>
      </c>
      <c r="B5" s="46" t="s">
        <v>291</v>
      </c>
      <c r="C5" s="46" t="s">
        <v>151</v>
      </c>
      <c r="D5" s="46" t="s">
        <v>61</v>
      </c>
      <c r="E5" s="46" t="s">
        <v>296</v>
      </c>
      <c r="F5" s="46" t="s">
        <v>110</v>
      </c>
      <c r="G5" s="46" t="s">
        <v>293</v>
      </c>
      <c r="H5" s="46">
        <v>5</v>
      </c>
      <c r="I5" s="46">
        <v>5</v>
      </c>
      <c r="J5" s="46">
        <v>10</v>
      </c>
      <c r="K5" s="46">
        <v>35</v>
      </c>
      <c r="L5" s="46"/>
    </row>
    <row r="6" spans="1:12" x14ac:dyDescent="0.25">
      <c r="A6" s="46">
        <v>35</v>
      </c>
      <c r="B6" s="46" t="s">
        <v>291</v>
      </c>
      <c r="C6" s="46" t="s">
        <v>148</v>
      </c>
      <c r="D6" s="46" t="s">
        <v>61</v>
      </c>
      <c r="E6" s="46" t="s">
        <v>297</v>
      </c>
      <c r="F6" s="46" t="s">
        <v>110</v>
      </c>
      <c r="G6" s="46" t="s">
        <v>293</v>
      </c>
      <c r="H6" s="46">
        <v>26</v>
      </c>
      <c r="I6" s="46">
        <v>13</v>
      </c>
      <c r="J6" s="46">
        <v>39</v>
      </c>
      <c r="K6" s="46">
        <v>84</v>
      </c>
      <c r="L6" s="46"/>
    </row>
    <row r="7" spans="1:12" x14ac:dyDescent="0.25">
      <c r="A7" s="46">
        <v>35</v>
      </c>
      <c r="B7" s="46" t="s">
        <v>291</v>
      </c>
      <c r="C7" s="46" t="s">
        <v>156</v>
      </c>
      <c r="D7" s="46" t="s">
        <v>61</v>
      </c>
      <c r="E7" s="46" t="s">
        <v>298</v>
      </c>
      <c r="F7" s="46" t="s">
        <v>110</v>
      </c>
      <c r="G7" s="46" t="s">
        <v>293</v>
      </c>
      <c r="H7" s="46">
        <v>7</v>
      </c>
      <c r="I7" s="46">
        <v>12</v>
      </c>
      <c r="J7" s="46">
        <v>19</v>
      </c>
      <c r="K7" s="46">
        <v>131</v>
      </c>
      <c r="L7" s="46"/>
    </row>
    <row r="8" spans="1:12" x14ac:dyDescent="0.25">
      <c r="A8" s="46">
        <v>35</v>
      </c>
      <c r="B8" s="46" t="s">
        <v>291</v>
      </c>
      <c r="C8" s="46" t="s">
        <v>186</v>
      </c>
      <c r="D8" s="46" t="s">
        <v>61</v>
      </c>
      <c r="E8" s="46" t="s">
        <v>299</v>
      </c>
      <c r="F8" s="46" t="s">
        <v>110</v>
      </c>
      <c r="G8" s="46" t="s">
        <v>293</v>
      </c>
      <c r="H8" s="46">
        <v>18</v>
      </c>
      <c r="I8" s="46">
        <v>70</v>
      </c>
      <c r="J8" s="46">
        <v>88</v>
      </c>
      <c r="K8" s="46">
        <v>345</v>
      </c>
      <c r="L8" s="46"/>
    </row>
    <row r="9" spans="1:12" x14ac:dyDescent="0.25">
      <c r="A9" s="46">
        <v>35</v>
      </c>
      <c r="B9" s="46" t="s">
        <v>291</v>
      </c>
      <c r="C9" s="46" t="s">
        <v>131</v>
      </c>
      <c r="D9" s="46" t="s">
        <v>61</v>
      </c>
      <c r="E9" s="46" t="s">
        <v>300</v>
      </c>
      <c r="F9" s="46" t="s">
        <v>110</v>
      </c>
      <c r="G9" s="46" t="s">
        <v>293</v>
      </c>
      <c r="H9" s="46">
        <v>12</v>
      </c>
      <c r="I9" s="46">
        <v>0</v>
      </c>
      <c r="J9" s="46">
        <v>12</v>
      </c>
      <c r="K9" s="46">
        <v>61</v>
      </c>
      <c r="L9" s="46"/>
    </row>
    <row r="10" spans="1:12" x14ac:dyDescent="0.25">
      <c r="A10" s="46">
        <v>35</v>
      </c>
      <c r="B10" s="46" t="s">
        <v>291</v>
      </c>
      <c r="C10" s="46" t="s">
        <v>154</v>
      </c>
      <c r="D10" s="46" t="s">
        <v>61</v>
      </c>
      <c r="E10" s="46" t="s">
        <v>301</v>
      </c>
      <c r="F10" s="46" t="s">
        <v>110</v>
      </c>
      <c r="G10" s="46" t="s">
        <v>293</v>
      </c>
      <c r="H10" s="46">
        <v>3</v>
      </c>
      <c r="I10" s="46">
        <v>0</v>
      </c>
      <c r="J10" s="46">
        <v>3</v>
      </c>
      <c r="K10" s="46">
        <v>31</v>
      </c>
      <c r="L10" s="46"/>
    </row>
    <row r="11" spans="1:12" x14ac:dyDescent="0.25">
      <c r="A11" s="46">
        <v>35</v>
      </c>
      <c r="B11" s="46" t="s">
        <v>291</v>
      </c>
      <c r="C11" s="46" t="s">
        <v>176</v>
      </c>
      <c r="D11" s="46" t="s">
        <v>61</v>
      </c>
      <c r="E11" s="46" t="s">
        <v>302</v>
      </c>
      <c r="F11" s="46" t="s">
        <v>110</v>
      </c>
      <c r="G11" s="46" t="s">
        <v>293</v>
      </c>
      <c r="H11" s="46">
        <v>13</v>
      </c>
      <c r="I11" s="46">
        <v>4</v>
      </c>
      <c r="J11" s="46">
        <v>17</v>
      </c>
      <c r="K11" s="46">
        <v>35</v>
      </c>
      <c r="L11" s="46"/>
    </row>
    <row r="12" spans="1:12" x14ac:dyDescent="0.25">
      <c r="A12" s="46">
        <v>35</v>
      </c>
      <c r="B12" s="46" t="s">
        <v>303</v>
      </c>
      <c r="C12" s="46" t="s">
        <v>246</v>
      </c>
      <c r="D12" s="46" t="s">
        <v>60</v>
      </c>
      <c r="E12" s="46" t="s">
        <v>304</v>
      </c>
      <c r="F12" s="46" t="s">
        <v>110</v>
      </c>
      <c r="G12" s="46" t="s">
        <v>293</v>
      </c>
      <c r="H12" s="46">
        <v>0</v>
      </c>
      <c r="I12" s="46">
        <v>3</v>
      </c>
      <c r="J12" s="46">
        <v>3</v>
      </c>
      <c r="K12" s="46">
        <v>6</v>
      </c>
      <c r="L12" s="46"/>
    </row>
    <row r="13" spans="1:12" x14ac:dyDescent="0.25">
      <c r="A13" s="46">
        <v>35</v>
      </c>
      <c r="B13" s="46" t="s">
        <v>303</v>
      </c>
      <c r="C13" s="46" t="s">
        <v>250</v>
      </c>
      <c r="D13" s="46" t="s">
        <v>60</v>
      </c>
      <c r="E13" s="46" t="s">
        <v>305</v>
      </c>
      <c r="F13" s="46" t="s">
        <v>110</v>
      </c>
      <c r="G13" s="46" t="s">
        <v>293</v>
      </c>
      <c r="H13" s="46">
        <v>1</v>
      </c>
      <c r="I13" s="46">
        <v>3</v>
      </c>
      <c r="J13" s="46">
        <v>4</v>
      </c>
      <c r="K13" s="46">
        <v>7</v>
      </c>
      <c r="L13" s="46"/>
    </row>
    <row r="14" spans="1:12" x14ac:dyDescent="0.25">
      <c r="A14" s="46">
        <v>35</v>
      </c>
      <c r="B14" s="46" t="s">
        <v>291</v>
      </c>
      <c r="C14" s="46" t="s">
        <v>164</v>
      </c>
      <c r="D14" s="46" t="s">
        <v>60</v>
      </c>
      <c r="E14" s="46" t="s">
        <v>306</v>
      </c>
      <c r="F14" s="46" t="s">
        <v>110</v>
      </c>
      <c r="G14" s="46" t="s">
        <v>293</v>
      </c>
      <c r="H14" s="46">
        <v>10</v>
      </c>
      <c r="I14" s="46">
        <v>2</v>
      </c>
      <c r="J14" s="46">
        <v>12</v>
      </c>
      <c r="K14" s="46">
        <v>75</v>
      </c>
      <c r="L14" s="46"/>
    </row>
    <row r="15" spans="1:12" x14ac:dyDescent="0.25">
      <c r="A15" s="46">
        <v>35</v>
      </c>
      <c r="B15" s="46" t="s">
        <v>303</v>
      </c>
      <c r="C15" s="46" t="s">
        <v>238</v>
      </c>
      <c r="D15" s="46" t="s">
        <v>60</v>
      </c>
      <c r="E15" s="46" t="s">
        <v>307</v>
      </c>
      <c r="F15" s="46" t="s">
        <v>110</v>
      </c>
      <c r="G15" s="46" t="s">
        <v>293</v>
      </c>
      <c r="H15" s="46">
        <v>4</v>
      </c>
      <c r="I15" s="46">
        <v>8</v>
      </c>
      <c r="J15" s="46">
        <v>12</v>
      </c>
      <c r="K15" s="46">
        <v>18</v>
      </c>
      <c r="L15" s="46"/>
    </row>
    <row r="16" spans="1:12" x14ac:dyDescent="0.25">
      <c r="A16" s="46">
        <v>35</v>
      </c>
      <c r="B16" s="46" t="s">
        <v>303</v>
      </c>
      <c r="C16" s="46" t="s">
        <v>231</v>
      </c>
      <c r="D16" s="46" t="s">
        <v>60</v>
      </c>
      <c r="E16" s="46" t="s">
        <v>308</v>
      </c>
      <c r="F16" s="46" t="s">
        <v>110</v>
      </c>
      <c r="G16" s="46" t="s">
        <v>293</v>
      </c>
      <c r="H16" s="46">
        <v>3</v>
      </c>
      <c r="I16" s="46">
        <v>0</v>
      </c>
      <c r="J16" s="46">
        <v>3</v>
      </c>
      <c r="K16" s="46">
        <v>11</v>
      </c>
      <c r="L16" s="46"/>
    </row>
    <row r="17" spans="1:12" x14ac:dyDescent="0.25">
      <c r="A17" s="46">
        <v>35</v>
      </c>
      <c r="B17" s="46" t="s">
        <v>303</v>
      </c>
      <c r="C17" s="46" t="s">
        <v>243</v>
      </c>
      <c r="D17" s="46" t="s">
        <v>60</v>
      </c>
      <c r="E17" s="46" t="s">
        <v>309</v>
      </c>
      <c r="F17" s="46" t="s">
        <v>110</v>
      </c>
      <c r="G17" s="46" t="s">
        <v>293</v>
      </c>
      <c r="H17" s="46">
        <v>2</v>
      </c>
      <c r="I17" s="46">
        <v>2</v>
      </c>
      <c r="J17" s="46">
        <v>4</v>
      </c>
      <c r="K17" s="46">
        <v>6</v>
      </c>
      <c r="L17" s="46"/>
    </row>
    <row r="18" spans="1:12" x14ac:dyDescent="0.25">
      <c r="A18" s="46">
        <v>35</v>
      </c>
      <c r="B18" s="46" t="s">
        <v>303</v>
      </c>
      <c r="C18" s="46" t="s">
        <v>233</v>
      </c>
      <c r="D18" s="46" t="s">
        <v>60</v>
      </c>
      <c r="E18" s="46" t="s">
        <v>310</v>
      </c>
      <c r="F18" s="46" t="s">
        <v>110</v>
      </c>
      <c r="G18" s="46" t="s">
        <v>293</v>
      </c>
      <c r="H18" s="46">
        <v>4</v>
      </c>
      <c r="I18" s="46">
        <v>4</v>
      </c>
      <c r="J18" s="46">
        <v>8</v>
      </c>
      <c r="K18" s="46">
        <v>13</v>
      </c>
      <c r="L18" s="46"/>
    </row>
    <row r="19" spans="1:12" x14ac:dyDescent="0.25">
      <c r="A19" s="46">
        <v>35</v>
      </c>
      <c r="B19" s="46" t="s">
        <v>303</v>
      </c>
      <c r="C19" s="46" t="s">
        <v>248</v>
      </c>
      <c r="D19" s="46" t="s">
        <v>60</v>
      </c>
      <c r="E19" s="46" t="s">
        <v>311</v>
      </c>
      <c r="F19" s="46" t="s">
        <v>110</v>
      </c>
      <c r="G19" s="46" t="s">
        <v>293</v>
      </c>
      <c r="H19" s="46">
        <v>0</v>
      </c>
      <c r="I19" s="46">
        <v>1</v>
      </c>
      <c r="J19" s="46">
        <v>1</v>
      </c>
      <c r="K19" s="46">
        <v>11</v>
      </c>
      <c r="L19" s="46"/>
    </row>
    <row r="20" spans="1:12" x14ac:dyDescent="0.25">
      <c r="A20" s="46">
        <v>35</v>
      </c>
      <c r="B20" s="46" t="s">
        <v>303</v>
      </c>
      <c r="C20" s="46" t="s">
        <v>236</v>
      </c>
      <c r="D20" s="46" t="s">
        <v>60</v>
      </c>
      <c r="E20" s="46" t="s">
        <v>312</v>
      </c>
      <c r="F20" s="46" t="s">
        <v>110</v>
      </c>
      <c r="G20" s="46" t="s">
        <v>293</v>
      </c>
      <c r="H20" s="46">
        <v>0</v>
      </c>
      <c r="I20" s="46">
        <v>1</v>
      </c>
      <c r="J20" s="46">
        <v>1</v>
      </c>
      <c r="K20" s="46">
        <v>6</v>
      </c>
      <c r="L20" s="46"/>
    </row>
    <row r="21" spans="1:12" x14ac:dyDescent="0.25">
      <c r="A21" s="46">
        <v>35</v>
      </c>
      <c r="B21" s="46" t="s">
        <v>291</v>
      </c>
      <c r="C21" s="46" t="s">
        <v>145</v>
      </c>
      <c r="D21" s="46" t="s">
        <v>62</v>
      </c>
      <c r="E21" s="46" t="s">
        <v>313</v>
      </c>
      <c r="F21" s="46" t="s">
        <v>110</v>
      </c>
      <c r="G21" s="46" t="s">
        <v>293</v>
      </c>
      <c r="H21" s="46">
        <v>3</v>
      </c>
      <c r="I21" s="46">
        <v>16</v>
      </c>
      <c r="J21" s="46">
        <v>19</v>
      </c>
      <c r="K21" s="46">
        <v>109</v>
      </c>
      <c r="L21" s="46"/>
    </row>
    <row r="22" spans="1:12" x14ac:dyDescent="0.25">
      <c r="A22" s="46">
        <v>35</v>
      </c>
      <c r="B22" s="46" t="s">
        <v>314</v>
      </c>
      <c r="C22" s="46" t="s">
        <v>215</v>
      </c>
      <c r="D22" s="46" t="s">
        <v>62</v>
      </c>
      <c r="E22" s="46" t="s">
        <v>315</v>
      </c>
      <c r="F22" s="46" t="s">
        <v>110</v>
      </c>
      <c r="G22" s="46" t="s">
        <v>293</v>
      </c>
      <c r="H22" s="46">
        <v>5</v>
      </c>
      <c r="I22" s="46">
        <v>15</v>
      </c>
      <c r="J22" s="46">
        <v>20</v>
      </c>
      <c r="K22" s="46">
        <v>40</v>
      </c>
      <c r="L22" s="46"/>
    </row>
    <row r="23" spans="1:12" x14ac:dyDescent="0.25">
      <c r="A23" s="46">
        <v>35</v>
      </c>
      <c r="B23" s="46" t="s">
        <v>314</v>
      </c>
      <c r="C23" s="46" t="s">
        <v>209</v>
      </c>
      <c r="D23" s="46" t="s">
        <v>62</v>
      </c>
      <c r="E23" s="46" t="s">
        <v>316</v>
      </c>
      <c r="F23" s="46" t="s">
        <v>110</v>
      </c>
      <c r="G23" s="46" t="s">
        <v>293</v>
      </c>
      <c r="H23" s="46">
        <v>8</v>
      </c>
      <c r="I23" s="46">
        <v>25</v>
      </c>
      <c r="J23" s="46">
        <v>33</v>
      </c>
      <c r="K23" s="46">
        <v>63</v>
      </c>
      <c r="L23" s="46"/>
    </row>
    <row r="24" spans="1:12" x14ac:dyDescent="0.25">
      <c r="A24" s="46">
        <v>35</v>
      </c>
      <c r="B24" s="46" t="s">
        <v>317</v>
      </c>
      <c r="C24" s="46" t="s">
        <v>282</v>
      </c>
      <c r="D24" s="46" t="s">
        <v>62</v>
      </c>
      <c r="E24" s="46" t="s">
        <v>318</v>
      </c>
      <c r="F24" s="46" t="s">
        <v>110</v>
      </c>
      <c r="G24" s="46" t="s">
        <v>293</v>
      </c>
      <c r="H24" s="46">
        <v>3</v>
      </c>
      <c r="I24" s="46">
        <v>15</v>
      </c>
      <c r="J24" s="46">
        <v>18</v>
      </c>
      <c r="K24" s="46">
        <v>43</v>
      </c>
      <c r="L24" s="46"/>
    </row>
    <row r="25" spans="1:12" x14ac:dyDescent="0.25">
      <c r="A25" s="46">
        <v>35</v>
      </c>
      <c r="B25" s="46" t="s">
        <v>314</v>
      </c>
      <c r="C25" s="46" t="s">
        <v>228</v>
      </c>
      <c r="D25" s="46" t="s">
        <v>62</v>
      </c>
      <c r="E25" s="46" t="s">
        <v>319</v>
      </c>
      <c r="F25" s="46" t="s">
        <v>110</v>
      </c>
      <c r="G25" s="46" t="s">
        <v>293</v>
      </c>
      <c r="H25" s="46">
        <v>4</v>
      </c>
      <c r="I25" s="46">
        <v>4</v>
      </c>
      <c r="J25" s="46">
        <v>8</v>
      </c>
      <c r="K25" s="46">
        <v>20</v>
      </c>
      <c r="L25" s="46"/>
    </row>
    <row r="26" spans="1:12" x14ac:dyDescent="0.25">
      <c r="A26" s="46">
        <v>35</v>
      </c>
      <c r="B26" s="46" t="s">
        <v>314</v>
      </c>
      <c r="C26" s="46" t="s">
        <v>190</v>
      </c>
      <c r="D26" s="46" t="s">
        <v>62</v>
      </c>
      <c r="E26" s="46" t="s">
        <v>320</v>
      </c>
      <c r="F26" s="46" t="s">
        <v>110</v>
      </c>
      <c r="G26" s="46" t="s">
        <v>293</v>
      </c>
      <c r="H26" s="46">
        <v>5</v>
      </c>
      <c r="I26" s="46">
        <v>3</v>
      </c>
      <c r="J26" s="46">
        <v>8</v>
      </c>
      <c r="K26" s="46">
        <v>43</v>
      </c>
      <c r="L26" s="46"/>
    </row>
    <row r="27" spans="1:12" x14ac:dyDescent="0.25">
      <c r="A27" s="46">
        <v>35</v>
      </c>
      <c r="B27" s="46" t="s">
        <v>314</v>
      </c>
      <c r="C27" s="46" t="s">
        <v>222</v>
      </c>
      <c r="D27" s="46" t="s">
        <v>62</v>
      </c>
      <c r="E27" s="46" t="s">
        <v>321</v>
      </c>
      <c r="F27" s="46" t="s">
        <v>110</v>
      </c>
      <c r="G27" s="46" t="s">
        <v>293</v>
      </c>
      <c r="H27" s="46">
        <v>5</v>
      </c>
      <c r="I27" s="46">
        <v>15</v>
      </c>
      <c r="J27" s="46">
        <v>20</v>
      </c>
      <c r="K27" s="46">
        <v>52</v>
      </c>
      <c r="L27" s="46"/>
    </row>
    <row r="28" spans="1:12" x14ac:dyDescent="0.25">
      <c r="A28" s="46">
        <v>35</v>
      </c>
      <c r="B28" s="46" t="s">
        <v>314</v>
      </c>
      <c r="C28" s="46" t="s">
        <v>225</v>
      </c>
      <c r="D28" s="46" t="s">
        <v>62</v>
      </c>
      <c r="E28" s="46" t="s">
        <v>322</v>
      </c>
      <c r="F28" s="46" t="s">
        <v>110</v>
      </c>
      <c r="G28" s="46" t="s">
        <v>293</v>
      </c>
      <c r="H28" s="46">
        <v>1</v>
      </c>
      <c r="I28" s="46">
        <v>5</v>
      </c>
      <c r="J28" s="46">
        <v>6</v>
      </c>
      <c r="K28" s="46">
        <v>9</v>
      </c>
      <c r="L28" s="46"/>
    </row>
    <row r="29" spans="1:12" x14ac:dyDescent="0.25">
      <c r="A29" s="46">
        <v>35</v>
      </c>
      <c r="B29" s="46" t="s">
        <v>314</v>
      </c>
      <c r="C29" s="46" t="s">
        <v>218</v>
      </c>
      <c r="D29" s="46" t="s">
        <v>62</v>
      </c>
      <c r="E29" s="46" t="s">
        <v>323</v>
      </c>
      <c r="F29" s="46" t="s">
        <v>110</v>
      </c>
      <c r="G29" s="46" t="s">
        <v>293</v>
      </c>
      <c r="H29" s="46">
        <v>2</v>
      </c>
      <c r="I29" s="46">
        <v>57</v>
      </c>
      <c r="J29" s="46">
        <v>59</v>
      </c>
      <c r="K29" s="46">
        <v>105</v>
      </c>
      <c r="L29" s="46"/>
    </row>
    <row r="30" spans="1:12" x14ac:dyDescent="0.25">
      <c r="A30" s="46">
        <v>35</v>
      </c>
      <c r="B30" s="46" t="s">
        <v>291</v>
      </c>
      <c r="C30" s="46" t="s">
        <v>140</v>
      </c>
      <c r="D30" s="46" t="s">
        <v>62</v>
      </c>
      <c r="E30" s="46" t="s">
        <v>324</v>
      </c>
      <c r="F30" s="46" t="s">
        <v>110</v>
      </c>
      <c r="G30" s="46" t="s">
        <v>293</v>
      </c>
      <c r="H30" s="46">
        <v>4</v>
      </c>
      <c r="I30" s="46">
        <v>1</v>
      </c>
      <c r="J30" s="46">
        <v>5</v>
      </c>
      <c r="K30" s="46">
        <v>121</v>
      </c>
      <c r="L30" s="46"/>
    </row>
    <row r="31" spans="1:12" x14ac:dyDescent="0.25">
      <c r="A31" s="46">
        <v>35</v>
      </c>
      <c r="B31" s="46" t="s">
        <v>317</v>
      </c>
      <c r="C31" s="46" t="s">
        <v>279</v>
      </c>
      <c r="D31" s="46" t="s">
        <v>62</v>
      </c>
      <c r="E31" s="46" t="s">
        <v>325</v>
      </c>
      <c r="F31" s="46" t="s">
        <v>110</v>
      </c>
      <c r="G31" s="46" t="s">
        <v>293</v>
      </c>
      <c r="H31" s="46">
        <v>4</v>
      </c>
      <c r="I31" s="46">
        <v>2</v>
      </c>
      <c r="J31" s="46">
        <v>6</v>
      </c>
      <c r="K31" s="46">
        <v>38</v>
      </c>
      <c r="L31" s="46"/>
    </row>
    <row r="32" spans="1:12" x14ac:dyDescent="0.25">
      <c r="A32" s="46">
        <v>35</v>
      </c>
      <c r="B32" s="46" t="s">
        <v>314</v>
      </c>
      <c r="C32" s="46" t="s">
        <v>212</v>
      </c>
      <c r="D32" s="46" t="s">
        <v>62</v>
      </c>
      <c r="E32" s="46" t="s">
        <v>326</v>
      </c>
      <c r="F32" s="46" t="s">
        <v>110</v>
      </c>
      <c r="G32" s="46" t="s">
        <v>293</v>
      </c>
      <c r="H32" s="46">
        <v>7</v>
      </c>
      <c r="I32" s="46">
        <v>14</v>
      </c>
      <c r="J32" s="46">
        <v>21</v>
      </c>
      <c r="K32" s="46">
        <v>106</v>
      </c>
      <c r="L32" s="46"/>
    </row>
    <row r="33" spans="1:12" x14ac:dyDescent="0.25">
      <c r="A33" s="46">
        <v>35</v>
      </c>
      <c r="B33" s="46" t="s">
        <v>314</v>
      </c>
      <c r="C33" s="46" t="s">
        <v>193</v>
      </c>
      <c r="D33" s="46" t="s">
        <v>62</v>
      </c>
      <c r="E33" s="46" t="s">
        <v>327</v>
      </c>
      <c r="F33" s="46" t="s">
        <v>110</v>
      </c>
      <c r="G33" s="46" t="s">
        <v>293</v>
      </c>
      <c r="H33" s="46">
        <v>7</v>
      </c>
      <c r="I33" s="46">
        <v>2</v>
      </c>
      <c r="J33" s="46">
        <v>9</v>
      </c>
      <c r="K33" s="46">
        <v>29</v>
      </c>
      <c r="L33" s="46"/>
    </row>
    <row r="34" spans="1:12" x14ac:dyDescent="0.25">
      <c r="A34" s="46">
        <v>35</v>
      </c>
      <c r="B34" s="46" t="s">
        <v>314</v>
      </c>
      <c r="C34" s="46" t="s">
        <v>202</v>
      </c>
      <c r="D34" s="46" t="s">
        <v>62</v>
      </c>
      <c r="E34" s="46" t="s">
        <v>328</v>
      </c>
      <c r="F34" s="46" t="s">
        <v>110</v>
      </c>
      <c r="G34" s="46" t="s">
        <v>293</v>
      </c>
      <c r="H34" s="46">
        <v>11</v>
      </c>
      <c r="I34" s="46">
        <v>4</v>
      </c>
      <c r="J34" s="46">
        <v>15</v>
      </c>
      <c r="K34" s="46">
        <v>172</v>
      </c>
      <c r="L34" s="46"/>
    </row>
    <row r="35" spans="1:12" x14ac:dyDescent="0.25">
      <c r="A35" s="46">
        <v>35</v>
      </c>
      <c r="B35" s="46" t="s">
        <v>314</v>
      </c>
      <c r="C35" s="46" t="s">
        <v>196</v>
      </c>
      <c r="D35" s="46" t="s">
        <v>62</v>
      </c>
      <c r="E35" s="46" t="s">
        <v>329</v>
      </c>
      <c r="F35" s="46" t="s">
        <v>110</v>
      </c>
      <c r="G35" s="46" t="s">
        <v>293</v>
      </c>
      <c r="H35" s="46">
        <v>3</v>
      </c>
      <c r="I35" s="46">
        <v>9</v>
      </c>
      <c r="J35" s="46">
        <v>12</v>
      </c>
      <c r="K35" s="46">
        <v>30</v>
      </c>
      <c r="L35" s="46"/>
    </row>
    <row r="36" spans="1:12" x14ac:dyDescent="0.25">
      <c r="A36" s="46">
        <v>35</v>
      </c>
      <c r="B36" s="46" t="s">
        <v>317</v>
      </c>
      <c r="C36" s="46" t="s">
        <v>285</v>
      </c>
      <c r="D36" s="46" t="s">
        <v>63</v>
      </c>
      <c r="E36" s="46" t="s">
        <v>330</v>
      </c>
      <c r="F36" s="46" t="s">
        <v>110</v>
      </c>
      <c r="G36" s="46" t="s">
        <v>293</v>
      </c>
      <c r="H36" s="46">
        <v>2</v>
      </c>
      <c r="I36" s="46">
        <v>0</v>
      </c>
      <c r="J36" s="46">
        <v>2</v>
      </c>
      <c r="K36" s="46">
        <v>2</v>
      </c>
      <c r="L36" s="46"/>
    </row>
    <row r="37" spans="1:12" x14ac:dyDescent="0.25">
      <c r="A37" s="46">
        <v>35</v>
      </c>
      <c r="B37" s="46" t="s">
        <v>317</v>
      </c>
      <c r="C37" s="46" t="s">
        <v>290</v>
      </c>
      <c r="D37" s="46" t="s">
        <v>63</v>
      </c>
      <c r="E37" s="46" t="s">
        <v>331</v>
      </c>
      <c r="F37" s="46" t="s">
        <v>110</v>
      </c>
      <c r="G37" s="46" t="s">
        <v>293</v>
      </c>
      <c r="H37" s="46">
        <v>4</v>
      </c>
      <c r="I37" s="46">
        <v>0</v>
      </c>
      <c r="J37" s="46">
        <v>4</v>
      </c>
      <c r="K37" s="46">
        <v>14</v>
      </c>
      <c r="L37" s="46"/>
    </row>
    <row r="38" spans="1:12" x14ac:dyDescent="0.25">
      <c r="A38" s="46">
        <v>35</v>
      </c>
      <c r="B38" s="46" t="s">
        <v>303</v>
      </c>
      <c r="C38" s="46" t="s">
        <v>256</v>
      </c>
      <c r="D38" s="46" t="s">
        <v>63</v>
      </c>
      <c r="E38" s="46" t="s">
        <v>332</v>
      </c>
      <c r="F38" s="46" t="s">
        <v>110</v>
      </c>
      <c r="G38" s="46" t="s">
        <v>293</v>
      </c>
      <c r="H38" s="46">
        <v>0</v>
      </c>
      <c r="I38" s="46">
        <v>4</v>
      </c>
      <c r="J38" s="46">
        <v>4</v>
      </c>
      <c r="K38" s="46">
        <v>6</v>
      </c>
      <c r="L38" s="46"/>
    </row>
    <row r="39" spans="1:12" x14ac:dyDescent="0.25">
      <c r="A39" s="46">
        <v>35</v>
      </c>
      <c r="B39" s="46" t="s">
        <v>317</v>
      </c>
      <c r="C39" s="46" t="s">
        <v>333</v>
      </c>
      <c r="D39" s="46" t="s">
        <v>63</v>
      </c>
      <c r="E39" s="46" t="s">
        <v>334</v>
      </c>
      <c r="F39" s="46" t="s">
        <v>110</v>
      </c>
      <c r="G39" s="46" t="s">
        <v>293</v>
      </c>
      <c r="H39" s="46">
        <v>0</v>
      </c>
      <c r="I39" s="46">
        <v>0</v>
      </c>
      <c r="J39" s="46">
        <v>0</v>
      </c>
      <c r="K39" s="46">
        <v>13</v>
      </c>
      <c r="L39" s="46"/>
    </row>
    <row r="40" spans="1:12" x14ac:dyDescent="0.25">
      <c r="A40" s="46">
        <v>35</v>
      </c>
      <c r="B40" s="46" t="s">
        <v>303</v>
      </c>
      <c r="C40" s="46" t="s">
        <v>253</v>
      </c>
      <c r="D40" s="46" t="s">
        <v>63</v>
      </c>
      <c r="E40" s="46" t="s">
        <v>335</v>
      </c>
      <c r="F40" s="46" t="s">
        <v>110</v>
      </c>
      <c r="G40" s="46" t="s">
        <v>293</v>
      </c>
      <c r="H40" s="46">
        <v>2</v>
      </c>
      <c r="I40" s="46">
        <v>0</v>
      </c>
      <c r="J40" s="46">
        <v>2</v>
      </c>
      <c r="K40" s="46">
        <v>4</v>
      </c>
      <c r="L40" s="46"/>
    </row>
    <row r="41" spans="1:12" x14ac:dyDescent="0.25">
      <c r="A41" s="46">
        <v>35</v>
      </c>
      <c r="B41" s="46" t="s">
        <v>317</v>
      </c>
      <c r="C41" s="46" t="s">
        <v>274</v>
      </c>
      <c r="D41" s="46" t="s">
        <v>63</v>
      </c>
      <c r="E41" s="46" t="s">
        <v>336</v>
      </c>
      <c r="F41" s="46" t="s">
        <v>110</v>
      </c>
      <c r="G41" s="46" t="s">
        <v>293</v>
      </c>
      <c r="H41" s="46">
        <v>1</v>
      </c>
      <c r="I41" s="46">
        <v>1</v>
      </c>
      <c r="J41" s="46">
        <v>2</v>
      </c>
      <c r="K41" s="46">
        <v>3</v>
      </c>
      <c r="L41" s="46"/>
    </row>
    <row r="42" spans="1:12" x14ac:dyDescent="0.25">
      <c r="A42" s="46">
        <v>35</v>
      </c>
      <c r="B42" s="46" t="s">
        <v>317</v>
      </c>
      <c r="C42" s="46" t="s">
        <v>277</v>
      </c>
      <c r="D42" s="46" t="s">
        <v>63</v>
      </c>
      <c r="E42" s="46" t="s">
        <v>337</v>
      </c>
      <c r="F42" s="46" t="s">
        <v>110</v>
      </c>
      <c r="G42" s="46" t="s">
        <v>293</v>
      </c>
      <c r="H42" s="46">
        <v>0</v>
      </c>
      <c r="I42" s="46">
        <v>1</v>
      </c>
      <c r="J42" s="46">
        <v>1</v>
      </c>
      <c r="K42" s="46">
        <v>5</v>
      </c>
      <c r="L42" s="46"/>
    </row>
    <row r="43" spans="1:12" x14ac:dyDescent="0.25">
      <c r="A43" s="46">
        <v>35</v>
      </c>
      <c r="B43" s="46" t="s">
        <v>317</v>
      </c>
      <c r="C43" s="46" t="s">
        <v>287</v>
      </c>
      <c r="D43" s="46" t="s">
        <v>63</v>
      </c>
      <c r="E43" s="46" t="s">
        <v>338</v>
      </c>
      <c r="F43" s="46" t="s">
        <v>110</v>
      </c>
      <c r="G43" s="46" t="s">
        <v>293</v>
      </c>
      <c r="H43" s="46">
        <v>1</v>
      </c>
      <c r="I43" s="46">
        <v>1</v>
      </c>
      <c r="J43" s="46">
        <v>2</v>
      </c>
      <c r="K43" s="46">
        <v>15</v>
      </c>
      <c r="L43" s="46"/>
    </row>
    <row r="44" spans="1:12" x14ac:dyDescent="0.25">
      <c r="A44" s="46">
        <v>35</v>
      </c>
      <c r="B44" s="46" t="s">
        <v>317</v>
      </c>
      <c r="C44" s="46" t="s">
        <v>271</v>
      </c>
      <c r="D44" s="46" t="s">
        <v>63</v>
      </c>
      <c r="E44" s="46" t="s">
        <v>339</v>
      </c>
      <c r="F44" s="46" t="s">
        <v>110</v>
      </c>
      <c r="G44" s="46" t="s">
        <v>293</v>
      </c>
      <c r="H44" s="46">
        <v>3</v>
      </c>
      <c r="I44" s="46">
        <v>3</v>
      </c>
      <c r="J44" s="46">
        <v>6</v>
      </c>
      <c r="K44" s="46">
        <v>18</v>
      </c>
      <c r="L44" s="46"/>
    </row>
    <row r="45" spans="1:12" x14ac:dyDescent="0.25">
      <c r="A45" s="46">
        <v>35</v>
      </c>
      <c r="B45" s="46" t="s">
        <v>291</v>
      </c>
      <c r="C45" s="46" t="s">
        <v>340</v>
      </c>
      <c r="D45" s="46" t="s">
        <v>108</v>
      </c>
      <c r="E45" s="46" t="s">
        <v>341</v>
      </c>
      <c r="F45" s="46" t="s">
        <v>110</v>
      </c>
      <c r="G45" s="46" t="s">
        <v>293</v>
      </c>
      <c r="H45" s="46">
        <v>7</v>
      </c>
      <c r="I45" s="46">
        <v>0</v>
      </c>
      <c r="J45" s="46">
        <v>7</v>
      </c>
      <c r="K45" s="46">
        <v>12</v>
      </c>
      <c r="L45" s="46"/>
    </row>
    <row r="46" spans="1:12" x14ac:dyDescent="0.25">
      <c r="A46" s="46">
        <v>35</v>
      </c>
      <c r="B46" s="46" t="s">
        <v>314</v>
      </c>
      <c r="C46" s="46" t="s">
        <v>342</v>
      </c>
      <c r="D46" s="46" t="s">
        <v>108</v>
      </c>
      <c r="E46" s="46" t="s">
        <v>343</v>
      </c>
      <c r="F46" s="46" t="s">
        <v>110</v>
      </c>
      <c r="G46" s="46" t="s">
        <v>293</v>
      </c>
      <c r="H46" s="46">
        <v>1</v>
      </c>
      <c r="I46" s="46">
        <v>2</v>
      </c>
      <c r="J46" s="46">
        <v>3</v>
      </c>
      <c r="K46" s="46">
        <v>192</v>
      </c>
      <c r="L46" s="46"/>
    </row>
    <row r="47" spans="1:12" x14ac:dyDescent="0.25">
      <c r="A47" s="46">
        <v>35</v>
      </c>
      <c r="B47" s="46" t="s">
        <v>291</v>
      </c>
      <c r="C47" s="46" t="s">
        <v>344</v>
      </c>
      <c r="D47" s="46" t="s">
        <v>108</v>
      </c>
      <c r="E47" s="46" t="s">
        <v>345</v>
      </c>
      <c r="F47" s="46" t="s">
        <v>110</v>
      </c>
      <c r="G47" s="46" t="s">
        <v>293</v>
      </c>
      <c r="H47" s="46">
        <v>7</v>
      </c>
      <c r="I47" s="46">
        <v>0</v>
      </c>
      <c r="J47" s="46">
        <v>7</v>
      </c>
      <c r="K47" s="46">
        <v>12</v>
      </c>
      <c r="L47" s="46"/>
    </row>
    <row r="48" spans="1:12" x14ac:dyDescent="0.25">
      <c r="A48" s="46">
        <v>35</v>
      </c>
      <c r="B48" s="46" t="s">
        <v>314</v>
      </c>
      <c r="C48" s="46" t="s">
        <v>346</v>
      </c>
      <c r="D48" s="46" t="s">
        <v>108</v>
      </c>
      <c r="E48" s="46" t="s">
        <v>347</v>
      </c>
      <c r="F48" s="46" t="s">
        <v>110</v>
      </c>
      <c r="G48" s="46" t="s">
        <v>293</v>
      </c>
      <c r="H48" s="46">
        <v>2</v>
      </c>
      <c r="I48" s="46">
        <v>0</v>
      </c>
      <c r="J48" s="46">
        <v>2</v>
      </c>
      <c r="K48" s="46">
        <v>78</v>
      </c>
      <c r="L48" s="46"/>
    </row>
    <row r="49" spans="1:12" x14ac:dyDescent="0.25">
      <c r="A49" s="46">
        <v>35</v>
      </c>
      <c r="B49" s="46" t="s">
        <v>314</v>
      </c>
      <c r="C49" s="46" t="s">
        <v>348</v>
      </c>
      <c r="D49" s="46" t="s">
        <v>108</v>
      </c>
      <c r="E49" s="46" t="s">
        <v>349</v>
      </c>
      <c r="F49" s="46" t="s">
        <v>110</v>
      </c>
      <c r="G49" s="46" t="s">
        <v>293</v>
      </c>
      <c r="H49" s="46">
        <v>4</v>
      </c>
      <c r="I49" s="46">
        <v>0</v>
      </c>
      <c r="J49" s="46">
        <v>4</v>
      </c>
      <c r="K49" s="46">
        <v>18</v>
      </c>
      <c r="L49" s="46"/>
    </row>
    <row r="50" spans="1:12" x14ac:dyDescent="0.25">
      <c r="A50" s="46">
        <v>35</v>
      </c>
      <c r="B50" s="46" t="s">
        <v>314</v>
      </c>
      <c r="C50" s="46" t="s">
        <v>350</v>
      </c>
      <c r="D50" s="46" t="s">
        <v>108</v>
      </c>
      <c r="E50" s="46" t="s">
        <v>351</v>
      </c>
      <c r="F50" s="46" t="s">
        <v>110</v>
      </c>
      <c r="G50" s="46" t="s">
        <v>293</v>
      </c>
      <c r="H50" s="46">
        <v>1</v>
      </c>
      <c r="I50" s="46">
        <v>0</v>
      </c>
      <c r="J50" s="46">
        <v>1</v>
      </c>
      <c r="K50" s="46">
        <v>8</v>
      </c>
      <c r="L50" s="46"/>
    </row>
    <row r="51" spans="1:12" x14ac:dyDescent="0.25">
      <c r="A51" s="46">
        <v>35</v>
      </c>
      <c r="B51" s="46" t="s">
        <v>314</v>
      </c>
      <c r="C51" s="46" t="s">
        <v>352</v>
      </c>
      <c r="D51" s="46" t="s">
        <v>108</v>
      </c>
      <c r="E51" s="46" t="s">
        <v>353</v>
      </c>
      <c r="F51" s="46" t="s">
        <v>110</v>
      </c>
      <c r="G51" s="46" t="s">
        <v>293</v>
      </c>
      <c r="H51" s="46">
        <v>11</v>
      </c>
      <c r="I51" s="46">
        <v>0</v>
      </c>
      <c r="J51" s="46">
        <v>11</v>
      </c>
      <c r="K51" s="46">
        <v>32</v>
      </c>
      <c r="L51" s="46"/>
    </row>
    <row r="52" spans="1:12" x14ac:dyDescent="0.25">
      <c r="A52" s="46">
        <v>35</v>
      </c>
      <c r="B52" s="46" t="s">
        <v>314</v>
      </c>
      <c r="C52" s="46" t="s">
        <v>354</v>
      </c>
      <c r="D52" s="46" t="s">
        <v>108</v>
      </c>
      <c r="E52" s="46" t="s">
        <v>355</v>
      </c>
      <c r="F52" s="46" t="s">
        <v>110</v>
      </c>
      <c r="G52" s="46" t="s">
        <v>293</v>
      </c>
      <c r="H52" s="46">
        <v>3</v>
      </c>
      <c r="I52" s="46">
        <v>0</v>
      </c>
      <c r="J52" s="46">
        <v>3</v>
      </c>
      <c r="K52" s="46">
        <v>39</v>
      </c>
      <c r="L52" s="46"/>
    </row>
    <row r="53" spans="1:12" x14ac:dyDescent="0.25">
      <c r="A53" s="46">
        <v>35</v>
      </c>
      <c r="B53" s="46" t="s">
        <v>291</v>
      </c>
      <c r="C53" s="46" t="s">
        <v>356</v>
      </c>
      <c r="D53" s="46" t="s">
        <v>108</v>
      </c>
      <c r="E53" s="46" t="s">
        <v>357</v>
      </c>
      <c r="F53" s="46" t="s">
        <v>110</v>
      </c>
      <c r="G53" s="46" t="s">
        <v>293</v>
      </c>
      <c r="H53" s="46">
        <v>18</v>
      </c>
      <c r="I53" s="46">
        <v>0</v>
      </c>
      <c r="J53" s="46">
        <v>18</v>
      </c>
      <c r="K53" s="46">
        <v>50</v>
      </c>
      <c r="L53" s="46"/>
    </row>
    <row r="54" spans="1:12" x14ac:dyDescent="0.25">
      <c r="A54" s="46">
        <v>35</v>
      </c>
      <c r="B54" s="46" t="s">
        <v>314</v>
      </c>
      <c r="C54" s="46" t="s">
        <v>358</v>
      </c>
      <c r="D54" s="46" t="s">
        <v>108</v>
      </c>
      <c r="E54" s="46" t="s">
        <v>359</v>
      </c>
      <c r="F54" s="46" t="s">
        <v>110</v>
      </c>
      <c r="G54" s="46" t="s">
        <v>293</v>
      </c>
      <c r="H54" s="46">
        <v>2</v>
      </c>
      <c r="I54" s="46">
        <v>5</v>
      </c>
      <c r="J54" s="46">
        <v>7</v>
      </c>
      <c r="K54" s="46">
        <v>75</v>
      </c>
      <c r="L54" s="46"/>
    </row>
    <row r="55" spans="1:12" x14ac:dyDescent="0.25">
      <c r="A55" s="46">
        <v>35</v>
      </c>
      <c r="B55" s="46" t="s">
        <v>314</v>
      </c>
      <c r="C55" s="46" t="s">
        <v>360</v>
      </c>
      <c r="D55" s="46" t="s">
        <v>108</v>
      </c>
      <c r="E55" s="46" t="s">
        <v>361</v>
      </c>
      <c r="F55" s="46" t="s">
        <v>110</v>
      </c>
      <c r="G55" s="46" t="s">
        <v>293</v>
      </c>
      <c r="H55" s="46">
        <v>3</v>
      </c>
      <c r="I55" s="46">
        <v>0</v>
      </c>
      <c r="J55" s="46">
        <v>3</v>
      </c>
      <c r="K55" s="46">
        <v>64</v>
      </c>
      <c r="L55" s="46"/>
    </row>
    <row r="56" spans="1:12" x14ac:dyDescent="0.25">
      <c r="A56" s="46">
        <v>35</v>
      </c>
      <c r="B56" s="46" t="s">
        <v>314</v>
      </c>
      <c r="C56" s="46" t="s">
        <v>362</v>
      </c>
      <c r="D56" s="46" t="s">
        <v>108</v>
      </c>
      <c r="E56" s="46" t="s">
        <v>363</v>
      </c>
      <c r="F56" s="46" t="s">
        <v>110</v>
      </c>
      <c r="G56" s="46" t="s">
        <v>293</v>
      </c>
      <c r="H56" s="46">
        <v>0</v>
      </c>
      <c r="I56" s="46">
        <v>0</v>
      </c>
      <c r="J56" s="46">
        <v>0</v>
      </c>
      <c r="K56" s="46">
        <v>39</v>
      </c>
      <c r="L56" s="46"/>
    </row>
    <row r="57" spans="1:12" x14ac:dyDescent="0.25">
      <c r="A57" s="46">
        <v>35</v>
      </c>
      <c r="B57" s="46" t="s">
        <v>291</v>
      </c>
      <c r="C57" s="46" t="s">
        <v>109</v>
      </c>
      <c r="D57" s="46" t="s">
        <v>9</v>
      </c>
      <c r="E57" s="46" t="s">
        <v>364</v>
      </c>
      <c r="F57" s="46" t="s">
        <v>110</v>
      </c>
      <c r="G57" s="46" t="s">
        <v>293</v>
      </c>
      <c r="H57" s="46">
        <v>54</v>
      </c>
      <c r="I57" s="46">
        <v>0</v>
      </c>
      <c r="J57" s="46">
        <v>54</v>
      </c>
      <c r="K57" s="46">
        <v>233</v>
      </c>
      <c r="L57" s="46"/>
    </row>
    <row r="58" spans="1:12" x14ac:dyDescent="0.25">
      <c r="A58" s="46">
        <v>35</v>
      </c>
      <c r="B58" s="46" t="s">
        <v>291</v>
      </c>
      <c r="C58" s="46" t="s">
        <v>120</v>
      </c>
      <c r="D58" s="46" t="s">
        <v>9</v>
      </c>
      <c r="E58" s="46" t="s">
        <v>365</v>
      </c>
      <c r="F58" s="46" t="s">
        <v>110</v>
      </c>
      <c r="G58" s="46" t="s">
        <v>293</v>
      </c>
      <c r="H58" s="46">
        <v>6</v>
      </c>
      <c r="I58" s="46">
        <v>1</v>
      </c>
      <c r="J58" s="46">
        <v>7</v>
      </c>
      <c r="K58" s="46">
        <v>16</v>
      </c>
      <c r="L58" s="46"/>
    </row>
    <row r="59" spans="1:12" x14ac:dyDescent="0.25">
      <c r="A59" s="46">
        <v>35</v>
      </c>
      <c r="B59" s="46" t="s">
        <v>291</v>
      </c>
      <c r="C59" s="46" t="s">
        <v>127</v>
      </c>
      <c r="D59" s="46" t="s">
        <v>9</v>
      </c>
      <c r="E59" s="46" t="s">
        <v>366</v>
      </c>
      <c r="F59" s="46" t="s">
        <v>110</v>
      </c>
      <c r="G59" s="46" t="s">
        <v>293</v>
      </c>
      <c r="H59" s="46">
        <v>4</v>
      </c>
      <c r="I59" s="46">
        <v>0</v>
      </c>
      <c r="J59" s="46">
        <v>4</v>
      </c>
      <c r="K59" s="46">
        <v>205</v>
      </c>
      <c r="L59" s="46"/>
    </row>
    <row r="60" spans="1:12" x14ac:dyDescent="0.25">
      <c r="A60" s="46">
        <v>35</v>
      </c>
      <c r="B60" s="46" t="s">
        <v>291</v>
      </c>
      <c r="C60" s="46" t="s">
        <v>124</v>
      </c>
      <c r="D60" s="46" t="s">
        <v>9</v>
      </c>
      <c r="E60" s="46" t="s">
        <v>367</v>
      </c>
      <c r="F60" s="46" t="s">
        <v>110</v>
      </c>
      <c r="G60" s="46" t="s">
        <v>293</v>
      </c>
      <c r="H60" s="46">
        <v>43</v>
      </c>
      <c r="I60" s="46">
        <v>3</v>
      </c>
      <c r="J60" s="46">
        <v>46</v>
      </c>
      <c r="K60" s="46">
        <v>152</v>
      </c>
      <c r="L60" s="46"/>
    </row>
    <row r="61" spans="1:12" x14ac:dyDescent="0.25">
      <c r="A61" s="46">
        <v>35</v>
      </c>
      <c r="B61" s="46" t="s">
        <v>291</v>
      </c>
      <c r="C61" s="46" t="s">
        <v>129</v>
      </c>
      <c r="D61" s="46" t="s">
        <v>9</v>
      </c>
      <c r="E61" s="46" t="s">
        <v>368</v>
      </c>
      <c r="F61" s="46" t="s">
        <v>110</v>
      </c>
      <c r="G61" s="46" t="s">
        <v>293</v>
      </c>
      <c r="H61" s="46">
        <v>7</v>
      </c>
      <c r="I61" s="46">
        <v>0</v>
      </c>
      <c r="J61" s="46">
        <v>7</v>
      </c>
      <c r="K61" s="46">
        <v>35</v>
      </c>
      <c r="L61" s="46"/>
    </row>
    <row r="62" spans="1:12" x14ac:dyDescent="0.25">
      <c r="A62" s="46">
        <v>35</v>
      </c>
      <c r="B62" s="46" t="s">
        <v>291</v>
      </c>
      <c r="C62" s="46" t="s">
        <v>118</v>
      </c>
      <c r="D62" s="46" t="s">
        <v>9</v>
      </c>
      <c r="E62" s="46" t="s">
        <v>369</v>
      </c>
      <c r="F62" s="46" t="s">
        <v>110</v>
      </c>
      <c r="G62" s="46" t="s">
        <v>293</v>
      </c>
      <c r="H62" s="46">
        <v>4</v>
      </c>
      <c r="I62" s="46">
        <v>0</v>
      </c>
      <c r="J62" s="46">
        <v>4</v>
      </c>
      <c r="K62" s="46">
        <v>49</v>
      </c>
      <c r="L62" s="46"/>
    </row>
    <row r="63" spans="1:12" x14ac:dyDescent="0.25">
      <c r="A63" s="46"/>
      <c r="B63" s="46"/>
      <c r="C63" s="46"/>
      <c r="D63" s="46"/>
      <c r="E63" s="46"/>
      <c r="F63" s="46"/>
      <c r="G63" s="46"/>
      <c r="H63" s="46"/>
      <c r="I63" s="46"/>
      <c r="J63" s="46"/>
      <c r="K63" s="46"/>
    </row>
    <row r="64" spans="1:12" x14ac:dyDescent="0.25">
      <c r="A64" s="46"/>
      <c r="B64" s="46"/>
      <c r="C64" s="46"/>
      <c r="D64" s="46"/>
      <c r="E64" s="46"/>
      <c r="F64" s="46"/>
      <c r="G64" s="46"/>
      <c r="H64" s="46"/>
      <c r="I64" s="46"/>
      <c r="J64" s="46"/>
      <c r="K64" s="46"/>
    </row>
    <row r="65" spans="1:11" x14ac:dyDescent="0.25">
      <c r="A65" s="46"/>
      <c r="B65" s="46"/>
      <c r="C65" s="46"/>
      <c r="D65" s="46"/>
      <c r="E65" s="46"/>
      <c r="F65" s="46"/>
      <c r="G65" s="46"/>
      <c r="H65" s="46"/>
      <c r="I65" s="46"/>
      <c r="J65" s="46"/>
      <c r="K65" s="46"/>
    </row>
    <row r="66" spans="1:11" x14ac:dyDescent="0.25">
      <c r="A66" s="46"/>
      <c r="B66" s="46"/>
      <c r="C66" s="46"/>
      <c r="D66" s="46"/>
      <c r="E66" s="46"/>
      <c r="F66" s="46"/>
      <c r="G66" s="46"/>
      <c r="H66" s="46"/>
      <c r="I66" s="46"/>
      <c r="J66" s="46"/>
      <c r="K66" s="46"/>
    </row>
    <row r="67" spans="1:11" x14ac:dyDescent="0.25">
      <c r="A67" s="46"/>
      <c r="B67" s="46"/>
      <c r="C67" s="46"/>
      <c r="D67" s="46"/>
      <c r="E67" s="46"/>
      <c r="F67" s="46"/>
      <c r="G67" s="46"/>
      <c r="H67" s="46"/>
      <c r="I67" s="46"/>
      <c r="J67" s="46"/>
      <c r="K67" s="46"/>
    </row>
    <row r="68" spans="1:11" x14ac:dyDescent="0.25">
      <c r="A68" s="46"/>
      <c r="B68" s="46"/>
      <c r="C68" s="46"/>
      <c r="D68" s="46"/>
      <c r="E68" s="46"/>
      <c r="F68" s="46"/>
      <c r="G68" s="46"/>
      <c r="H68" s="46"/>
      <c r="I68" s="46"/>
      <c r="J68" s="46"/>
      <c r="K68" s="46"/>
    </row>
    <row r="69" spans="1:11" x14ac:dyDescent="0.25">
      <c r="A69" s="46"/>
      <c r="B69" s="46"/>
      <c r="C69" s="46"/>
      <c r="D69" s="46"/>
      <c r="E69" s="46"/>
      <c r="F69" s="46"/>
      <c r="G69" s="46"/>
      <c r="H69" s="46"/>
      <c r="I69" s="46"/>
      <c r="J69" s="46"/>
      <c r="K69" s="46"/>
    </row>
    <row r="70" spans="1:11" x14ac:dyDescent="0.25">
      <c r="A70" s="46"/>
      <c r="B70" s="46"/>
      <c r="C70" s="46"/>
      <c r="D70" s="46"/>
      <c r="E70" s="46"/>
      <c r="F70" s="46"/>
      <c r="G70" s="46"/>
      <c r="H70" s="46"/>
      <c r="I70" s="46"/>
      <c r="J70" s="46"/>
      <c r="K70" s="46"/>
    </row>
    <row r="71" spans="1:11" x14ac:dyDescent="0.25">
      <c r="A71" s="46"/>
      <c r="B71" s="46"/>
      <c r="C71" s="46"/>
      <c r="D71" s="46"/>
      <c r="E71" s="46"/>
      <c r="F71" s="46"/>
      <c r="G71" s="46"/>
      <c r="H71" s="46"/>
      <c r="I71" s="46"/>
      <c r="J71" s="46"/>
      <c r="K71" s="46"/>
    </row>
    <row r="72" spans="1:11" x14ac:dyDescent="0.25">
      <c r="A72" s="46"/>
      <c r="B72" s="46"/>
      <c r="C72" s="46"/>
      <c r="D72" s="46"/>
      <c r="E72" s="46"/>
      <c r="F72" s="46"/>
      <c r="G72" s="46"/>
      <c r="H72" s="46"/>
      <c r="I72" s="46"/>
      <c r="J72" s="46"/>
      <c r="K72" s="46"/>
    </row>
    <row r="73" spans="1:11" x14ac:dyDescent="0.25">
      <c r="A73" s="46"/>
      <c r="B73" s="46"/>
      <c r="C73" s="46"/>
      <c r="D73" s="46"/>
      <c r="E73" s="46"/>
      <c r="F73" s="46"/>
      <c r="G73" s="46"/>
      <c r="H73" s="46"/>
      <c r="I73" s="46"/>
      <c r="J73" s="46"/>
      <c r="K73" s="46"/>
    </row>
    <row r="74" spans="1:11" x14ac:dyDescent="0.25">
      <c r="A74" s="46"/>
      <c r="B74" s="46"/>
      <c r="C74" s="46"/>
      <c r="D74" s="46"/>
      <c r="E74" s="46"/>
      <c r="F74" s="46"/>
      <c r="G74" s="46"/>
      <c r="H74" s="46"/>
      <c r="I74" s="46"/>
      <c r="J74" s="46"/>
      <c r="K74" s="46"/>
    </row>
    <row r="75" spans="1:11" x14ac:dyDescent="0.25">
      <c r="A75" s="46"/>
      <c r="B75" s="46"/>
      <c r="C75" s="46"/>
      <c r="D75" s="46"/>
      <c r="E75" s="46"/>
      <c r="F75" s="46"/>
      <c r="G75" s="46"/>
      <c r="H75" s="46"/>
      <c r="I75" s="46"/>
      <c r="J75" s="46"/>
      <c r="K75" s="46"/>
    </row>
    <row r="76" spans="1:11" x14ac:dyDescent="0.25">
      <c r="A76" s="46"/>
      <c r="B76" s="46"/>
      <c r="C76" s="46"/>
      <c r="D76" s="46"/>
      <c r="E76" s="46"/>
      <c r="F76" s="46"/>
      <c r="G76" s="46"/>
      <c r="H76" s="46"/>
      <c r="I76" s="46"/>
      <c r="J76" s="46"/>
      <c r="K76" s="46"/>
    </row>
    <row r="77" spans="1:11" x14ac:dyDescent="0.25">
      <c r="A77" s="46"/>
      <c r="B77" s="46"/>
      <c r="C77" s="46"/>
      <c r="D77" s="46"/>
      <c r="E77" s="46"/>
      <c r="F77" s="46"/>
      <c r="G77" s="46"/>
      <c r="H77" s="46"/>
      <c r="I77" s="46"/>
      <c r="J77" s="46"/>
      <c r="K77" s="46"/>
    </row>
    <row r="78" spans="1:11" x14ac:dyDescent="0.25">
      <c r="A78" s="46"/>
      <c r="B78" s="46"/>
      <c r="C78" s="46"/>
      <c r="D78" s="46"/>
      <c r="E78" s="46"/>
      <c r="F78" s="46"/>
      <c r="G78" s="46"/>
      <c r="H78" s="46"/>
      <c r="I78" s="46"/>
      <c r="J78" s="46"/>
      <c r="K78" s="46"/>
    </row>
    <row r="79" spans="1:11" x14ac:dyDescent="0.25">
      <c r="A79" s="46"/>
      <c r="B79" s="46"/>
      <c r="C79" s="46"/>
      <c r="D79" s="46"/>
      <c r="E79" s="46"/>
      <c r="F79" s="46"/>
      <c r="G79" s="46"/>
      <c r="H79" s="46"/>
      <c r="I79" s="46"/>
      <c r="J79" s="46"/>
      <c r="K79" s="46"/>
    </row>
    <row r="80" spans="1:11" x14ac:dyDescent="0.25">
      <c r="A80" s="46"/>
      <c r="B80" s="46"/>
      <c r="C80" s="46"/>
      <c r="D80" s="46"/>
      <c r="E80" s="46"/>
      <c r="F80" s="46"/>
      <c r="G80" s="46"/>
      <c r="H80" s="46"/>
      <c r="I80" s="46"/>
      <c r="J80" s="46"/>
      <c r="K80" s="4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7" sqref="C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4</v>
      </c>
      <c r="C5" s="2">
        <v>118</v>
      </c>
      <c r="D5" s="2">
        <v>122</v>
      </c>
      <c r="G5" s="1" t="s">
        <v>9</v>
      </c>
      <c r="H5" s="2">
        <f>GETPIVOTDATA("Sum of Cx pipiens",$A$4,"Zone","LV")</f>
        <v>4</v>
      </c>
      <c r="I5" s="2">
        <f>GETPIVOTDATA("Sum of Cx tarsalis",$A$4,"Zone","LV")</f>
        <v>118</v>
      </c>
      <c r="J5" s="2">
        <f>GETPIVOTDATA("Sum of Total CX",$A$4,"Zone","LV")</f>
        <v>122</v>
      </c>
    </row>
    <row r="6" spans="1:10" x14ac:dyDescent="0.25">
      <c r="A6" s="1" t="s">
        <v>61</v>
      </c>
      <c r="B6" s="2">
        <v>141</v>
      </c>
      <c r="C6" s="2">
        <v>113</v>
      </c>
      <c r="D6" s="2">
        <v>254</v>
      </c>
      <c r="G6" s="1" t="s">
        <v>61</v>
      </c>
      <c r="H6" s="2">
        <f>GETPIVOTDATA("Sum of Cx pipiens",$A$4,"Zone","NE")</f>
        <v>141</v>
      </c>
      <c r="I6" s="2">
        <f>GETPIVOTDATA("Sum of Cx tarsalis",$A$4,"Zone","NE")</f>
        <v>113</v>
      </c>
      <c r="J6" s="2">
        <f>GETPIVOTDATA("Sum of Total CX",$A$4,"Zone","NE")</f>
        <v>254</v>
      </c>
    </row>
    <row r="7" spans="1:10" x14ac:dyDescent="0.25">
      <c r="A7" s="1" t="s">
        <v>60</v>
      </c>
      <c r="B7" s="2">
        <v>24</v>
      </c>
      <c r="C7" s="2">
        <v>24</v>
      </c>
      <c r="D7" s="2">
        <v>48</v>
      </c>
      <c r="G7" s="1" t="s">
        <v>60</v>
      </c>
      <c r="H7" s="2">
        <f>GETPIVOTDATA("Sum of Cx pipiens",$A$4,"Zone","NW")</f>
        <v>24</v>
      </c>
      <c r="I7" s="2">
        <f>GETPIVOTDATA("Sum of Cx tarsalis",$A$4,"Zone","NW")</f>
        <v>24</v>
      </c>
      <c r="J7" s="2">
        <f>GETPIVOTDATA("Sum of Total CX",$A$4,"Zone","NW")</f>
        <v>48</v>
      </c>
    </row>
    <row r="8" spans="1:10" x14ac:dyDescent="0.25">
      <c r="A8" s="1" t="s">
        <v>62</v>
      </c>
      <c r="B8" s="2">
        <v>187</v>
      </c>
      <c r="C8" s="2">
        <v>72</v>
      </c>
      <c r="D8" s="2">
        <v>259</v>
      </c>
      <c r="G8" s="1" t="s">
        <v>62</v>
      </c>
      <c r="H8" s="2">
        <f>GETPIVOTDATA("Sum of Cx pipiens",$A$4,"Zone","SE")</f>
        <v>187</v>
      </c>
      <c r="I8" s="2">
        <f>GETPIVOTDATA("Sum of Cx tarsalis",$A$4,"Zone","SE")</f>
        <v>72</v>
      </c>
      <c r="J8" s="2">
        <f>GETPIVOTDATA("Sum of Total CX",$A$4,"Zone","SE")</f>
        <v>259</v>
      </c>
    </row>
    <row r="9" spans="1:10" x14ac:dyDescent="0.25">
      <c r="A9" s="1" t="s">
        <v>63</v>
      </c>
      <c r="B9" s="2">
        <v>10</v>
      </c>
      <c r="C9" s="2">
        <v>13</v>
      </c>
      <c r="D9" s="2">
        <v>23</v>
      </c>
      <c r="G9" s="1" t="s">
        <v>63</v>
      </c>
      <c r="H9" s="2">
        <f>GETPIVOTDATA("Sum of Cx pipiens",$A$4,"Zone","SW")</f>
        <v>10</v>
      </c>
      <c r="I9" s="2">
        <f>GETPIVOTDATA("Sum of Cx tarsalis",$A$4,"Zone","SW")</f>
        <v>13</v>
      </c>
      <c r="J9" s="2">
        <f>GETPIVOTDATA("Sum of Total CX",$A$4,"Zone","SW")</f>
        <v>23</v>
      </c>
    </row>
    <row r="10" spans="1:10" x14ac:dyDescent="0.25">
      <c r="A10" s="1" t="s">
        <v>108</v>
      </c>
      <c r="B10" s="2">
        <v>7</v>
      </c>
      <c r="C10" s="2">
        <v>59</v>
      </c>
      <c r="D10" s="2">
        <v>66</v>
      </c>
    </row>
    <row r="11" spans="1:10" x14ac:dyDescent="0.25">
      <c r="A11" s="1" t="s">
        <v>7</v>
      </c>
      <c r="B11" s="2">
        <v>373</v>
      </c>
      <c r="C11" s="2">
        <v>399</v>
      </c>
      <c r="D11" s="2">
        <v>772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8" sqref="B8"/>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60" t="s">
        <v>79</v>
      </c>
      <c r="B1" s="60"/>
      <c r="H1" s="60" t="s">
        <v>55</v>
      </c>
      <c r="I1" s="60"/>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4</v>
      </c>
      <c r="C6" s="2">
        <v>118</v>
      </c>
      <c r="D6" s="2">
        <v>122</v>
      </c>
      <c r="H6" s="1" t="s">
        <v>9</v>
      </c>
      <c r="I6" s="2">
        <f>GETPIVOTDATA("Total",$A$4,"Zone","LV","Spp","pipiens")</f>
        <v>4</v>
      </c>
      <c r="J6" s="2">
        <f>GETPIVOTDATA("Total",$A$4,"Zone","LV","Spp","tarsalis")</f>
        <v>118</v>
      </c>
      <c r="K6" s="2">
        <f>GETPIVOTDATA("Total",$A$4,"Zone","LV")</f>
        <v>122</v>
      </c>
    </row>
    <row r="7" spans="1:11" x14ac:dyDescent="0.25">
      <c r="A7" s="1" t="s">
        <v>61</v>
      </c>
      <c r="B7" s="2">
        <v>398</v>
      </c>
      <c r="C7" s="2">
        <v>113</v>
      </c>
      <c r="D7" s="2">
        <v>511</v>
      </c>
      <c r="H7" s="1" t="s">
        <v>61</v>
      </c>
      <c r="I7" s="2">
        <f>GETPIVOTDATA("Total",$A$4,"Zone","NE","Spp","pipiens")</f>
        <v>398</v>
      </c>
      <c r="J7" s="2">
        <f>GETPIVOTDATA("Total",$A$4,"Zone","NE","Spp","tarsalis")</f>
        <v>113</v>
      </c>
      <c r="K7" s="2">
        <f>GETPIVOTDATA("Total",$A$4,"Zone","NE")</f>
        <v>511</v>
      </c>
    </row>
    <row r="8" spans="1:11" x14ac:dyDescent="0.25">
      <c r="A8" s="1" t="s">
        <v>60</v>
      </c>
      <c r="B8" s="2">
        <v>154</v>
      </c>
      <c r="C8" s="2">
        <v>24</v>
      </c>
      <c r="D8" s="2">
        <v>178</v>
      </c>
      <c r="H8" s="1" t="s">
        <v>60</v>
      </c>
      <c r="I8" s="2">
        <f>GETPIVOTDATA("Total",$A$4,"Zone","NW","Spp","pipiens")</f>
        <v>154</v>
      </c>
      <c r="J8" s="2">
        <f>GETPIVOTDATA("Total",$A$4,"Zone","NW","Spp","tarsalis")</f>
        <v>24</v>
      </c>
      <c r="K8" s="2">
        <f>GETPIVOTDATA("Total",$A$4,"Zone","NW")</f>
        <v>178</v>
      </c>
    </row>
    <row r="9" spans="1:11" x14ac:dyDescent="0.25">
      <c r="A9" s="1" t="s">
        <v>62</v>
      </c>
      <c r="B9" s="2">
        <v>458</v>
      </c>
      <c r="C9" s="2">
        <v>72</v>
      </c>
      <c r="D9" s="2">
        <v>530</v>
      </c>
      <c r="H9" s="1" t="s">
        <v>62</v>
      </c>
      <c r="I9" s="2">
        <f>GETPIVOTDATA("Total",$A$4,"Zone","SE","Spp","pipiens")</f>
        <v>458</v>
      </c>
      <c r="J9" s="2">
        <f>GETPIVOTDATA("Total",$A$4,"Zone","SE","Spp","tarsalis")</f>
        <v>72</v>
      </c>
      <c r="K9" s="2">
        <f>GETPIVOTDATA("Total",$A$4,"Zone","SE")</f>
        <v>530</v>
      </c>
    </row>
    <row r="10" spans="1:11" x14ac:dyDescent="0.25">
      <c r="A10" s="1" t="s">
        <v>63</v>
      </c>
      <c r="B10" s="2">
        <v>159</v>
      </c>
      <c r="C10" s="2">
        <v>13</v>
      </c>
      <c r="D10" s="2">
        <v>172</v>
      </c>
      <c r="H10" s="1" t="s">
        <v>63</v>
      </c>
      <c r="I10" s="2">
        <f>GETPIVOTDATA("Total",$A$4,"Zone","SW","Spp","pipiens")</f>
        <v>159</v>
      </c>
      <c r="J10" s="2">
        <f>GETPIVOTDATA("Total",$A$4,"Zone","SW","Spp","tarsalis")</f>
        <v>13</v>
      </c>
      <c r="K10" s="2">
        <f>GETPIVOTDATA("Total",$A$4,"Zone","SW")</f>
        <v>172</v>
      </c>
    </row>
    <row r="11" spans="1:11" x14ac:dyDescent="0.25">
      <c r="A11" s="1" t="s">
        <v>7</v>
      </c>
      <c r="B11" s="2">
        <v>1173</v>
      </c>
      <c r="C11" s="2">
        <v>340</v>
      </c>
      <c r="D11" s="2">
        <v>1513</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53A275C1-2956-43A5-88C7-F64578A95E4A}"/>
</file>

<file path=customXml/itemProps2.xml><?xml version="1.0" encoding="utf-8"?>
<ds:datastoreItem xmlns:ds="http://schemas.openxmlformats.org/officeDocument/2006/customXml" ds:itemID="{0D66499B-3354-411A-A6F6-DCB2CFA1C82C}"/>
</file>

<file path=customXml/itemProps3.xml><?xml version="1.0" encoding="utf-8"?>
<ds:datastoreItem xmlns:ds="http://schemas.openxmlformats.org/officeDocument/2006/customXml" ds:itemID="{798E76E9-A026-46DE-A416-44DE98B5265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2015-09-06T17:26:54Z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25378800</vt:r8>
  </property>
</Properties>
</file>