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5\Weekly Reports\Week 37\"/>
    </mc:Choice>
  </mc:AlternateContent>
  <bookViews>
    <workbookView xWindow="0" yWindow="0" windowWidth="28800" windowHeight="12435" tabRatio="905" firstSheet="1" activeTab="1"/>
  </bookViews>
  <sheets>
    <sheet name="READ ME" sheetId="65" r:id="rId1"/>
    <sheet name="Weekly Data Input" sheetId="2" r:id="rId2"/>
    <sheet name="InfRateZonel" sheetId="75" r:id="rId3"/>
    <sheet name="InfRateTotal" sheetId="73" r:id="rId4"/>
    <sheet name="InfRateZO" sheetId="71" r:id="rId5"/>
    <sheet name="InfRateCI" sheetId="69"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71027"/>
  <pivotCaches>
    <pivotCache cacheId="11" r:id="rId15"/>
    <pivotCache cacheId="12" r:id="rId16"/>
  </pivotCaches>
</workbook>
</file>

<file path=xl/calcChain.xml><?xml version="1.0" encoding="utf-8"?>
<calcChain xmlns="http://schemas.openxmlformats.org/spreadsheetml/2006/main">
  <c r="M77" i="5" l="1"/>
  <c r="F12" i="5" s="1"/>
  <c r="L77" i="5"/>
  <c r="E12" i="5" s="1"/>
  <c r="L75" i="5"/>
  <c r="E10" i="5" s="1"/>
  <c r="M75" i="5"/>
  <c r="F10" i="5" s="1"/>
  <c r="M74" i="5"/>
  <c r="F9" i="5" s="1"/>
  <c r="M73" i="5"/>
  <c r="F8" i="5" s="1"/>
  <c r="M72" i="5"/>
  <c r="F7" i="5" s="1"/>
  <c r="M71" i="5"/>
  <c r="F6" i="5" s="1"/>
  <c r="L74" i="5"/>
  <c r="E9" i="5" s="1"/>
  <c r="L73" i="5"/>
  <c r="E8" i="5" s="1"/>
  <c r="L72" i="5"/>
  <c r="E7" i="5" s="1"/>
  <c r="L71" i="5"/>
  <c r="E6" i="5" s="1"/>
  <c r="I7" i="64"/>
  <c r="G7" i="6"/>
  <c r="G9" i="6"/>
  <c r="J8" i="63"/>
  <c r="H6" i="63"/>
  <c r="I8" i="61"/>
  <c r="I10" i="64"/>
  <c r="G11" i="6"/>
  <c r="J7" i="61"/>
  <c r="J6" i="61"/>
  <c r="J7" i="64"/>
  <c r="I8" i="6"/>
  <c r="I6" i="64"/>
  <c r="I5" i="63"/>
  <c r="I10" i="61"/>
  <c r="J8" i="64"/>
  <c r="H7" i="63"/>
  <c r="H9" i="6"/>
  <c r="J9" i="63"/>
  <c r="K7" i="61"/>
  <c r="J5" i="63"/>
  <c r="I7" i="63"/>
  <c r="K9" i="61"/>
  <c r="K10" i="61"/>
  <c r="J10" i="64"/>
  <c r="H11" i="6"/>
  <c r="H7" i="6"/>
  <c r="I7" i="61"/>
  <c r="H7" i="64"/>
  <c r="H5" i="63"/>
  <c r="I9" i="61"/>
  <c r="G8" i="6"/>
  <c r="I6" i="63"/>
  <c r="I9" i="64"/>
  <c r="I9" i="63"/>
  <c r="H8" i="6"/>
  <c r="K8" i="61"/>
  <c r="I9" i="6"/>
  <c r="J9" i="61"/>
  <c r="J7" i="63"/>
  <c r="K6" i="61"/>
  <c r="H10" i="64"/>
  <c r="H10" i="6"/>
  <c r="I8" i="63"/>
  <c r="J8" i="61"/>
  <c r="J6" i="63"/>
  <c r="I6" i="61"/>
  <c r="I8" i="64"/>
  <c r="I11" i="6"/>
  <c r="I10" i="6"/>
  <c r="J6" i="64"/>
  <c r="G10" i="6"/>
  <c r="H6" i="64"/>
  <c r="H9" i="64"/>
  <c r="H8" i="63"/>
  <c r="J10" i="61"/>
  <c r="I7" i="6"/>
  <c r="H9" i="63"/>
  <c r="J9" i="64"/>
  <c r="H8" i="64"/>
  <c r="F72" i="5" l="1"/>
  <c r="G77" i="5"/>
  <c r="F71" i="5"/>
  <c r="F73" i="5"/>
  <c r="G71" i="5"/>
  <c r="F74" i="5"/>
  <c r="G73" i="5"/>
  <c r="F77" i="5"/>
  <c r="G74" i="5"/>
  <c r="G72" i="5"/>
  <c r="H72" i="5" s="1"/>
  <c r="C71" i="5"/>
  <c r="D72" i="5"/>
  <c r="C72" i="5"/>
  <c r="D77" i="5"/>
  <c r="D74" i="5"/>
  <c r="C73" i="5"/>
  <c r="D71" i="5"/>
  <c r="C77" i="5"/>
  <c r="C74" i="5"/>
  <c r="D73" i="5"/>
  <c r="C41" i="5"/>
  <c r="D39" i="5"/>
  <c r="C45" i="5"/>
  <c r="G45" i="5" s="1"/>
  <c r="C42" i="5"/>
  <c r="D41" i="5"/>
  <c r="C40" i="5"/>
  <c r="D45" i="5"/>
  <c r="H45" i="5" s="1"/>
  <c r="D42" i="5"/>
  <c r="C39" i="5"/>
  <c r="D40" i="5"/>
  <c r="J77" i="5"/>
  <c r="I77" i="5"/>
  <c r="E77" i="5" l="1"/>
  <c r="H71" i="5"/>
  <c r="H73" i="5"/>
  <c r="H74" i="5"/>
  <c r="E73" i="5"/>
  <c r="E74" i="5"/>
  <c r="E72" i="5"/>
  <c r="D75" i="5"/>
  <c r="C75" i="5"/>
  <c r="E71" i="5"/>
  <c r="K77" i="5"/>
  <c r="H77" i="5"/>
  <c r="D12" i="5"/>
  <c r="H12" i="5" s="1"/>
  <c r="C12" i="5"/>
  <c r="G12" i="5" s="1"/>
  <c r="E45" i="5"/>
  <c r="I45" i="5" s="1"/>
  <c r="E75" i="5" l="1"/>
  <c r="I12" i="5"/>
  <c r="H41" i="5" l="1"/>
  <c r="H40" i="5"/>
  <c r="G42" i="5"/>
  <c r="G40" i="5"/>
  <c r="G39" i="5"/>
  <c r="H39" i="5" l="1"/>
  <c r="D6" i="5" s="1"/>
  <c r="G41" i="5"/>
  <c r="C8" i="5" s="1"/>
  <c r="H42" i="5"/>
  <c r="D9" i="5" s="1"/>
  <c r="E39" i="5"/>
  <c r="D43" i="5"/>
  <c r="C43" i="5"/>
  <c r="E40" i="5"/>
  <c r="I40" i="5" s="1"/>
  <c r="E42" i="5"/>
  <c r="E41" i="5"/>
  <c r="K74" i="5"/>
  <c r="K73" i="5"/>
  <c r="K72" i="5"/>
  <c r="K71" i="5"/>
  <c r="J74" i="5"/>
  <c r="J73" i="5"/>
  <c r="J72" i="5"/>
  <c r="J71" i="5"/>
  <c r="I71" i="5"/>
  <c r="I74" i="5"/>
  <c r="I73" i="5"/>
  <c r="I72" i="5"/>
  <c r="D8" i="5"/>
  <c r="D7" i="5"/>
  <c r="C9" i="5"/>
  <c r="C7" i="5"/>
  <c r="C6" i="5"/>
  <c r="I39" i="5" l="1"/>
  <c r="I41" i="5"/>
  <c r="G43" i="5"/>
  <c r="C10" i="5" s="1"/>
  <c r="G10" i="5" s="1"/>
  <c r="I42" i="5"/>
  <c r="H43" i="5"/>
  <c r="D10" i="5" s="1"/>
  <c r="H10" i="5" s="1"/>
  <c r="J75" i="5"/>
  <c r="K75" i="5"/>
  <c r="I75" i="5"/>
  <c r="F75" i="5"/>
  <c r="G75" i="5"/>
  <c r="E43" i="5"/>
  <c r="I43" i="5" s="1"/>
  <c r="G8" i="5"/>
  <c r="G9" i="5"/>
  <c r="G6" i="5"/>
  <c r="H6" i="5"/>
  <c r="G7" i="5"/>
  <c r="H7" i="5"/>
  <c r="H8" i="5"/>
  <c r="H9" i="5"/>
  <c r="H75" i="5" l="1"/>
  <c r="I10" i="5"/>
  <c r="I9" i="5"/>
  <c r="I8" i="5"/>
  <c r="I6" i="5"/>
  <c r="I7" i="5"/>
</calcChain>
</file>

<file path=xl/sharedStrings.xml><?xml version="1.0" encoding="utf-8"?>
<sst xmlns="http://schemas.openxmlformats.org/spreadsheetml/2006/main" count="1372" uniqueCount="294">
  <si>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</si>
  <si>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</si>
  <si>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</si>
  <si>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</si>
  <si>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</si>
  <si>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</si>
  <si>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</si>
  <si>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</si>
  <si>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</si>
  <si>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</si>
  <si>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</si>
  <si>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</si>
  <si>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</si>
  <si>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</si>
  <si>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</si>
  <si>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</si>
  <si>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</si>
  <si>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</si>
  <si>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</si>
  <si>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</si>
  <si>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</si>
  <si>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</si>
  <si>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</si>
  <si>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</si>
  <si>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</si>
  <si>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</si>
  <si>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</si>
  <si>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</si>
  <si>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</si>
  <si>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</si>
  <si>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</si>
  <si>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</si>
  <si>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</si>
  <si>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</si>
  <si>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</si>
  <si>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</si>
  <si>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</si>
  <si>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</si>
  <si>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</si>
  <si>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</si>
  <si>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</si>
  <si>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</si>
  <si>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</si>
  <si>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</si>
  <si>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</si>
  <si>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</si>
  <si>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</si>
  <si>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</si>
  <si>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</si>
  <si>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</si>
  <si>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</si>
  <si>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</si>
  <si>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</si>
  <si>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</si>
  <si>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</si>
  <si>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</si>
  <si>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</si>
  <si>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</si>
  <si>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</si>
  <si>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</si>
  <si>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</si>
  <si>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</si>
  <si>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</si>
  <si>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</si>
  <si>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</si>
  <si>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</si>
  <si>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</si>
  <si>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</si>
  <si>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</si>
  <si>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</si>
  <si>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</si>
  <si>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</si>
  <si>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</si>
  <si>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</si>
  <si>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</si>
  <si>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</si>
  <si>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</si>
  <si>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</si>
  <si>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</si>
  <si>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</si>
  <si>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</si>
  <si>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</si>
  <si>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</si>
  <si>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</si>
  <si>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</si>
  <si>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</si>
  <si>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</si>
  <si>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</si>
  <si>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</si>
  <si>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</si>
  <si>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</si>
  <si>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</si>
  <si>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</si>
  <si>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</si>
  <si>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</si>
  <si>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</si>
  <si>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</si>
  <si>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</si>
  <si>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</si>
  <si>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</si>
  <si>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</si>
  <si>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</si>
  <si>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</si>
  <si>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</si>
  <si>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</si>
  <si>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</si>
  <si>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FC-001</t>
  </si>
  <si>
    <t>Magic Carpet</t>
  </si>
  <si>
    <t>LIGHT</t>
  </si>
  <si>
    <t>NO</t>
  </si>
  <si>
    <t>FC-004</t>
  </si>
  <si>
    <t>Bighorn Drive</t>
  </si>
  <si>
    <t>FC-006</t>
  </si>
  <si>
    <t>North Linden</t>
  </si>
  <si>
    <t>FC-011</t>
  </si>
  <si>
    <t>Golden Currant</t>
  </si>
  <si>
    <t>FC-014</t>
  </si>
  <si>
    <t>Fort Collins Vistors Center</t>
  </si>
  <si>
    <t>FC-015</t>
  </si>
  <si>
    <t>Stuart and Dorset</t>
  </si>
  <si>
    <t>FC-019</t>
  </si>
  <si>
    <t>Edora Park</t>
  </si>
  <si>
    <t>FC-023</t>
  </si>
  <si>
    <t>Boltz</t>
  </si>
  <si>
    <t>FC-027</t>
  </si>
  <si>
    <t>San Luis</t>
  </si>
  <si>
    <t>FC-029</t>
  </si>
  <si>
    <t>Bens Park</t>
  </si>
  <si>
    <t>FC-029gr</t>
  </si>
  <si>
    <t>GRAVID</t>
  </si>
  <si>
    <t>FC-031</t>
  </si>
  <si>
    <t>Willow Springs</t>
  </si>
  <si>
    <t>FC-034</t>
  </si>
  <si>
    <t>Country Club</t>
  </si>
  <si>
    <t>FC-036</t>
  </si>
  <si>
    <t>Hemlock</t>
  </si>
  <si>
    <t>FC-037</t>
  </si>
  <si>
    <t>Chelsea Ridge</t>
  </si>
  <si>
    <t>FC-038</t>
  </si>
  <si>
    <t>Lochside Lane</t>
  </si>
  <si>
    <t>FC-039</t>
  </si>
  <si>
    <t>Fossil Creek South (Greenstone)</t>
  </si>
  <si>
    <t>FC-040</t>
  </si>
  <si>
    <t>Redwood</t>
  </si>
  <si>
    <t>FC-040gr</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</si>
  <si>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</si>
  <si>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</si>
  <si>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</si>
  <si>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</si>
  <si>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</si>
  <si>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</si>
  <si>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</si>
  <si>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</si>
  <si>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</si>
  <si>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</si>
  <si>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</si>
  <si>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</si>
  <si>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</si>
  <si>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</si>
  <si>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</si>
  <si>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</si>
  <si>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</si>
  <si>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</si>
  <si>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</si>
  <si>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</si>
  <si>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</si>
  <si>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</si>
  <si>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</si>
  <si>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</si>
  <si>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</si>
  <si>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</si>
  <si>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</si>
  <si>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</si>
  <si>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</si>
  <si>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</si>
  <si>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FC-063gr</t>
  </si>
  <si>
    <t>FC-064</t>
  </si>
  <si>
    <t>West Chase @ Kechter Farm</t>
  </si>
  <si>
    <t>FC-066</t>
  </si>
  <si>
    <t>Prospect Ponds @ Drake Water</t>
  </si>
  <si>
    <t>FC-066gr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</si>
  <si>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</si>
  <si>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</si>
  <si>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</si>
  <si>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</si>
  <si>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</si>
  <si>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</si>
  <si>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</si>
  <si>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</si>
  <si>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</si>
  <si>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</si>
  <si>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</si>
  <si>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</si>
  <si>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</si>
  <si>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</si>
  <si>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</si>
  <si>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</si>
  <si>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FC-075gr</t>
  </si>
  <si>
    <t>FC-088gr</t>
  </si>
  <si>
    <t>FC-089gr</t>
  </si>
  <si>
    <t>FC-090gr</t>
  </si>
  <si>
    <t>FC-091gr</t>
  </si>
  <si>
    <t>FC-092gr</t>
  </si>
  <si>
    <t>FC-093</t>
  </si>
  <si>
    <t>Lopez Elementary School</t>
  </si>
  <si>
    <t>CSU-8803</t>
  </si>
  <si>
    <t>LC</t>
  </si>
  <si>
    <t>Cx.</t>
  </si>
  <si>
    <t>F</t>
  </si>
  <si>
    <t>CSU-8804</t>
  </si>
  <si>
    <t>CSU-8805</t>
  </si>
  <si>
    <t>CSU-8806</t>
  </si>
  <si>
    <t>CSU-8807</t>
  </si>
  <si>
    <t>CSU-8808</t>
  </si>
  <si>
    <t>CSU-8809</t>
  </si>
  <si>
    <t>CSU-8810</t>
  </si>
  <si>
    <t>CSU-8811</t>
  </si>
  <si>
    <t>CSU-8812</t>
  </si>
  <si>
    <t>CSU-8813</t>
  </si>
  <si>
    <t>CSU-8814</t>
  </si>
  <si>
    <t>CSU-8815</t>
  </si>
  <si>
    <t>CSU-8816</t>
  </si>
  <si>
    <t>CSU-8817</t>
  </si>
  <si>
    <t>CSU-8818</t>
  </si>
  <si>
    <t>CSU-8819</t>
  </si>
  <si>
    <t>CSU-8820</t>
  </si>
  <si>
    <t>CSU-8821</t>
  </si>
  <si>
    <t>CSU-8822</t>
  </si>
  <si>
    <t>CSU-8823</t>
  </si>
  <si>
    <t>CSU-8824</t>
  </si>
  <si>
    <t>CSU-8825</t>
  </si>
  <si>
    <t>CSU-8826</t>
  </si>
  <si>
    <t>CSU-8827</t>
  </si>
  <si>
    <t>CSU-8828</t>
  </si>
  <si>
    <t>CSU-8829</t>
  </si>
  <si>
    <t>CSU-8830</t>
  </si>
  <si>
    <t>CSU-8831</t>
  </si>
  <si>
    <t>CSU-8832</t>
  </si>
  <si>
    <t>CSU-8833</t>
  </si>
  <si>
    <t>CSU-8834</t>
  </si>
  <si>
    <t>CSU-8835</t>
  </si>
  <si>
    <t>CSU-8836</t>
  </si>
  <si>
    <t>CSU-8837</t>
  </si>
  <si>
    <t>CSU-8838</t>
  </si>
  <si>
    <t>CSU-8839</t>
  </si>
  <si>
    <t>CSU-8840</t>
  </si>
  <si>
    <t>CSU-8841</t>
  </si>
  <si>
    <t>CSU-8842</t>
  </si>
  <si>
    <t>CSU-8843</t>
  </si>
  <si>
    <t>CSU-8844</t>
  </si>
  <si>
    <t>CSU-8845</t>
  </si>
  <si>
    <t>CSU-8846</t>
  </si>
  <si>
    <t>CSU-8847</t>
  </si>
  <si>
    <t>CSU-8848</t>
  </si>
  <si>
    <t>CSU-8849</t>
  </si>
  <si>
    <t>CSU-8850</t>
  </si>
  <si>
    <t>CSU-8851</t>
  </si>
  <si>
    <t>CSU-8852</t>
  </si>
  <si>
    <t>CSU-8853</t>
  </si>
  <si>
    <t>CSU-8854</t>
  </si>
  <si>
    <t>CSU-8855</t>
  </si>
  <si>
    <t>CSU-8856</t>
  </si>
  <si>
    <t>CSU-8857</t>
  </si>
  <si>
    <t>CSU-8858</t>
  </si>
  <si>
    <t>CSU-8859</t>
  </si>
  <si>
    <t>Positive</t>
  </si>
  <si>
    <t>Negative</t>
  </si>
  <si>
    <t>09/16/2015</t>
  </si>
  <si>
    <t>09/15/2015</t>
  </si>
  <si>
    <t>FC-pipi</t>
  </si>
  <si>
    <t>FC-tars</t>
  </si>
  <si>
    <t>NE-pipi</t>
  </si>
  <si>
    <t>NE-tars</t>
  </si>
  <si>
    <t>NW-pipi</t>
  </si>
  <si>
    <t>SE-pipi</t>
  </si>
  <si>
    <t>SW-pipi</t>
  </si>
  <si>
    <t>NW-tars</t>
  </si>
  <si>
    <t>SE-tars</t>
  </si>
  <si>
    <t>SW-tars</t>
  </si>
  <si>
    <t>FC-053 missing 9 pipiens</t>
  </si>
  <si>
    <t>Not on CSU Data sheet</t>
  </si>
  <si>
    <t>Infection Rate</t>
  </si>
  <si>
    <t>Lower Limit</t>
  </si>
  <si>
    <t>Upper Limit</t>
  </si>
  <si>
    <t>Scale</t>
  </si>
  <si>
    <t>Point Est Method</t>
  </si>
  <si>
    <t>CI Method</t>
  </si>
  <si>
    <t>Num Pools</t>
  </si>
  <si>
    <t>Num Pos Pools</t>
  </si>
  <si>
    <t>Num Individuals</t>
  </si>
  <si>
    <t>Bias Corrected MLE</t>
  </si>
  <si>
    <t>Corrected Score</t>
  </si>
  <si>
    <t>Score</t>
  </si>
  <si>
    <r>
      <t>Historical average</t>
    </r>
    <r>
      <rPr>
        <vertAlign val="superscript"/>
        <sz val="9"/>
        <color theme="1"/>
        <rFont val="Arial"/>
        <family val="2"/>
      </rPr>
      <t>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</si>
</sst>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d/yy;@"/>
    <numFmt numFmtId="165" formatCode="00"/>
    <numFmt numFmtId="166" formatCode="0.0"/>
    <numFmt numFmtId="167" formatCode="0.000"/>
    <numFmt numFmtId="168" formatCode="0.0000"/>
    <numFmt numFmtId="169" formatCode="#,###,###"/>
    <numFmt numFmtId="170" formatCode="0.000000"/>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0"/>
      <name val="Arial"/>
      <charset val="1"/>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17" fillId="0" borderId="0">
      <alignment wrapText="1"/>
    </xf>
  </cellStyleXfs>
  <cellXfs count="11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14" fontId="0" fillId="0" borderId="0" xfId="0" applyNumberFormat="1" applyAlignment="1">
      <alignment wrapText="1"/>
    </xf>
    <xf numFmtId="0" fontId="14" fillId="0" borderId="13" xfId="0" applyFont="1" applyBorder="1"/>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8" fillId="0" borderId="8" xfId="0"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 fontId="8" fillId="0" borderId="8" xfId="0" applyNumberFormat="1" applyFont="1" applyBorder="1" applyAlignment="1">
      <alignment horizontal="center" vertical="center" wrapText="1"/>
    </xf>
    <xf numFmtId="1" fontId="2" fillId="0" borderId="8" xfId="0" applyNumberFormat="1" applyFont="1" applyBorder="1" applyAlignment="1">
      <alignment horizontal="center" vertical="center" wrapText="1"/>
    </xf>
    <xf numFmtId="0" fontId="0" fillId="5" borderId="0" xfId="0" applyFill="1" applyAlignment="1">
      <alignment wrapText="1"/>
    </xf>
    <xf numFmtId="14" fontId="0" fillId="5" borderId="0" xfId="0" applyNumberFormat="1" applyFill="1" applyAlignment="1">
      <alignment wrapText="1"/>
    </xf>
    <xf numFmtId="0" fontId="0" fillId="5" borderId="0" xfId="0" applyFill="1"/>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8" fillId="0" borderId="8" xfId="0" applyFont="1" applyBorder="1" applyAlignment="1">
      <alignment horizontal="center" vertical="center" wrapText="1"/>
    </xf>
    <xf numFmtId="170" fontId="4" fillId="0" borderId="8" xfId="0" applyNumberFormat="1" applyFont="1" applyBorder="1" applyAlignment="1">
      <alignment horizontal="center" vertical="center" wrapText="1"/>
    </xf>
    <xf numFmtId="2" fontId="16" fillId="0" borderId="16" xfId="0" applyNumberFormat="1" applyFont="1" applyBorder="1" applyAlignment="1">
      <alignment vertical="center" wrapText="1"/>
    </xf>
    <xf numFmtId="2" fontId="16" fillId="0" borderId="3" xfId="0" applyNumberFormat="1" applyFont="1" applyBorder="1" applyAlignment="1">
      <alignment vertical="center" wrapText="1"/>
    </xf>
    <xf numFmtId="2" fontId="8" fillId="0" borderId="8" xfId="0" applyNumberFormat="1" applyFont="1" applyBorder="1" applyAlignment="1">
      <alignment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3">
    <cellStyle name="Excel Built-in Normal"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edra Murrieta" refreshedDate="42268.47691099537" createdVersion="5" refreshedVersion="5" minRefreshableVersion="3" recordCount="43">
  <cacheSource type="worksheet">
    <worksheetSource ref="A1:K44" sheet="Weekly 009 input (- Grav, Mal)"/>
  </cacheSource>
  <cacheFields count="11">
    <cacheField name="Week" numFmtId="0">
      <sharedItems containsSemiMixedTypes="0" containsString="0" containsNumber="1" containsInteger="1" minValue="37" maxValue="37" count="1">
        <n v="37"/>
      </sharedItems>
    </cacheField>
    <cacheField name="Trap Date" numFmtId="0">
      <sharedItems/>
    </cacheField>
    <cacheField name="Trap Number" numFmtId="0">
      <sharedItems/>
    </cacheField>
    <cacheField name="Zone" numFmtId="0">
      <sharedItems count="4">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
    </cacheField>
    <cacheField name="Cx pipiens" numFmtId="0">
      <sharedItems containsSemiMixedTypes="0" containsString="0" containsNumber="1" containsInteger="1" minValue="0" maxValue="52"/>
    </cacheField>
    <cacheField name="Total CX" numFmtId="0">
      <sharedItems containsSemiMixedTypes="0" containsString="0" containsNumber="1" containsInteger="1" minValue="0" maxValue="57"/>
    </cacheField>
    <cacheField name="Total Females" numFmtId="0">
      <sharedItems containsSemiMixedTypes="0" containsString="0" containsNumber="1" containsInteger="1" minValue="0" maxValue="17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edra Murrieta" refreshedDate="42268.477631365742" createdVersion="5" refreshedVersion="5" minRefreshableVersion="3" recordCount="57">
  <cacheSource type="worksheet">
    <worksheetSource ref="A1:R58"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8350" maxValue="18406"/>
    </cacheField>
    <cacheField name="Week" numFmtId="0">
      <sharedItems containsSemiMixedTypes="0" containsString="0" containsNumber="1" containsInteger="1" minValue="37" maxValue="37" count="1">
        <n v="37"/>
      </sharedItems>
    </cacheField>
    <cacheField name="Trap Date" numFmtId="164">
      <sharedItems containsSemiMixedTypes="0" containsNonDate="0" containsDate="1" containsString="0" minDate="2015-09-15T00:00:00" maxDate="2015-09-17T00:00:00" count="2">
        <d v="2015-09-15T00:00:00"/>
        <d v="2015-09-16T00:00:00"/>
      </sharedItems>
    </cacheField>
    <cacheField name="County" numFmtId="0">
      <sharedItems/>
    </cacheField>
    <cacheField name="Account" numFmtId="0">
      <sharedItems/>
    </cacheField>
    <cacheField name="Collection Site (Trap ID)" numFmtId="0">
      <sharedItems/>
    </cacheField>
    <cacheField name="Zone" numFmtId="0">
      <sharedItems count="4">
        <s v="NE"/>
        <s v="NW"/>
        <s v="SE"/>
        <s v="S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x v="0"/>
    <s v="09/15/2015"/>
    <s v="FC-006"/>
    <x v="0"/>
    <s v="North Linden"/>
    <s v="LIGHT"/>
    <s v="NO"/>
    <n v="1"/>
    <n v="4"/>
    <n v="5"/>
    <n v="42"/>
  </r>
  <r>
    <x v="0"/>
    <s v="09/16/2015"/>
    <s v="FC-014"/>
    <x v="0"/>
    <s v="Fort Collins Vistors Center"/>
    <s v="LIGHT"/>
    <s v="NO"/>
    <n v="0"/>
    <n v="0"/>
    <n v="0"/>
    <n v="1"/>
  </r>
  <r>
    <x v="0"/>
    <s v="09/15/2015"/>
    <s v="FC-019"/>
    <x v="0"/>
    <s v="Edora Park"/>
    <s v="LIGHT"/>
    <s v="NO"/>
    <n v="1"/>
    <n v="4"/>
    <n v="5"/>
    <n v="17"/>
  </r>
  <r>
    <x v="0"/>
    <s v="09/15/2015"/>
    <s v="FC-034"/>
    <x v="0"/>
    <s v="Country Club"/>
    <s v="LIGHT"/>
    <s v="NO"/>
    <n v="1"/>
    <n v="3"/>
    <n v="4"/>
    <n v="65"/>
  </r>
  <r>
    <x v="0"/>
    <s v="09/15/2015"/>
    <s v="FC-038"/>
    <x v="0"/>
    <s v="Lochside Lane"/>
    <s v="LIGHT"/>
    <s v="NO"/>
    <n v="2"/>
    <n v="15"/>
    <n v="17"/>
    <n v="90"/>
  </r>
  <r>
    <x v="0"/>
    <s v="09/15/2015"/>
    <s v="FC-040"/>
    <x v="0"/>
    <s v="Redwood"/>
    <s v="LIGHT"/>
    <s v="NO"/>
    <n v="0"/>
    <n v="12"/>
    <n v="12"/>
    <n v="61"/>
  </r>
  <r>
    <x v="0"/>
    <s v="09/15/2015"/>
    <s v="FC-066"/>
    <x v="0"/>
    <s v="Prospect Ponds @ Drake Water"/>
    <s v="LIGHT"/>
    <s v="NO"/>
    <n v="5"/>
    <n v="52"/>
    <n v="57"/>
    <n v="173"/>
  </r>
  <r>
    <x v="0"/>
    <s v="09/16/2015"/>
    <s v="FC-067"/>
    <x v="0"/>
    <s v="Poudre River Drive at bike trail"/>
    <s v="LIGHT"/>
    <s v="NO"/>
    <n v="1"/>
    <n v="0"/>
    <n v="1"/>
    <n v="43"/>
  </r>
  <r>
    <x v="0"/>
    <s v="09/15/2015"/>
    <s v="FC-069"/>
    <x v="0"/>
    <s v="Linden Lake Rd"/>
    <s v="LIGHT"/>
    <s v="NO"/>
    <n v="1"/>
    <n v="1"/>
    <n v="2"/>
    <n v="131"/>
  </r>
  <r>
    <x v="0"/>
    <s v="09/15/2015"/>
    <s v="FC-072"/>
    <x v="0"/>
    <s v="422 Lake Drive Alley"/>
    <s v="LIGHT"/>
    <s v="NO"/>
    <n v="4"/>
    <n v="1"/>
    <n v="5"/>
    <n v="13"/>
  </r>
  <r>
    <x v="0"/>
    <s v="09/16/2015"/>
    <s v="FC-011"/>
    <x v="1"/>
    <s v="Golden Currant"/>
    <s v="LIGHT"/>
    <s v="NO"/>
    <n v="2"/>
    <n v="1"/>
    <n v="3"/>
    <n v="4"/>
  </r>
  <r>
    <x v="0"/>
    <s v="09/16/2015"/>
    <s v="FC-015"/>
    <x v="1"/>
    <s v="Stuart and Dorset"/>
    <s v="LIGHT"/>
    <s v="NO"/>
    <n v="0"/>
    <n v="0"/>
    <n v="0"/>
    <n v="1"/>
  </r>
  <r>
    <x v="0"/>
    <s v="09/15/2015"/>
    <s v="FC-036"/>
    <x v="1"/>
    <s v="Hemlock"/>
    <s v="LIGHT"/>
    <s v="NO"/>
    <n v="1"/>
    <n v="4"/>
    <n v="5"/>
    <n v="27"/>
  </r>
  <r>
    <x v="0"/>
    <s v="09/16/2015"/>
    <s v="FC-041"/>
    <x v="1"/>
    <s v="Fishback"/>
    <s v="LIGHT"/>
    <s v="NO"/>
    <n v="3"/>
    <n v="6"/>
    <n v="9"/>
    <n v="9"/>
  </r>
  <r>
    <x v="0"/>
    <s v="09/16/2015"/>
    <s v="FC-052"/>
    <x v="1"/>
    <s v="603 Gilgalad Way"/>
    <s v="LIGHT"/>
    <s v="NO"/>
    <n v="0"/>
    <n v="0"/>
    <n v="0"/>
    <n v="4"/>
  </r>
  <r>
    <x v="0"/>
    <s v="09/16/2015"/>
    <s v="FC-060"/>
    <x v="1"/>
    <s v="808 Pondersosa"/>
    <s v="LIGHT"/>
    <s v="NO"/>
    <n v="0"/>
    <n v="0"/>
    <n v="0"/>
    <n v="0"/>
  </r>
  <r>
    <x v="0"/>
    <s v="09/16/2015"/>
    <s v="FC-061"/>
    <x v="1"/>
    <s v="Holley Environ. Plant Research Ctr"/>
    <s v="LIGHT"/>
    <s v="NO"/>
    <n v="3"/>
    <n v="0"/>
    <n v="3"/>
    <n v="9"/>
  </r>
  <r>
    <x v="0"/>
    <s v="09/16/2015"/>
    <s v="FC-063"/>
    <x v="1"/>
    <s v="Red Fox Meadows FCNA"/>
    <s v="LIGHT"/>
    <s v="NO"/>
    <n v="0"/>
    <n v="0"/>
    <n v="0"/>
    <n v="3"/>
  </r>
  <r>
    <x v="0"/>
    <s v="09/16/2015"/>
    <s v="FC-073"/>
    <x v="1"/>
    <s v="118 Grant"/>
    <s v="LIGHT"/>
    <s v="NO"/>
    <n v="1"/>
    <n v="2"/>
    <n v="3"/>
    <n v="5"/>
  </r>
  <r>
    <x v="0"/>
    <s v="09/16/2015"/>
    <s v="FC-004"/>
    <x v="2"/>
    <s v="Bighorn Drive"/>
    <s v="LIGHT"/>
    <s v="NO"/>
    <n v="0"/>
    <n v="5"/>
    <n v="5"/>
    <n v="5"/>
  </r>
  <r>
    <x v="0"/>
    <s v="09/15/2015"/>
    <s v="FC-023"/>
    <x v="2"/>
    <s v="Boltz"/>
    <s v="LIGHT"/>
    <s v="NO"/>
    <n v="0"/>
    <n v="0"/>
    <n v="0"/>
    <n v="1"/>
  </r>
  <r>
    <x v="0"/>
    <s v="09/15/2015"/>
    <s v="FC-027"/>
    <x v="2"/>
    <s v="San Luis"/>
    <s v="LIGHT"/>
    <s v="NO"/>
    <n v="1"/>
    <n v="12"/>
    <n v="13"/>
    <n v="17"/>
  </r>
  <r>
    <x v="0"/>
    <s v="09/16/2015"/>
    <s v="FC-029"/>
    <x v="2"/>
    <s v="Bens Park"/>
    <s v="LIGHT"/>
    <s v="NO"/>
    <n v="0"/>
    <n v="4"/>
    <n v="4"/>
    <n v="4"/>
  </r>
  <r>
    <x v="0"/>
    <s v="09/15/2015"/>
    <s v="FC-031"/>
    <x v="2"/>
    <s v="Willow Springs"/>
    <s v="LIGHT"/>
    <s v="NO"/>
    <n v="0"/>
    <n v="0"/>
    <n v="0"/>
    <n v="0"/>
  </r>
  <r>
    <x v="0"/>
    <s v="09/15/2015"/>
    <s v="FC-039"/>
    <x v="2"/>
    <s v="Fossil Creek South (Greenstone)"/>
    <s v="LIGHT"/>
    <s v="NO"/>
    <n v="0"/>
    <n v="2"/>
    <n v="2"/>
    <n v="12"/>
  </r>
  <r>
    <x v="0"/>
    <s v="09/15/2015"/>
    <s v="FC-046"/>
    <x v="2"/>
    <s v="725 Westshore Court"/>
    <s v="LIGHT"/>
    <s v="NO"/>
    <n v="0"/>
    <n v="1"/>
    <n v="1"/>
    <n v="4"/>
  </r>
  <r>
    <x v="0"/>
    <s v="09/15/2015"/>
    <s v="FC-047"/>
    <x v="2"/>
    <s v="Keenland &amp; Twin Oak"/>
    <s v="LIGHT"/>
    <s v="NO"/>
    <n v="0"/>
    <n v="0"/>
    <n v="0"/>
    <n v="2"/>
  </r>
  <r>
    <x v="0"/>
    <s v="09/15/2015"/>
    <s v="FC-050"/>
    <x v="2"/>
    <s v="Golden Meadows Ditch"/>
    <s v="LIGHT"/>
    <s v="NO"/>
    <n v="0"/>
    <n v="28"/>
    <n v="28"/>
    <n v="28"/>
  </r>
  <r>
    <x v="0"/>
    <s v="09/16/2015"/>
    <s v="FC-053"/>
    <x v="2"/>
    <s v="Egret and Rookery"/>
    <s v="LIGHT"/>
    <s v="NO"/>
    <n v="0"/>
    <n v="9"/>
    <n v="9"/>
    <n v="10"/>
  </r>
  <r>
    <x v="0"/>
    <s v="09/16/2015"/>
    <s v="FC-054"/>
    <x v="2"/>
    <s v="737 Parliament Court"/>
    <s v="LIGHT"/>
    <s v="NO"/>
    <n v="0"/>
    <n v="0"/>
    <n v="0"/>
    <n v="0"/>
  </r>
  <r>
    <x v="0"/>
    <s v="09/15/2015"/>
    <s v="FC-059"/>
    <x v="2"/>
    <s v="Springwood and Lockwood"/>
    <s v="LIGHT"/>
    <s v="NO"/>
    <n v="0"/>
    <n v="29"/>
    <n v="29"/>
    <n v="39"/>
  </r>
  <r>
    <x v="0"/>
    <s v="09/15/2015"/>
    <s v="FC-064"/>
    <x v="2"/>
    <s v="West Chase @ Kechter Farm"/>
    <s v="LIGHT"/>
    <s v="NO"/>
    <n v="2"/>
    <n v="1"/>
    <n v="3"/>
    <n v="8"/>
  </r>
  <r>
    <x v="0"/>
    <s v="09/15/2015"/>
    <s v="FC-074"/>
    <x v="2"/>
    <s v="Rockcreek"/>
    <s v="LIGHT"/>
    <s v="NO"/>
    <n v="0"/>
    <n v="1"/>
    <n v="1"/>
    <n v="9"/>
  </r>
  <r>
    <x v="0"/>
    <s v="09/15/2015"/>
    <s v="FC-075"/>
    <x v="2"/>
    <s v="North Sage Creek"/>
    <s v="LIGHT"/>
    <s v="NO"/>
    <n v="1"/>
    <n v="16"/>
    <n v="17"/>
    <n v="22"/>
  </r>
  <r>
    <x v="0"/>
    <s v="09/16/2015"/>
    <s v="FC-001"/>
    <x v="3"/>
    <s v="Magic Carpet"/>
    <s v="LIGHT"/>
    <s v="NO"/>
    <n v="0"/>
    <n v="0"/>
    <n v="0"/>
    <n v="0"/>
  </r>
  <r>
    <x v="0"/>
    <s v="09/16/2015"/>
    <s v="FC-037"/>
    <x v="3"/>
    <s v="Chelsea Ridge"/>
    <s v="LIGHT"/>
    <s v="NO"/>
    <n v="3"/>
    <n v="0"/>
    <n v="3"/>
    <n v="3"/>
  </r>
  <r>
    <x v="0"/>
    <s v="09/16/2015"/>
    <s v="FC-049"/>
    <x v="3"/>
    <s v="Casa Grande and Downing"/>
    <s v="LIGHT"/>
    <s v="NO"/>
    <n v="2"/>
    <n v="5"/>
    <n v="7"/>
    <n v="9"/>
  </r>
  <r>
    <x v="0"/>
    <s v="09/16/2015"/>
    <s v="FC-057"/>
    <x v="3"/>
    <s v="Registry Ridge- End of Ranger Dr"/>
    <s v="LIGHT"/>
    <s v="NO"/>
    <n v="1"/>
    <n v="0"/>
    <n v="1"/>
    <n v="2"/>
  </r>
  <r>
    <x v="0"/>
    <s v="09/16/2015"/>
    <s v="FC-058"/>
    <x v="3"/>
    <s v="Spring Creek Trail @ Michener Dr"/>
    <s v="LIGHT"/>
    <s v="NO"/>
    <n v="0"/>
    <n v="0"/>
    <n v="0"/>
    <n v="2"/>
  </r>
  <r>
    <x v="0"/>
    <s v="09/16/2015"/>
    <s v="FC-062"/>
    <x v="3"/>
    <s v="Waters Edge at Blue Mesa"/>
    <s v="LIGHT"/>
    <s v="NO"/>
    <n v="4"/>
    <n v="0"/>
    <n v="4"/>
    <n v="5"/>
  </r>
  <r>
    <x v="0"/>
    <s v="09/16/2015"/>
    <s v="FC-068"/>
    <x v="3"/>
    <s v="502 Crest Drive"/>
    <s v="LIGHT"/>
    <s v="NO"/>
    <n v="0"/>
    <n v="0"/>
    <n v="0"/>
    <n v="1"/>
  </r>
  <r>
    <x v="0"/>
    <s v="09/16/2015"/>
    <s v="FC-071"/>
    <x v="3"/>
    <s v="Silvergate Road"/>
    <s v="LIGHT"/>
    <s v="NO"/>
    <n v="0"/>
    <n v="0"/>
    <n v="0"/>
    <n v="0"/>
  </r>
  <r>
    <x v="0"/>
    <s v="09/16/2015"/>
    <s v="FC-093"/>
    <x v="3"/>
    <s v="Lopez Elementary School"/>
    <s v="LIGHT"/>
    <s v="NO"/>
    <n v="0"/>
    <n v="0"/>
    <n v="0"/>
    <n v="2"/>
  </r>
</pivotCacheRecords>
</file>

<file path=xl/pivotCache/pivotCacheRecords2.xml><?xml version="1.0" encoding="utf-8"?>
<pivotCacheRecords xmlns="http://schemas.openxmlformats.org/spreadsheetml/2006/main" xmlns:r="http://schemas.openxmlformats.org/officeDocument/2006/relationships" count="57">
  <r>
    <n v="2015"/>
    <s v="CSU-8827"/>
    <n v="18374"/>
    <x v="0"/>
    <x v="0"/>
    <s v="LC"/>
    <s v="FC"/>
    <s v="FC-040gr"/>
    <x v="0"/>
    <s v="GRAVID"/>
    <s v="Cx."/>
    <x v="0"/>
    <s v="F"/>
    <n v="21"/>
    <n v="0"/>
    <n v="21"/>
    <n v="0"/>
    <s v="Negative"/>
  </r>
  <r>
    <n v="2015"/>
    <s v="CSU-8832"/>
    <n v="18379"/>
    <x v="0"/>
    <x v="0"/>
    <s v="LC"/>
    <s v="FC"/>
    <s v="FC-066gr"/>
    <x v="0"/>
    <s v="GRAVID"/>
    <s v="Cx."/>
    <x v="0"/>
    <s v="F"/>
    <n v="17"/>
    <n v="0"/>
    <n v="17"/>
    <n v="0"/>
    <s v="Negative"/>
  </r>
  <r>
    <n v="2015"/>
    <s v="CSU-8836"/>
    <n v="18383"/>
    <x v="0"/>
    <x v="0"/>
    <s v="LC"/>
    <s v="FC"/>
    <s v="FC-091gr"/>
    <x v="0"/>
    <s v="GRAVID"/>
    <s v="Cx."/>
    <x v="1"/>
    <s v="F"/>
    <n v="1"/>
    <n v="0"/>
    <n v="1"/>
    <n v="0"/>
    <s v="Negative"/>
  </r>
  <r>
    <n v="2015"/>
    <s v="CSU-8837"/>
    <n v="18384"/>
    <x v="0"/>
    <x v="0"/>
    <s v="LC"/>
    <s v="FC"/>
    <s v="FC-091gr"/>
    <x v="0"/>
    <s v="GRAVID"/>
    <s v="Cx."/>
    <x v="0"/>
    <s v="F"/>
    <n v="31"/>
    <n v="0"/>
    <n v="31"/>
    <n v="0"/>
    <s v="Negative"/>
  </r>
  <r>
    <n v="2015"/>
    <s v="CSU-8826"/>
    <n v="18373"/>
    <x v="0"/>
    <x v="0"/>
    <s v="LC"/>
    <s v="FC"/>
    <s v="FC-092gr"/>
    <x v="0"/>
    <s v="GRAVID"/>
    <s v="Cx."/>
    <x v="0"/>
    <s v="F"/>
    <n v="33"/>
    <n v="0"/>
    <n v="33"/>
    <n v="0"/>
    <s v="Negative"/>
  </r>
  <r>
    <n v="2015"/>
    <s v="CSU-8847"/>
    <n v="18394"/>
    <x v="0"/>
    <x v="1"/>
    <s v="LC"/>
    <s v="FC"/>
    <s v="FC-063gr"/>
    <x v="1"/>
    <s v="GRAVID"/>
    <s v="Cx."/>
    <x v="0"/>
    <s v="F"/>
    <n v="10"/>
    <n v="0"/>
    <n v="10"/>
    <n v="0"/>
    <s v="Negative"/>
  </r>
  <r>
    <n v="2015"/>
    <s v="CSU-8853"/>
    <n v="18400"/>
    <x v="0"/>
    <x v="1"/>
    <s v="LC"/>
    <s v="FC"/>
    <s v="FC-090gr"/>
    <x v="1"/>
    <s v="GRAVID"/>
    <s v="Cx."/>
    <x v="0"/>
    <s v="F"/>
    <n v="7"/>
    <n v="0"/>
    <n v="7"/>
    <n v="0"/>
    <s v="Negative"/>
  </r>
  <r>
    <n v="2015"/>
    <s v="CSU-8858"/>
    <n v="18405"/>
    <x v="0"/>
    <x v="1"/>
    <s v="LC"/>
    <s v="FC"/>
    <s v="FC-029gr"/>
    <x v="2"/>
    <s v="GRAVID"/>
    <s v="Cx."/>
    <x v="0"/>
    <s v="F"/>
    <n v="21"/>
    <n v="0"/>
    <n v="21"/>
    <n v="1"/>
    <s v="Positive"/>
  </r>
  <r>
    <n v="2015"/>
    <s v="CSU-8810"/>
    <n v="18357"/>
    <x v="0"/>
    <x v="0"/>
    <s v="LC"/>
    <s v="FC"/>
    <s v="FC-075gr"/>
    <x v="2"/>
    <s v="GRAVID"/>
    <s v="Cx."/>
    <x v="0"/>
    <s v="F"/>
    <n v="50"/>
    <n v="0"/>
    <n v="50"/>
    <n v="0"/>
    <s v="Negative"/>
  </r>
  <r>
    <n v="2015"/>
    <s v="CSU-8811"/>
    <n v="18358"/>
    <x v="0"/>
    <x v="0"/>
    <s v="LC"/>
    <s v="FC"/>
    <s v="FC-075gr"/>
    <x v="2"/>
    <s v="GRAVID"/>
    <s v="Cx."/>
    <x v="0"/>
    <s v="F"/>
    <n v="38"/>
    <n v="0"/>
    <n v="38"/>
    <n v="0"/>
    <s v="Negative"/>
  </r>
  <r>
    <n v="2015"/>
    <s v="CSU-8808"/>
    <n v="18355"/>
    <x v="0"/>
    <x v="0"/>
    <s v="LC"/>
    <s v="FC"/>
    <s v="FC-088gr"/>
    <x v="2"/>
    <s v="GRAVID"/>
    <s v="Cx."/>
    <x v="0"/>
    <s v="F"/>
    <n v="43"/>
    <n v="0"/>
    <n v="43"/>
    <n v="0"/>
    <s v="Negative"/>
  </r>
  <r>
    <n v="2015"/>
    <s v="CSU-8856"/>
    <n v="18403"/>
    <x v="0"/>
    <x v="1"/>
    <s v="LC"/>
    <s v="FC"/>
    <s v="FC-089gr"/>
    <x v="3"/>
    <s v="GRAVID"/>
    <s v="Cx."/>
    <x v="0"/>
    <s v="F"/>
    <n v="5"/>
    <n v="0"/>
    <n v="5"/>
    <n v="0"/>
    <s v="Negative"/>
  </r>
  <r>
    <n v="2015"/>
    <s v="CSU-8830"/>
    <n v="18377"/>
    <x v="0"/>
    <x v="0"/>
    <s v="LC"/>
    <s v="FC"/>
    <s v="FC-006"/>
    <x v="0"/>
    <s v="LIGHT"/>
    <s v="Cx."/>
    <x v="1"/>
    <s v="F"/>
    <n v="0"/>
    <n v="1"/>
    <n v="1"/>
    <n v="0"/>
    <s v="Negative"/>
  </r>
  <r>
    <n v="2015"/>
    <s v="CSU-8831"/>
    <n v="18378"/>
    <x v="0"/>
    <x v="0"/>
    <s v="LC"/>
    <s v="FC"/>
    <s v="FC-006"/>
    <x v="0"/>
    <s v="LIGHT"/>
    <s v="Cx."/>
    <x v="0"/>
    <s v="F"/>
    <n v="0"/>
    <n v="4"/>
    <n v="4"/>
    <n v="0"/>
    <s v="Negative"/>
  </r>
  <r>
    <n v="2015"/>
    <s v="CSU-8838"/>
    <n v="18385"/>
    <x v="0"/>
    <x v="0"/>
    <s v="LC"/>
    <s v="FC"/>
    <s v="FC-019"/>
    <x v="0"/>
    <s v="LIGHT"/>
    <s v="Cx."/>
    <x v="1"/>
    <s v="F"/>
    <n v="0"/>
    <n v="1"/>
    <n v="1"/>
    <n v="0"/>
    <s v="Negative"/>
  </r>
  <r>
    <n v="2015"/>
    <s v="CSU-8839"/>
    <n v="18386"/>
    <x v="0"/>
    <x v="0"/>
    <s v="LC"/>
    <s v="FC"/>
    <s v="FC-019"/>
    <x v="0"/>
    <s v="LIGHT"/>
    <s v="Cx."/>
    <x v="0"/>
    <s v="F"/>
    <n v="0"/>
    <n v="4"/>
    <n v="4"/>
    <n v="0"/>
    <s v="Negative"/>
  </r>
  <r>
    <n v="2015"/>
    <s v="CSU-8822"/>
    <n v="18369"/>
    <x v="0"/>
    <x v="0"/>
    <s v="LC"/>
    <s v="FC"/>
    <s v="FC-034"/>
    <x v="0"/>
    <s v="LIGHT"/>
    <s v="Cx."/>
    <x v="1"/>
    <s v="F"/>
    <n v="0"/>
    <n v="1"/>
    <n v="1"/>
    <n v="0"/>
    <s v="Negative"/>
  </r>
  <r>
    <n v="2015"/>
    <s v="CSU-8823"/>
    <n v="18370"/>
    <x v="0"/>
    <x v="0"/>
    <s v="LC"/>
    <s v="FC"/>
    <s v="FC-034"/>
    <x v="0"/>
    <s v="LIGHT"/>
    <s v="Cx."/>
    <x v="0"/>
    <s v="F"/>
    <n v="0"/>
    <n v="3"/>
    <n v="3"/>
    <n v="0"/>
    <s v="Negative"/>
  </r>
  <r>
    <n v="2015"/>
    <s v="CSU-8818"/>
    <n v="18365"/>
    <x v="0"/>
    <x v="0"/>
    <s v="LC"/>
    <s v="FC"/>
    <s v="FC-038"/>
    <x v="0"/>
    <s v="LIGHT"/>
    <s v="Cx."/>
    <x v="1"/>
    <s v="F"/>
    <n v="0"/>
    <n v="2"/>
    <n v="2"/>
    <n v="0"/>
    <s v="Negative"/>
  </r>
  <r>
    <n v="2015"/>
    <s v="CSU-8819"/>
    <n v="18366"/>
    <x v="0"/>
    <x v="0"/>
    <s v="LC"/>
    <s v="FC"/>
    <s v="FC-038"/>
    <x v="0"/>
    <s v="LIGHT"/>
    <s v="Cx."/>
    <x v="0"/>
    <s v="F"/>
    <n v="0"/>
    <n v="15"/>
    <n v="15"/>
    <n v="0"/>
    <s v="Negative"/>
  </r>
  <r>
    <n v="2015"/>
    <s v="CSU-8817"/>
    <n v="18364"/>
    <x v="0"/>
    <x v="0"/>
    <s v="LC"/>
    <s v="FC"/>
    <s v="FC-040"/>
    <x v="0"/>
    <s v="LIGHT"/>
    <s v="Cx."/>
    <x v="0"/>
    <s v="F"/>
    <n v="0"/>
    <n v="12"/>
    <n v="12"/>
    <n v="0"/>
    <s v="Negative"/>
  </r>
  <r>
    <n v="2015"/>
    <s v="CSU-8833"/>
    <n v="18380"/>
    <x v="0"/>
    <x v="0"/>
    <s v="LC"/>
    <s v="FC"/>
    <s v="FC-066"/>
    <x v="0"/>
    <s v="LIGHT"/>
    <s v="Cx."/>
    <x v="1"/>
    <s v="F"/>
    <n v="0"/>
    <n v="5"/>
    <n v="5"/>
    <n v="0"/>
    <s v="Negative"/>
  </r>
  <r>
    <n v="2015"/>
    <s v="CSU-8834"/>
    <n v="18381"/>
    <x v="0"/>
    <x v="0"/>
    <s v="LC"/>
    <s v="FC"/>
    <s v="FC-066"/>
    <x v="0"/>
    <s v="LIGHT"/>
    <s v="Cx."/>
    <x v="0"/>
    <s v="F"/>
    <n v="0"/>
    <n v="50"/>
    <n v="50"/>
    <n v="1"/>
    <s v="Positive"/>
  </r>
  <r>
    <n v="2015"/>
    <s v="CSU-8835"/>
    <n v="18382"/>
    <x v="0"/>
    <x v="0"/>
    <s v="LC"/>
    <s v="FC"/>
    <s v="FC-066"/>
    <x v="0"/>
    <s v="LIGHT"/>
    <s v="Cx."/>
    <x v="0"/>
    <s v="F"/>
    <n v="0"/>
    <n v="2"/>
    <n v="2"/>
    <n v="0"/>
    <s v="Negative"/>
  </r>
  <r>
    <n v="2015"/>
    <s v="CSU-8841"/>
    <n v="18388"/>
    <x v="0"/>
    <x v="1"/>
    <s v="LC"/>
    <s v="FC"/>
    <s v="FC-067"/>
    <x v="0"/>
    <s v="LIGHT"/>
    <s v="Cx."/>
    <x v="1"/>
    <s v="F"/>
    <n v="0"/>
    <n v="1"/>
    <n v="1"/>
    <n v="0"/>
    <s v="Negative"/>
  </r>
  <r>
    <n v="2015"/>
    <s v="CSU-8820"/>
    <n v="18367"/>
    <x v="0"/>
    <x v="0"/>
    <s v="LC"/>
    <s v="FC"/>
    <s v="FC-069"/>
    <x v="0"/>
    <s v="LIGHT"/>
    <s v="Cx."/>
    <x v="1"/>
    <s v="F"/>
    <n v="0"/>
    <n v="1"/>
    <n v="1"/>
    <n v="0"/>
    <s v="Negative"/>
  </r>
  <r>
    <n v="2015"/>
    <s v="CSU-8821"/>
    <n v="18368"/>
    <x v="0"/>
    <x v="0"/>
    <s v="LC"/>
    <s v="FC"/>
    <s v="FC-069"/>
    <x v="0"/>
    <s v="LIGHT"/>
    <s v="Cx."/>
    <x v="0"/>
    <s v="F"/>
    <n v="0"/>
    <n v="1"/>
    <n v="1"/>
    <n v="0"/>
    <s v="Negative"/>
  </r>
  <r>
    <n v="2015"/>
    <s v="CSU-8828"/>
    <n v="18375"/>
    <x v="0"/>
    <x v="0"/>
    <s v="LC"/>
    <s v="FC"/>
    <s v="FC-072"/>
    <x v="0"/>
    <s v="LIGHT"/>
    <s v="Cx."/>
    <x v="1"/>
    <s v="F"/>
    <n v="0"/>
    <n v="4"/>
    <n v="4"/>
    <n v="0"/>
    <s v="Negative"/>
  </r>
  <r>
    <n v="2015"/>
    <s v="CSU-8829"/>
    <n v="18376"/>
    <x v="0"/>
    <x v="0"/>
    <s v="LC"/>
    <s v="FC"/>
    <s v="FC-072"/>
    <x v="0"/>
    <s v="LIGHT"/>
    <s v="Cx."/>
    <x v="0"/>
    <s v="F"/>
    <n v="0"/>
    <n v="1"/>
    <n v="1"/>
    <n v="0"/>
    <s v="Negative"/>
  </r>
  <r>
    <n v="2015"/>
    <s v="CSU-8845"/>
    <n v="18392"/>
    <x v="0"/>
    <x v="1"/>
    <s v="LC"/>
    <s v="FC"/>
    <s v="FC-011"/>
    <x v="1"/>
    <s v="LIGHT"/>
    <s v="Cx."/>
    <x v="1"/>
    <s v="F"/>
    <n v="0"/>
    <n v="2"/>
    <n v="2"/>
    <n v="0"/>
    <s v="Negative"/>
  </r>
  <r>
    <n v="2015"/>
    <s v="CSU-8846"/>
    <n v="18393"/>
    <x v="0"/>
    <x v="1"/>
    <s v="LC"/>
    <s v="FC"/>
    <s v="FC-011"/>
    <x v="1"/>
    <s v="LIGHT"/>
    <s v="Cx."/>
    <x v="0"/>
    <s v="F"/>
    <n v="0"/>
    <n v="1"/>
    <n v="1"/>
    <n v="0"/>
    <s v="Negative"/>
  </r>
  <r>
    <n v="2015"/>
    <s v="CSU-8824"/>
    <n v="18371"/>
    <x v="0"/>
    <x v="0"/>
    <s v="LC"/>
    <s v="FC"/>
    <s v="FC-036"/>
    <x v="1"/>
    <s v="LIGHT"/>
    <s v="Cx."/>
    <x v="1"/>
    <s v="F"/>
    <n v="0"/>
    <n v="1"/>
    <n v="1"/>
    <n v="0"/>
    <s v="Negative"/>
  </r>
  <r>
    <n v="2015"/>
    <s v="CSU-8825"/>
    <n v="18372"/>
    <x v="0"/>
    <x v="0"/>
    <s v="LC"/>
    <s v="FC"/>
    <s v="FC-036"/>
    <x v="1"/>
    <s v="LIGHT"/>
    <s v="Cx."/>
    <x v="0"/>
    <s v="F"/>
    <n v="0"/>
    <n v="4"/>
    <n v="4"/>
    <n v="0"/>
    <s v="Negative"/>
  </r>
  <r>
    <n v="2015"/>
    <s v="CSU-8848"/>
    <n v="18395"/>
    <x v="0"/>
    <x v="1"/>
    <s v="LC"/>
    <s v="FC"/>
    <s v="FC-041"/>
    <x v="1"/>
    <s v="LIGHT"/>
    <s v="Cx."/>
    <x v="1"/>
    <s v="F"/>
    <n v="0"/>
    <n v="3"/>
    <n v="3"/>
    <n v="0"/>
    <s v="Negative"/>
  </r>
  <r>
    <n v="2015"/>
    <s v="CSU-8849"/>
    <n v="18396"/>
    <x v="0"/>
    <x v="1"/>
    <s v="LC"/>
    <s v="FC"/>
    <s v="FC-041"/>
    <x v="1"/>
    <s v="LIGHT"/>
    <s v="Cx."/>
    <x v="0"/>
    <s v="F"/>
    <n v="0"/>
    <n v="6"/>
    <n v="6"/>
    <n v="0"/>
    <s v="Negative"/>
  </r>
  <r>
    <n v="2015"/>
    <s v="CSU-8852"/>
    <n v="18399"/>
    <x v="0"/>
    <x v="1"/>
    <s v="LC"/>
    <s v="FC"/>
    <s v="FC-061"/>
    <x v="1"/>
    <s v="LIGHT"/>
    <s v="Cx."/>
    <x v="1"/>
    <s v="F"/>
    <n v="0"/>
    <n v="3"/>
    <n v="3"/>
    <n v="0"/>
    <s v="Negative"/>
  </r>
  <r>
    <n v="2015"/>
    <s v="CSU-8850"/>
    <n v="18397"/>
    <x v="0"/>
    <x v="1"/>
    <s v="LC"/>
    <s v="FC"/>
    <s v="FC-073"/>
    <x v="1"/>
    <s v="LIGHT"/>
    <s v="Cx."/>
    <x v="1"/>
    <s v="F"/>
    <n v="0"/>
    <n v="1"/>
    <n v="1"/>
    <n v="0"/>
    <s v="Negative"/>
  </r>
  <r>
    <n v="2015"/>
    <s v="CSU-8851"/>
    <n v="18398"/>
    <x v="0"/>
    <x v="1"/>
    <s v="LC"/>
    <s v="FC"/>
    <s v="FC-073"/>
    <x v="1"/>
    <s v="LIGHT"/>
    <s v="Cx."/>
    <x v="0"/>
    <s v="F"/>
    <n v="0"/>
    <n v="2"/>
    <n v="2"/>
    <n v="0"/>
    <s v="Negative"/>
  </r>
  <r>
    <n v="2015"/>
    <s v="CSU-8840"/>
    <n v="18387"/>
    <x v="0"/>
    <x v="1"/>
    <s v="LC"/>
    <s v="FC"/>
    <s v="FC-004"/>
    <x v="2"/>
    <s v="LIGHT"/>
    <s v="Cx."/>
    <x v="0"/>
    <s v="F"/>
    <n v="0"/>
    <n v="5"/>
    <n v="5"/>
    <n v="0"/>
    <s v="Negative"/>
  </r>
  <r>
    <n v="2015"/>
    <s v="CSU-8815"/>
    <n v="18362"/>
    <x v="0"/>
    <x v="0"/>
    <s v="LC"/>
    <s v="FC"/>
    <s v="FC-027"/>
    <x v="2"/>
    <s v="LIGHT"/>
    <s v="Cx."/>
    <x v="1"/>
    <s v="F"/>
    <n v="0"/>
    <n v="1"/>
    <n v="1"/>
    <n v="0"/>
    <s v="Negative"/>
  </r>
  <r>
    <n v="2015"/>
    <s v="CSU-8816"/>
    <n v="18363"/>
    <x v="0"/>
    <x v="0"/>
    <s v="LC"/>
    <s v="FC"/>
    <s v="FC-027"/>
    <x v="2"/>
    <s v="LIGHT"/>
    <s v="Cx."/>
    <x v="0"/>
    <s v="F"/>
    <n v="0"/>
    <n v="12"/>
    <n v="12"/>
    <n v="0"/>
    <s v="Negative"/>
  </r>
  <r>
    <n v="2015"/>
    <s v="CSU-8859"/>
    <n v="18406"/>
    <x v="0"/>
    <x v="1"/>
    <s v="LC"/>
    <s v="FC"/>
    <s v="FC-029"/>
    <x v="2"/>
    <s v="LIGHT"/>
    <s v="Cx."/>
    <x v="0"/>
    <s v="F"/>
    <n v="0"/>
    <n v="4"/>
    <n v="4"/>
    <n v="0"/>
    <s v="Negative"/>
  </r>
  <r>
    <n v="2015"/>
    <s v="CSU-8806"/>
    <n v="18353"/>
    <x v="0"/>
    <x v="0"/>
    <s v="LC"/>
    <s v="FC"/>
    <s v="FC-039"/>
    <x v="2"/>
    <s v="LIGHT"/>
    <s v="Cx."/>
    <x v="0"/>
    <s v="F"/>
    <n v="0"/>
    <n v="2"/>
    <n v="2"/>
    <n v="0"/>
    <s v="Negative"/>
  </r>
  <r>
    <n v="2015"/>
    <s v="CSU-8807"/>
    <n v="18354"/>
    <x v="0"/>
    <x v="0"/>
    <s v="LC"/>
    <s v="FC"/>
    <s v="FC-046"/>
    <x v="2"/>
    <s v="LIGHT"/>
    <s v="Cx."/>
    <x v="0"/>
    <s v="F"/>
    <n v="0"/>
    <n v="1"/>
    <n v="1"/>
    <n v="0"/>
    <s v="Negative"/>
  </r>
  <r>
    <n v="2015"/>
    <s v="CSU-8803"/>
    <n v="18350"/>
    <x v="0"/>
    <x v="0"/>
    <s v="LC"/>
    <s v="FC"/>
    <s v="FC-050"/>
    <x v="2"/>
    <s v="LIGHT"/>
    <s v="Cx."/>
    <x v="0"/>
    <s v="F"/>
    <n v="0"/>
    <n v="28"/>
    <n v="28"/>
    <n v="0"/>
    <s v="Negative"/>
  </r>
  <r>
    <n v="2015"/>
    <s v="CSU-8842"/>
    <n v="18389"/>
    <x v="0"/>
    <x v="1"/>
    <s v="LC"/>
    <s v="FC"/>
    <s v="FC-053"/>
    <x v="2"/>
    <s v="LIGHT"/>
    <s v="Cx."/>
    <x v="0"/>
    <s v="F"/>
    <n v="0"/>
    <n v="9"/>
    <n v="9"/>
    <n v="0"/>
    <s v="Negative"/>
  </r>
  <r>
    <n v="2015"/>
    <s v="CSU-8814"/>
    <n v="18361"/>
    <x v="0"/>
    <x v="0"/>
    <s v="LC"/>
    <s v="FC"/>
    <s v="FC-059"/>
    <x v="2"/>
    <s v="LIGHT"/>
    <s v="Cx."/>
    <x v="0"/>
    <s v="F"/>
    <n v="0"/>
    <n v="29"/>
    <n v="29"/>
    <n v="0"/>
    <s v="Negative"/>
  </r>
  <r>
    <n v="2015"/>
    <s v="CSU-8804"/>
    <n v="18351"/>
    <x v="0"/>
    <x v="0"/>
    <s v="LC"/>
    <s v="FC"/>
    <s v="FC-064"/>
    <x v="2"/>
    <s v="LIGHT"/>
    <s v="Cx."/>
    <x v="1"/>
    <s v="F"/>
    <n v="0"/>
    <n v="2"/>
    <n v="2"/>
    <n v="0"/>
    <s v="Negative"/>
  </r>
  <r>
    <n v="2015"/>
    <s v="CSU-8805"/>
    <n v="18352"/>
    <x v="0"/>
    <x v="0"/>
    <s v="LC"/>
    <s v="FC"/>
    <s v="FC-064"/>
    <x v="2"/>
    <s v="LIGHT"/>
    <s v="Cx."/>
    <x v="0"/>
    <s v="F"/>
    <n v="0"/>
    <n v="1"/>
    <n v="1"/>
    <n v="0"/>
    <s v="Negative"/>
  </r>
  <r>
    <n v="2015"/>
    <s v="CSU-8809"/>
    <n v="18356"/>
    <x v="0"/>
    <x v="0"/>
    <s v="LC"/>
    <s v="FC"/>
    <s v="FC-074"/>
    <x v="2"/>
    <s v="LIGHT"/>
    <s v="Cx."/>
    <x v="0"/>
    <s v="F"/>
    <n v="0"/>
    <n v="1"/>
    <n v="1"/>
    <n v="0"/>
    <s v="Negative"/>
  </r>
  <r>
    <n v="2015"/>
    <s v="CSU-8812"/>
    <n v="18359"/>
    <x v="0"/>
    <x v="0"/>
    <s v="LC"/>
    <s v="FC"/>
    <s v="FC-075"/>
    <x v="2"/>
    <s v="LIGHT"/>
    <s v="Cx."/>
    <x v="1"/>
    <s v="F"/>
    <n v="0"/>
    <n v="1"/>
    <n v="1"/>
    <n v="0"/>
    <s v="Negative"/>
  </r>
  <r>
    <n v="2015"/>
    <s v="CSU-8813"/>
    <n v="18360"/>
    <x v="0"/>
    <x v="0"/>
    <s v="LC"/>
    <s v="FC"/>
    <s v="FC-075"/>
    <x v="2"/>
    <s v="LIGHT"/>
    <s v="Cx."/>
    <x v="0"/>
    <s v="F"/>
    <n v="0"/>
    <n v="16"/>
    <n v="16"/>
    <n v="0"/>
    <s v="Negative"/>
  </r>
  <r>
    <n v="2015"/>
    <s v="CSU-8855"/>
    <n v="18402"/>
    <x v="0"/>
    <x v="1"/>
    <s v="LC"/>
    <s v="FC"/>
    <s v="FC-037"/>
    <x v="3"/>
    <s v="LIGHT"/>
    <s v="Cx."/>
    <x v="1"/>
    <s v="F"/>
    <n v="0"/>
    <n v="3"/>
    <n v="3"/>
    <n v="0"/>
    <s v="Negative"/>
  </r>
  <r>
    <n v="2015"/>
    <s v="CSU-8843"/>
    <n v="18390"/>
    <x v="0"/>
    <x v="1"/>
    <s v="LC"/>
    <s v="FC"/>
    <s v="FC-049"/>
    <x v="3"/>
    <s v="LIGHT"/>
    <s v="Cx."/>
    <x v="1"/>
    <s v="F"/>
    <n v="0"/>
    <n v="2"/>
    <n v="2"/>
    <n v="0"/>
    <s v="Negative"/>
  </r>
  <r>
    <n v="2015"/>
    <s v="CSU-8844"/>
    <n v="18391"/>
    <x v="0"/>
    <x v="1"/>
    <s v="LC"/>
    <s v="FC"/>
    <s v="FC-049"/>
    <x v="3"/>
    <s v="LIGHT"/>
    <s v="Cx."/>
    <x v="0"/>
    <s v="F"/>
    <n v="0"/>
    <n v="5"/>
    <n v="5"/>
    <n v="0"/>
    <s v="Negative"/>
  </r>
  <r>
    <n v="2015"/>
    <s v="CSU-8854"/>
    <n v="18401"/>
    <x v="0"/>
    <x v="1"/>
    <s v="LC"/>
    <s v="FC"/>
    <s v="FC-057"/>
    <x v="3"/>
    <s v="LIGHT"/>
    <s v="Cx."/>
    <x v="1"/>
    <s v="F"/>
    <n v="0"/>
    <n v="1"/>
    <n v="1"/>
    <n v="0"/>
    <s v="Negative"/>
  </r>
  <r>
    <n v="2015"/>
    <s v="CSU-8857"/>
    <n v="18404"/>
    <x v="0"/>
    <x v="1"/>
    <s v="LC"/>
    <s v="FC"/>
    <s v="FC-062"/>
    <x v="3"/>
    <s v="LIGHT"/>
    <s v="Cx."/>
    <x v="1"/>
    <s v="F"/>
    <n v="0"/>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pivotField axis="axisRow" showAll="0">
      <items count="5">
        <item x="0"/>
        <item x="1"/>
        <item x="2"/>
        <item x="3"/>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0"/>
        <item x="1"/>
        <item x="2"/>
        <item x="3"/>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0"/>
        <item x="1"/>
        <item x="2"/>
        <item x="3"/>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3">
        <item x="0"/>
        <item x="1"/>
        <item t="default"/>
      </items>
    </pivotField>
    <pivotField showAll="0"/>
    <pivotField showAll="0"/>
    <pivotField showAll="0" defaultSubtotal="0"/>
    <pivotField axis="axisRow" showAll="0">
      <items count="5">
        <item x="1"/>
        <item x="0"/>
        <item x="2"/>
        <item x="3"/>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99</v>
      </c>
    </row>
    <row r="2" spans="1:1" x14ac:dyDescent="0.25">
      <c r="A2" t="s">
        <v>96</v>
      </c>
    </row>
    <row r="3" spans="1:1" x14ac:dyDescent="0.25">
      <c r="A3" t="s">
        <v>97</v>
      </c>
    </row>
    <row r="5" spans="1:1" x14ac:dyDescent="0.25">
      <c r="A5" t="s">
        <v>94</v>
      </c>
    </row>
    <row r="6" spans="1:1" x14ac:dyDescent="0.25">
      <c r="A6" t="s">
        <v>101</v>
      </c>
    </row>
    <row r="7" spans="1:1" x14ac:dyDescent="0.25">
      <c r="A7" t="s">
        <v>95</v>
      </c>
    </row>
    <row r="8" spans="1:1" x14ac:dyDescent="0.25">
      <c r="A8" t="s">
        <v>102</v>
      </c>
    </row>
    <row r="9" spans="1:1" x14ac:dyDescent="0.25">
      <c r="A9" t="s">
        <v>98</v>
      </c>
    </row>
    <row r="10" spans="1:1" x14ac:dyDescent="0.25">
      <c r="A10" t="s">
        <v>100</v>
      </c>
    </row>
    <row r="11" spans="1:1" x14ac:dyDescent="0.25">
      <c r="A11" t="s">
        <v>103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8" sqref="A6:A9"/>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78</v>
      </c>
      <c r="G1" s="77" t="s">
        <v>54</v>
      </c>
      <c r="H1" s="77"/>
    </row>
    <row r="2" spans="1:10" x14ac:dyDescent="0.25">
      <c r="A2" s="3" t="s">
        <v>8</v>
      </c>
      <c r="B2" t="s">
        <v>1</v>
      </c>
    </row>
    <row r="4" spans="1:10" x14ac:dyDescent="0.25">
      <c r="A4" s="3" t="s">
        <v>90</v>
      </c>
      <c r="B4" s="3" t="s">
        <v>3</v>
      </c>
      <c r="G4" s="24" t="s">
        <v>90</v>
      </c>
      <c r="H4" s="24" t="s">
        <v>3</v>
      </c>
      <c r="I4" s="24"/>
      <c r="J4" s="24"/>
    </row>
    <row r="5" spans="1:10" x14ac:dyDescent="0.25">
      <c r="A5" s="3" t="s">
        <v>4</v>
      </c>
      <c r="B5" t="s">
        <v>5</v>
      </c>
      <c r="C5" t="s">
        <v>6</v>
      </c>
      <c r="D5" t="s">
        <v>7</v>
      </c>
      <c r="G5" s="25" t="s">
        <v>4</v>
      </c>
      <c r="H5" s="25" t="s">
        <v>5</v>
      </c>
      <c r="I5" s="25" t="s">
        <v>6</v>
      </c>
      <c r="J5" s="25" t="s">
        <v>7</v>
      </c>
    </row>
    <row r="6" spans="1:10" x14ac:dyDescent="0.25">
      <c r="A6" s="1" t="s">
        <v>60</v>
      </c>
      <c r="B6" s="2">
        <v>13</v>
      </c>
      <c r="C6" s="2">
        <v>9</v>
      </c>
      <c r="D6" s="2">
        <v>22</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59</v>
      </c>
      <c r="B7" s="2">
        <v>6</v>
      </c>
      <c r="C7" s="2">
        <v>5</v>
      </c>
      <c r="D7" s="2">
        <v>11</v>
      </c>
      <c r="G7" s="1" t="s">
        <v>60</v>
      </c>
      <c r="H7" s="2">
        <f>GETPIVOTDATA("CSU Pool Number     (CMC enters)",$A$4,"Zone","NE","Spp","pipiens")</f>
        <v>13</v>
      </c>
      <c r="I7" s="2">
        <f>GETPIVOTDATA("CSU Pool Number     (CMC enters)",$A$4,"Zone","NE","Spp","tarsalis")</f>
        <v>9</v>
      </c>
      <c r="J7" s="2">
        <f>GETPIVOTDATA("CSU Pool Number     (CMC enters)",$A$4,"Zone","NE")</f>
        <v>22</v>
      </c>
    </row>
    <row r="8" spans="1:10" x14ac:dyDescent="0.25">
      <c r="A8" s="1" t="s">
        <v>61</v>
      </c>
      <c r="B8" s="2">
        <v>15</v>
      </c>
      <c r="C8" s="2">
        <v>3</v>
      </c>
      <c r="D8" s="2">
        <v>18</v>
      </c>
      <c r="G8" s="1" t="s">
        <v>59</v>
      </c>
      <c r="H8" s="2">
        <f>GETPIVOTDATA("CSU Pool Number     (CMC enters)",$A$4,"Zone","NW","Spp","pipiens")</f>
        <v>6</v>
      </c>
      <c r="I8" s="2">
        <f>GETPIVOTDATA("CSU Pool Number     (CMC enters)",$A$4,"Zone","NW","Spp","tarsalis")</f>
        <v>5</v>
      </c>
      <c r="J8" s="2">
        <f>GETPIVOTDATA("CSU Pool Number     (CMC enters)",$A$4,"Zone","NW")</f>
        <v>11</v>
      </c>
    </row>
    <row r="9" spans="1:10" x14ac:dyDescent="0.25">
      <c r="A9" s="1" t="s">
        <v>62</v>
      </c>
      <c r="B9" s="2">
        <v>2</v>
      </c>
      <c r="C9" s="2">
        <v>4</v>
      </c>
      <c r="D9" s="2">
        <v>6</v>
      </c>
      <c r="G9" s="1" t="s">
        <v>61</v>
      </c>
      <c r="H9" s="2">
        <f>GETPIVOTDATA("CSU Pool Number     (CMC enters)",$A$4,"Zone","SE","Spp","pipiens")</f>
        <v>15</v>
      </c>
      <c r="I9" s="2">
        <f>GETPIVOTDATA("CSU Pool Number     (CMC enters)",$A$4,"Zone","SE","Spp","tarsalis")</f>
        <v>3</v>
      </c>
      <c r="J9" s="2">
        <f>GETPIVOTDATA("CSU Pool Number     (CMC enters)",$A$4,"Zone","SE")</f>
        <v>18</v>
      </c>
    </row>
    <row r="10" spans="1:10" x14ac:dyDescent="0.25">
      <c r="A10" s="1" t="s">
        <v>7</v>
      </c>
      <c r="B10" s="2">
        <v>36</v>
      </c>
      <c r="C10" s="2">
        <v>21</v>
      </c>
      <c r="D10" s="2">
        <v>57</v>
      </c>
      <c r="G10" s="1" t="s">
        <v>62</v>
      </c>
      <c r="H10" s="2">
        <f>GETPIVOTDATA("CSU Pool Number     (CMC enters)",$A$4,"Zone","SW","Spp","pipiens")</f>
        <v>2</v>
      </c>
      <c r="I10" s="2">
        <f>GETPIVOTDATA("CSU Pool Number     (CMC enters)",$A$4,"Zone","SW","Spp","tarsalis")</f>
        <v>4</v>
      </c>
      <c r="J10" s="2">
        <f>GETPIVOTDATA("CSU Pool Number     (CMC enters)",$A$4,"Zone","SW")</f>
        <v>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
  <sheetViews>
    <sheetView workbookViewId="0">
      <selection activeCell="B10" sqref="B10"/>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7" t="s">
        <v>78</v>
      </c>
      <c r="B1" s="77"/>
      <c r="C1" s="77"/>
      <c r="F1" s="33" t="s">
        <v>54</v>
      </c>
    </row>
    <row r="3" spans="1:9" x14ac:dyDescent="0.25">
      <c r="A3" s="3" t="s">
        <v>0</v>
      </c>
      <c r="B3" t="s">
        <v>1</v>
      </c>
    </row>
    <row r="5" spans="1:9" x14ac:dyDescent="0.25">
      <c r="A5" s="3" t="s">
        <v>91</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59</v>
      </c>
      <c r="B7" s="2">
        <v>0</v>
      </c>
      <c r="C7" s="2">
        <v>0</v>
      </c>
      <c r="D7" s="2">
        <v>0</v>
      </c>
      <c r="F7" s="1" t="s">
        <v>59</v>
      </c>
      <c r="G7" s="2">
        <f>GETPIVOTDATA("Test code (CSU enters)",$A$5,"Zone","NW","Spp","pipiens")</f>
        <v>0</v>
      </c>
      <c r="H7" s="2">
        <f>GETPIVOTDATA("Test code (CSU enters)",$A$5,"Zone","NW","Spp","tarsalis")</f>
        <v>0</v>
      </c>
      <c r="I7" s="2">
        <f>GETPIVOTDATA("Test code (CSU enters)",$A$5,"Zone","NW")</f>
        <v>0</v>
      </c>
    </row>
    <row r="8" spans="1:9" x14ac:dyDescent="0.25">
      <c r="A8" s="1" t="s">
        <v>60</v>
      </c>
      <c r="B8" s="2">
        <v>1</v>
      </c>
      <c r="C8" s="2">
        <v>0</v>
      </c>
      <c r="D8" s="2">
        <v>1</v>
      </c>
      <c r="F8" s="1" t="s">
        <v>60</v>
      </c>
      <c r="G8" s="2">
        <f>GETPIVOTDATA("Test code (CSU enters)",$A$5,"Zone","NE","Spp","pipiens")</f>
        <v>1</v>
      </c>
      <c r="H8" s="2">
        <f>GETPIVOTDATA("Test code (CSU enters)",$A$5,"Zone","NE","Spp","tarsalis")</f>
        <v>0</v>
      </c>
      <c r="I8" s="2">
        <f>GETPIVOTDATA("Test code (CSU enters)",$A$5,"Zone","NE")</f>
        <v>1</v>
      </c>
    </row>
    <row r="9" spans="1:9" x14ac:dyDescent="0.25">
      <c r="A9" s="1" t="s">
        <v>61</v>
      </c>
      <c r="B9" s="2">
        <v>1</v>
      </c>
      <c r="C9" s="2">
        <v>0</v>
      </c>
      <c r="D9" s="2">
        <v>1</v>
      </c>
      <c r="F9" s="1" t="s">
        <v>61</v>
      </c>
      <c r="G9" s="2">
        <f>GETPIVOTDATA("Test code (CSU enters)",$A$5,"Zone","SE","Spp","pipiens")</f>
        <v>1</v>
      </c>
      <c r="H9" s="2">
        <f>GETPIVOTDATA("Test code (CSU enters)",$A$5,"Zone","SE","Spp","tarsalis")</f>
        <v>0</v>
      </c>
      <c r="I9" s="2">
        <f>GETPIVOTDATA("Test code (CSU enters)",$A$5,"Zone","SE")</f>
        <v>1</v>
      </c>
    </row>
    <row r="10" spans="1:9" x14ac:dyDescent="0.25">
      <c r="A10" s="1" t="s">
        <v>62</v>
      </c>
      <c r="B10" s="2">
        <v>0</v>
      </c>
      <c r="C10" s="2">
        <v>0</v>
      </c>
      <c r="D10" s="2">
        <v>0</v>
      </c>
      <c r="F10" s="1" t="s">
        <v>62</v>
      </c>
      <c r="G10" s="2">
        <f>GETPIVOTDATA("Test code (CSU enters)",$A$5,"Zone","SW","Spp","pipiens")</f>
        <v>0</v>
      </c>
      <c r="H10" s="2">
        <f>GETPIVOTDATA("Test code (CSU enters)",$A$5,"Zone","SW","Spp","tarsalis")</f>
        <v>0</v>
      </c>
      <c r="I10" s="2">
        <f>GETPIVOTDATA("Test code (CSU enters)",$A$5,"Zone","SW")</f>
        <v>0</v>
      </c>
    </row>
    <row r="11" spans="1:9" x14ac:dyDescent="0.25">
      <c r="A11" s="1" t="s">
        <v>7</v>
      </c>
      <c r="B11" s="2">
        <v>2</v>
      </c>
      <c r="C11" s="2">
        <v>0</v>
      </c>
      <c r="D11" s="2">
        <v>2</v>
      </c>
      <c r="F11" s="1" t="s">
        <v>9</v>
      </c>
      <c r="G11" s="2" t="e">
        <f>GETPIVOTDATA("Test code (CSU enters)",$A$5,"Zone","LV","Spp","pipiens")</f>
        <v>#REF!</v>
      </c>
      <c r="H11" s="2" t="e">
        <f>GETPIVOTDATA("Test code (CSU enters)",$A$5,"Zone","LV","Spp","tarsalis")</f>
        <v>#REF!</v>
      </c>
      <c r="I11" s="2" t="e">
        <f>GETPIVOTDATA("Test code (CSU enters)",$A$5,"Zone","LV")</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3" sqref="F3"/>
    </sheetView>
  </sheetViews>
  <sheetFormatPr defaultRowHeight="15" x14ac:dyDescent="0.25"/>
  <cols>
    <col min="1" max="1" width="15.85546875" customWidth="1"/>
    <col min="2" max="2" width="12.140625" customWidth="1"/>
    <col min="3" max="3" width="14.42578125" customWidth="1"/>
  </cols>
  <sheetData>
    <row r="1" spans="1:6" x14ac:dyDescent="0.25">
      <c r="A1" s="34" t="s">
        <v>64</v>
      </c>
      <c r="B1" s="34" t="s">
        <v>65</v>
      </c>
      <c r="C1" s="34" t="s">
        <v>63</v>
      </c>
      <c r="E1" s="62" t="s">
        <v>92</v>
      </c>
      <c r="F1" s="63" t="s">
        <v>281</v>
      </c>
    </row>
    <row r="2" spans="1:6" x14ac:dyDescent="0.25">
      <c r="A2" t="s">
        <v>46</v>
      </c>
      <c r="B2" t="s">
        <v>15</v>
      </c>
      <c r="C2" s="31">
        <v>4.2300000000000004</v>
      </c>
      <c r="E2" t="s">
        <v>269</v>
      </c>
      <c r="F2" s="31">
        <v>4.2335929829177292</v>
      </c>
    </row>
    <row r="3" spans="1:6" x14ac:dyDescent="0.25">
      <c r="A3" t="s">
        <v>46</v>
      </c>
      <c r="B3" t="s">
        <v>16</v>
      </c>
      <c r="C3" s="31">
        <v>0</v>
      </c>
      <c r="E3" t="s">
        <v>270</v>
      </c>
      <c r="F3" s="31">
        <v>0</v>
      </c>
    </row>
    <row r="4" spans="1:6" x14ac:dyDescent="0.25">
      <c r="A4" t="s">
        <v>9</v>
      </c>
      <c r="B4" t="s">
        <v>15</v>
      </c>
      <c r="C4" s="31">
        <v>0</v>
      </c>
    </row>
    <row r="5" spans="1:6" x14ac:dyDescent="0.25">
      <c r="A5" t="s">
        <v>9</v>
      </c>
      <c r="B5" t="s">
        <v>16</v>
      </c>
      <c r="C5" s="3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7" sqref="C7"/>
    </sheetView>
  </sheetViews>
  <sheetFormatPr defaultRowHeight="15" x14ac:dyDescent="0.25"/>
  <cols>
    <col min="2" max="2" width="15.7109375" customWidth="1"/>
    <col min="3" max="3" width="13.140625" customWidth="1"/>
  </cols>
  <sheetData>
    <row r="1" spans="1:6" x14ac:dyDescent="0.25">
      <c r="A1" s="34" t="s">
        <v>66</v>
      </c>
      <c r="B1" s="34" t="s">
        <v>65</v>
      </c>
      <c r="C1" s="34" t="s">
        <v>63</v>
      </c>
      <c r="E1" s="62" t="s">
        <v>93</v>
      </c>
      <c r="F1" s="63" t="s">
        <v>281</v>
      </c>
    </row>
    <row r="2" spans="1:6" x14ac:dyDescent="0.25">
      <c r="A2" t="s">
        <v>59</v>
      </c>
      <c r="B2" t="s">
        <v>15</v>
      </c>
      <c r="C2" s="31">
        <v>0</v>
      </c>
      <c r="E2" t="s">
        <v>271</v>
      </c>
      <c r="F2" s="31">
        <v>5.4814763545143004</v>
      </c>
    </row>
    <row r="3" spans="1:6" x14ac:dyDescent="0.25">
      <c r="A3" t="s">
        <v>59</v>
      </c>
      <c r="B3" t="s">
        <v>16</v>
      </c>
      <c r="C3" s="31">
        <v>0</v>
      </c>
      <c r="E3" t="s">
        <v>272</v>
      </c>
      <c r="F3" s="31">
        <v>0</v>
      </c>
    </row>
    <row r="4" spans="1:6" x14ac:dyDescent="0.25">
      <c r="A4" t="s">
        <v>60</v>
      </c>
      <c r="B4" t="s">
        <v>15</v>
      </c>
      <c r="C4" s="31">
        <v>5.48</v>
      </c>
      <c r="E4" t="s">
        <v>273</v>
      </c>
      <c r="F4" s="31">
        <v>0</v>
      </c>
    </row>
    <row r="5" spans="1:6" x14ac:dyDescent="0.25">
      <c r="A5" t="s">
        <v>60</v>
      </c>
      <c r="B5" t="s">
        <v>16</v>
      </c>
      <c r="C5" s="31">
        <v>0</v>
      </c>
      <c r="E5" t="s">
        <v>276</v>
      </c>
      <c r="F5" s="31">
        <v>0</v>
      </c>
    </row>
    <row r="6" spans="1:6" x14ac:dyDescent="0.25">
      <c r="A6" t="s">
        <v>61</v>
      </c>
      <c r="B6" t="s">
        <v>15</v>
      </c>
      <c r="C6" s="31">
        <v>3.75</v>
      </c>
      <c r="E6" t="s">
        <v>274</v>
      </c>
      <c r="F6" s="31">
        <v>3.7493732679210199</v>
      </c>
    </row>
    <row r="7" spans="1:6" x14ac:dyDescent="0.25">
      <c r="A7" t="s">
        <v>61</v>
      </c>
      <c r="B7" t="s">
        <v>16</v>
      </c>
      <c r="C7" s="31">
        <v>0</v>
      </c>
      <c r="E7" t="s">
        <v>277</v>
      </c>
      <c r="F7" s="31">
        <v>0</v>
      </c>
    </row>
    <row r="8" spans="1:6" x14ac:dyDescent="0.25">
      <c r="A8" t="s">
        <v>62</v>
      </c>
      <c r="B8" t="s">
        <v>15</v>
      </c>
      <c r="C8" s="31">
        <v>0</v>
      </c>
      <c r="E8" t="s">
        <v>275</v>
      </c>
      <c r="F8" s="31">
        <v>0</v>
      </c>
    </row>
    <row r="9" spans="1:6" x14ac:dyDescent="0.25">
      <c r="A9" t="s">
        <v>62</v>
      </c>
      <c r="B9" t="s">
        <v>16</v>
      </c>
      <c r="C9" s="31">
        <v>0</v>
      </c>
      <c r="E9" t="s">
        <v>278</v>
      </c>
      <c r="F9"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7"/>
  <sheetViews>
    <sheetView topLeftCell="A46" zoomScale="80" zoomScaleNormal="80" workbookViewId="0">
      <selection activeCell="N81" sqref="N8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47</v>
      </c>
      <c r="B1" s="4"/>
      <c r="C1" s="91" t="s">
        <v>11</v>
      </c>
      <c r="D1" s="93"/>
      <c r="E1" s="91" t="s">
        <v>12</v>
      </c>
      <c r="F1" s="93"/>
      <c r="G1" s="109"/>
      <c r="H1" s="110"/>
      <c r="I1" s="111"/>
    </row>
    <row r="2" spans="1:13" ht="27" customHeight="1" x14ac:dyDescent="0.25">
      <c r="B2" s="5"/>
      <c r="C2" s="94"/>
      <c r="D2" s="96"/>
      <c r="E2" s="94" t="s">
        <v>13</v>
      </c>
      <c r="F2" s="96"/>
      <c r="G2" s="112" t="s">
        <v>14</v>
      </c>
      <c r="H2" s="113"/>
      <c r="I2" s="114"/>
    </row>
    <row r="3" spans="1:13" ht="15.75" thickBot="1" x14ac:dyDescent="0.3">
      <c r="B3" s="5"/>
      <c r="C3" s="98"/>
      <c r="D3" s="100"/>
      <c r="E3" s="88"/>
      <c r="F3" s="90"/>
      <c r="G3" s="88"/>
      <c r="H3" s="89"/>
      <c r="I3" s="90"/>
    </row>
    <row r="4" spans="1:13" ht="15.75" customHeight="1" x14ac:dyDescent="0.25">
      <c r="B4" s="5" t="s">
        <v>10</v>
      </c>
      <c r="C4" s="101" t="s">
        <v>15</v>
      </c>
      <c r="D4" s="101" t="s">
        <v>16</v>
      </c>
      <c r="E4" s="7" t="s">
        <v>17</v>
      </c>
      <c r="F4" s="7" t="s">
        <v>17</v>
      </c>
      <c r="G4" s="107" t="s">
        <v>18</v>
      </c>
      <c r="H4" s="107" t="s">
        <v>19</v>
      </c>
      <c r="I4" s="9" t="s">
        <v>20</v>
      </c>
    </row>
    <row r="5" spans="1:13" ht="15.75" thickBot="1" x14ac:dyDescent="0.3">
      <c r="B5" s="6"/>
      <c r="C5" s="102"/>
      <c r="D5" s="102"/>
      <c r="E5" s="8" t="s">
        <v>5</v>
      </c>
      <c r="F5" s="8" t="s">
        <v>6</v>
      </c>
      <c r="G5" s="108"/>
      <c r="H5" s="108"/>
      <c r="I5" s="10" t="s">
        <v>21</v>
      </c>
    </row>
    <row r="6" spans="1:13" ht="26.25" thickBot="1" x14ac:dyDescent="0.3">
      <c r="B6" s="11" t="s">
        <v>55</v>
      </c>
      <c r="C6" s="26">
        <f t="shared" ref="C6:D10" si="0">G39</f>
        <v>1.4444444444444444</v>
      </c>
      <c r="D6" s="26">
        <f t="shared" si="0"/>
        <v>1.1111111111111112</v>
      </c>
      <c r="E6" s="47">
        <f t="shared" ref="E6:F10" si="1">L71/1000</f>
        <v>0</v>
      </c>
      <c r="F6" s="47">
        <f t="shared" si="1"/>
        <v>0</v>
      </c>
      <c r="G6" s="73">
        <f t="shared" ref="G6:H10" si="2">C6*E6</f>
        <v>0</v>
      </c>
      <c r="H6" s="73">
        <f t="shared" si="2"/>
        <v>0</v>
      </c>
      <c r="I6" s="73">
        <f>G6+H6</f>
        <v>0</v>
      </c>
    </row>
    <row r="7" spans="1:13" ht="26.25" thickBot="1" x14ac:dyDescent="0.3">
      <c r="B7" s="11" t="s">
        <v>56</v>
      </c>
      <c r="C7" s="26">
        <f t="shared" si="0"/>
        <v>9.1999999999999993</v>
      </c>
      <c r="D7" s="26">
        <f t="shared" si="0"/>
        <v>1.6</v>
      </c>
      <c r="E7" s="47">
        <f t="shared" si="1"/>
        <v>5.4800000000000005E-3</v>
      </c>
      <c r="F7" s="47">
        <f t="shared" si="1"/>
        <v>0</v>
      </c>
      <c r="G7" s="73">
        <f t="shared" si="2"/>
        <v>5.0416000000000002E-2</v>
      </c>
      <c r="H7" s="73">
        <f t="shared" si="2"/>
        <v>0</v>
      </c>
      <c r="I7" s="73">
        <f>G7+H7</f>
        <v>5.0416000000000002E-2</v>
      </c>
    </row>
    <row r="8" spans="1:13" ht="26.25" thickBot="1" x14ac:dyDescent="0.3">
      <c r="B8" s="11" t="s">
        <v>58</v>
      </c>
      <c r="C8" s="26">
        <f t="shared" si="0"/>
        <v>7.2</v>
      </c>
      <c r="D8" s="26">
        <f t="shared" si="0"/>
        <v>0.26666666666666666</v>
      </c>
      <c r="E8" s="47">
        <f t="shared" si="1"/>
        <v>3.7499999999999999E-3</v>
      </c>
      <c r="F8" s="47">
        <f t="shared" si="1"/>
        <v>0</v>
      </c>
      <c r="G8" s="73">
        <f t="shared" si="2"/>
        <v>2.7E-2</v>
      </c>
      <c r="H8" s="73">
        <f t="shared" si="2"/>
        <v>0</v>
      </c>
      <c r="I8" s="73">
        <f>G8+H8</f>
        <v>2.7E-2</v>
      </c>
    </row>
    <row r="9" spans="1:13" ht="26.25" thickBot="1" x14ac:dyDescent="0.3">
      <c r="B9" s="11" t="s">
        <v>57</v>
      </c>
      <c r="C9" s="26">
        <f t="shared" si="0"/>
        <v>0.55555555555555558</v>
      </c>
      <c r="D9" s="26">
        <f t="shared" si="0"/>
        <v>1.1111111111111112</v>
      </c>
      <c r="E9" s="47">
        <f t="shared" si="1"/>
        <v>0</v>
      </c>
      <c r="F9" s="47">
        <f t="shared" si="1"/>
        <v>0</v>
      </c>
      <c r="G9" s="73">
        <f t="shared" si="2"/>
        <v>0</v>
      </c>
      <c r="H9" s="73">
        <f t="shared" si="2"/>
        <v>0</v>
      </c>
      <c r="I9" s="73">
        <f>G9+H9</f>
        <v>0</v>
      </c>
    </row>
    <row r="10" spans="1:13" ht="26.25" thickBot="1" x14ac:dyDescent="0.3">
      <c r="B10" s="11" t="s">
        <v>22</v>
      </c>
      <c r="C10" s="26">
        <f t="shared" si="0"/>
        <v>5.0697674418604652</v>
      </c>
      <c r="D10" s="26">
        <f t="shared" si="0"/>
        <v>0.93023255813953487</v>
      </c>
      <c r="E10" s="47">
        <f t="shared" si="1"/>
        <v>4.2300000000000003E-3</v>
      </c>
      <c r="F10" s="47">
        <f t="shared" si="1"/>
        <v>0</v>
      </c>
      <c r="G10" s="73">
        <f t="shared" si="2"/>
        <v>2.1445116279069771E-2</v>
      </c>
      <c r="H10" s="73">
        <f t="shared" si="2"/>
        <v>0</v>
      </c>
      <c r="I10" s="73">
        <f>G10+H10</f>
        <v>2.1445116279069771E-2</v>
      </c>
    </row>
    <row r="11" spans="1:13" ht="15.75" thickBot="1" x14ac:dyDescent="0.3">
      <c r="B11" s="11"/>
      <c r="C11" s="12"/>
      <c r="D11" s="12"/>
      <c r="E11" s="47"/>
      <c r="F11" s="47"/>
      <c r="G11" s="32"/>
      <c r="H11" s="32"/>
      <c r="I11" s="32"/>
    </row>
    <row r="12" spans="1:13" ht="15.75" thickBot="1" x14ac:dyDescent="0.3">
      <c r="B12" s="11" t="s">
        <v>9</v>
      </c>
      <c r="C12" s="29" t="e">
        <f>G45</f>
        <v>#REF!</v>
      </c>
      <c r="D12" s="29" t="e">
        <f>H45</f>
        <v>#REF!</v>
      </c>
      <c r="E12" s="47">
        <f>L77/1000</f>
        <v>0</v>
      </c>
      <c r="F12" s="47">
        <f>M77/1000</f>
        <v>0</v>
      </c>
      <c r="G12" s="32" t="e">
        <f>C12*E12</f>
        <v>#REF!</v>
      </c>
      <c r="H12" s="32" t="e">
        <f>D12*F12</f>
        <v>#REF!</v>
      </c>
      <c r="I12" s="32" t="e">
        <f>G12+H12</f>
        <v>#REF!</v>
      </c>
    </row>
    <row r="13" spans="1:13" ht="15.75" thickBot="1" x14ac:dyDescent="0.3"/>
    <row r="14" spans="1:13" ht="15" customHeight="1" x14ac:dyDescent="0.25">
      <c r="A14" t="s">
        <v>53</v>
      </c>
      <c r="B14" s="16"/>
      <c r="C14" s="78" t="s">
        <v>55</v>
      </c>
      <c r="D14" s="80"/>
      <c r="E14" s="78" t="s">
        <v>56</v>
      </c>
      <c r="F14" s="80"/>
      <c r="G14" s="78" t="s">
        <v>58</v>
      </c>
      <c r="H14" s="80"/>
      <c r="I14" s="78" t="s">
        <v>57</v>
      </c>
      <c r="J14" s="80"/>
      <c r="K14" s="78" t="s">
        <v>22</v>
      </c>
      <c r="L14" s="80"/>
      <c r="M14" s="19"/>
    </row>
    <row r="15" spans="1:13" ht="15.75" thickBot="1" x14ac:dyDescent="0.3">
      <c r="B15" s="17"/>
      <c r="C15" s="84"/>
      <c r="D15" s="86"/>
      <c r="E15" s="84"/>
      <c r="F15" s="86"/>
      <c r="G15" s="84"/>
      <c r="H15" s="86"/>
      <c r="I15" s="84"/>
      <c r="J15" s="86"/>
      <c r="K15" s="84"/>
      <c r="L15" s="86"/>
      <c r="M15" s="20"/>
    </row>
    <row r="16" spans="1:13" ht="26.25" thickBot="1" x14ac:dyDescent="0.3">
      <c r="B16" s="18" t="s">
        <v>8</v>
      </c>
      <c r="C16" s="21" t="s">
        <v>23</v>
      </c>
      <c r="D16" s="21" t="s">
        <v>293</v>
      </c>
      <c r="E16" s="21" t="s">
        <v>23</v>
      </c>
      <c r="F16" s="72" t="s">
        <v>293</v>
      </c>
      <c r="G16" s="21" t="s">
        <v>23</v>
      </c>
      <c r="H16" s="72" t="s">
        <v>293</v>
      </c>
      <c r="I16" s="21" t="s">
        <v>23</v>
      </c>
      <c r="J16" s="72" t="s">
        <v>293</v>
      </c>
      <c r="K16" s="21" t="s">
        <v>23</v>
      </c>
      <c r="L16" s="72" t="s">
        <v>293</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105</v>
      </c>
      <c r="D18" s="51">
        <v>0.01</v>
      </c>
      <c r="E18" s="30" t="s">
        <v>105</v>
      </c>
      <c r="F18" s="51">
        <v>0.02</v>
      </c>
      <c r="G18" s="30" t="s">
        <v>105</v>
      </c>
      <c r="H18" s="51">
        <v>0.02</v>
      </c>
      <c r="I18" s="30" t="s">
        <v>105</v>
      </c>
      <c r="J18" s="51">
        <v>0.01</v>
      </c>
      <c r="K18" s="30" t="s">
        <v>105</v>
      </c>
      <c r="L18" s="51">
        <v>0.02</v>
      </c>
      <c r="M18" s="30" t="s">
        <v>105</v>
      </c>
    </row>
    <row r="19" spans="2:13" ht="15.75" thickBot="1" x14ac:dyDescent="0.3">
      <c r="B19" s="18">
        <v>24</v>
      </c>
      <c r="C19" s="30">
        <v>0</v>
      </c>
      <c r="D19" s="52">
        <v>0</v>
      </c>
      <c r="E19" s="30">
        <v>0</v>
      </c>
      <c r="F19" s="52">
        <v>0</v>
      </c>
      <c r="G19" s="30">
        <v>0</v>
      </c>
      <c r="H19" s="52">
        <v>0.01</v>
      </c>
      <c r="I19" s="30">
        <v>0</v>
      </c>
      <c r="J19" s="52">
        <v>0</v>
      </c>
      <c r="K19" s="30">
        <v>0</v>
      </c>
      <c r="L19" s="52">
        <v>0</v>
      </c>
      <c r="M19" s="30">
        <v>0</v>
      </c>
    </row>
    <row r="20" spans="2:13" ht="15.75" thickBot="1" x14ac:dyDescent="0.3">
      <c r="B20" s="18">
        <v>25</v>
      </c>
      <c r="C20" s="30">
        <v>0</v>
      </c>
      <c r="D20" s="52">
        <v>0</v>
      </c>
      <c r="E20" s="30">
        <v>0</v>
      </c>
      <c r="F20" s="52">
        <v>0.02</v>
      </c>
      <c r="G20" s="30">
        <v>0</v>
      </c>
      <c r="H20" s="52">
        <v>0</v>
      </c>
      <c r="I20" s="30">
        <v>0</v>
      </c>
      <c r="J20" s="52">
        <v>0</v>
      </c>
      <c r="K20" s="30">
        <v>0</v>
      </c>
      <c r="L20" s="52">
        <v>0</v>
      </c>
      <c r="M20" s="30">
        <v>0</v>
      </c>
    </row>
    <row r="21" spans="2:13" ht="15.75" thickBot="1" x14ac:dyDescent="0.3">
      <c r="B21" s="18">
        <v>26</v>
      </c>
      <c r="C21" s="30">
        <v>0</v>
      </c>
      <c r="D21" s="52">
        <v>0</v>
      </c>
      <c r="E21" s="30">
        <v>0.1</v>
      </c>
      <c r="F21" s="52">
        <v>0</v>
      </c>
      <c r="G21" s="30">
        <v>0.01</v>
      </c>
      <c r="H21" s="52">
        <v>0.02</v>
      </c>
      <c r="I21" s="30">
        <v>0</v>
      </c>
      <c r="J21" s="52">
        <v>0.01</v>
      </c>
      <c r="K21" s="30">
        <v>0.03</v>
      </c>
      <c r="L21" s="52">
        <v>0.01</v>
      </c>
      <c r="M21" s="30">
        <v>0</v>
      </c>
    </row>
    <row r="22" spans="2:13" ht="15.75" thickBot="1" x14ac:dyDescent="0.3">
      <c r="B22" s="18">
        <v>27</v>
      </c>
      <c r="C22" s="26">
        <v>0</v>
      </c>
      <c r="D22" s="52">
        <v>0</v>
      </c>
      <c r="E22" s="26">
        <v>0.1</v>
      </c>
      <c r="F22" s="52">
        <v>0.03</v>
      </c>
      <c r="G22" s="30">
        <v>0</v>
      </c>
      <c r="H22" s="52">
        <v>0.01</v>
      </c>
      <c r="I22" s="30">
        <v>0</v>
      </c>
      <c r="J22" s="52">
        <v>0</v>
      </c>
      <c r="K22" s="30">
        <v>0.02</v>
      </c>
      <c r="L22" s="52">
        <v>0.01</v>
      </c>
      <c r="M22" s="30">
        <v>0</v>
      </c>
    </row>
    <row r="23" spans="2:13" ht="15.75" thickBot="1" x14ac:dyDescent="0.3">
      <c r="B23" s="18">
        <v>28</v>
      </c>
      <c r="C23" s="30">
        <v>0</v>
      </c>
      <c r="D23" s="52">
        <v>0</v>
      </c>
      <c r="E23" s="30">
        <v>0.1</v>
      </c>
      <c r="F23" s="52">
        <v>0.03</v>
      </c>
      <c r="G23" s="30">
        <v>0.20599999999999999</v>
      </c>
      <c r="H23" s="52">
        <v>0.11</v>
      </c>
      <c r="I23" s="30">
        <v>0</v>
      </c>
      <c r="J23" s="52">
        <v>0.01</v>
      </c>
      <c r="K23" s="30">
        <v>9.5000000000000001E-2</v>
      </c>
      <c r="L23" s="52">
        <v>0.05</v>
      </c>
      <c r="M23" s="30">
        <v>0</v>
      </c>
    </row>
    <row r="24" spans="2:13" ht="15.75" thickBot="1" x14ac:dyDescent="0.3">
      <c r="B24" s="18">
        <v>29</v>
      </c>
      <c r="C24" s="59">
        <v>0.09</v>
      </c>
      <c r="D24" s="53">
        <v>0.12</v>
      </c>
      <c r="E24" s="30">
        <v>0</v>
      </c>
      <c r="F24" s="52">
        <v>0.17</v>
      </c>
      <c r="G24" s="30">
        <v>0</v>
      </c>
      <c r="H24" s="52">
        <v>0.4</v>
      </c>
      <c r="I24" s="30">
        <v>0</v>
      </c>
      <c r="J24" s="53">
        <v>0.04</v>
      </c>
      <c r="K24" s="59">
        <v>0.01</v>
      </c>
      <c r="L24" s="53">
        <v>0.2</v>
      </c>
      <c r="M24" s="59">
        <v>0.08</v>
      </c>
    </row>
    <row r="25" spans="2:13" ht="15.75" thickBot="1" x14ac:dyDescent="0.3">
      <c r="B25" s="18">
        <v>30</v>
      </c>
      <c r="C25" s="30">
        <v>0.11</v>
      </c>
      <c r="D25" s="52">
        <v>0.13</v>
      </c>
      <c r="E25" s="30">
        <v>0.1</v>
      </c>
      <c r="F25" s="52">
        <v>0.18</v>
      </c>
      <c r="G25" s="30">
        <v>0.28000000000000003</v>
      </c>
      <c r="H25" s="52">
        <v>0.31</v>
      </c>
      <c r="I25" s="30">
        <v>0</v>
      </c>
      <c r="J25" s="52">
        <v>0.1</v>
      </c>
      <c r="K25" s="30">
        <v>0.15</v>
      </c>
      <c r="L25" s="52">
        <v>0.19</v>
      </c>
      <c r="M25" s="30">
        <v>0.28999999999999998</v>
      </c>
    </row>
    <row r="26" spans="2:13" ht="15.75" thickBot="1" x14ac:dyDescent="0.3">
      <c r="B26" s="18">
        <v>31</v>
      </c>
      <c r="C26" s="59">
        <v>0.18</v>
      </c>
      <c r="D26" s="53">
        <v>0.2</v>
      </c>
      <c r="E26" s="59">
        <v>0.66</v>
      </c>
      <c r="F26" s="53">
        <v>0.13</v>
      </c>
      <c r="G26" s="59">
        <v>0.18</v>
      </c>
      <c r="H26" s="53">
        <v>0.21</v>
      </c>
      <c r="I26" s="59">
        <v>0.08</v>
      </c>
      <c r="J26" s="53">
        <v>0.06</v>
      </c>
      <c r="K26" s="59">
        <v>0.25</v>
      </c>
      <c r="L26" s="53">
        <v>0.18</v>
      </c>
      <c r="M26" s="59">
        <v>0.27</v>
      </c>
    </row>
    <row r="27" spans="2:13" ht="15.75" thickBot="1" x14ac:dyDescent="0.3">
      <c r="B27" s="18">
        <v>32</v>
      </c>
      <c r="C27" s="30">
        <v>0.114</v>
      </c>
      <c r="D27" s="52">
        <v>0.16</v>
      </c>
      <c r="E27" s="30">
        <v>0.20100000000000001</v>
      </c>
      <c r="F27" s="52">
        <v>0.33</v>
      </c>
      <c r="G27" s="30">
        <v>0.158</v>
      </c>
      <c r="H27" s="52">
        <v>0.41</v>
      </c>
      <c r="I27" s="30">
        <v>6.0999999999999999E-2</v>
      </c>
      <c r="J27" s="52">
        <v>0.09</v>
      </c>
      <c r="K27" s="30">
        <v>0.13800000000000001</v>
      </c>
      <c r="L27" s="52">
        <v>0.27</v>
      </c>
      <c r="M27" s="30">
        <v>0</v>
      </c>
    </row>
    <row r="28" spans="2:13" ht="15.75" thickBot="1" x14ac:dyDescent="0.3">
      <c r="B28" s="18">
        <v>33</v>
      </c>
      <c r="C28" s="30">
        <v>0.08</v>
      </c>
      <c r="D28" s="52">
        <v>0.2</v>
      </c>
      <c r="E28" s="30">
        <v>0.14000000000000001</v>
      </c>
      <c r="F28" s="52">
        <v>0.38</v>
      </c>
      <c r="G28" s="30">
        <v>0.11</v>
      </c>
      <c r="H28" s="52">
        <v>0.28000000000000003</v>
      </c>
      <c r="I28" s="30">
        <v>0</v>
      </c>
      <c r="J28" s="52">
        <v>0.06</v>
      </c>
      <c r="K28" s="30">
        <v>0.09</v>
      </c>
      <c r="L28" s="52">
        <v>0.24</v>
      </c>
      <c r="M28" s="30">
        <v>0</v>
      </c>
    </row>
    <row r="29" spans="2:13" ht="15.75" thickBot="1" x14ac:dyDescent="0.3">
      <c r="B29" s="18">
        <v>34</v>
      </c>
      <c r="C29" s="30">
        <v>0.1</v>
      </c>
      <c r="D29" s="53">
        <v>0.15</v>
      </c>
      <c r="E29" s="59">
        <v>0.16</v>
      </c>
      <c r="F29" s="53">
        <v>0.16</v>
      </c>
      <c r="G29" s="59">
        <v>0.26</v>
      </c>
      <c r="H29" s="53">
        <v>0.34</v>
      </c>
      <c r="I29" s="59">
        <v>0.02</v>
      </c>
      <c r="J29" s="53">
        <v>0.06</v>
      </c>
      <c r="K29" s="59">
        <v>0.17</v>
      </c>
      <c r="L29" s="53">
        <v>0.19</v>
      </c>
      <c r="M29" s="30">
        <v>0</v>
      </c>
    </row>
    <row r="30" spans="2:13" ht="15.75" thickBot="1" x14ac:dyDescent="0.3">
      <c r="B30" s="18">
        <v>35</v>
      </c>
      <c r="C30" s="59">
        <v>0.13</v>
      </c>
      <c r="D30" s="53">
        <v>0.03</v>
      </c>
      <c r="E30" s="59">
        <v>0.39</v>
      </c>
      <c r="F30" s="53">
        <v>0.11</v>
      </c>
      <c r="G30" s="59">
        <v>0.41</v>
      </c>
      <c r="H30" s="53">
        <v>0.18</v>
      </c>
      <c r="I30" s="59">
        <v>0.02</v>
      </c>
      <c r="J30" s="53">
        <v>0.16</v>
      </c>
      <c r="K30" s="59">
        <v>0.28000000000000003</v>
      </c>
      <c r="L30" s="53">
        <v>0.13</v>
      </c>
      <c r="M30" s="59">
        <v>0.06</v>
      </c>
    </row>
    <row r="31" spans="2:13" ht="15.75" thickBot="1" x14ac:dyDescent="0.3">
      <c r="B31" s="18">
        <v>36</v>
      </c>
      <c r="C31" s="30">
        <v>0.05</v>
      </c>
      <c r="D31" s="30" t="s">
        <v>105</v>
      </c>
      <c r="E31" s="30">
        <v>0.08</v>
      </c>
      <c r="F31" s="30" t="s">
        <v>105</v>
      </c>
      <c r="G31" s="30">
        <v>0</v>
      </c>
      <c r="H31" s="30" t="s">
        <v>105</v>
      </c>
      <c r="I31" s="30">
        <v>0</v>
      </c>
      <c r="J31" s="30" t="s">
        <v>105</v>
      </c>
      <c r="K31" s="30">
        <v>0.04</v>
      </c>
      <c r="L31" s="30" t="s">
        <v>105</v>
      </c>
      <c r="M31" s="30" t="s">
        <v>105</v>
      </c>
    </row>
    <row r="32" spans="2:13" ht="15.75" thickBot="1" x14ac:dyDescent="0.3">
      <c r="B32" s="18">
        <v>37</v>
      </c>
      <c r="C32" s="30">
        <v>0</v>
      </c>
      <c r="D32" s="30" t="s">
        <v>105</v>
      </c>
      <c r="E32" s="30">
        <v>0.05</v>
      </c>
      <c r="F32" s="30" t="s">
        <v>105</v>
      </c>
      <c r="G32" s="30">
        <v>0.03</v>
      </c>
      <c r="H32" s="30" t="s">
        <v>105</v>
      </c>
      <c r="I32" s="30">
        <v>0</v>
      </c>
      <c r="J32" s="30" t="s">
        <v>105</v>
      </c>
      <c r="K32" s="30">
        <v>0.02</v>
      </c>
      <c r="L32" s="30" t="s">
        <v>105</v>
      </c>
      <c r="M32" s="30" t="s">
        <v>105</v>
      </c>
    </row>
    <row r="33" spans="1:13" ht="15.75" thickBot="1" x14ac:dyDescent="0.3"/>
    <row r="34" spans="1:13" x14ac:dyDescent="0.25">
      <c r="A34" t="s">
        <v>49</v>
      </c>
      <c r="B34" s="4"/>
      <c r="C34" s="91" t="s">
        <v>24</v>
      </c>
      <c r="D34" s="92"/>
      <c r="E34" s="93"/>
      <c r="F34" s="15"/>
      <c r="G34" s="91" t="s">
        <v>27</v>
      </c>
      <c r="H34" s="92"/>
      <c r="I34" s="93"/>
    </row>
    <row r="35" spans="1:13" ht="38.25" x14ac:dyDescent="0.25">
      <c r="B35" s="5"/>
      <c r="C35" s="94" t="s">
        <v>25</v>
      </c>
      <c r="D35" s="95"/>
      <c r="E35" s="96"/>
      <c r="F35" s="14" t="s">
        <v>26</v>
      </c>
      <c r="G35" s="94"/>
      <c r="H35" s="97"/>
      <c r="I35" s="96"/>
    </row>
    <row r="36" spans="1:13" ht="15.75" thickBot="1" x14ac:dyDescent="0.3">
      <c r="B36" s="5"/>
      <c r="C36" s="88"/>
      <c r="D36" s="89"/>
      <c r="E36" s="90"/>
      <c r="F36" s="22"/>
      <c r="G36" s="98"/>
      <c r="H36" s="99"/>
      <c r="I36" s="100"/>
    </row>
    <row r="37" spans="1:13" x14ac:dyDescent="0.25">
      <c r="B37" s="5" t="s">
        <v>10</v>
      </c>
      <c r="C37" s="101" t="s">
        <v>15</v>
      </c>
      <c r="D37" s="101" t="s">
        <v>16</v>
      </c>
      <c r="E37" s="103" t="s">
        <v>28</v>
      </c>
      <c r="F37" s="22"/>
      <c r="G37" s="105" t="s">
        <v>29</v>
      </c>
      <c r="H37" s="105" t="s">
        <v>30</v>
      </c>
      <c r="I37" s="27" t="s">
        <v>20</v>
      </c>
    </row>
    <row r="38" spans="1:13" ht="15.75" thickBot="1" x14ac:dyDescent="0.3">
      <c r="B38" s="6"/>
      <c r="C38" s="102"/>
      <c r="D38" s="102"/>
      <c r="E38" s="104"/>
      <c r="F38" s="13"/>
      <c r="G38" s="106"/>
      <c r="H38" s="106"/>
      <c r="I38" s="28" t="s">
        <v>31</v>
      </c>
    </row>
    <row r="39" spans="1:13" ht="26.25" thickBot="1" x14ac:dyDescent="0.3">
      <c r="B39" s="11" t="s">
        <v>55</v>
      </c>
      <c r="C39" s="65">
        <f>'Total Number Of Ind'!H7</f>
        <v>13</v>
      </c>
      <c r="D39" s="65">
        <f>'Total Number Of Ind'!I7</f>
        <v>10</v>
      </c>
      <c r="E39" s="65">
        <f>C39+D39</f>
        <v>23</v>
      </c>
      <c r="F39" s="65">
        <v>9</v>
      </c>
      <c r="G39" s="26">
        <f>C39/F39</f>
        <v>1.4444444444444444</v>
      </c>
      <c r="H39" s="26">
        <f>D39/F39</f>
        <v>1.1111111111111112</v>
      </c>
      <c r="I39" s="26">
        <f>E39/F39</f>
        <v>2.5555555555555554</v>
      </c>
    </row>
    <row r="40" spans="1:13" ht="26.25" thickBot="1" x14ac:dyDescent="0.3">
      <c r="B40" s="11" t="s">
        <v>56</v>
      </c>
      <c r="C40" s="65">
        <f>'Total Number Of Ind'!H6</f>
        <v>92</v>
      </c>
      <c r="D40" s="65">
        <f>'Total Number Of Ind'!I6</f>
        <v>16</v>
      </c>
      <c r="E40" s="65">
        <f>C40+D40</f>
        <v>108</v>
      </c>
      <c r="F40" s="65">
        <v>10</v>
      </c>
      <c r="G40" s="26">
        <f t="shared" ref="G40:G45" si="3">C40/F40</f>
        <v>9.1999999999999993</v>
      </c>
      <c r="H40" s="26">
        <f>D40/F40</f>
        <v>1.6</v>
      </c>
      <c r="I40" s="26">
        <f t="shared" ref="I40:I45" si="4">E40/F40</f>
        <v>10.8</v>
      </c>
    </row>
    <row r="41" spans="1:13" ht="26.25" thickBot="1" x14ac:dyDescent="0.3">
      <c r="B41" s="11" t="s">
        <v>58</v>
      </c>
      <c r="C41" s="65">
        <f>'Total Number Of Ind'!H8</f>
        <v>108</v>
      </c>
      <c r="D41" s="65">
        <f>'Total Number Of Ind'!I8</f>
        <v>4</v>
      </c>
      <c r="E41" s="65">
        <f>C41+D41</f>
        <v>112</v>
      </c>
      <c r="F41" s="65">
        <v>15</v>
      </c>
      <c r="G41" s="26">
        <f t="shared" si="3"/>
        <v>7.2</v>
      </c>
      <c r="H41" s="26">
        <f>D41/F41</f>
        <v>0.26666666666666666</v>
      </c>
      <c r="I41" s="26">
        <f t="shared" si="4"/>
        <v>7.4666666666666668</v>
      </c>
    </row>
    <row r="42" spans="1:13" ht="26.25" thickBot="1" x14ac:dyDescent="0.3">
      <c r="B42" s="11" t="s">
        <v>57</v>
      </c>
      <c r="C42" s="65">
        <f>'Total Number Of Ind'!H9</f>
        <v>5</v>
      </c>
      <c r="D42" s="65">
        <f>'Total Number Of Ind'!I9</f>
        <v>10</v>
      </c>
      <c r="E42" s="65">
        <f>C42+D42</f>
        <v>15</v>
      </c>
      <c r="F42" s="65">
        <v>9</v>
      </c>
      <c r="G42" s="26">
        <f t="shared" si="3"/>
        <v>0.55555555555555558</v>
      </c>
      <c r="H42" s="26">
        <f>D42/F42</f>
        <v>1.1111111111111112</v>
      </c>
      <c r="I42" s="26">
        <f t="shared" si="4"/>
        <v>1.6666666666666667</v>
      </c>
    </row>
    <row r="43" spans="1:13" ht="26.25" thickBot="1" x14ac:dyDescent="0.3">
      <c r="B43" s="11" t="s">
        <v>22</v>
      </c>
      <c r="C43" s="65">
        <f>SUM(C39:C42)</f>
        <v>218</v>
      </c>
      <c r="D43" s="65">
        <f>SUM(D39:D42)</f>
        <v>40</v>
      </c>
      <c r="E43" s="65">
        <f>SUM(E39:E42)</f>
        <v>258</v>
      </c>
      <c r="F43" s="65">
        <v>43</v>
      </c>
      <c r="G43" s="26">
        <f t="shared" si="3"/>
        <v>5.0697674418604652</v>
      </c>
      <c r="H43" s="26">
        <f>D43/F43</f>
        <v>0.93023255813953487</v>
      </c>
      <c r="I43" s="26">
        <f>E43/F43</f>
        <v>6</v>
      </c>
    </row>
    <row r="44" spans="1:13" ht="15.75" thickBot="1" x14ac:dyDescent="0.3">
      <c r="B44" s="11"/>
      <c r="C44" s="26"/>
      <c r="D44" s="26"/>
      <c r="E44" s="26"/>
      <c r="F44" s="26"/>
      <c r="G44" s="26"/>
      <c r="H44" s="26"/>
      <c r="I44" s="26"/>
    </row>
    <row r="45" spans="1:13" ht="15.75" thickBot="1" x14ac:dyDescent="0.3">
      <c r="B45" s="11" t="s">
        <v>9</v>
      </c>
      <c r="C45" s="26" t="e">
        <f>'Total Number Of Ind'!H5</f>
        <v>#REF!</v>
      </c>
      <c r="D45" s="26" t="e">
        <f>'Total Number Of Ind'!I5</f>
        <v>#REF!</v>
      </c>
      <c r="E45" s="26" t="e">
        <f>C45+D45</f>
        <v>#REF!</v>
      </c>
      <c r="F45" s="26">
        <v>0</v>
      </c>
      <c r="G45" s="26" t="e">
        <f t="shared" si="3"/>
        <v>#REF!</v>
      </c>
      <c r="H45" s="26" t="e">
        <f>D45/F45</f>
        <v>#REF!</v>
      </c>
      <c r="I45" s="26" t="e">
        <f t="shared" si="4"/>
        <v>#REF!</v>
      </c>
    </row>
    <row r="46" spans="1:13" ht="15.75" thickBot="1" x14ac:dyDescent="0.3"/>
    <row r="47" spans="1:13" x14ac:dyDescent="0.25">
      <c r="A47" t="s">
        <v>50</v>
      </c>
      <c r="B47" s="16"/>
      <c r="C47" s="78" t="s">
        <v>55</v>
      </c>
      <c r="D47" s="80"/>
      <c r="E47" s="78" t="s">
        <v>56</v>
      </c>
      <c r="F47" s="80"/>
      <c r="G47" s="78" t="s">
        <v>58</v>
      </c>
      <c r="H47" s="80"/>
      <c r="I47" s="78" t="s">
        <v>57</v>
      </c>
      <c r="J47" s="80"/>
      <c r="K47" s="78" t="s">
        <v>22</v>
      </c>
      <c r="L47" s="80"/>
      <c r="M47" s="19"/>
    </row>
    <row r="48" spans="1:13" ht="15.75" thickBot="1" x14ac:dyDescent="0.3">
      <c r="B48" s="17"/>
      <c r="C48" s="84"/>
      <c r="D48" s="86"/>
      <c r="E48" s="84"/>
      <c r="F48" s="86"/>
      <c r="G48" s="84"/>
      <c r="H48" s="86"/>
      <c r="I48" s="84"/>
      <c r="J48" s="86"/>
      <c r="K48" s="84"/>
      <c r="L48" s="86"/>
      <c r="M48" s="20"/>
    </row>
    <row r="49" spans="2:13" ht="26.25" thickBot="1" x14ac:dyDescent="0.3">
      <c r="B49" s="18" t="s">
        <v>8</v>
      </c>
      <c r="C49" s="21" t="s">
        <v>23</v>
      </c>
      <c r="D49" s="72" t="s">
        <v>293</v>
      </c>
      <c r="E49" s="21" t="s">
        <v>23</v>
      </c>
      <c r="F49" s="72" t="s">
        <v>293</v>
      </c>
      <c r="G49" s="21" t="s">
        <v>23</v>
      </c>
      <c r="H49" s="72" t="s">
        <v>293</v>
      </c>
      <c r="I49" s="21" t="s">
        <v>23</v>
      </c>
      <c r="J49" s="72" t="s">
        <v>293</v>
      </c>
      <c r="K49" s="21" t="s">
        <v>23</v>
      </c>
      <c r="L49" s="72" t="s">
        <v>293</v>
      </c>
      <c r="M49" s="21" t="s">
        <v>9</v>
      </c>
    </row>
    <row r="50" spans="2:13" ht="15.75" thickBot="1" x14ac:dyDescent="0.3">
      <c r="B50" s="18">
        <v>22</v>
      </c>
      <c r="C50" s="21"/>
      <c r="D50" s="21"/>
      <c r="E50" s="21"/>
      <c r="F50" s="21"/>
      <c r="G50" s="21"/>
      <c r="H50" s="21"/>
      <c r="I50" s="21"/>
      <c r="J50" s="21"/>
      <c r="K50" s="21"/>
      <c r="L50" s="21"/>
      <c r="M50" s="21"/>
    </row>
    <row r="51" spans="2:13" ht="15.75" thickBot="1" x14ac:dyDescent="0.3">
      <c r="B51" s="18">
        <v>23</v>
      </c>
      <c r="C51" s="48" t="s">
        <v>104</v>
      </c>
      <c r="D51" s="49">
        <v>2.19</v>
      </c>
      <c r="E51" s="48" t="s">
        <v>104</v>
      </c>
      <c r="F51" s="49">
        <v>5.32</v>
      </c>
      <c r="G51" s="48" t="s">
        <v>104</v>
      </c>
      <c r="H51" s="49">
        <v>7.79</v>
      </c>
      <c r="I51" s="48" t="s">
        <v>104</v>
      </c>
      <c r="J51" s="49">
        <v>0.35</v>
      </c>
      <c r="K51" s="48" t="s">
        <v>104</v>
      </c>
      <c r="L51" s="49">
        <v>4.7699999999999996</v>
      </c>
      <c r="M51" s="48" t="s">
        <v>104</v>
      </c>
    </row>
    <row r="52" spans="2:13" ht="15.75" thickBot="1" x14ac:dyDescent="0.3">
      <c r="B52" s="18">
        <v>24</v>
      </c>
      <c r="C52" s="30">
        <v>3.11</v>
      </c>
      <c r="D52" s="50">
        <v>2.2000000000000002</v>
      </c>
      <c r="E52" s="30">
        <v>13.1</v>
      </c>
      <c r="F52" s="50">
        <v>7.84</v>
      </c>
      <c r="G52" s="30">
        <v>5.53</v>
      </c>
      <c r="H52" s="50">
        <v>11.49</v>
      </c>
      <c r="I52" s="30">
        <v>5.44</v>
      </c>
      <c r="J52" s="50">
        <v>0.64</v>
      </c>
      <c r="K52" s="30">
        <v>6.77</v>
      </c>
      <c r="L52" s="50">
        <v>6.37</v>
      </c>
      <c r="M52" s="30">
        <v>7.19</v>
      </c>
    </row>
    <row r="53" spans="2:13" ht="15.75" thickBot="1" x14ac:dyDescent="0.3">
      <c r="B53" s="18">
        <v>25</v>
      </c>
      <c r="C53" s="30">
        <v>22.22</v>
      </c>
      <c r="D53" s="50">
        <v>6.39</v>
      </c>
      <c r="E53" s="30">
        <v>61.3</v>
      </c>
      <c r="F53" s="50">
        <v>16.88</v>
      </c>
      <c r="G53" s="30">
        <v>70.33</v>
      </c>
      <c r="H53" s="50">
        <v>21.12</v>
      </c>
      <c r="I53" s="30">
        <v>18</v>
      </c>
      <c r="J53" s="50">
        <v>1.92</v>
      </c>
      <c r="K53" s="30">
        <v>47.21</v>
      </c>
      <c r="L53" s="50">
        <v>13.09</v>
      </c>
      <c r="M53" s="26">
        <v>107.14</v>
      </c>
    </row>
    <row r="54" spans="2:13" ht="15.75" thickBot="1" x14ac:dyDescent="0.3">
      <c r="B54" s="18">
        <v>26</v>
      </c>
      <c r="C54" s="30">
        <v>34.44</v>
      </c>
      <c r="D54" s="50">
        <v>11.54</v>
      </c>
      <c r="E54" s="30">
        <v>79.599999999999994</v>
      </c>
      <c r="F54" s="50">
        <v>35.479999999999997</v>
      </c>
      <c r="G54" s="30">
        <v>70.53</v>
      </c>
      <c r="H54" s="50">
        <v>33.090000000000003</v>
      </c>
      <c r="I54" s="30">
        <v>11.33</v>
      </c>
      <c r="J54" s="50">
        <v>5.81</v>
      </c>
      <c r="K54" s="30">
        <v>52.7</v>
      </c>
      <c r="L54" s="50">
        <v>23.19</v>
      </c>
      <c r="M54" s="26">
        <v>60</v>
      </c>
    </row>
    <row r="55" spans="2:13" ht="15.75" thickBot="1" x14ac:dyDescent="0.3">
      <c r="B55" s="18">
        <v>27</v>
      </c>
      <c r="C55" s="30">
        <v>18</v>
      </c>
      <c r="D55" s="50">
        <v>30.65</v>
      </c>
      <c r="E55" s="30">
        <v>57.4</v>
      </c>
      <c r="F55" s="50">
        <v>68.92</v>
      </c>
      <c r="G55" s="30">
        <v>52.33</v>
      </c>
      <c r="H55" s="50">
        <v>43.03</v>
      </c>
      <c r="I55" s="30">
        <v>7.44</v>
      </c>
      <c r="J55" s="50">
        <v>12.58</v>
      </c>
      <c r="K55" s="30">
        <v>36.93</v>
      </c>
      <c r="L55" s="50">
        <v>42.47</v>
      </c>
      <c r="M55" s="30">
        <v>51.16</v>
      </c>
    </row>
    <row r="56" spans="2:13" ht="15.75" thickBot="1" x14ac:dyDescent="0.3">
      <c r="B56" s="18">
        <v>28</v>
      </c>
      <c r="C56" s="30">
        <v>34.11</v>
      </c>
      <c r="D56" s="50">
        <v>48.06</v>
      </c>
      <c r="E56" s="30">
        <v>122.1</v>
      </c>
      <c r="F56" s="50">
        <v>84.97</v>
      </c>
      <c r="G56" s="30">
        <v>133.27000000000001</v>
      </c>
      <c r="H56" s="50">
        <v>67.44</v>
      </c>
      <c r="I56" s="30">
        <v>11.33</v>
      </c>
      <c r="J56" s="50">
        <v>13.15</v>
      </c>
      <c r="K56" s="30">
        <v>84.4</v>
      </c>
      <c r="L56" s="50">
        <v>55.87</v>
      </c>
      <c r="M56" s="30">
        <v>95.3</v>
      </c>
    </row>
    <row r="57" spans="2:13" ht="15.75" thickBot="1" x14ac:dyDescent="0.3">
      <c r="B57" s="18">
        <v>29</v>
      </c>
      <c r="C57" s="30">
        <v>56.44</v>
      </c>
      <c r="D57" s="50">
        <v>55.24</v>
      </c>
      <c r="E57" s="30">
        <v>101.3</v>
      </c>
      <c r="F57" s="50">
        <v>83.97</v>
      </c>
      <c r="G57" s="30">
        <v>118.13</v>
      </c>
      <c r="H57" s="50">
        <v>69.09</v>
      </c>
      <c r="I57" s="30">
        <v>44.56</v>
      </c>
      <c r="J57" s="50">
        <v>20.03</v>
      </c>
      <c r="K57" s="30">
        <v>85.91</v>
      </c>
      <c r="L57" s="50">
        <v>59.75</v>
      </c>
      <c r="M57" s="30">
        <v>92.49</v>
      </c>
    </row>
    <row r="58" spans="2:13" ht="15.75" thickBot="1" x14ac:dyDescent="0.3">
      <c r="B58" s="18">
        <v>30</v>
      </c>
      <c r="C58" s="30">
        <v>87.56</v>
      </c>
      <c r="D58" s="50">
        <v>48.71</v>
      </c>
      <c r="E58" s="30">
        <v>191</v>
      </c>
      <c r="F58" s="50">
        <v>120.93</v>
      </c>
      <c r="G58" s="30">
        <v>148.13</v>
      </c>
      <c r="H58" s="50">
        <v>79.38</v>
      </c>
      <c r="I58" s="30">
        <v>40.22</v>
      </c>
      <c r="J58" s="50">
        <v>17.11</v>
      </c>
      <c r="K58" s="30">
        <v>122.84</v>
      </c>
      <c r="L58" s="50">
        <v>70.39</v>
      </c>
      <c r="M58" s="30">
        <v>90.81</v>
      </c>
    </row>
    <row r="59" spans="2:13" ht="15.75" thickBot="1" x14ac:dyDescent="0.3">
      <c r="B59" s="18">
        <v>31</v>
      </c>
      <c r="C59" s="26">
        <v>54.33</v>
      </c>
      <c r="D59" s="50">
        <v>48.48</v>
      </c>
      <c r="E59" s="30">
        <v>155.1</v>
      </c>
      <c r="F59" s="50">
        <v>96.73</v>
      </c>
      <c r="G59" s="30">
        <v>58.8</v>
      </c>
      <c r="H59" s="50">
        <v>58.83</v>
      </c>
      <c r="I59" s="30">
        <v>40.56</v>
      </c>
      <c r="J59" s="50">
        <v>12.95</v>
      </c>
      <c r="K59" s="26">
        <v>76.44</v>
      </c>
      <c r="L59" s="50">
        <v>57.79</v>
      </c>
      <c r="M59" s="30">
        <v>45.81</v>
      </c>
    </row>
    <row r="60" spans="2:13" ht="15.75" thickBot="1" x14ac:dyDescent="0.3">
      <c r="B60" s="18">
        <v>32</v>
      </c>
      <c r="C60" s="30">
        <v>41.75</v>
      </c>
      <c r="D60" s="50">
        <v>41.25</v>
      </c>
      <c r="E60" s="30">
        <v>68.3</v>
      </c>
      <c r="F60" s="50">
        <v>68.12</v>
      </c>
      <c r="G60" s="30">
        <v>34.33</v>
      </c>
      <c r="H60" s="50">
        <v>57.75</v>
      </c>
      <c r="I60" s="30">
        <v>15.67</v>
      </c>
      <c r="J60" s="50">
        <v>14.77</v>
      </c>
      <c r="K60" s="30">
        <v>39.880000000000003</v>
      </c>
      <c r="L60" s="50">
        <v>48.11</v>
      </c>
      <c r="M60" s="30">
        <v>29.73</v>
      </c>
    </row>
    <row r="61" spans="2:13" ht="15.75" thickBot="1" x14ac:dyDescent="0.3">
      <c r="B61" s="18">
        <v>33</v>
      </c>
      <c r="C61" s="30">
        <v>7.44</v>
      </c>
      <c r="D61" s="50">
        <v>27.04</v>
      </c>
      <c r="E61" s="30">
        <v>26.8</v>
      </c>
      <c r="F61" s="50">
        <v>52.01</v>
      </c>
      <c r="G61" s="30">
        <v>14.27</v>
      </c>
      <c r="H61" s="50">
        <v>36.5</v>
      </c>
      <c r="I61" s="30">
        <v>4.78</v>
      </c>
      <c r="J61" s="50">
        <v>9.36</v>
      </c>
      <c r="K61" s="30">
        <v>13.77</v>
      </c>
      <c r="L61" s="50">
        <v>32.44</v>
      </c>
      <c r="M61" s="30">
        <v>8.84</v>
      </c>
    </row>
    <row r="62" spans="2:13" ht="15.75" thickBot="1" x14ac:dyDescent="0.3">
      <c r="B62" s="18">
        <v>34</v>
      </c>
      <c r="C62" s="30">
        <v>16.11</v>
      </c>
      <c r="D62" s="50">
        <v>20.04</v>
      </c>
      <c r="E62" s="30">
        <v>17.3</v>
      </c>
      <c r="F62" s="50">
        <v>46.6</v>
      </c>
      <c r="G62" s="30">
        <v>23.4</v>
      </c>
      <c r="H62" s="50">
        <v>27.58</v>
      </c>
      <c r="I62" s="30">
        <v>6.67</v>
      </c>
      <c r="J62" s="50">
        <v>6.54</v>
      </c>
      <c r="K62" s="30">
        <v>16.95</v>
      </c>
      <c r="L62" s="50">
        <v>26.43</v>
      </c>
      <c r="M62" s="30">
        <v>15.86</v>
      </c>
    </row>
    <row r="63" spans="2:13" ht="15.75" thickBot="1" x14ac:dyDescent="0.3">
      <c r="B63" s="18">
        <v>35</v>
      </c>
      <c r="C63" s="30">
        <v>5.33</v>
      </c>
      <c r="D63" s="50">
        <v>8.4499999999999993</v>
      </c>
      <c r="E63" s="30">
        <v>25.4</v>
      </c>
      <c r="F63" s="50">
        <v>20.21</v>
      </c>
      <c r="G63" s="30">
        <v>17.27</v>
      </c>
      <c r="H63" s="50">
        <v>13.06</v>
      </c>
      <c r="I63" s="30">
        <v>2.56</v>
      </c>
      <c r="J63" s="50">
        <v>4.12</v>
      </c>
      <c r="K63" s="30">
        <v>13.58</v>
      </c>
      <c r="L63" s="50">
        <v>11.98</v>
      </c>
      <c r="M63" s="30">
        <v>3.3</v>
      </c>
    </row>
    <row r="64" spans="2:13" ht="15.75" thickBot="1" x14ac:dyDescent="0.3">
      <c r="B64" s="18">
        <v>36</v>
      </c>
      <c r="C64" s="30">
        <v>2.56</v>
      </c>
      <c r="D64" s="30" t="s">
        <v>105</v>
      </c>
      <c r="E64" s="30">
        <v>18.7</v>
      </c>
      <c r="F64" s="30" t="s">
        <v>105</v>
      </c>
      <c r="G64" s="30">
        <v>8.93</v>
      </c>
      <c r="H64" s="30" t="s">
        <v>105</v>
      </c>
      <c r="I64" s="30">
        <v>1</v>
      </c>
      <c r="J64" s="30" t="s">
        <v>105</v>
      </c>
      <c r="K64" s="30">
        <v>8.2100000000000009</v>
      </c>
      <c r="L64" s="30" t="s">
        <v>105</v>
      </c>
      <c r="M64" s="30" t="s">
        <v>105</v>
      </c>
    </row>
    <row r="65" spans="1:20" ht="15.75" thickBot="1" x14ac:dyDescent="0.3">
      <c r="B65" s="18">
        <v>37</v>
      </c>
      <c r="C65" s="30">
        <v>2.56</v>
      </c>
      <c r="D65" s="30" t="s">
        <v>105</v>
      </c>
      <c r="E65" s="30">
        <v>10.8</v>
      </c>
      <c r="F65" s="30" t="s">
        <v>105</v>
      </c>
      <c r="G65" s="30">
        <v>7.47</v>
      </c>
      <c r="H65" s="30" t="s">
        <v>105</v>
      </c>
      <c r="I65" s="30">
        <v>1.67</v>
      </c>
      <c r="J65" s="30" t="s">
        <v>105</v>
      </c>
      <c r="K65" s="30">
        <v>6</v>
      </c>
      <c r="L65" s="30" t="s">
        <v>105</v>
      </c>
      <c r="M65" s="30" t="s">
        <v>105</v>
      </c>
    </row>
    <row r="66" spans="1:20" ht="15.75" thickBot="1" x14ac:dyDescent="0.3"/>
    <row r="67" spans="1:20" x14ac:dyDescent="0.25">
      <c r="A67" t="s">
        <v>51</v>
      </c>
      <c r="B67" s="16"/>
      <c r="C67" s="78" t="s">
        <v>33</v>
      </c>
      <c r="D67" s="79"/>
      <c r="E67" s="80"/>
      <c r="F67" s="78" t="s">
        <v>34</v>
      </c>
      <c r="G67" s="79"/>
      <c r="H67" s="80"/>
      <c r="I67" s="78" t="s">
        <v>32</v>
      </c>
      <c r="J67" s="79"/>
      <c r="K67" s="80"/>
      <c r="L67" s="78" t="s">
        <v>36</v>
      </c>
      <c r="M67" s="79"/>
      <c r="N67" s="80"/>
    </row>
    <row r="68" spans="1:20" x14ac:dyDescent="0.25">
      <c r="B68" s="17"/>
      <c r="C68" s="81"/>
      <c r="D68" s="82"/>
      <c r="E68" s="83"/>
      <c r="F68" s="81"/>
      <c r="G68" s="82"/>
      <c r="H68" s="83"/>
      <c r="I68" s="81" t="s">
        <v>35</v>
      </c>
      <c r="J68" s="87"/>
      <c r="K68" s="83"/>
      <c r="L68" s="81"/>
      <c r="M68" s="82"/>
      <c r="N68" s="83"/>
    </row>
    <row r="69" spans="1:20" ht="15.75" thickBot="1" x14ac:dyDescent="0.3">
      <c r="B69" s="17"/>
      <c r="C69" s="84"/>
      <c r="D69" s="85"/>
      <c r="E69" s="86"/>
      <c r="F69" s="84"/>
      <c r="G69" s="85"/>
      <c r="H69" s="86"/>
      <c r="I69" s="88"/>
      <c r="J69" s="89"/>
      <c r="K69" s="90"/>
      <c r="L69" s="84"/>
      <c r="M69" s="85"/>
      <c r="N69" s="86"/>
    </row>
    <row r="70" spans="1:20" ht="24.75" thickBot="1" x14ac:dyDescent="0.3">
      <c r="B70" s="18" t="s">
        <v>10</v>
      </c>
      <c r="C70" s="23" t="s">
        <v>15</v>
      </c>
      <c r="D70" s="23" t="s">
        <v>16</v>
      </c>
      <c r="E70" s="21" t="s">
        <v>37</v>
      </c>
      <c r="F70" s="23" t="s">
        <v>15</v>
      </c>
      <c r="G70" s="23" t="s">
        <v>16</v>
      </c>
      <c r="H70" s="21" t="s">
        <v>37</v>
      </c>
      <c r="I70" s="23" t="s">
        <v>15</v>
      </c>
      <c r="J70" s="23" t="s">
        <v>16</v>
      </c>
      <c r="K70" s="21" t="s">
        <v>37</v>
      </c>
      <c r="L70" s="23" t="s">
        <v>15</v>
      </c>
      <c r="M70" s="23" t="s">
        <v>16</v>
      </c>
      <c r="N70" s="21" t="s">
        <v>37</v>
      </c>
    </row>
    <row r="71" spans="1:20" ht="24.75" thickBot="1" x14ac:dyDescent="0.3">
      <c r="B71" s="18" t="s">
        <v>55</v>
      </c>
      <c r="C71" s="65">
        <f>'Total Number Ind Examined '!I8</f>
        <v>30</v>
      </c>
      <c r="D71" s="65">
        <f>'Total Number Ind Examined '!J8</f>
        <v>10</v>
      </c>
      <c r="E71" s="65">
        <f>C71+D71</f>
        <v>40</v>
      </c>
      <c r="F71" s="64">
        <f>'Total Number of Pools Examined'!H8</f>
        <v>6</v>
      </c>
      <c r="G71" s="64">
        <f>'Total Number of Pools Examined'!I8</f>
        <v>5</v>
      </c>
      <c r="H71" s="64">
        <f>F71+G71</f>
        <v>11</v>
      </c>
      <c r="I71" s="64">
        <f>'Total Number of WNV + Pools'!G7</f>
        <v>0</v>
      </c>
      <c r="J71" s="64">
        <f>'Total Number of WNV + Pools'!H7</f>
        <v>0</v>
      </c>
      <c r="K71" s="64">
        <f>'Total Number of WNV + Pools'!I7</f>
        <v>0</v>
      </c>
      <c r="L71" s="30">
        <f>ZONEINFRATE!C2</f>
        <v>0</v>
      </c>
      <c r="M71" s="30">
        <f>ZONEINFRATE!C3</f>
        <v>0</v>
      </c>
      <c r="N71" s="30">
        <v>0</v>
      </c>
      <c r="P71" s="62"/>
      <c r="Q71" s="63"/>
      <c r="S71" s="62"/>
      <c r="T71" s="63"/>
    </row>
    <row r="72" spans="1:20" ht="24.75" thickBot="1" x14ac:dyDescent="0.3">
      <c r="B72" s="18" t="s">
        <v>56</v>
      </c>
      <c r="C72" s="65">
        <f>'Total Number Ind Examined '!I7</f>
        <v>194</v>
      </c>
      <c r="D72" s="65">
        <f>'Total Number Ind Examined '!J7</f>
        <v>17</v>
      </c>
      <c r="E72" s="65">
        <f>C72+D72</f>
        <v>211</v>
      </c>
      <c r="F72" s="64">
        <f>'Total Number of Pools Examined'!H7</f>
        <v>13</v>
      </c>
      <c r="G72" s="64">
        <f>'Total Number of Pools Examined'!I7</f>
        <v>9</v>
      </c>
      <c r="H72" s="64">
        <f>F72+G72</f>
        <v>22</v>
      </c>
      <c r="I72" s="64">
        <f>'Total Number of WNV + Pools'!G8</f>
        <v>1</v>
      </c>
      <c r="J72" s="64">
        <f>'Total Number of WNV + Pools'!H8</f>
        <v>0</v>
      </c>
      <c r="K72" s="64">
        <f>'Total Number of WNV + Pools'!I8</f>
        <v>1</v>
      </c>
      <c r="L72" s="30">
        <f>ZONEINFRATE!C4</f>
        <v>5.48</v>
      </c>
      <c r="M72" s="30">
        <f>ZONEINFRATE!C5</f>
        <v>0</v>
      </c>
      <c r="N72" s="30">
        <v>5.04</v>
      </c>
      <c r="Q72" s="31"/>
      <c r="T72" s="31"/>
    </row>
    <row r="73" spans="1:20" ht="24.75" thickBot="1" x14ac:dyDescent="0.3">
      <c r="B73" s="18" t="s">
        <v>58</v>
      </c>
      <c r="C73" s="65">
        <f>'Total Number Ind Examined '!I9</f>
        <v>260</v>
      </c>
      <c r="D73" s="65">
        <f>'Total Number Ind Examined '!J9</f>
        <v>4</v>
      </c>
      <c r="E73" s="65">
        <f>C73+D73</f>
        <v>264</v>
      </c>
      <c r="F73" s="64">
        <f>'Total Number of Pools Examined'!H9</f>
        <v>15</v>
      </c>
      <c r="G73" s="64">
        <f>'Total Number of Pools Examined'!I9</f>
        <v>3</v>
      </c>
      <c r="H73" s="64">
        <f>F73+G73</f>
        <v>18</v>
      </c>
      <c r="I73" s="64">
        <f>'Total Number of WNV + Pools'!G9</f>
        <v>1</v>
      </c>
      <c r="J73" s="64">
        <f>'Total Number of WNV + Pools'!H9</f>
        <v>0</v>
      </c>
      <c r="K73" s="64">
        <f>'Total Number of WNV + Pools'!I9</f>
        <v>1</v>
      </c>
      <c r="L73" s="30">
        <f>ZONEINFRATE!C6</f>
        <v>3.75</v>
      </c>
      <c r="M73" s="30">
        <f>ZONEINFRATE!C7</f>
        <v>0</v>
      </c>
      <c r="N73" s="30">
        <v>3.7</v>
      </c>
      <c r="Q73" s="31"/>
    </row>
    <row r="74" spans="1:20" ht="24.75" thickBot="1" x14ac:dyDescent="0.3">
      <c r="B74" s="18" t="s">
        <v>57</v>
      </c>
      <c r="C74" s="65">
        <f>'Total Number Ind Examined '!I10</f>
        <v>10</v>
      </c>
      <c r="D74" s="65">
        <f>'Total Number Ind Examined '!J10</f>
        <v>10</v>
      </c>
      <c r="E74" s="65">
        <f>C74+D74</f>
        <v>20</v>
      </c>
      <c r="F74" s="64">
        <f>'Total Number of Pools Examined'!H10</f>
        <v>2</v>
      </c>
      <c r="G74" s="64">
        <f>'Total Number of Pools Examined'!I10</f>
        <v>4</v>
      </c>
      <c r="H74" s="64">
        <f>F74+G74</f>
        <v>6</v>
      </c>
      <c r="I74" s="64">
        <f>'Total Number of WNV + Pools'!G10</f>
        <v>0</v>
      </c>
      <c r="J74" s="64">
        <f>'Total Number of WNV + Pools'!H10</f>
        <v>0</v>
      </c>
      <c r="K74" s="64">
        <f>'Total Number of WNV + Pools'!I10</f>
        <v>0</v>
      </c>
      <c r="L74" s="30">
        <f>ZONEINFRATE!C8</f>
        <v>0</v>
      </c>
      <c r="M74" s="30">
        <f>ZONEINFRATE!C9</f>
        <v>0</v>
      </c>
      <c r="N74" s="30">
        <v>0</v>
      </c>
      <c r="Q74" s="31"/>
    </row>
    <row r="75" spans="1:20" ht="24.75" thickBot="1" x14ac:dyDescent="0.3">
      <c r="B75" s="18" t="s">
        <v>22</v>
      </c>
      <c r="C75" s="65">
        <f>SUM(C71:C74)</f>
        <v>494</v>
      </c>
      <c r="D75" s="65">
        <f>SUM(D71:D74)</f>
        <v>41</v>
      </c>
      <c r="E75" s="65">
        <f>C75+D75</f>
        <v>535</v>
      </c>
      <c r="F75" s="64">
        <f t="shared" ref="F75:K75" si="5">SUM(F71:F74)</f>
        <v>36</v>
      </c>
      <c r="G75" s="64">
        <f t="shared" si="5"/>
        <v>21</v>
      </c>
      <c r="H75" s="64">
        <f>F75+G75</f>
        <v>57</v>
      </c>
      <c r="I75" s="64">
        <f t="shared" si="5"/>
        <v>2</v>
      </c>
      <c r="J75" s="64">
        <f t="shared" si="5"/>
        <v>0</v>
      </c>
      <c r="K75" s="64">
        <f t="shared" si="5"/>
        <v>2</v>
      </c>
      <c r="L75" s="30">
        <f>CITYINFRATE!C2</f>
        <v>4.2300000000000004</v>
      </c>
      <c r="M75" s="30">
        <f>CITYINFRATE!C3</f>
        <v>0</v>
      </c>
      <c r="N75" s="30">
        <v>3.51</v>
      </c>
      <c r="Q75" s="31"/>
    </row>
    <row r="76" spans="1:20" ht="15.75" thickBot="1" x14ac:dyDescent="0.3">
      <c r="B76" s="18"/>
      <c r="C76" s="30"/>
      <c r="D76" s="30"/>
      <c r="E76" s="30"/>
      <c r="F76" s="30"/>
      <c r="G76" s="30"/>
      <c r="H76" s="30"/>
      <c r="I76" s="30"/>
      <c r="J76" s="30"/>
      <c r="K76" s="30"/>
      <c r="L76" s="30"/>
      <c r="M76" s="30"/>
      <c r="N76" s="30"/>
    </row>
    <row r="77" spans="1:20" ht="15.75" thickBot="1" x14ac:dyDescent="0.3">
      <c r="B77" s="18" t="s">
        <v>9</v>
      </c>
      <c r="C77" s="30" t="e">
        <f>'Total Number Ind Examined '!I6</f>
        <v>#REF!</v>
      </c>
      <c r="D77" s="30" t="e">
        <f>'Total Number Ind Examined '!J6</f>
        <v>#REF!</v>
      </c>
      <c r="E77" s="30" t="e">
        <f>C77+D77</f>
        <v>#REF!</v>
      </c>
      <c r="F77" s="30" t="e">
        <f>'Total Number of Pools Examined'!H6</f>
        <v>#REF!</v>
      </c>
      <c r="G77" s="30" t="e">
        <f>'Total Number of Pools Examined'!I6</f>
        <v>#REF!</v>
      </c>
      <c r="H77" s="30" t="e">
        <f>F77+G77</f>
        <v>#REF!</v>
      </c>
      <c r="I77" s="30" t="e">
        <f>'Total Number of WNV + Pools'!G11</f>
        <v>#REF!</v>
      </c>
      <c r="J77" s="30" t="e">
        <f>'Total Number of WNV + Pools'!H11</f>
        <v>#REF!</v>
      </c>
      <c r="K77" s="30" t="e">
        <f>I77+J77</f>
        <v>#REF!</v>
      </c>
      <c r="L77" s="30">
        <f>CITYINFRATE!C4</f>
        <v>0</v>
      </c>
      <c r="M77" s="30">
        <f>CITYINFRATE!C5</f>
        <v>0</v>
      </c>
      <c r="N77" s="30">
        <v>0</v>
      </c>
    </row>
    <row r="78" spans="1:20" ht="15.75" thickBot="1" x14ac:dyDescent="0.3"/>
    <row r="79" spans="1:20" x14ac:dyDescent="0.25">
      <c r="A79" t="s">
        <v>52</v>
      </c>
      <c r="B79" s="16"/>
      <c r="C79" s="78" t="s">
        <v>55</v>
      </c>
      <c r="D79" s="80"/>
      <c r="E79" s="78" t="s">
        <v>56</v>
      </c>
      <c r="F79" s="80"/>
      <c r="G79" s="78" t="s">
        <v>58</v>
      </c>
      <c r="H79" s="80"/>
      <c r="I79" s="78" t="s">
        <v>57</v>
      </c>
      <c r="J79" s="80"/>
      <c r="K79" s="78" t="s">
        <v>22</v>
      </c>
      <c r="L79" s="80"/>
      <c r="M79" s="19"/>
    </row>
    <row r="80" spans="1:20" ht="15.75" thickBot="1" x14ac:dyDescent="0.3">
      <c r="B80" s="17"/>
      <c r="C80" s="84"/>
      <c r="D80" s="86"/>
      <c r="E80" s="84"/>
      <c r="F80" s="86"/>
      <c r="G80" s="84"/>
      <c r="H80" s="86"/>
      <c r="I80" s="84"/>
      <c r="J80" s="86"/>
      <c r="K80" s="84"/>
      <c r="L80" s="86"/>
      <c r="M80" s="20"/>
    </row>
    <row r="81" spans="2:13" ht="26.25" thickBot="1" x14ac:dyDescent="0.3">
      <c r="B81" s="18" t="s">
        <v>8</v>
      </c>
      <c r="C81" s="21" t="s">
        <v>23</v>
      </c>
      <c r="D81" s="72" t="s">
        <v>293</v>
      </c>
      <c r="E81" s="21" t="s">
        <v>23</v>
      </c>
      <c r="F81" s="72" t="s">
        <v>293</v>
      </c>
      <c r="G81" s="21" t="s">
        <v>23</v>
      </c>
      <c r="H81" s="72" t="s">
        <v>293</v>
      </c>
      <c r="I81" s="21" t="s">
        <v>23</v>
      </c>
      <c r="J81" s="72" t="s">
        <v>293</v>
      </c>
      <c r="K81" s="21" t="s">
        <v>23</v>
      </c>
      <c r="L81" s="72" t="s">
        <v>293</v>
      </c>
      <c r="M81" s="21" t="s">
        <v>9</v>
      </c>
    </row>
    <row r="82" spans="2:13" ht="15.75" thickBot="1" x14ac:dyDescent="0.3">
      <c r="B82" s="18">
        <v>22</v>
      </c>
      <c r="C82" s="21"/>
      <c r="D82" s="21"/>
      <c r="E82" s="21"/>
      <c r="F82" s="21"/>
      <c r="G82" s="21"/>
      <c r="H82" s="21"/>
      <c r="I82" s="21"/>
      <c r="J82" s="21"/>
      <c r="K82" s="21"/>
      <c r="L82" s="21"/>
      <c r="M82" s="21"/>
    </row>
    <row r="83" spans="2:13" ht="15.75" thickBot="1" x14ac:dyDescent="0.3">
      <c r="B83" s="18">
        <v>23</v>
      </c>
      <c r="C83" s="30"/>
      <c r="D83" s="74">
        <v>0</v>
      </c>
      <c r="E83" s="30"/>
      <c r="F83" s="74">
        <v>0</v>
      </c>
      <c r="G83" s="30"/>
      <c r="H83" s="74">
        <v>1.7731002705211838</v>
      </c>
      <c r="I83" s="30"/>
      <c r="J83" s="74">
        <v>0</v>
      </c>
      <c r="K83" s="30"/>
      <c r="L83" s="74">
        <v>0.57753392895019295</v>
      </c>
      <c r="M83" s="30"/>
    </row>
    <row r="84" spans="2:13" ht="15.75" thickBot="1" x14ac:dyDescent="0.3">
      <c r="B84" s="18">
        <v>24</v>
      </c>
      <c r="C84" s="30"/>
      <c r="D84" s="75">
        <v>0</v>
      </c>
      <c r="E84" s="30"/>
      <c r="F84" s="75">
        <v>0</v>
      </c>
      <c r="G84" s="30"/>
      <c r="H84" s="75">
        <v>1.3719280144795569</v>
      </c>
      <c r="I84" s="30"/>
      <c r="J84" s="75">
        <v>0</v>
      </c>
      <c r="K84" s="30"/>
      <c r="L84" s="75">
        <v>0.52437624183763432</v>
      </c>
      <c r="M84" s="30"/>
    </row>
    <row r="85" spans="2:13" ht="15.75" thickBot="1" x14ac:dyDescent="0.3">
      <c r="B85" s="18">
        <v>25</v>
      </c>
      <c r="C85" s="30"/>
      <c r="D85" s="75">
        <v>0</v>
      </c>
      <c r="E85" s="30"/>
      <c r="F85" s="75">
        <v>0.62229589194158752</v>
      </c>
      <c r="G85" s="30"/>
      <c r="H85" s="75">
        <v>0</v>
      </c>
      <c r="I85" s="30"/>
      <c r="J85" s="75">
        <v>0</v>
      </c>
      <c r="K85" s="30"/>
      <c r="L85" s="75">
        <v>8.1974574125068422E-2</v>
      </c>
      <c r="M85" s="30"/>
    </row>
    <row r="86" spans="2:13" ht="15.75" thickBot="1" x14ac:dyDescent="0.3">
      <c r="B86" s="18">
        <v>26</v>
      </c>
      <c r="C86" s="30"/>
      <c r="D86" s="75">
        <v>0</v>
      </c>
      <c r="E86" s="30"/>
      <c r="F86" s="75">
        <v>0.10800000000000001</v>
      </c>
      <c r="G86" s="30"/>
      <c r="H86" s="75">
        <v>0.47173578978376163</v>
      </c>
      <c r="I86" s="30"/>
      <c r="J86" s="75">
        <v>0.4821267020419211</v>
      </c>
      <c r="K86" s="30"/>
      <c r="L86" s="75">
        <v>0.29303564979440011</v>
      </c>
      <c r="M86" s="30"/>
    </row>
    <row r="87" spans="2:13" ht="15.75" thickBot="1" x14ac:dyDescent="0.3">
      <c r="B87" s="18">
        <v>27</v>
      </c>
      <c r="C87" s="30"/>
      <c r="D87" s="75">
        <v>0</v>
      </c>
      <c r="E87" s="30"/>
      <c r="F87" s="75">
        <v>0.242731298767248</v>
      </c>
      <c r="G87" s="30"/>
      <c r="H87" s="75">
        <v>0.22275287749498812</v>
      </c>
      <c r="I87" s="30"/>
      <c r="J87" s="75">
        <v>0</v>
      </c>
      <c r="K87" s="30"/>
      <c r="L87" s="75">
        <v>0.20642105669107452</v>
      </c>
      <c r="M87" s="30"/>
    </row>
    <row r="88" spans="2:13" ht="15.75" thickBot="1" x14ac:dyDescent="0.3">
      <c r="B88" s="18">
        <v>28</v>
      </c>
      <c r="C88" s="30"/>
      <c r="D88" s="75">
        <v>0</v>
      </c>
      <c r="E88" s="30"/>
      <c r="F88" s="75">
        <v>0.42957398266981961</v>
      </c>
      <c r="G88" s="30"/>
      <c r="H88" s="75">
        <v>0.95691347747366229</v>
      </c>
      <c r="I88" s="30"/>
      <c r="J88" s="75">
        <v>0.43789867201821925</v>
      </c>
      <c r="K88" s="30"/>
      <c r="L88" s="75">
        <v>0.57474506615093801</v>
      </c>
      <c r="M88" s="30"/>
    </row>
    <row r="89" spans="2:13" ht="15.75" thickBot="1" x14ac:dyDescent="0.3">
      <c r="B89" s="18">
        <v>29</v>
      </c>
      <c r="C89" s="30"/>
      <c r="D89" s="75">
        <v>1.6105804838081497</v>
      </c>
      <c r="E89" s="30"/>
      <c r="F89" s="75">
        <v>1.262830343278448</v>
      </c>
      <c r="G89" s="30"/>
      <c r="H89" s="75">
        <v>2.8963178113679904</v>
      </c>
      <c r="I89" s="30"/>
      <c r="J89" s="75">
        <v>1.0510843286062497</v>
      </c>
      <c r="K89" s="30"/>
      <c r="L89" s="75">
        <v>1.8838478811158623</v>
      </c>
      <c r="M89" s="30"/>
    </row>
    <row r="90" spans="2:13" ht="15.75" thickBot="1" x14ac:dyDescent="0.3">
      <c r="B90" s="18">
        <v>30</v>
      </c>
      <c r="C90" s="30"/>
      <c r="D90" s="75">
        <v>2.7854390744040525</v>
      </c>
      <c r="E90" s="30"/>
      <c r="F90" s="75">
        <v>1.9366937947529137</v>
      </c>
      <c r="G90" s="30"/>
      <c r="H90" s="75">
        <v>3.8543684383131107</v>
      </c>
      <c r="I90" s="30"/>
      <c r="J90" s="75">
        <v>3.2386939593409148</v>
      </c>
      <c r="K90" s="30"/>
      <c r="L90" s="75">
        <v>2.8820487602511626</v>
      </c>
      <c r="M90" s="30"/>
    </row>
    <row r="91" spans="2:13" ht="15.75" thickBot="1" x14ac:dyDescent="0.3">
      <c r="B91" s="18">
        <v>31</v>
      </c>
      <c r="C91" s="30"/>
      <c r="D91" s="75">
        <v>3.9603406702893964</v>
      </c>
      <c r="E91" s="30"/>
      <c r="F91" s="75">
        <v>1.6053776120323888</v>
      </c>
      <c r="G91" s="30"/>
      <c r="H91" s="75">
        <v>4.154607454601873</v>
      </c>
      <c r="I91" s="30"/>
      <c r="J91" s="75">
        <v>2.9675473140006599</v>
      </c>
      <c r="K91" s="30"/>
      <c r="L91" s="75">
        <v>2.9621719516231884</v>
      </c>
      <c r="M91" s="30"/>
    </row>
    <row r="92" spans="2:13" ht="15.75" thickBot="1" x14ac:dyDescent="0.3">
      <c r="B92" s="18">
        <v>32</v>
      </c>
      <c r="C92" s="30"/>
      <c r="D92" s="75">
        <v>4.1280062926574672</v>
      </c>
      <c r="E92" s="30"/>
      <c r="F92" s="75">
        <v>6.0572949967821703</v>
      </c>
      <c r="G92" s="30"/>
      <c r="H92" s="75">
        <v>7.6336146347042781</v>
      </c>
      <c r="I92" s="30"/>
      <c r="J92" s="75">
        <v>9.5154931734195909</v>
      </c>
      <c r="K92" s="30"/>
      <c r="L92" s="75">
        <v>5.9712338197476829</v>
      </c>
      <c r="M92" s="30"/>
    </row>
    <row r="93" spans="2:13" ht="15.75" thickBot="1" x14ac:dyDescent="0.3">
      <c r="B93" s="18">
        <v>33</v>
      </c>
      <c r="C93" s="30"/>
      <c r="D93" s="75">
        <v>7.8857803782312628</v>
      </c>
      <c r="E93" s="30"/>
      <c r="F93" s="75">
        <v>6.7783680312540708</v>
      </c>
      <c r="G93" s="30"/>
      <c r="H93" s="75">
        <v>9.778127845819796</v>
      </c>
      <c r="I93" s="30"/>
      <c r="J93" s="75">
        <v>3.8412612515831315</v>
      </c>
      <c r="K93" s="30"/>
      <c r="L93" s="75">
        <v>8.0366071063080113</v>
      </c>
      <c r="M93" s="30"/>
    </row>
    <row r="94" spans="2:13" ht="15.75" thickBot="1" x14ac:dyDescent="0.3">
      <c r="B94" s="18">
        <v>34</v>
      </c>
      <c r="C94" s="30"/>
      <c r="D94" s="75">
        <v>6.9613136599243006</v>
      </c>
      <c r="E94" s="30"/>
      <c r="F94" s="75">
        <v>3.5755338185884478</v>
      </c>
      <c r="G94" s="30"/>
      <c r="H94" s="75">
        <v>11.008235349774395</v>
      </c>
      <c r="I94" s="30"/>
      <c r="J94" s="75">
        <v>11.477528721383241</v>
      </c>
      <c r="K94" s="30"/>
      <c r="L94" s="75">
        <v>7.5178958806054039</v>
      </c>
      <c r="M94" s="30"/>
    </row>
    <row r="95" spans="2:13" ht="15.75" thickBot="1" x14ac:dyDescent="0.3">
      <c r="B95" s="18">
        <v>35</v>
      </c>
      <c r="C95" s="59"/>
      <c r="D95" s="75">
        <v>10.087990557444293</v>
      </c>
      <c r="E95" s="59"/>
      <c r="F95" s="75">
        <v>5.5917272417445476</v>
      </c>
      <c r="G95" s="59"/>
      <c r="H95" s="75">
        <v>14.823468552836312</v>
      </c>
      <c r="I95" s="59"/>
      <c r="J95" s="75">
        <v>50.474499280621231</v>
      </c>
      <c r="K95" s="59"/>
      <c r="L95" s="75">
        <v>10.875692299118176</v>
      </c>
      <c r="M95" s="59"/>
    </row>
    <row r="96" spans="2:13" ht="15.75" thickBot="1" x14ac:dyDescent="0.3">
      <c r="B96" s="18">
        <v>36</v>
      </c>
      <c r="C96" s="59"/>
      <c r="D96" s="76">
        <v>21.92</v>
      </c>
      <c r="E96" s="59"/>
      <c r="F96" s="76">
        <v>4.8600000000000003</v>
      </c>
      <c r="G96" s="30"/>
      <c r="H96" s="76">
        <v>0</v>
      </c>
      <c r="I96" s="30"/>
      <c r="J96" s="76">
        <v>0</v>
      </c>
      <c r="K96" s="59"/>
      <c r="L96" s="76">
        <v>3.36</v>
      </c>
      <c r="M96" s="30"/>
    </row>
    <row r="97" spans="2:13" ht="15.75" thickBot="1" x14ac:dyDescent="0.3">
      <c r="B97" s="18">
        <v>37</v>
      </c>
      <c r="C97" s="30"/>
      <c r="D97" s="76">
        <v>0</v>
      </c>
      <c r="E97" s="59"/>
      <c r="F97" s="76">
        <v>5.04</v>
      </c>
      <c r="G97" s="30"/>
      <c r="H97" s="76">
        <v>3.7</v>
      </c>
      <c r="I97" s="30"/>
      <c r="J97" s="76">
        <v>0</v>
      </c>
      <c r="K97" s="59"/>
      <c r="L97" s="76">
        <v>3.51</v>
      </c>
      <c r="M97" s="30"/>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4:E34"/>
    <mergeCell ref="C35:E35"/>
    <mergeCell ref="C36:E36"/>
    <mergeCell ref="G34:I36"/>
    <mergeCell ref="C37:C38"/>
    <mergeCell ref="D37:D38"/>
    <mergeCell ref="E37:E38"/>
    <mergeCell ref="G37:G38"/>
    <mergeCell ref="H37:H38"/>
    <mergeCell ref="C47:D48"/>
    <mergeCell ref="E47:F48"/>
    <mergeCell ref="G47:H48"/>
    <mergeCell ref="I47:J48"/>
    <mergeCell ref="K47:L48"/>
    <mergeCell ref="L67:N69"/>
    <mergeCell ref="C79:D80"/>
    <mergeCell ref="E79:F80"/>
    <mergeCell ref="G79:H80"/>
    <mergeCell ref="I79:J80"/>
    <mergeCell ref="K79:L80"/>
    <mergeCell ref="C67:E69"/>
    <mergeCell ref="F67:H69"/>
    <mergeCell ref="I67:K67"/>
    <mergeCell ref="I68:K68"/>
    <mergeCell ref="I69:K6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205"/>
  <sheetViews>
    <sheetView tabSelected="1" topLeftCell="A19" workbookViewId="0">
      <selection activeCell="E11" sqref="E11"/>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6" s="35" customFormat="1" ht="43.9" customHeight="1" x14ac:dyDescent="0.25">
      <c r="A1" s="40" t="s">
        <v>38</v>
      </c>
      <c r="B1" s="41" t="s">
        <v>79</v>
      </c>
      <c r="C1" s="41" t="s">
        <v>80</v>
      </c>
      <c r="D1" s="41" t="s">
        <v>8</v>
      </c>
      <c r="E1" s="42" t="s">
        <v>0</v>
      </c>
      <c r="F1" s="43" t="s">
        <v>39</v>
      </c>
      <c r="G1" s="43" t="s">
        <v>40</v>
      </c>
      <c r="H1" s="41" t="s">
        <v>81</v>
      </c>
      <c r="I1" s="41" t="s">
        <v>45</v>
      </c>
      <c r="J1" s="41" t="s">
        <v>82</v>
      </c>
      <c r="K1" s="41" t="s">
        <v>41</v>
      </c>
      <c r="L1" s="41" t="s">
        <v>83</v>
      </c>
      <c r="M1" s="41" t="s">
        <v>42</v>
      </c>
      <c r="N1" s="41" t="s">
        <v>84</v>
      </c>
      <c r="O1" s="41" t="s">
        <v>85</v>
      </c>
      <c r="P1" s="41" t="s">
        <v>43</v>
      </c>
      <c r="Q1" s="41" t="s">
        <v>86</v>
      </c>
      <c r="R1" s="41" t="s">
        <v>87</v>
      </c>
      <c r="S1" s="41" t="s">
        <v>44</v>
      </c>
      <c r="T1" s="44" t="s">
        <v>92</v>
      </c>
      <c r="U1" s="44" t="s">
        <v>93</v>
      </c>
    </row>
    <row r="2" spans="1:26" x14ac:dyDescent="0.2">
      <c r="A2" s="39">
        <v>2015</v>
      </c>
      <c r="B2" s="37" t="s">
        <v>205</v>
      </c>
      <c r="C2" s="55">
        <v>18409</v>
      </c>
      <c r="D2" s="37">
        <v>37</v>
      </c>
      <c r="E2" s="38">
        <v>42262</v>
      </c>
      <c r="F2" s="37" t="s">
        <v>206</v>
      </c>
      <c r="G2" s="37" t="s">
        <v>46</v>
      </c>
      <c r="H2" s="37" t="s">
        <v>153</v>
      </c>
      <c r="I2" s="37" t="s">
        <v>61</v>
      </c>
      <c r="J2" s="37" t="s">
        <v>108</v>
      </c>
      <c r="K2" s="37" t="s">
        <v>207</v>
      </c>
      <c r="L2" s="37" t="s">
        <v>5</v>
      </c>
      <c r="M2" s="37" t="s">
        <v>208</v>
      </c>
      <c r="N2" s="37">
        <v>0</v>
      </c>
      <c r="O2" s="37">
        <v>28</v>
      </c>
      <c r="P2" s="37">
        <v>28</v>
      </c>
      <c r="Q2" s="37">
        <v>0</v>
      </c>
      <c r="R2" s="37" t="s">
        <v>266</v>
      </c>
      <c r="T2" s="37" t="s">
        <v>269</v>
      </c>
      <c r="U2" s="37" t="s">
        <v>274</v>
      </c>
    </row>
    <row r="3" spans="1:26" x14ac:dyDescent="0.2">
      <c r="A3" s="39">
        <v>2015</v>
      </c>
      <c r="B3" s="37" t="s">
        <v>209</v>
      </c>
      <c r="C3" s="55">
        <v>18410</v>
      </c>
      <c r="D3" s="37">
        <v>37</v>
      </c>
      <c r="E3" s="38">
        <v>42262</v>
      </c>
      <c r="F3" s="37" t="s">
        <v>206</v>
      </c>
      <c r="G3" s="37" t="s">
        <v>46</v>
      </c>
      <c r="H3" s="37" t="s">
        <v>176</v>
      </c>
      <c r="I3" s="37" t="s">
        <v>61</v>
      </c>
      <c r="J3" s="37" t="s">
        <v>108</v>
      </c>
      <c r="K3" s="37" t="s">
        <v>207</v>
      </c>
      <c r="L3" s="37" t="s">
        <v>6</v>
      </c>
      <c r="M3" s="37" t="s">
        <v>208</v>
      </c>
      <c r="N3" s="37">
        <v>0</v>
      </c>
      <c r="O3" s="37">
        <v>2</v>
      </c>
      <c r="P3" s="37">
        <v>2</v>
      </c>
      <c r="Q3" s="37">
        <v>0</v>
      </c>
      <c r="R3" s="37" t="s">
        <v>266</v>
      </c>
      <c r="T3" s="37" t="s">
        <v>270</v>
      </c>
      <c r="U3" s="37" t="s">
        <v>277</v>
      </c>
    </row>
    <row r="4" spans="1:26" x14ac:dyDescent="0.2">
      <c r="A4" s="39">
        <v>2015</v>
      </c>
      <c r="B4" s="37" t="s">
        <v>210</v>
      </c>
      <c r="C4" s="55">
        <v>18411</v>
      </c>
      <c r="D4" s="37">
        <v>37</v>
      </c>
      <c r="E4" s="38">
        <v>42262</v>
      </c>
      <c r="F4" s="37" t="s">
        <v>206</v>
      </c>
      <c r="G4" s="37" t="s">
        <v>46</v>
      </c>
      <c r="H4" s="37" t="s">
        <v>176</v>
      </c>
      <c r="I4" s="37" t="s">
        <v>61</v>
      </c>
      <c r="J4" s="37" t="s">
        <v>108</v>
      </c>
      <c r="K4" s="37" t="s">
        <v>207</v>
      </c>
      <c r="L4" s="37" t="s">
        <v>5</v>
      </c>
      <c r="M4" s="37" t="s">
        <v>208</v>
      </c>
      <c r="N4" s="37">
        <v>0</v>
      </c>
      <c r="O4" s="37">
        <v>1</v>
      </c>
      <c r="P4" s="37">
        <v>1</v>
      </c>
      <c r="Q4" s="37">
        <v>0</v>
      </c>
      <c r="R4" s="37" t="s">
        <v>266</v>
      </c>
      <c r="T4" s="37" t="s">
        <v>269</v>
      </c>
      <c r="U4" s="37" t="s">
        <v>274</v>
      </c>
    </row>
    <row r="5" spans="1:26" x14ac:dyDescent="0.2">
      <c r="A5" s="39">
        <v>2015</v>
      </c>
      <c r="B5" s="37" t="s">
        <v>211</v>
      </c>
      <c r="C5" s="55">
        <v>18412</v>
      </c>
      <c r="D5" s="37">
        <v>37</v>
      </c>
      <c r="E5" s="38">
        <v>42262</v>
      </c>
      <c r="F5" s="37" t="s">
        <v>206</v>
      </c>
      <c r="G5" s="37" t="s">
        <v>46</v>
      </c>
      <c r="H5" s="37" t="s">
        <v>140</v>
      </c>
      <c r="I5" s="37" t="s">
        <v>61</v>
      </c>
      <c r="J5" s="37" t="s">
        <v>108</v>
      </c>
      <c r="K5" s="37" t="s">
        <v>207</v>
      </c>
      <c r="L5" s="37" t="s">
        <v>5</v>
      </c>
      <c r="M5" s="37" t="s">
        <v>208</v>
      </c>
      <c r="N5" s="37">
        <v>0</v>
      </c>
      <c r="O5" s="37">
        <v>2</v>
      </c>
      <c r="P5" s="37">
        <v>2</v>
      </c>
      <c r="Q5" s="37">
        <v>0</v>
      </c>
      <c r="R5" s="37" t="s">
        <v>266</v>
      </c>
      <c r="T5" s="37" t="s">
        <v>269</v>
      </c>
      <c r="U5" s="37" t="s">
        <v>274</v>
      </c>
    </row>
    <row r="6" spans="1:26" x14ac:dyDescent="0.2">
      <c r="A6" s="39">
        <v>2015</v>
      </c>
      <c r="B6" s="37" t="s">
        <v>212</v>
      </c>
      <c r="C6" s="55">
        <v>18413</v>
      </c>
      <c r="D6" s="37">
        <v>37</v>
      </c>
      <c r="E6" s="38">
        <v>42262</v>
      </c>
      <c r="F6" s="37" t="s">
        <v>206</v>
      </c>
      <c r="G6" s="37" t="s">
        <v>46</v>
      </c>
      <c r="H6" s="37" t="s">
        <v>147</v>
      </c>
      <c r="I6" s="37" t="s">
        <v>61</v>
      </c>
      <c r="J6" s="37" t="s">
        <v>108</v>
      </c>
      <c r="K6" s="37" t="s">
        <v>207</v>
      </c>
      <c r="L6" s="37" t="s">
        <v>5</v>
      </c>
      <c r="M6" s="37" t="s">
        <v>208</v>
      </c>
      <c r="N6" s="37">
        <v>0</v>
      </c>
      <c r="O6" s="37">
        <v>1</v>
      </c>
      <c r="P6" s="37">
        <v>1</v>
      </c>
      <c r="Q6" s="37">
        <v>0</v>
      </c>
      <c r="R6" s="37" t="s">
        <v>266</v>
      </c>
      <c r="T6" s="37" t="s">
        <v>269</v>
      </c>
      <c r="U6" s="37" t="s">
        <v>274</v>
      </c>
    </row>
    <row r="7" spans="1:26" x14ac:dyDescent="0.2">
      <c r="A7" s="39">
        <v>2015</v>
      </c>
      <c r="B7" s="37" t="s">
        <v>213</v>
      </c>
      <c r="C7" s="55">
        <v>18414</v>
      </c>
      <c r="D7" s="37">
        <v>37</v>
      </c>
      <c r="E7" s="38">
        <v>42262</v>
      </c>
      <c r="F7" s="37" t="s">
        <v>206</v>
      </c>
      <c r="G7" s="37" t="s">
        <v>46</v>
      </c>
      <c r="H7" s="37" t="s">
        <v>198</v>
      </c>
      <c r="I7" s="37" t="s">
        <v>61</v>
      </c>
      <c r="J7" s="37" t="s">
        <v>129</v>
      </c>
      <c r="K7" s="37" t="s">
        <v>207</v>
      </c>
      <c r="L7" s="37" t="s">
        <v>5</v>
      </c>
      <c r="M7" s="37" t="s">
        <v>208</v>
      </c>
      <c r="N7" s="37">
        <v>43</v>
      </c>
      <c r="O7" s="37">
        <v>0</v>
      </c>
      <c r="P7" s="37">
        <v>43</v>
      </c>
      <c r="Q7" s="37">
        <v>0</v>
      </c>
      <c r="R7" s="37" t="s">
        <v>266</v>
      </c>
      <c r="T7" s="37" t="s">
        <v>269</v>
      </c>
      <c r="U7" s="37" t="s">
        <v>274</v>
      </c>
    </row>
    <row r="8" spans="1:26" x14ac:dyDescent="0.2">
      <c r="A8" s="39">
        <v>2015</v>
      </c>
      <c r="B8" s="37" t="s">
        <v>214</v>
      </c>
      <c r="C8" s="55">
        <v>18415</v>
      </c>
      <c r="D8" s="37">
        <v>37</v>
      </c>
      <c r="E8" s="38">
        <v>42262</v>
      </c>
      <c r="F8" s="37" t="s">
        <v>206</v>
      </c>
      <c r="G8" s="37" t="s">
        <v>46</v>
      </c>
      <c r="H8" s="37" t="s">
        <v>193</v>
      </c>
      <c r="I8" s="37" t="s">
        <v>61</v>
      </c>
      <c r="J8" s="37" t="s">
        <v>108</v>
      </c>
      <c r="K8" s="37" t="s">
        <v>207</v>
      </c>
      <c r="L8" s="37" t="s">
        <v>5</v>
      </c>
      <c r="M8" s="37" t="s">
        <v>208</v>
      </c>
      <c r="N8" s="37">
        <v>0</v>
      </c>
      <c r="O8" s="37">
        <v>1</v>
      </c>
      <c r="P8" s="37">
        <v>1</v>
      </c>
      <c r="Q8" s="37">
        <v>0</v>
      </c>
      <c r="R8" s="37" t="s">
        <v>266</v>
      </c>
      <c r="T8" s="37" t="s">
        <v>269</v>
      </c>
      <c r="U8" s="37" t="s">
        <v>274</v>
      </c>
    </row>
    <row r="9" spans="1:26" x14ac:dyDescent="0.2">
      <c r="A9" s="39">
        <v>2015</v>
      </c>
      <c r="B9" s="37" t="s">
        <v>215</v>
      </c>
      <c r="C9" s="55">
        <v>18416</v>
      </c>
      <c r="D9" s="37">
        <v>37</v>
      </c>
      <c r="E9" s="38">
        <v>42262</v>
      </c>
      <c r="F9" s="37" t="s">
        <v>206</v>
      </c>
      <c r="G9" s="37" t="s">
        <v>46</v>
      </c>
      <c r="H9" s="37" t="s">
        <v>197</v>
      </c>
      <c r="I9" s="37" t="s">
        <v>61</v>
      </c>
      <c r="J9" s="37" t="s">
        <v>129</v>
      </c>
      <c r="K9" s="37" t="s">
        <v>207</v>
      </c>
      <c r="L9" s="37" t="s">
        <v>5</v>
      </c>
      <c r="M9" s="37" t="s">
        <v>208</v>
      </c>
      <c r="N9" s="37">
        <v>50</v>
      </c>
      <c r="O9" s="37">
        <v>0</v>
      </c>
      <c r="P9" s="37">
        <v>50</v>
      </c>
      <c r="Q9" s="37">
        <v>0</v>
      </c>
      <c r="R9" s="37" t="s">
        <v>266</v>
      </c>
      <c r="T9" s="37" t="s">
        <v>269</v>
      </c>
      <c r="U9" s="37" t="s">
        <v>274</v>
      </c>
    </row>
    <row r="10" spans="1:26" x14ac:dyDescent="0.2">
      <c r="A10" s="39">
        <v>2015</v>
      </c>
      <c r="B10" s="37" t="s">
        <v>216</v>
      </c>
      <c r="C10" s="55">
        <v>18417</v>
      </c>
      <c r="D10" s="37">
        <v>37</v>
      </c>
      <c r="E10" s="38">
        <v>42262</v>
      </c>
      <c r="F10" s="37" t="s">
        <v>206</v>
      </c>
      <c r="G10" s="37" t="s">
        <v>46</v>
      </c>
      <c r="H10" s="37" t="s">
        <v>197</v>
      </c>
      <c r="I10" s="37" t="s">
        <v>61</v>
      </c>
      <c r="J10" s="37" t="s">
        <v>129</v>
      </c>
      <c r="K10" s="37" t="s">
        <v>207</v>
      </c>
      <c r="L10" s="37" t="s">
        <v>5</v>
      </c>
      <c r="M10" s="37" t="s">
        <v>208</v>
      </c>
      <c r="N10" s="37">
        <v>38</v>
      </c>
      <c r="O10" s="37">
        <v>0</v>
      </c>
      <c r="P10" s="37">
        <v>38</v>
      </c>
      <c r="Q10" s="37">
        <v>0</v>
      </c>
      <c r="R10" s="37" t="s">
        <v>266</v>
      </c>
      <c r="T10" s="37" t="s">
        <v>269</v>
      </c>
      <c r="U10" s="37" t="s">
        <v>274</v>
      </c>
    </row>
    <row r="11" spans="1:26" x14ac:dyDescent="0.2">
      <c r="A11" s="39">
        <v>2015</v>
      </c>
      <c r="B11" s="37" t="s">
        <v>217</v>
      </c>
      <c r="C11" s="55">
        <v>18418</v>
      </c>
      <c r="D11" s="37">
        <v>37</v>
      </c>
      <c r="E11" s="38">
        <v>42262</v>
      </c>
      <c r="F11" s="37" t="s">
        <v>206</v>
      </c>
      <c r="G11" s="37" t="s">
        <v>46</v>
      </c>
      <c r="H11" s="37" t="s">
        <v>195</v>
      </c>
      <c r="I11" s="37" t="s">
        <v>61</v>
      </c>
      <c r="J11" s="37" t="s">
        <v>108</v>
      </c>
      <c r="K11" s="37" t="s">
        <v>207</v>
      </c>
      <c r="L11" s="37" t="s">
        <v>6</v>
      </c>
      <c r="M11" s="37" t="s">
        <v>208</v>
      </c>
      <c r="N11" s="37">
        <v>0</v>
      </c>
      <c r="O11" s="37">
        <v>1</v>
      </c>
      <c r="P11" s="37">
        <v>1</v>
      </c>
      <c r="Q11" s="37">
        <v>0</v>
      </c>
      <c r="R11" s="37" t="s">
        <v>266</v>
      </c>
      <c r="T11" s="37" t="s">
        <v>270</v>
      </c>
      <c r="U11" s="37" t="s">
        <v>277</v>
      </c>
    </row>
    <row r="12" spans="1:26" x14ac:dyDescent="0.2">
      <c r="A12" s="39">
        <v>2015</v>
      </c>
      <c r="B12" s="37" t="s">
        <v>218</v>
      </c>
      <c r="C12" s="55">
        <v>18419</v>
      </c>
      <c r="D12" s="37">
        <v>37</v>
      </c>
      <c r="E12" s="38">
        <v>42262</v>
      </c>
      <c r="F12" s="37" t="s">
        <v>206</v>
      </c>
      <c r="G12" s="37" t="s">
        <v>46</v>
      </c>
      <c r="H12" s="37" t="s">
        <v>195</v>
      </c>
      <c r="I12" s="37" t="s">
        <v>61</v>
      </c>
      <c r="J12" s="37" t="s">
        <v>108</v>
      </c>
      <c r="K12" s="37" t="s">
        <v>207</v>
      </c>
      <c r="L12" s="37" t="s">
        <v>5</v>
      </c>
      <c r="M12" s="37" t="s">
        <v>208</v>
      </c>
      <c r="N12" s="37">
        <v>0</v>
      </c>
      <c r="O12" s="37">
        <v>16</v>
      </c>
      <c r="P12" s="37">
        <v>16</v>
      </c>
      <c r="Q12" s="37">
        <v>0</v>
      </c>
      <c r="R12" s="37" t="s">
        <v>266</v>
      </c>
      <c r="T12" s="37" t="s">
        <v>269</v>
      </c>
      <c r="U12" s="37" t="s">
        <v>274</v>
      </c>
    </row>
    <row r="13" spans="1:26" x14ac:dyDescent="0.2">
      <c r="A13" s="39">
        <v>2015</v>
      </c>
      <c r="B13" s="37" t="s">
        <v>219</v>
      </c>
      <c r="C13" s="55">
        <v>18420</v>
      </c>
      <c r="D13" s="37">
        <v>37</v>
      </c>
      <c r="E13" s="38">
        <v>42262</v>
      </c>
      <c r="F13" s="37" t="s">
        <v>206</v>
      </c>
      <c r="G13" s="37" t="s">
        <v>46</v>
      </c>
      <c r="H13" s="37" t="s">
        <v>165</v>
      </c>
      <c r="I13" s="37" t="s">
        <v>61</v>
      </c>
      <c r="J13" s="37" t="s">
        <v>108</v>
      </c>
      <c r="K13" s="37" t="s">
        <v>207</v>
      </c>
      <c r="L13" s="37" t="s">
        <v>5</v>
      </c>
      <c r="M13" s="37" t="s">
        <v>208</v>
      </c>
      <c r="N13" s="37">
        <v>0</v>
      </c>
      <c r="O13" s="37">
        <v>29</v>
      </c>
      <c r="P13" s="37">
        <v>29</v>
      </c>
      <c r="Q13" s="37">
        <v>0</v>
      </c>
      <c r="R13" s="37" t="s">
        <v>266</v>
      </c>
      <c r="T13" s="37" t="s">
        <v>269</v>
      </c>
      <c r="U13" s="37" t="s">
        <v>274</v>
      </c>
    </row>
    <row r="14" spans="1:26" x14ac:dyDescent="0.2">
      <c r="A14" s="39">
        <v>2015</v>
      </c>
      <c r="B14" s="37" t="s">
        <v>220</v>
      </c>
      <c r="C14" s="55">
        <v>18421</v>
      </c>
      <c r="D14" s="37">
        <v>37</v>
      </c>
      <c r="E14" s="38">
        <v>42262</v>
      </c>
      <c r="F14" s="37" t="s">
        <v>206</v>
      </c>
      <c r="G14" s="37" t="s">
        <v>46</v>
      </c>
      <c r="H14" s="37" t="s">
        <v>124</v>
      </c>
      <c r="I14" s="37" t="s">
        <v>61</v>
      </c>
      <c r="J14" s="37" t="s">
        <v>108</v>
      </c>
      <c r="K14" s="37" t="s">
        <v>207</v>
      </c>
      <c r="L14" s="37" t="s">
        <v>6</v>
      </c>
      <c r="M14" s="37" t="s">
        <v>208</v>
      </c>
      <c r="N14" s="37">
        <v>0</v>
      </c>
      <c r="O14" s="37">
        <v>1</v>
      </c>
      <c r="P14" s="37">
        <v>1</v>
      </c>
      <c r="Q14" s="37">
        <v>0</v>
      </c>
      <c r="R14" s="37" t="s">
        <v>266</v>
      </c>
      <c r="T14" s="37" t="s">
        <v>270</v>
      </c>
      <c r="U14" s="37" t="s">
        <v>277</v>
      </c>
    </row>
    <row r="15" spans="1:26" x14ac:dyDescent="0.2">
      <c r="A15" s="39">
        <v>2015</v>
      </c>
      <c r="B15" s="37" t="s">
        <v>221</v>
      </c>
      <c r="C15" s="55">
        <v>18422</v>
      </c>
      <c r="D15" s="37">
        <v>37</v>
      </c>
      <c r="E15" s="38">
        <v>42262</v>
      </c>
      <c r="F15" s="37" t="s">
        <v>206</v>
      </c>
      <c r="G15" s="37" t="s">
        <v>46</v>
      </c>
      <c r="H15" s="37" t="s">
        <v>124</v>
      </c>
      <c r="I15" s="37" t="s">
        <v>61</v>
      </c>
      <c r="J15" s="37" t="s">
        <v>108</v>
      </c>
      <c r="K15" s="37" t="s">
        <v>207</v>
      </c>
      <c r="L15" s="37" t="s">
        <v>5</v>
      </c>
      <c r="M15" s="37" t="s">
        <v>208</v>
      </c>
      <c r="N15" s="37">
        <v>0</v>
      </c>
      <c r="O15" s="37">
        <v>12</v>
      </c>
      <c r="P15" s="37">
        <v>12</v>
      </c>
      <c r="Q15" s="37">
        <v>0</v>
      </c>
      <c r="R15" s="37" t="s">
        <v>266</v>
      </c>
      <c r="T15" s="37" t="s">
        <v>269</v>
      </c>
      <c r="U15" s="37" t="s">
        <v>274</v>
      </c>
      <c r="Y15" s="70"/>
      <c r="Z15" s="70"/>
    </row>
    <row r="16" spans="1:26" x14ac:dyDescent="0.2">
      <c r="A16" s="39">
        <v>2015</v>
      </c>
      <c r="B16" s="37" t="s">
        <v>222</v>
      </c>
      <c r="C16" s="55">
        <v>18423</v>
      </c>
      <c r="D16" s="37">
        <v>37</v>
      </c>
      <c r="E16" s="38">
        <v>42262</v>
      </c>
      <c r="F16" s="37" t="s">
        <v>206</v>
      </c>
      <c r="G16" s="37" t="s">
        <v>46</v>
      </c>
      <c r="H16" s="37" t="s">
        <v>142</v>
      </c>
      <c r="I16" s="37" t="s">
        <v>60</v>
      </c>
      <c r="J16" s="37" t="s">
        <v>108</v>
      </c>
      <c r="K16" s="37" t="s">
        <v>207</v>
      </c>
      <c r="L16" s="37" t="s">
        <v>5</v>
      </c>
      <c r="M16" s="37" t="s">
        <v>208</v>
      </c>
      <c r="N16" s="37">
        <v>0</v>
      </c>
      <c r="O16" s="37">
        <v>12</v>
      </c>
      <c r="P16" s="37">
        <v>12</v>
      </c>
      <c r="Q16" s="37">
        <v>0</v>
      </c>
      <c r="R16" s="37" t="s">
        <v>266</v>
      </c>
      <c r="T16" s="37" t="s">
        <v>269</v>
      </c>
      <c r="U16" s="37" t="s">
        <v>271</v>
      </c>
    </row>
    <row r="17" spans="1:21" x14ac:dyDescent="0.2">
      <c r="A17" s="39">
        <v>2015</v>
      </c>
      <c r="B17" s="37" t="s">
        <v>223</v>
      </c>
      <c r="C17" s="55">
        <v>18424</v>
      </c>
      <c r="D17" s="37">
        <v>37</v>
      </c>
      <c r="E17" s="38">
        <v>42262</v>
      </c>
      <c r="F17" s="37" t="s">
        <v>206</v>
      </c>
      <c r="G17" s="37" t="s">
        <v>46</v>
      </c>
      <c r="H17" s="37" t="s">
        <v>138</v>
      </c>
      <c r="I17" s="37" t="s">
        <v>60</v>
      </c>
      <c r="J17" s="37" t="s">
        <v>108</v>
      </c>
      <c r="K17" s="37" t="s">
        <v>207</v>
      </c>
      <c r="L17" s="37" t="s">
        <v>6</v>
      </c>
      <c r="M17" s="37" t="s">
        <v>208</v>
      </c>
      <c r="N17" s="37">
        <v>0</v>
      </c>
      <c r="O17" s="37">
        <v>2</v>
      </c>
      <c r="P17" s="37">
        <v>2</v>
      </c>
      <c r="Q17" s="37">
        <v>0</v>
      </c>
      <c r="R17" s="37" t="s">
        <v>266</v>
      </c>
      <c r="T17" s="37" t="s">
        <v>270</v>
      </c>
      <c r="U17" s="37" t="s">
        <v>272</v>
      </c>
    </row>
    <row r="18" spans="1:21" x14ac:dyDescent="0.2">
      <c r="A18" s="39">
        <v>2015</v>
      </c>
      <c r="B18" s="37" t="s">
        <v>224</v>
      </c>
      <c r="C18" s="55">
        <v>18425</v>
      </c>
      <c r="D18" s="37">
        <v>37</v>
      </c>
      <c r="E18" s="38">
        <v>42262</v>
      </c>
      <c r="F18" s="37" t="s">
        <v>206</v>
      </c>
      <c r="G18" s="37" t="s">
        <v>46</v>
      </c>
      <c r="H18" s="37" t="s">
        <v>138</v>
      </c>
      <c r="I18" s="37" t="s">
        <v>60</v>
      </c>
      <c r="J18" s="37" t="s">
        <v>108</v>
      </c>
      <c r="K18" s="37" t="s">
        <v>207</v>
      </c>
      <c r="L18" s="37" t="s">
        <v>5</v>
      </c>
      <c r="M18" s="37" t="s">
        <v>208</v>
      </c>
      <c r="N18" s="37">
        <v>0</v>
      </c>
      <c r="O18" s="37">
        <v>15</v>
      </c>
      <c r="P18" s="37">
        <v>15</v>
      </c>
      <c r="Q18" s="37">
        <v>0</v>
      </c>
      <c r="R18" s="37" t="s">
        <v>266</v>
      </c>
      <c r="T18" s="37" t="s">
        <v>269</v>
      </c>
      <c r="U18" s="37" t="s">
        <v>271</v>
      </c>
    </row>
    <row r="19" spans="1:21" x14ac:dyDescent="0.2">
      <c r="A19" s="39">
        <v>2015</v>
      </c>
      <c r="B19" s="37" t="s">
        <v>225</v>
      </c>
      <c r="C19" s="55">
        <v>18426</v>
      </c>
      <c r="D19" s="37">
        <v>37</v>
      </c>
      <c r="E19" s="38">
        <v>42262</v>
      </c>
      <c r="F19" s="37" t="s">
        <v>206</v>
      </c>
      <c r="G19" s="37" t="s">
        <v>46</v>
      </c>
      <c r="H19" s="37" t="s">
        <v>185</v>
      </c>
      <c r="I19" s="37" t="s">
        <v>60</v>
      </c>
      <c r="J19" s="37" t="s">
        <v>108</v>
      </c>
      <c r="K19" s="37" t="s">
        <v>207</v>
      </c>
      <c r="L19" s="37" t="s">
        <v>6</v>
      </c>
      <c r="M19" s="37" t="s">
        <v>208</v>
      </c>
      <c r="N19" s="37">
        <v>0</v>
      </c>
      <c r="O19" s="37">
        <v>1</v>
      </c>
      <c r="P19" s="37">
        <v>1</v>
      </c>
      <c r="Q19" s="37">
        <v>0</v>
      </c>
      <c r="R19" s="37" t="s">
        <v>266</v>
      </c>
      <c r="T19" s="37" t="s">
        <v>270</v>
      </c>
      <c r="U19" s="37" t="s">
        <v>272</v>
      </c>
    </row>
    <row r="20" spans="1:21" x14ac:dyDescent="0.2">
      <c r="A20" s="39">
        <v>2015</v>
      </c>
      <c r="B20" s="37" t="s">
        <v>226</v>
      </c>
      <c r="C20" s="55">
        <v>18427</v>
      </c>
      <c r="D20" s="37">
        <v>37</v>
      </c>
      <c r="E20" s="38">
        <v>42262</v>
      </c>
      <c r="F20" s="37" t="s">
        <v>206</v>
      </c>
      <c r="G20" s="37" t="s">
        <v>46</v>
      </c>
      <c r="H20" s="37" t="s">
        <v>185</v>
      </c>
      <c r="I20" s="37" t="s">
        <v>60</v>
      </c>
      <c r="J20" s="37" t="s">
        <v>108</v>
      </c>
      <c r="K20" s="37" t="s">
        <v>207</v>
      </c>
      <c r="L20" s="37" t="s">
        <v>5</v>
      </c>
      <c r="M20" s="37" t="s">
        <v>208</v>
      </c>
      <c r="N20" s="37">
        <v>0</v>
      </c>
      <c r="O20" s="37">
        <v>1</v>
      </c>
      <c r="P20" s="37">
        <v>1</v>
      </c>
      <c r="Q20" s="37">
        <v>0</v>
      </c>
      <c r="R20" s="37" t="s">
        <v>266</v>
      </c>
      <c r="T20" s="37" t="s">
        <v>269</v>
      </c>
      <c r="U20" s="37" t="s">
        <v>271</v>
      </c>
    </row>
    <row r="21" spans="1:21" x14ac:dyDescent="0.2">
      <c r="A21" s="39">
        <v>2015</v>
      </c>
      <c r="B21" s="37" t="s">
        <v>227</v>
      </c>
      <c r="C21" s="55">
        <v>18428</v>
      </c>
      <c r="D21" s="37">
        <v>37</v>
      </c>
      <c r="E21" s="38">
        <v>42262</v>
      </c>
      <c r="F21" s="37" t="s">
        <v>206</v>
      </c>
      <c r="G21" s="37" t="s">
        <v>46</v>
      </c>
      <c r="H21" s="37" t="s">
        <v>132</v>
      </c>
      <c r="I21" s="37" t="s">
        <v>60</v>
      </c>
      <c r="J21" s="37" t="s">
        <v>108</v>
      </c>
      <c r="K21" s="37" t="s">
        <v>207</v>
      </c>
      <c r="L21" s="37" t="s">
        <v>6</v>
      </c>
      <c r="M21" s="37" t="s">
        <v>208</v>
      </c>
      <c r="N21" s="37">
        <v>0</v>
      </c>
      <c r="O21" s="37">
        <v>1</v>
      </c>
      <c r="P21" s="37">
        <v>1</v>
      </c>
      <c r="Q21" s="37">
        <v>0</v>
      </c>
      <c r="R21" s="37" t="s">
        <v>266</v>
      </c>
      <c r="T21" s="37" t="s">
        <v>270</v>
      </c>
      <c r="U21" s="37" t="s">
        <v>272</v>
      </c>
    </row>
    <row r="22" spans="1:21" x14ac:dyDescent="0.2">
      <c r="A22" s="39">
        <v>2015</v>
      </c>
      <c r="B22" s="37" t="s">
        <v>228</v>
      </c>
      <c r="C22" s="55">
        <v>18429</v>
      </c>
      <c r="D22" s="37">
        <v>37</v>
      </c>
      <c r="E22" s="38">
        <v>42262</v>
      </c>
      <c r="F22" s="37" t="s">
        <v>206</v>
      </c>
      <c r="G22" s="37" t="s">
        <v>46</v>
      </c>
      <c r="H22" s="37" t="s">
        <v>132</v>
      </c>
      <c r="I22" s="37" t="s">
        <v>60</v>
      </c>
      <c r="J22" s="37" t="s">
        <v>108</v>
      </c>
      <c r="K22" s="37" t="s">
        <v>207</v>
      </c>
      <c r="L22" s="37" t="s">
        <v>5</v>
      </c>
      <c r="M22" s="37" t="s">
        <v>208</v>
      </c>
      <c r="N22" s="37">
        <v>0</v>
      </c>
      <c r="O22" s="37">
        <v>3</v>
      </c>
      <c r="P22" s="37">
        <v>3</v>
      </c>
      <c r="Q22" s="37">
        <v>0</v>
      </c>
      <c r="R22" s="37" t="s">
        <v>266</v>
      </c>
      <c r="T22" s="37" t="s">
        <v>269</v>
      </c>
      <c r="U22" s="37" t="s">
        <v>271</v>
      </c>
    </row>
    <row r="23" spans="1:21" x14ac:dyDescent="0.2">
      <c r="A23" s="39">
        <v>2015</v>
      </c>
      <c r="B23" s="37" t="s">
        <v>229</v>
      </c>
      <c r="C23" s="55">
        <v>18430</v>
      </c>
      <c r="D23" s="37">
        <v>37</v>
      </c>
      <c r="E23" s="38">
        <v>42262</v>
      </c>
      <c r="F23" s="37" t="s">
        <v>206</v>
      </c>
      <c r="G23" s="37" t="s">
        <v>46</v>
      </c>
      <c r="H23" s="37" t="s">
        <v>134</v>
      </c>
      <c r="I23" s="37" t="s">
        <v>59</v>
      </c>
      <c r="J23" s="37" t="s">
        <v>108</v>
      </c>
      <c r="K23" s="37" t="s">
        <v>207</v>
      </c>
      <c r="L23" s="37" t="s">
        <v>6</v>
      </c>
      <c r="M23" s="37" t="s">
        <v>208</v>
      </c>
      <c r="N23" s="37">
        <v>0</v>
      </c>
      <c r="O23" s="37">
        <v>1</v>
      </c>
      <c r="P23" s="37">
        <v>1</v>
      </c>
      <c r="Q23" s="37">
        <v>0</v>
      </c>
      <c r="R23" s="37" t="s">
        <v>266</v>
      </c>
      <c r="T23" s="37" t="s">
        <v>270</v>
      </c>
      <c r="U23" s="37" t="s">
        <v>276</v>
      </c>
    </row>
    <row r="24" spans="1:21" x14ac:dyDescent="0.2">
      <c r="A24" s="39">
        <v>2015</v>
      </c>
      <c r="B24" s="37" t="s">
        <v>230</v>
      </c>
      <c r="C24" s="55">
        <v>18431</v>
      </c>
      <c r="D24" s="37">
        <v>37</v>
      </c>
      <c r="E24" s="38">
        <v>42262</v>
      </c>
      <c r="F24" s="37" t="s">
        <v>206</v>
      </c>
      <c r="G24" s="37" t="s">
        <v>46</v>
      </c>
      <c r="H24" s="37" t="s">
        <v>134</v>
      </c>
      <c r="I24" s="37" t="s">
        <v>59</v>
      </c>
      <c r="J24" s="37" t="s">
        <v>108</v>
      </c>
      <c r="K24" s="37" t="s">
        <v>207</v>
      </c>
      <c r="L24" s="37" t="s">
        <v>5</v>
      </c>
      <c r="M24" s="37" t="s">
        <v>208</v>
      </c>
      <c r="N24" s="37">
        <v>0</v>
      </c>
      <c r="O24" s="37">
        <v>4</v>
      </c>
      <c r="P24" s="37">
        <v>4</v>
      </c>
      <c r="Q24" s="37">
        <v>0</v>
      </c>
      <c r="R24" s="37" t="s">
        <v>266</v>
      </c>
      <c r="T24" s="37" t="s">
        <v>269</v>
      </c>
      <c r="U24" s="37" t="s">
        <v>273</v>
      </c>
    </row>
    <row r="25" spans="1:21" x14ac:dyDescent="0.2">
      <c r="A25" s="39">
        <v>2015</v>
      </c>
      <c r="B25" s="37" t="s">
        <v>231</v>
      </c>
      <c r="C25" s="55">
        <v>18432</v>
      </c>
      <c r="D25" s="37">
        <v>37</v>
      </c>
      <c r="E25" s="38">
        <v>42262</v>
      </c>
      <c r="F25" s="37" t="s">
        <v>206</v>
      </c>
      <c r="G25" s="37" t="s">
        <v>46</v>
      </c>
      <c r="H25" s="37" t="s">
        <v>202</v>
      </c>
      <c r="I25" s="37" t="s">
        <v>60</v>
      </c>
      <c r="J25" s="37" t="s">
        <v>129</v>
      </c>
      <c r="K25" s="37" t="s">
        <v>207</v>
      </c>
      <c r="L25" s="37" t="s">
        <v>5</v>
      </c>
      <c r="M25" s="37" t="s">
        <v>208</v>
      </c>
      <c r="N25" s="37">
        <v>33</v>
      </c>
      <c r="O25" s="37">
        <v>0</v>
      </c>
      <c r="P25" s="37">
        <v>33</v>
      </c>
      <c r="Q25" s="37">
        <v>0</v>
      </c>
      <c r="R25" s="37" t="s">
        <v>266</v>
      </c>
      <c r="T25" s="37" t="s">
        <v>269</v>
      </c>
      <c r="U25" s="37" t="s">
        <v>271</v>
      </c>
    </row>
    <row r="26" spans="1:21" x14ac:dyDescent="0.2">
      <c r="A26" s="39">
        <v>2015</v>
      </c>
      <c r="B26" s="37" t="s">
        <v>232</v>
      </c>
      <c r="C26" s="55">
        <v>18433</v>
      </c>
      <c r="D26" s="37">
        <v>37</v>
      </c>
      <c r="E26" s="38">
        <v>42262</v>
      </c>
      <c r="F26" s="37" t="s">
        <v>206</v>
      </c>
      <c r="G26" s="37" t="s">
        <v>46</v>
      </c>
      <c r="H26" s="37" t="s">
        <v>144</v>
      </c>
      <c r="I26" s="37" t="s">
        <v>60</v>
      </c>
      <c r="J26" s="37" t="s">
        <v>129</v>
      </c>
      <c r="K26" s="37" t="s">
        <v>207</v>
      </c>
      <c r="L26" s="37" t="s">
        <v>5</v>
      </c>
      <c r="M26" s="37" t="s">
        <v>208</v>
      </c>
      <c r="N26" s="37">
        <v>21</v>
      </c>
      <c r="O26" s="37">
        <v>0</v>
      </c>
      <c r="P26" s="37">
        <v>21</v>
      </c>
      <c r="Q26" s="37">
        <v>0</v>
      </c>
      <c r="R26" s="37" t="s">
        <v>266</v>
      </c>
      <c r="T26" s="37" t="s">
        <v>269</v>
      </c>
      <c r="U26" s="37" t="s">
        <v>271</v>
      </c>
    </row>
    <row r="27" spans="1:21" x14ac:dyDescent="0.2">
      <c r="A27" s="39">
        <v>2015</v>
      </c>
      <c r="B27" s="37" t="s">
        <v>233</v>
      </c>
      <c r="C27" s="55">
        <v>18434</v>
      </c>
      <c r="D27" s="37">
        <v>37</v>
      </c>
      <c r="E27" s="38">
        <v>42262</v>
      </c>
      <c r="F27" s="37" t="s">
        <v>206</v>
      </c>
      <c r="G27" s="37" t="s">
        <v>46</v>
      </c>
      <c r="H27" s="37" t="s">
        <v>189</v>
      </c>
      <c r="I27" s="37" t="s">
        <v>60</v>
      </c>
      <c r="J27" s="37" t="s">
        <v>108</v>
      </c>
      <c r="K27" s="37" t="s">
        <v>207</v>
      </c>
      <c r="L27" s="37" t="s">
        <v>6</v>
      </c>
      <c r="M27" s="37" t="s">
        <v>208</v>
      </c>
      <c r="N27" s="37">
        <v>0</v>
      </c>
      <c r="O27" s="37">
        <v>4</v>
      </c>
      <c r="P27" s="37">
        <v>4</v>
      </c>
      <c r="Q27" s="37">
        <v>0</v>
      </c>
      <c r="R27" s="37" t="s">
        <v>266</v>
      </c>
      <c r="T27" s="37" t="s">
        <v>270</v>
      </c>
      <c r="U27" s="37" t="s">
        <v>272</v>
      </c>
    </row>
    <row r="28" spans="1:21" x14ac:dyDescent="0.2">
      <c r="A28" s="39">
        <v>2015</v>
      </c>
      <c r="B28" s="37" t="s">
        <v>234</v>
      </c>
      <c r="C28" s="55">
        <v>18435</v>
      </c>
      <c r="D28" s="37">
        <v>37</v>
      </c>
      <c r="E28" s="38">
        <v>42262</v>
      </c>
      <c r="F28" s="37" t="s">
        <v>206</v>
      </c>
      <c r="G28" s="37" t="s">
        <v>46</v>
      </c>
      <c r="H28" s="37" t="s">
        <v>189</v>
      </c>
      <c r="I28" s="37" t="s">
        <v>60</v>
      </c>
      <c r="J28" s="37" t="s">
        <v>108</v>
      </c>
      <c r="K28" s="37" t="s">
        <v>207</v>
      </c>
      <c r="L28" s="37" t="s">
        <v>5</v>
      </c>
      <c r="M28" s="37" t="s">
        <v>208</v>
      </c>
      <c r="N28" s="37">
        <v>0</v>
      </c>
      <c r="O28" s="37">
        <v>1</v>
      </c>
      <c r="P28" s="37">
        <v>1</v>
      </c>
      <c r="Q28" s="37">
        <v>0</v>
      </c>
      <c r="R28" s="37" t="s">
        <v>266</v>
      </c>
      <c r="T28" s="37" t="s">
        <v>269</v>
      </c>
      <c r="U28" s="37" t="s">
        <v>271</v>
      </c>
    </row>
    <row r="29" spans="1:21" x14ac:dyDescent="0.2">
      <c r="A29" s="39">
        <v>2015</v>
      </c>
      <c r="B29" s="37" t="s">
        <v>235</v>
      </c>
      <c r="C29" s="55">
        <v>18436</v>
      </c>
      <c r="D29" s="37">
        <v>37</v>
      </c>
      <c r="E29" s="38">
        <v>42262</v>
      </c>
      <c r="F29" s="37" t="s">
        <v>206</v>
      </c>
      <c r="G29" s="37" t="s">
        <v>46</v>
      </c>
      <c r="H29" s="37" t="s">
        <v>112</v>
      </c>
      <c r="I29" s="37" t="s">
        <v>60</v>
      </c>
      <c r="J29" s="37" t="s">
        <v>108</v>
      </c>
      <c r="K29" s="37" t="s">
        <v>207</v>
      </c>
      <c r="L29" s="37" t="s">
        <v>6</v>
      </c>
      <c r="M29" s="37" t="s">
        <v>208</v>
      </c>
      <c r="N29" s="37">
        <v>0</v>
      </c>
      <c r="O29" s="37">
        <v>1</v>
      </c>
      <c r="P29" s="37">
        <v>1</v>
      </c>
      <c r="Q29" s="37">
        <v>0</v>
      </c>
      <c r="R29" s="37" t="s">
        <v>266</v>
      </c>
      <c r="T29" s="37" t="s">
        <v>270</v>
      </c>
      <c r="U29" s="37" t="s">
        <v>272</v>
      </c>
    </row>
    <row r="30" spans="1:21" x14ac:dyDescent="0.2">
      <c r="A30" s="39">
        <v>2015</v>
      </c>
      <c r="B30" s="37" t="s">
        <v>236</v>
      </c>
      <c r="C30" s="55">
        <v>18437</v>
      </c>
      <c r="D30" s="37">
        <v>37</v>
      </c>
      <c r="E30" s="38">
        <v>42262</v>
      </c>
      <c r="F30" s="37" t="s">
        <v>206</v>
      </c>
      <c r="G30" s="37" t="s">
        <v>46</v>
      </c>
      <c r="H30" s="37" t="s">
        <v>112</v>
      </c>
      <c r="I30" s="37" t="s">
        <v>60</v>
      </c>
      <c r="J30" s="37" t="s">
        <v>108</v>
      </c>
      <c r="K30" s="37" t="s">
        <v>207</v>
      </c>
      <c r="L30" s="37" t="s">
        <v>5</v>
      </c>
      <c r="M30" s="37" t="s">
        <v>208</v>
      </c>
      <c r="N30" s="37">
        <v>0</v>
      </c>
      <c r="O30" s="37">
        <v>4</v>
      </c>
      <c r="P30" s="37">
        <v>4</v>
      </c>
      <c r="Q30" s="37">
        <v>0</v>
      </c>
      <c r="R30" s="37" t="s">
        <v>266</v>
      </c>
      <c r="T30" s="37" t="s">
        <v>269</v>
      </c>
      <c r="U30" s="37" t="s">
        <v>271</v>
      </c>
    </row>
    <row r="31" spans="1:21" x14ac:dyDescent="0.2">
      <c r="A31" s="39">
        <v>2015</v>
      </c>
      <c r="B31" s="37" t="s">
        <v>237</v>
      </c>
      <c r="C31" s="55">
        <v>18438</v>
      </c>
      <c r="D31" s="37">
        <v>37</v>
      </c>
      <c r="E31" s="38">
        <v>42262</v>
      </c>
      <c r="F31" s="37" t="s">
        <v>206</v>
      </c>
      <c r="G31" s="37" t="s">
        <v>46</v>
      </c>
      <c r="H31" s="37" t="s">
        <v>180</v>
      </c>
      <c r="I31" s="37" t="s">
        <v>60</v>
      </c>
      <c r="J31" s="37" t="s">
        <v>129</v>
      </c>
      <c r="K31" s="37" t="s">
        <v>207</v>
      </c>
      <c r="L31" s="37" t="s">
        <v>5</v>
      </c>
      <c r="M31" s="37" t="s">
        <v>208</v>
      </c>
      <c r="N31" s="37">
        <v>17</v>
      </c>
      <c r="O31" s="37">
        <v>0</v>
      </c>
      <c r="P31" s="37">
        <v>17</v>
      </c>
      <c r="Q31" s="37">
        <v>0</v>
      </c>
      <c r="R31" s="37" t="s">
        <v>266</v>
      </c>
      <c r="T31" s="37" t="s">
        <v>269</v>
      </c>
      <c r="U31" s="37" t="s">
        <v>271</v>
      </c>
    </row>
    <row r="32" spans="1:21" x14ac:dyDescent="0.2">
      <c r="A32" s="39">
        <v>2015</v>
      </c>
      <c r="B32" s="37" t="s">
        <v>238</v>
      </c>
      <c r="C32" s="55">
        <v>18439</v>
      </c>
      <c r="D32" s="37">
        <v>37</v>
      </c>
      <c r="E32" s="38">
        <v>42262</v>
      </c>
      <c r="F32" s="37" t="s">
        <v>206</v>
      </c>
      <c r="G32" s="37" t="s">
        <v>46</v>
      </c>
      <c r="H32" s="37" t="s">
        <v>178</v>
      </c>
      <c r="I32" s="37" t="s">
        <v>60</v>
      </c>
      <c r="J32" s="37" t="s">
        <v>108</v>
      </c>
      <c r="K32" s="37" t="s">
        <v>207</v>
      </c>
      <c r="L32" s="37" t="s">
        <v>6</v>
      </c>
      <c r="M32" s="37" t="s">
        <v>208</v>
      </c>
      <c r="N32" s="37">
        <v>0</v>
      </c>
      <c r="O32" s="37">
        <v>5</v>
      </c>
      <c r="P32" s="37">
        <v>5</v>
      </c>
      <c r="Q32" s="37">
        <v>0</v>
      </c>
      <c r="R32" s="37" t="s">
        <v>266</v>
      </c>
      <c r="T32" s="37" t="s">
        <v>270</v>
      </c>
      <c r="U32" s="37" t="s">
        <v>272</v>
      </c>
    </row>
    <row r="33" spans="1:21" x14ac:dyDescent="0.2">
      <c r="A33" s="56">
        <v>2015</v>
      </c>
      <c r="B33" s="57" t="s">
        <v>239</v>
      </c>
      <c r="C33" s="55">
        <v>18440</v>
      </c>
      <c r="D33" s="57">
        <v>37</v>
      </c>
      <c r="E33" s="58">
        <v>42262</v>
      </c>
      <c r="F33" s="57" t="s">
        <v>206</v>
      </c>
      <c r="G33" s="57" t="s">
        <v>46</v>
      </c>
      <c r="H33" s="57" t="s">
        <v>178</v>
      </c>
      <c r="I33" s="57" t="s">
        <v>60</v>
      </c>
      <c r="J33" s="57" t="s">
        <v>108</v>
      </c>
      <c r="K33" s="57" t="s">
        <v>207</v>
      </c>
      <c r="L33" s="57" t="s">
        <v>5</v>
      </c>
      <c r="M33" s="57" t="s">
        <v>208</v>
      </c>
      <c r="N33" s="57">
        <v>0</v>
      </c>
      <c r="O33" s="57">
        <v>50</v>
      </c>
      <c r="P33" s="57">
        <v>50</v>
      </c>
      <c r="Q33" s="57">
        <v>1</v>
      </c>
      <c r="R33" s="57" t="s">
        <v>265</v>
      </c>
      <c r="S33" s="57"/>
      <c r="T33" s="57" t="s">
        <v>269</v>
      </c>
      <c r="U33" s="57" t="s">
        <v>271</v>
      </c>
    </row>
    <row r="34" spans="1:21" x14ac:dyDescent="0.2">
      <c r="A34" s="39">
        <v>2015</v>
      </c>
      <c r="B34" s="37" t="s">
        <v>240</v>
      </c>
      <c r="C34" s="55">
        <v>18441</v>
      </c>
      <c r="D34" s="37">
        <v>37</v>
      </c>
      <c r="E34" s="38">
        <v>42262</v>
      </c>
      <c r="F34" s="37" t="s">
        <v>206</v>
      </c>
      <c r="G34" s="37" t="s">
        <v>46</v>
      </c>
      <c r="H34" s="37" t="s">
        <v>178</v>
      </c>
      <c r="I34" s="37" t="s">
        <v>60</v>
      </c>
      <c r="J34" s="37" t="s">
        <v>108</v>
      </c>
      <c r="K34" s="37" t="s">
        <v>207</v>
      </c>
      <c r="L34" s="37" t="s">
        <v>5</v>
      </c>
      <c r="M34" s="37" t="s">
        <v>208</v>
      </c>
      <c r="N34" s="37">
        <v>0</v>
      </c>
      <c r="O34" s="37">
        <v>2</v>
      </c>
      <c r="P34" s="37">
        <v>2</v>
      </c>
      <c r="Q34" s="37">
        <v>0</v>
      </c>
      <c r="R34" s="37" t="s">
        <v>266</v>
      </c>
      <c r="T34" s="37" t="s">
        <v>269</v>
      </c>
      <c r="U34" s="37" t="s">
        <v>271</v>
      </c>
    </row>
    <row r="35" spans="1:21" x14ac:dyDescent="0.2">
      <c r="A35" s="39">
        <v>2015</v>
      </c>
      <c r="B35" s="37" t="s">
        <v>241</v>
      </c>
      <c r="C35" s="55">
        <v>18442</v>
      </c>
      <c r="D35" s="37">
        <v>37</v>
      </c>
      <c r="E35" s="38">
        <v>42262</v>
      </c>
      <c r="F35" s="37" t="s">
        <v>206</v>
      </c>
      <c r="G35" s="37" t="s">
        <v>46</v>
      </c>
      <c r="H35" s="37" t="s">
        <v>201</v>
      </c>
      <c r="I35" s="37" t="s">
        <v>60</v>
      </c>
      <c r="J35" s="37" t="s">
        <v>129</v>
      </c>
      <c r="K35" s="37" t="s">
        <v>207</v>
      </c>
      <c r="L35" s="37" t="s">
        <v>6</v>
      </c>
      <c r="M35" s="37" t="s">
        <v>208</v>
      </c>
      <c r="N35" s="37">
        <v>1</v>
      </c>
      <c r="O35" s="37">
        <v>0</v>
      </c>
      <c r="P35" s="37">
        <v>1</v>
      </c>
      <c r="Q35" s="37">
        <v>0</v>
      </c>
      <c r="R35" s="37" t="s">
        <v>266</v>
      </c>
      <c r="T35" s="37" t="s">
        <v>270</v>
      </c>
      <c r="U35" s="37" t="s">
        <v>272</v>
      </c>
    </row>
    <row r="36" spans="1:21" x14ac:dyDescent="0.2">
      <c r="A36" s="39">
        <v>2015</v>
      </c>
      <c r="B36" s="37" t="s">
        <v>242</v>
      </c>
      <c r="C36" s="55">
        <v>18443</v>
      </c>
      <c r="D36" s="37">
        <v>37</v>
      </c>
      <c r="E36" s="38">
        <v>42262</v>
      </c>
      <c r="F36" s="37" t="s">
        <v>206</v>
      </c>
      <c r="G36" s="37" t="s">
        <v>46</v>
      </c>
      <c r="H36" s="37" t="s">
        <v>201</v>
      </c>
      <c r="I36" s="37" t="s">
        <v>60</v>
      </c>
      <c r="J36" s="37" t="s">
        <v>129</v>
      </c>
      <c r="K36" s="37" t="s">
        <v>207</v>
      </c>
      <c r="L36" s="37" t="s">
        <v>5</v>
      </c>
      <c r="M36" s="37" t="s">
        <v>208</v>
      </c>
      <c r="N36" s="37">
        <v>31</v>
      </c>
      <c r="O36" s="37">
        <v>0</v>
      </c>
      <c r="P36" s="37">
        <v>31</v>
      </c>
      <c r="Q36" s="37">
        <v>0</v>
      </c>
      <c r="R36" s="37" t="s">
        <v>266</v>
      </c>
      <c r="T36" s="37" t="s">
        <v>269</v>
      </c>
      <c r="U36" s="37" t="s">
        <v>271</v>
      </c>
    </row>
    <row r="37" spans="1:21" x14ac:dyDescent="0.2">
      <c r="A37" s="39">
        <v>2015</v>
      </c>
      <c r="B37" s="37" t="s">
        <v>243</v>
      </c>
      <c r="C37" s="55">
        <v>18444</v>
      </c>
      <c r="D37" s="37">
        <v>37</v>
      </c>
      <c r="E37" s="38">
        <v>42262</v>
      </c>
      <c r="F37" s="37" t="s">
        <v>206</v>
      </c>
      <c r="G37" s="37" t="s">
        <v>46</v>
      </c>
      <c r="H37" s="37" t="s">
        <v>120</v>
      </c>
      <c r="I37" s="37" t="s">
        <v>60</v>
      </c>
      <c r="J37" s="37" t="s">
        <v>108</v>
      </c>
      <c r="K37" s="37" t="s">
        <v>207</v>
      </c>
      <c r="L37" s="37" t="s">
        <v>6</v>
      </c>
      <c r="M37" s="37" t="s">
        <v>208</v>
      </c>
      <c r="N37" s="37">
        <v>0</v>
      </c>
      <c r="O37" s="37">
        <v>1</v>
      </c>
      <c r="P37" s="37">
        <v>1</v>
      </c>
      <c r="Q37" s="37">
        <v>0</v>
      </c>
      <c r="R37" s="37" t="s">
        <v>266</v>
      </c>
      <c r="T37" s="37" t="s">
        <v>270</v>
      </c>
      <c r="U37" s="37" t="s">
        <v>272</v>
      </c>
    </row>
    <row r="38" spans="1:21" x14ac:dyDescent="0.2">
      <c r="A38" s="39">
        <v>2015</v>
      </c>
      <c r="B38" s="37" t="s">
        <v>244</v>
      </c>
      <c r="C38" s="55">
        <v>18445</v>
      </c>
      <c r="D38" s="37">
        <v>37</v>
      </c>
      <c r="E38" s="38">
        <v>42262</v>
      </c>
      <c r="F38" s="37" t="s">
        <v>206</v>
      </c>
      <c r="G38" s="37" t="s">
        <v>46</v>
      </c>
      <c r="H38" s="37" t="s">
        <v>120</v>
      </c>
      <c r="I38" s="37" t="s">
        <v>60</v>
      </c>
      <c r="J38" s="37" t="s">
        <v>108</v>
      </c>
      <c r="K38" s="37" t="s">
        <v>207</v>
      </c>
      <c r="L38" s="37" t="s">
        <v>5</v>
      </c>
      <c r="M38" s="37" t="s">
        <v>208</v>
      </c>
      <c r="N38" s="37">
        <v>0</v>
      </c>
      <c r="O38" s="37">
        <v>4</v>
      </c>
      <c r="P38" s="37">
        <v>4</v>
      </c>
      <c r="Q38" s="37">
        <v>0</v>
      </c>
      <c r="R38" s="37" t="s">
        <v>266</v>
      </c>
      <c r="T38" s="37" t="s">
        <v>269</v>
      </c>
      <c r="U38" s="37" t="s">
        <v>271</v>
      </c>
    </row>
    <row r="39" spans="1:21" x14ac:dyDescent="0.2">
      <c r="A39" s="39">
        <v>2015</v>
      </c>
      <c r="B39" s="37" t="s">
        <v>245</v>
      </c>
      <c r="C39" s="55">
        <v>18446</v>
      </c>
      <c r="D39" s="37">
        <v>37</v>
      </c>
      <c r="E39" s="38">
        <v>42263</v>
      </c>
      <c r="F39" s="37" t="s">
        <v>206</v>
      </c>
      <c r="G39" s="37" t="s">
        <v>46</v>
      </c>
      <c r="H39" s="37" t="s">
        <v>110</v>
      </c>
      <c r="I39" s="37" t="s">
        <v>61</v>
      </c>
      <c r="J39" s="37" t="s">
        <v>108</v>
      </c>
      <c r="K39" s="37" t="s">
        <v>207</v>
      </c>
      <c r="L39" s="37" t="s">
        <v>5</v>
      </c>
      <c r="M39" s="37" t="s">
        <v>208</v>
      </c>
      <c r="N39" s="37">
        <v>0</v>
      </c>
      <c r="O39" s="37">
        <v>5</v>
      </c>
      <c r="P39" s="37">
        <v>5</v>
      </c>
      <c r="Q39" s="37">
        <v>0</v>
      </c>
      <c r="R39" s="37" t="s">
        <v>266</v>
      </c>
      <c r="T39" s="37" t="s">
        <v>269</v>
      </c>
      <c r="U39" s="37" t="s">
        <v>274</v>
      </c>
    </row>
    <row r="40" spans="1:21" x14ac:dyDescent="0.2">
      <c r="A40" s="39">
        <v>2015</v>
      </c>
      <c r="B40" s="37" t="s">
        <v>246</v>
      </c>
      <c r="C40" s="55">
        <v>18447</v>
      </c>
      <c r="D40" s="37">
        <v>37</v>
      </c>
      <c r="E40" s="38">
        <v>42263</v>
      </c>
      <c r="F40" s="37" t="s">
        <v>206</v>
      </c>
      <c r="G40" s="37" t="s">
        <v>46</v>
      </c>
      <c r="H40" s="37" t="s">
        <v>181</v>
      </c>
      <c r="I40" s="37" t="s">
        <v>60</v>
      </c>
      <c r="J40" s="37" t="s">
        <v>108</v>
      </c>
      <c r="K40" s="37" t="s">
        <v>207</v>
      </c>
      <c r="L40" s="37" t="s">
        <v>6</v>
      </c>
      <c r="M40" s="37" t="s">
        <v>208</v>
      </c>
      <c r="N40" s="37">
        <v>0</v>
      </c>
      <c r="O40" s="37">
        <v>1</v>
      </c>
      <c r="P40" s="37">
        <v>1</v>
      </c>
      <c r="Q40" s="37">
        <v>0</v>
      </c>
      <c r="R40" s="37" t="s">
        <v>266</v>
      </c>
      <c r="T40" s="37" t="s">
        <v>270</v>
      </c>
      <c r="U40" s="37" t="s">
        <v>272</v>
      </c>
    </row>
    <row r="41" spans="1:21" x14ac:dyDescent="0.2">
      <c r="A41" s="69">
        <v>2015</v>
      </c>
      <c r="B41" s="70" t="s">
        <v>247</v>
      </c>
      <c r="C41" s="55">
        <v>18448</v>
      </c>
      <c r="D41" s="70">
        <v>37</v>
      </c>
      <c r="E41" s="71">
        <v>42263</v>
      </c>
      <c r="F41" s="70" t="s">
        <v>206</v>
      </c>
      <c r="G41" s="70" t="s">
        <v>46</v>
      </c>
      <c r="H41" s="70" t="s">
        <v>157</v>
      </c>
      <c r="I41" s="70" t="s">
        <v>61</v>
      </c>
      <c r="J41" s="70" t="s">
        <v>108</v>
      </c>
      <c r="K41" s="70" t="s">
        <v>207</v>
      </c>
      <c r="L41" s="70" t="s">
        <v>5</v>
      </c>
      <c r="M41" s="70" t="s">
        <v>208</v>
      </c>
      <c r="N41" s="70">
        <v>0</v>
      </c>
      <c r="O41" s="70">
        <v>9</v>
      </c>
      <c r="P41" s="70">
        <v>9</v>
      </c>
      <c r="Q41" s="70">
        <v>0</v>
      </c>
      <c r="R41" s="70" t="s">
        <v>266</v>
      </c>
      <c r="S41" s="70"/>
      <c r="T41" s="70" t="s">
        <v>269</v>
      </c>
      <c r="U41" s="70" t="s">
        <v>274</v>
      </c>
    </row>
    <row r="42" spans="1:21" x14ac:dyDescent="0.2">
      <c r="A42" s="39">
        <v>2015</v>
      </c>
      <c r="B42" s="37" t="s">
        <v>248</v>
      </c>
      <c r="C42" s="55">
        <v>18449</v>
      </c>
      <c r="D42" s="37">
        <v>37</v>
      </c>
      <c r="E42" s="38">
        <v>42263</v>
      </c>
      <c r="F42" s="37" t="s">
        <v>206</v>
      </c>
      <c r="G42" s="37" t="s">
        <v>46</v>
      </c>
      <c r="H42" s="37" t="s">
        <v>151</v>
      </c>
      <c r="I42" s="37" t="s">
        <v>62</v>
      </c>
      <c r="J42" s="37" t="s">
        <v>108</v>
      </c>
      <c r="K42" s="37" t="s">
        <v>207</v>
      </c>
      <c r="L42" s="37" t="s">
        <v>6</v>
      </c>
      <c r="M42" s="37" t="s">
        <v>208</v>
      </c>
      <c r="N42" s="37">
        <v>0</v>
      </c>
      <c r="O42" s="37">
        <v>2</v>
      </c>
      <c r="P42" s="37">
        <v>2</v>
      </c>
      <c r="Q42" s="37">
        <v>0</v>
      </c>
      <c r="R42" s="37" t="s">
        <v>266</v>
      </c>
      <c r="T42" s="37" t="s">
        <v>270</v>
      </c>
      <c r="U42" s="37" t="s">
        <v>278</v>
      </c>
    </row>
    <row r="43" spans="1:21" x14ac:dyDescent="0.2">
      <c r="A43" s="39">
        <v>2015</v>
      </c>
      <c r="B43" s="37" t="s">
        <v>249</v>
      </c>
      <c r="C43" s="55">
        <v>18450</v>
      </c>
      <c r="D43" s="37">
        <v>37</v>
      </c>
      <c r="E43" s="38">
        <v>42263</v>
      </c>
      <c r="F43" s="37" t="s">
        <v>206</v>
      </c>
      <c r="G43" s="37" t="s">
        <v>46</v>
      </c>
      <c r="H43" s="37" t="s">
        <v>151</v>
      </c>
      <c r="I43" s="37" t="s">
        <v>62</v>
      </c>
      <c r="J43" s="37" t="s">
        <v>108</v>
      </c>
      <c r="K43" s="37" t="s">
        <v>207</v>
      </c>
      <c r="L43" s="37" t="s">
        <v>5</v>
      </c>
      <c r="M43" s="37" t="s">
        <v>208</v>
      </c>
      <c r="N43" s="37">
        <v>0</v>
      </c>
      <c r="O43" s="37">
        <v>5</v>
      </c>
      <c r="P43" s="37">
        <v>5</v>
      </c>
      <c r="Q43" s="37">
        <v>0</v>
      </c>
      <c r="R43" s="37" t="s">
        <v>266</v>
      </c>
      <c r="T43" s="37" t="s">
        <v>269</v>
      </c>
      <c r="U43" s="37" t="s">
        <v>275</v>
      </c>
    </row>
    <row r="44" spans="1:21" x14ac:dyDescent="0.2">
      <c r="A44" s="39">
        <v>2015</v>
      </c>
      <c r="B44" s="37" t="s">
        <v>250</v>
      </c>
      <c r="C44" s="55">
        <v>18451</v>
      </c>
      <c r="D44" s="37">
        <v>37</v>
      </c>
      <c r="E44" s="38">
        <v>42263</v>
      </c>
      <c r="F44" s="37" t="s">
        <v>206</v>
      </c>
      <c r="G44" s="37" t="s">
        <v>46</v>
      </c>
      <c r="H44" s="37" t="s">
        <v>114</v>
      </c>
      <c r="I44" s="37" t="s">
        <v>59</v>
      </c>
      <c r="J44" s="37" t="s">
        <v>108</v>
      </c>
      <c r="K44" s="37" t="s">
        <v>207</v>
      </c>
      <c r="L44" s="37" t="s">
        <v>6</v>
      </c>
      <c r="M44" s="37" t="s">
        <v>208</v>
      </c>
      <c r="N44" s="37">
        <v>0</v>
      </c>
      <c r="O44" s="37">
        <v>2</v>
      </c>
      <c r="P44" s="37">
        <v>2</v>
      </c>
      <c r="Q44" s="37">
        <v>0</v>
      </c>
      <c r="R44" s="37" t="s">
        <v>266</v>
      </c>
      <c r="T44" s="37" t="s">
        <v>270</v>
      </c>
      <c r="U44" s="37" t="s">
        <v>276</v>
      </c>
    </row>
    <row r="45" spans="1:21" x14ac:dyDescent="0.2">
      <c r="A45" s="39">
        <v>2015</v>
      </c>
      <c r="B45" s="37" t="s">
        <v>251</v>
      </c>
      <c r="C45" s="55">
        <v>18452</v>
      </c>
      <c r="D45" s="37">
        <v>37</v>
      </c>
      <c r="E45" s="38">
        <v>42263</v>
      </c>
      <c r="F45" s="37" t="s">
        <v>206</v>
      </c>
      <c r="G45" s="37" t="s">
        <v>46</v>
      </c>
      <c r="H45" s="37" t="s">
        <v>114</v>
      </c>
      <c r="I45" s="37" t="s">
        <v>59</v>
      </c>
      <c r="J45" s="37" t="s">
        <v>108</v>
      </c>
      <c r="K45" s="37" t="s">
        <v>207</v>
      </c>
      <c r="L45" s="37" t="s">
        <v>5</v>
      </c>
      <c r="M45" s="37" t="s">
        <v>208</v>
      </c>
      <c r="N45" s="37">
        <v>0</v>
      </c>
      <c r="O45" s="37">
        <v>1</v>
      </c>
      <c r="P45" s="37">
        <v>1</v>
      </c>
      <c r="Q45" s="37">
        <v>0</v>
      </c>
      <c r="R45" s="37" t="s">
        <v>266</v>
      </c>
      <c r="T45" s="37" t="s">
        <v>269</v>
      </c>
      <c r="U45" s="37" t="s">
        <v>273</v>
      </c>
    </row>
    <row r="46" spans="1:21" x14ac:dyDescent="0.2">
      <c r="A46" s="39">
        <v>2015</v>
      </c>
      <c r="B46" s="37" t="s">
        <v>252</v>
      </c>
      <c r="C46" s="55">
        <v>18453</v>
      </c>
      <c r="D46" s="37">
        <v>37</v>
      </c>
      <c r="E46" s="38">
        <v>42263</v>
      </c>
      <c r="F46" s="37" t="s">
        <v>206</v>
      </c>
      <c r="G46" s="37" t="s">
        <v>46</v>
      </c>
      <c r="H46" s="37" t="s">
        <v>175</v>
      </c>
      <c r="I46" s="37" t="s">
        <v>59</v>
      </c>
      <c r="J46" s="37" t="s">
        <v>129</v>
      </c>
      <c r="K46" s="37" t="s">
        <v>207</v>
      </c>
      <c r="L46" s="37" t="s">
        <v>5</v>
      </c>
      <c r="M46" s="37" t="s">
        <v>208</v>
      </c>
      <c r="N46" s="37">
        <v>10</v>
      </c>
      <c r="O46" s="37">
        <v>0</v>
      </c>
      <c r="P46" s="37">
        <v>10</v>
      </c>
      <c r="Q46" s="37">
        <v>0</v>
      </c>
      <c r="R46" s="37" t="s">
        <v>266</v>
      </c>
      <c r="T46" s="37" t="s">
        <v>269</v>
      </c>
      <c r="U46" s="37" t="s">
        <v>273</v>
      </c>
    </row>
    <row r="47" spans="1:21" s="70" customFormat="1" x14ac:dyDescent="0.2">
      <c r="A47" s="39">
        <v>2015</v>
      </c>
      <c r="B47" s="37" t="s">
        <v>253</v>
      </c>
      <c r="C47" s="55">
        <v>18454</v>
      </c>
      <c r="D47" s="37">
        <v>37</v>
      </c>
      <c r="E47" s="38">
        <v>42263</v>
      </c>
      <c r="F47" s="37" t="s">
        <v>206</v>
      </c>
      <c r="G47" s="37" t="s">
        <v>46</v>
      </c>
      <c r="H47" s="37" t="s">
        <v>145</v>
      </c>
      <c r="I47" s="37" t="s">
        <v>59</v>
      </c>
      <c r="J47" s="37" t="s">
        <v>108</v>
      </c>
      <c r="K47" s="37" t="s">
        <v>207</v>
      </c>
      <c r="L47" s="37" t="s">
        <v>6</v>
      </c>
      <c r="M47" s="37" t="s">
        <v>208</v>
      </c>
      <c r="N47" s="37">
        <v>0</v>
      </c>
      <c r="O47" s="37">
        <v>3</v>
      </c>
      <c r="P47" s="37">
        <v>3</v>
      </c>
      <c r="Q47" s="37">
        <v>0</v>
      </c>
      <c r="R47" s="37" t="s">
        <v>266</v>
      </c>
      <c r="S47" s="37"/>
      <c r="T47" s="37" t="s">
        <v>270</v>
      </c>
      <c r="U47" s="37" t="s">
        <v>276</v>
      </c>
    </row>
    <row r="48" spans="1:21" x14ac:dyDescent="0.2">
      <c r="A48" s="39">
        <v>2015</v>
      </c>
      <c r="B48" s="37" t="s">
        <v>254</v>
      </c>
      <c r="C48" s="55">
        <v>18455</v>
      </c>
      <c r="D48" s="37">
        <v>37</v>
      </c>
      <c r="E48" s="38">
        <v>42263</v>
      </c>
      <c r="F48" s="37" t="s">
        <v>206</v>
      </c>
      <c r="G48" s="37" t="s">
        <v>46</v>
      </c>
      <c r="H48" s="37" t="s">
        <v>145</v>
      </c>
      <c r="I48" s="37" t="s">
        <v>59</v>
      </c>
      <c r="J48" s="37" t="s">
        <v>108</v>
      </c>
      <c r="K48" s="37" t="s">
        <v>207</v>
      </c>
      <c r="L48" s="37" t="s">
        <v>5</v>
      </c>
      <c r="M48" s="37" t="s">
        <v>208</v>
      </c>
      <c r="N48" s="37">
        <v>0</v>
      </c>
      <c r="O48" s="37">
        <v>6</v>
      </c>
      <c r="P48" s="37">
        <v>6</v>
      </c>
      <c r="Q48" s="37">
        <v>0</v>
      </c>
      <c r="R48" s="37" t="s">
        <v>266</v>
      </c>
      <c r="T48" s="37" t="s">
        <v>269</v>
      </c>
      <c r="U48" s="37" t="s">
        <v>273</v>
      </c>
    </row>
    <row r="49" spans="1:21" x14ac:dyDescent="0.2">
      <c r="A49" s="39">
        <v>2015</v>
      </c>
      <c r="B49" s="37" t="s">
        <v>255</v>
      </c>
      <c r="C49" s="55">
        <v>18456</v>
      </c>
      <c r="D49" s="37">
        <v>37</v>
      </c>
      <c r="E49" s="38">
        <v>42263</v>
      </c>
      <c r="F49" s="37" t="s">
        <v>206</v>
      </c>
      <c r="G49" s="37" t="s">
        <v>46</v>
      </c>
      <c r="H49" s="37" t="s">
        <v>191</v>
      </c>
      <c r="I49" s="37" t="s">
        <v>59</v>
      </c>
      <c r="J49" s="37" t="s">
        <v>108</v>
      </c>
      <c r="K49" s="37" t="s">
        <v>207</v>
      </c>
      <c r="L49" s="37" t="s">
        <v>6</v>
      </c>
      <c r="M49" s="37" t="s">
        <v>208</v>
      </c>
      <c r="N49" s="37">
        <v>0</v>
      </c>
      <c r="O49" s="37">
        <v>1</v>
      </c>
      <c r="P49" s="37">
        <v>1</v>
      </c>
      <c r="Q49" s="37">
        <v>0</v>
      </c>
      <c r="R49" s="37" t="s">
        <v>266</v>
      </c>
      <c r="T49" s="37" t="s">
        <v>270</v>
      </c>
      <c r="U49" s="37" t="s">
        <v>276</v>
      </c>
    </row>
    <row r="50" spans="1:21" x14ac:dyDescent="0.2">
      <c r="A50" s="39">
        <v>2015</v>
      </c>
      <c r="B50" s="37" t="s">
        <v>256</v>
      </c>
      <c r="C50" s="55">
        <v>18457</v>
      </c>
      <c r="D50" s="37">
        <v>37</v>
      </c>
      <c r="E50" s="38">
        <v>42263</v>
      </c>
      <c r="F50" s="37" t="s">
        <v>206</v>
      </c>
      <c r="G50" s="37" t="s">
        <v>46</v>
      </c>
      <c r="H50" s="37" t="s">
        <v>191</v>
      </c>
      <c r="I50" s="37" t="s">
        <v>59</v>
      </c>
      <c r="J50" s="37" t="s">
        <v>108</v>
      </c>
      <c r="K50" s="37" t="s">
        <v>207</v>
      </c>
      <c r="L50" s="37" t="s">
        <v>5</v>
      </c>
      <c r="M50" s="37" t="s">
        <v>208</v>
      </c>
      <c r="N50" s="37">
        <v>0</v>
      </c>
      <c r="O50" s="37">
        <v>2</v>
      </c>
      <c r="P50" s="37">
        <v>2</v>
      </c>
      <c r="Q50" s="37">
        <v>0</v>
      </c>
      <c r="R50" s="37" t="s">
        <v>266</v>
      </c>
      <c r="T50" s="37" t="s">
        <v>269</v>
      </c>
      <c r="U50" s="37" t="s">
        <v>273</v>
      </c>
    </row>
    <row r="51" spans="1:21" x14ac:dyDescent="0.2">
      <c r="A51" s="39">
        <v>2015</v>
      </c>
      <c r="B51" s="37" t="s">
        <v>257</v>
      </c>
      <c r="C51" s="55">
        <v>18458</v>
      </c>
      <c r="D51" s="37">
        <v>37</v>
      </c>
      <c r="E51" s="38">
        <v>42263</v>
      </c>
      <c r="F51" s="37" t="s">
        <v>206</v>
      </c>
      <c r="G51" s="37" t="s">
        <v>46</v>
      </c>
      <c r="H51" s="37" t="s">
        <v>169</v>
      </c>
      <c r="I51" s="37" t="s">
        <v>59</v>
      </c>
      <c r="J51" s="37" t="s">
        <v>108</v>
      </c>
      <c r="K51" s="37" t="s">
        <v>207</v>
      </c>
      <c r="L51" s="37" t="s">
        <v>6</v>
      </c>
      <c r="M51" s="37" t="s">
        <v>208</v>
      </c>
      <c r="N51" s="37">
        <v>0</v>
      </c>
      <c r="O51" s="37">
        <v>3</v>
      </c>
      <c r="P51" s="37">
        <v>3</v>
      </c>
      <c r="Q51" s="37">
        <v>0</v>
      </c>
      <c r="R51" s="37" t="s">
        <v>266</v>
      </c>
      <c r="T51" s="37" t="s">
        <v>270</v>
      </c>
      <c r="U51" s="37" t="s">
        <v>276</v>
      </c>
    </row>
    <row r="52" spans="1:21" x14ac:dyDescent="0.2">
      <c r="A52" s="39">
        <v>2015</v>
      </c>
      <c r="B52" s="37" t="s">
        <v>258</v>
      </c>
      <c r="C52" s="55">
        <v>18459</v>
      </c>
      <c r="D52" s="37">
        <v>37</v>
      </c>
      <c r="E52" s="38">
        <v>42263</v>
      </c>
      <c r="F52" s="37" t="s">
        <v>206</v>
      </c>
      <c r="G52" s="37" t="s">
        <v>46</v>
      </c>
      <c r="H52" s="37" t="s">
        <v>200</v>
      </c>
      <c r="I52" s="37" t="s">
        <v>59</v>
      </c>
      <c r="J52" s="37" t="s">
        <v>129</v>
      </c>
      <c r="K52" s="37" t="s">
        <v>207</v>
      </c>
      <c r="L52" s="37" t="s">
        <v>5</v>
      </c>
      <c r="M52" s="37" t="s">
        <v>208</v>
      </c>
      <c r="N52" s="37">
        <v>7</v>
      </c>
      <c r="O52" s="37">
        <v>0</v>
      </c>
      <c r="P52" s="37">
        <v>7</v>
      </c>
      <c r="Q52" s="37">
        <v>0</v>
      </c>
      <c r="R52" s="37" t="s">
        <v>266</v>
      </c>
      <c r="T52" s="37" t="s">
        <v>269</v>
      </c>
      <c r="U52" s="37" t="s">
        <v>273</v>
      </c>
    </row>
    <row r="53" spans="1:21" x14ac:dyDescent="0.2">
      <c r="A53" s="39">
        <v>2015</v>
      </c>
      <c r="B53" s="37" t="s">
        <v>259</v>
      </c>
      <c r="C53" s="55">
        <v>18460</v>
      </c>
      <c r="D53" s="37">
        <v>37</v>
      </c>
      <c r="E53" s="38">
        <v>42263</v>
      </c>
      <c r="F53" s="37" t="s">
        <v>206</v>
      </c>
      <c r="G53" s="37" t="s">
        <v>46</v>
      </c>
      <c r="H53" s="37" t="s">
        <v>161</v>
      </c>
      <c r="I53" s="37" t="s">
        <v>62</v>
      </c>
      <c r="J53" s="37" t="s">
        <v>108</v>
      </c>
      <c r="K53" s="37" t="s">
        <v>207</v>
      </c>
      <c r="L53" s="37" t="s">
        <v>6</v>
      </c>
      <c r="M53" s="37" t="s">
        <v>208</v>
      </c>
      <c r="N53" s="37">
        <v>0</v>
      </c>
      <c r="O53" s="37">
        <v>1</v>
      </c>
      <c r="P53" s="37">
        <v>1</v>
      </c>
      <c r="Q53" s="37">
        <v>0</v>
      </c>
      <c r="R53" s="37" t="s">
        <v>266</v>
      </c>
      <c r="T53" s="37" t="s">
        <v>270</v>
      </c>
      <c r="U53" s="37" t="s">
        <v>278</v>
      </c>
    </row>
    <row r="54" spans="1:21" x14ac:dyDescent="0.2">
      <c r="A54" s="39">
        <v>2015</v>
      </c>
      <c r="B54" s="37" t="s">
        <v>260</v>
      </c>
      <c r="C54" s="55">
        <v>18461</v>
      </c>
      <c r="D54" s="37">
        <v>37</v>
      </c>
      <c r="E54" s="38">
        <v>42263</v>
      </c>
      <c r="F54" s="37" t="s">
        <v>206</v>
      </c>
      <c r="G54" s="37" t="s">
        <v>46</v>
      </c>
      <c r="H54" s="37" t="s">
        <v>136</v>
      </c>
      <c r="I54" s="37" t="s">
        <v>62</v>
      </c>
      <c r="J54" s="37" t="s">
        <v>108</v>
      </c>
      <c r="K54" s="37" t="s">
        <v>207</v>
      </c>
      <c r="L54" s="37" t="s">
        <v>6</v>
      </c>
      <c r="M54" s="37" t="s">
        <v>208</v>
      </c>
      <c r="N54" s="37">
        <v>0</v>
      </c>
      <c r="O54" s="37">
        <v>3</v>
      </c>
      <c r="P54" s="37">
        <v>3</v>
      </c>
      <c r="Q54" s="37">
        <v>0</v>
      </c>
      <c r="R54" s="37" t="s">
        <v>266</v>
      </c>
      <c r="T54" s="37" t="s">
        <v>270</v>
      </c>
      <c r="U54" s="37" t="s">
        <v>278</v>
      </c>
    </row>
    <row r="55" spans="1:21" x14ac:dyDescent="0.2">
      <c r="A55" s="39">
        <v>2015</v>
      </c>
      <c r="B55" s="37" t="s">
        <v>261</v>
      </c>
      <c r="C55" s="55">
        <v>18462</v>
      </c>
      <c r="D55" s="37">
        <v>37</v>
      </c>
      <c r="E55" s="38">
        <v>42263</v>
      </c>
      <c r="F55" s="37" t="s">
        <v>206</v>
      </c>
      <c r="G55" s="37" t="s">
        <v>46</v>
      </c>
      <c r="H55" s="37" t="s">
        <v>199</v>
      </c>
      <c r="I55" s="37" t="s">
        <v>62</v>
      </c>
      <c r="J55" s="37" t="s">
        <v>129</v>
      </c>
      <c r="K55" s="37" t="s">
        <v>207</v>
      </c>
      <c r="L55" s="37" t="s">
        <v>5</v>
      </c>
      <c r="M55" s="37" t="s">
        <v>208</v>
      </c>
      <c r="N55" s="37">
        <v>5</v>
      </c>
      <c r="O55" s="37">
        <v>0</v>
      </c>
      <c r="P55" s="37">
        <v>5</v>
      </c>
      <c r="Q55" s="37">
        <v>0</v>
      </c>
      <c r="R55" s="37" t="s">
        <v>266</v>
      </c>
      <c r="T55" s="37" t="s">
        <v>269</v>
      </c>
      <c r="U55" s="37" t="s">
        <v>275</v>
      </c>
    </row>
    <row r="56" spans="1:21" x14ac:dyDescent="0.2">
      <c r="A56" s="39">
        <v>2015</v>
      </c>
      <c r="B56" s="37" t="s">
        <v>262</v>
      </c>
      <c r="C56" s="55">
        <v>18463</v>
      </c>
      <c r="D56" s="37">
        <v>37</v>
      </c>
      <c r="E56" s="38">
        <v>42263</v>
      </c>
      <c r="F56" s="37" t="s">
        <v>206</v>
      </c>
      <c r="G56" s="37" t="s">
        <v>46</v>
      </c>
      <c r="H56" s="37" t="s">
        <v>171</v>
      </c>
      <c r="I56" s="37" t="s">
        <v>62</v>
      </c>
      <c r="J56" s="37" t="s">
        <v>108</v>
      </c>
      <c r="K56" s="37" t="s">
        <v>207</v>
      </c>
      <c r="L56" s="37" t="s">
        <v>6</v>
      </c>
      <c r="M56" s="37" t="s">
        <v>208</v>
      </c>
      <c r="N56" s="37">
        <v>0</v>
      </c>
      <c r="O56" s="37">
        <v>4</v>
      </c>
      <c r="P56" s="37">
        <v>4</v>
      </c>
      <c r="Q56" s="37">
        <v>0</v>
      </c>
      <c r="R56" s="37" t="s">
        <v>266</v>
      </c>
      <c r="T56" s="37" t="s">
        <v>270</v>
      </c>
      <c r="U56" s="37" t="s">
        <v>278</v>
      </c>
    </row>
    <row r="57" spans="1:21" x14ac:dyDescent="0.2">
      <c r="A57" s="56">
        <v>2015</v>
      </c>
      <c r="B57" s="57" t="s">
        <v>263</v>
      </c>
      <c r="C57" s="55">
        <v>18464</v>
      </c>
      <c r="D57" s="57">
        <v>37</v>
      </c>
      <c r="E57" s="58">
        <v>42263</v>
      </c>
      <c r="F57" s="57" t="s">
        <v>206</v>
      </c>
      <c r="G57" s="57" t="s">
        <v>46</v>
      </c>
      <c r="H57" s="57" t="s">
        <v>128</v>
      </c>
      <c r="I57" s="57" t="s">
        <v>61</v>
      </c>
      <c r="J57" s="57" t="s">
        <v>129</v>
      </c>
      <c r="K57" s="57" t="s">
        <v>207</v>
      </c>
      <c r="L57" s="57" t="s">
        <v>5</v>
      </c>
      <c r="M57" s="57" t="s">
        <v>208</v>
      </c>
      <c r="N57" s="57">
        <v>21</v>
      </c>
      <c r="O57" s="57">
        <v>0</v>
      </c>
      <c r="P57" s="57">
        <v>21</v>
      </c>
      <c r="Q57" s="57">
        <v>1</v>
      </c>
      <c r="R57" s="57" t="s">
        <v>265</v>
      </c>
      <c r="S57" s="57"/>
      <c r="T57" s="57" t="s">
        <v>269</v>
      </c>
      <c r="U57" s="57" t="s">
        <v>274</v>
      </c>
    </row>
    <row r="58" spans="1:21" x14ac:dyDescent="0.2">
      <c r="A58" s="39">
        <v>2015</v>
      </c>
      <c r="B58" s="37" t="s">
        <v>264</v>
      </c>
      <c r="C58" s="55">
        <v>18465</v>
      </c>
      <c r="D58" s="37">
        <v>37</v>
      </c>
      <c r="E58" s="38">
        <v>42263</v>
      </c>
      <c r="F58" s="37" t="s">
        <v>206</v>
      </c>
      <c r="G58" s="37" t="s">
        <v>46</v>
      </c>
      <c r="H58" s="37" t="s">
        <v>126</v>
      </c>
      <c r="I58" s="37" t="s">
        <v>61</v>
      </c>
      <c r="J58" s="37" t="s">
        <v>108</v>
      </c>
      <c r="K58" s="37" t="s">
        <v>207</v>
      </c>
      <c r="L58" s="37" t="s">
        <v>5</v>
      </c>
      <c r="M58" s="37" t="s">
        <v>208</v>
      </c>
      <c r="N58" s="37">
        <v>0</v>
      </c>
      <c r="O58" s="37">
        <v>4</v>
      </c>
      <c r="P58" s="37">
        <v>4</v>
      </c>
      <c r="Q58" s="37">
        <v>0</v>
      </c>
      <c r="R58" s="37" t="s">
        <v>266</v>
      </c>
      <c r="T58" s="37" t="s">
        <v>269</v>
      </c>
      <c r="U58" s="37" t="s">
        <v>274</v>
      </c>
    </row>
    <row r="71" spans="1:5" x14ac:dyDescent="0.25">
      <c r="A71" s="37"/>
      <c r="E71" s="37"/>
    </row>
    <row r="72" spans="1:5" x14ac:dyDescent="0.25">
      <c r="A72" s="37"/>
      <c r="E72" s="37"/>
    </row>
    <row r="73" spans="1:5" x14ac:dyDescent="0.25">
      <c r="A73" s="37"/>
      <c r="E73" s="37"/>
    </row>
    <row r="74" spans="1:5" x14ac:dyDescent="0.25">
      <c r="A74" s="37"/>
      <c r="E74" s="37"/>
    </row>
    <row r="75" spans="1:5" x14ac:dyDescent="0.25">
      <c r="A75" s="37"/>
      <c r="E75" s="37"/>
    </row>
    <row r="76" spans="1:5" x14ac:dyDescent="0.25">
      <c r="A76" s="37"/>
      <c r="E76" s="37"/>
    </row>
    <row r="77" spans="1:5" x14ac:dyDescent="0.25">
      <c r="A77" s="37"/>
      <c r="E77" s="37"/>
    </row>
    <row r="78" spans="1:5" x14ac:dyDescent="0.25">
      <c r="A78" s="37"/>
      <c r="E78" s="37"/>
    </row>
    <row r="79" spans="1:5" x14ac:dyDescent="0.25">
      <c r="A79" s="37"/>
      <c r="E79" s="37"/>
    </row>
    <row r="80" spans="1:5" x14ac:dyDescent="0.25">
      <c r="A80" s="37"/>
      <c r="E80" s="37"/>
    </row>
    <row r="81" spans="1:5" x14ac:dyDescent="0.25">
      <c r="A81" s="37"/>
      <c r="E81" s="37"/>
    </row>
    <row r="82" spans="1:5" x14ac:dyDescent="0.25">
      <c r="A82" s="37"/>
      <c r="E82" s="37"/>
    </row>
    <row r="83" spans="1:5" x14ac:dyDescent="0.25">
      <c r="A83" s="37"/>
      <c r="E83" s="37"/>
    </row>
    <row r="84" spans="1:5" x14ac:dyDescent="0.25">
      <c r="A84" s="37"/>
      <c r="E84" s="37"/>
    </row>
    <row r="85" spans="1:5" x14ac:dyDescent="0.25">
      <c r="A85" s="37"/>
      <c r="E85" s="37"/>
    </row>
    <row r="86" spans="1:5" x14ac:dyDescent="0.25">
      <c r="A86" s="37"/>
      <c r="E86" s="37"/>
    </row>
    <row r="87" spans="1:5" x14ac:dyDescent="0.25">
      <c r="A87" s="37"/>
      <c r="E87" s="37"/>
    </row>
    <row r="88" spans="1:5" x14ac:dyDescent="0.25">
      <c r="A88" s="37"/>
      <c r="E88" s="37"/>
    </row>
    <row r="89" spans="1:5" x14ac:dyDescent="0.25">
      <c r="A89" s="37"/>
      <c r="E89" s="37"/>
    </row>
    <row r="90" spans="1:5" x14ac:dyDescent="0.25">
      <c r="A90" s="37"/>
      <c r="E90" s="37"/>
    </row>
    <row r="91" spans="1:5" x14ac:dyDescent="0.25">
      <c r="A91" s="37"/>
      <c r="E91" s="37"/>
    </row>
    <row r="92" spans="1:5" x14ac:dyDescent="0.25">
      <c r="A92" s="37"/>
      <c r="E92" s="37"/>
    </row>
    <row r="93" spans="1:5" x14ac:dyDescent="0.25">
      <c r="A93" s="37"/>
      <c r="E93" s="37"/>
    </row>
    <row r="94" spans="1:5" x14ac:dyDescent="0.25">
      <c r="A94" s="37"/>
      <c r="E94" s="37"/>
    </row>
    <row r="95" spans="1:5" x14ac:dyDescent="0.25">
      <c r="A95" s="37"/>
      <c r="E95" s="37"/>
    </row>
    <row r="96" spans="1:5" x14ac:dyDescent="0.25">
      <c r="A96" s="37"/>
      <c r="E96" s="37"/>
    </row>
    <row r="97" spans="1:5" x14ac:dyDescent="0.25">
      <c r="A97" s="37"/>
      <c r="E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05">
    <sortCondition ref="B2:B205"/>
    <sortCondition ref="C2:C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45</v>
      </c>
      <c r="B1" s="63" t="s">
        <v>281</v>
      </c>
      <c r="C1" s="63" t="s">
        <v>282</v>
      </c>
      <c r="D1" s="63" t="s">
        <v>283</v>
      </c>
      <c r="E1" s="62" t="s">
        <v>284</v>
      </c>
      <c r="F1" s="62" t="s">
        <v>285</v>
      </c>
      <c r="G1" s="62" t="s">
        <v>286</v>
      </c>
      <c r="H1" s="62" t="s">
        <v>287</v>
      </c>
      <c r="I1" s="62" t="s">
        <v>288</v>
      </c>
      <c r="J1" s="62" t="s">
        <v>289</v>
      </c>
    </row>
    <row r="2" spans="1:10" x14ac:dyDescent="0.25">
      <c r="A2" t="s">
        <v>60</v>
      </c>
      <c r="B2" s="31">
        <v>5.0440255252725885</v>
      </c>
      <c r="C2" s="31">
        <v>0.28419894536339801</v>
      </c>
      <c r="D2" s="31">
        <v>26.387603168509404</v>
      </c>
      <c r="E2" s="60">
        <v>1000</v>
      </c>
      <c r="F2" s="61" t="s">
        <v>290</v>
      </c>
      <c r="G2" s="61" t="s">
        <v>291</v>
      </c>
      <c r="H2">
        <v>22</v>
      </c>
      <c r="I2">
        <v>1</v>
      </c>
      <c r="J2">
        <v>211</v>
      </c>
    </row>
    <row r="3" spans="1:10" x14ac:dyDescent="0.25">
      <c r="A3" t="s">
        <v>59</v>
      </c>
      <c r="B3" s="31">
        <v>0</v>
      </c>
      <c r="C3" s="31">
        <v>0</v>
      </c>
      <c r="D3" s="31">
        <v>73.939017202414931</v>
      </c>
      <c r="E3" s="60">
        <v>1000</v>
      </c>
      <c r="F3" s="61" t="s">
        <v>63</v>
      </c>
      <c r="G3" s="61" t="s">
        <v>292</v>
      </c>
      <c r="H3">
        <v>11</v>
      </c>
      <c r="I3">
        <v>0</v>
      </c>
      <c r="J3">
        <v>40</v>
      </c>
    </row>
    <row r="4" spans="1:10" x14ac:dyDescent="0.25">
      <c r="A4" t="s">
        <v>61</v>
      </c>
      <c r="B4" s="31">
        <v>3.6983356737698365</v>
      </c>
      <c r="C4" s="31">
        <v>0.22313866643007413</v>
      </c>
      <c r="D4" s="31">
        <v>18.036022066314192</v>
      </c>
      <c r="E4" s="60">
        <v>1000</v>
      </c>
      <c r="F4" s="61" t="s">
        <v>290</v>
      </c>
      <c r="G4" s="61" t="s">
        <v>291</v>
      </c>
      <c r="H4">
        <v>18</v>
      </c>
      <c r="I4">
        <v>1</v>
      </c>
      <c r="J4">
        <v>264</v>
      </c>
    </row>
    <row r="5" spans="1:10" x14ac:dyDescent="0.25">
      <c r="A5" t="s">
        <v>62</v>
      </c>
      <c r="B5" s="31">
        <v>0</v>
      </c>
      <c r="C5" s="31">
        <v>0</v>
      </c>
      <c r="D5" s="31">
        <v>133.13059802770306</v>
      </c>
      <c r="E5" s="60">
        <v>1000</v>
      </c>
      <c r="F5" s="61" t="s">
        <v>63</v>
      </c>
      <c r="G5" s="61" t="s">
        <v>292</v>
      </c>
      <c r="H5">
        <v>6</v>
      </c>
      <c r="I5">
        <v>0</v>
      </c>
      <c r="J5">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M20" sqref="M20"/>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40</v>
      </c>
      <c r="B1" s="63" t="s">
        <v>281</v>
      </c>
      <c r="C1" s="63" t="s">
        <v>282</v>
      </c>
      <c r="D1" s="63" t="s">
        <v>283</v>
      </c>
      <c r="E1" s="62" t="s">
        <v>284</v>
      </c>
      <c r="F1" s="62" t="s">
        <v>285</v>
      </c>
      <c r="G1" s="62" t="s">
        <v>286</v>
      </c>
      <c r="H1" s="62" t="s">
        <v>287</v>
      </c>
      <c r="I1" s="62" t="s">
        <v>288</v>
      </c>
      <c r="J1" s="62" t="s">
        <v>289</v>
      </c>
    </row>
    <row r="2" spans="1:10" x14ac:dyDescent="0.25">
      <c r="A2" t="s">
        <v>46</v>
      </c>
      <c r="B2" s="31">
        <v>3.5068710815722826</v>
      </c>
      <c r="C2" s="31">
        <v>0.21176205722174718</v>
      </c>
      <c r="D2" s="31">
        <v>17.111400446721152</v>
      </c>
      <c r="E2" s="60">
        <v>1000</v>
      </c>
      <c r="F2" s="61" t="s">
        <v>290</v>
      </c>
      <c r="G2" s="61" t="s">
        <v>291</v>
      </c>
      <c r="H2">
        <v>13</v>
      </c>
      <c r="I2">
        <v>1</v>
      </c>
      <c r="J2">
        <v>278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sqref="A1:B9"/>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93</v>
      </c>
      <c r="B1" s="63" t="s">
        <v>281</v>
      </c>
      <c r="C1" s="63" t="s">
        <v>282</v>
      </c>
      <c r="D1" s="63" t="s">
        <v>283</v>
      </c>
      <c r="E1" s="62" t="s">
        <v>284</v>
      </c>
      <c r="F1" s="62" t="s">
        <v>285</v>
      </c>
      <c r="G1" s="62" t="s">
        <v>286</v>
      </c>
      <c r="H1" s="62" t="s">
        <v>287</v>
      </c>
      <c r="I1" s="62" t="s">
        <v>288</v>
      </c>
      <c r="J1" s="62" t="s">
        <v>289</v>
      </c>
    </row>
    <row r="2" spans="1:10" x14ac:dyDescent="0.25">
      <c r="A2" t="s">
        <v>271</v>
      </c>
      <c r="B2" s="31">
        <v>5.4814763545143004</v>
      </c>
      <c r="C2" s="31">
        <v>0.31098655731378966</v>
      </c>
      <c r="D2" s="31">
        <v>28.949791377812659</v>
      </c>
      <c r="E2" s="60">
        <v>1000</v>
      </c>
      <c r="F2" s="61" t="s">
        <v>290</v>
      </c>
      <c r="G2" s="61" t="s">
        <v>291</v>
      </c>
      <c r="H2">
        <v>13</v>
      </c>
      <c r="I2">
        <v>1</v>
      </c>
      <c r="J2">
        <v>194</v>
      </c>
    </row>
    <row r="3" spans="1:10" x14ac:dyDescent="0.25">
      <c r="A3" t="s">
        <v>272</v>
      </c>
      <c r="B3" s="31">
        <v>0</v>
      </c>
      <c r="C3" s="31">
        <v>0</v>
      </c>
      <c r="D3" s="31">
        <v>159.52244102320753</v>
      </c>
      <c r="E3" s="60">
        <v>1000</v>
      </c>
      <c r="F3" s="61" t="s">
        <v>63</v>
      </c>
      <c r="G3" s="61" t="s">
        <v>292</v>
      </c>
      <c r="H3">
        <v>9</v>
      </c>
      <c r="I3">
        <v>0</v>
      </c>
      <c r="J3">
        <v>17</v>
      </c>
    </row>
    <row r="4" spans="1:10" x14ac:dyDescent="0.25">
      <c r="A4" t="s">
        <v>273</v>
      </c>
      <c r="B4" s="31">
        <v>0</v>
      </c>
      <c r="C4" s="31">
        <v>0</v>
      </c>
      <c r="D4" s="31">
        <v>88.211257555587977</v>
      </c>
      <c r="E4" s="60">
        <v>1000</v>
      </c>
      <c r="F4" s="61" t="s">
        <v>63</v>
      </c>
      <c r="G4" s="61" t="s">
        <v>292</v>
      </c>
      <c r="H4">
        <v>6</v>
      </c>
      <c r="I4">
        <v>0</v>
      </c>
      <c r="J4">
        <v>30</v>
      </c>
    </row>
    <row r="5" spans="1:10" x14ac:dyDescent="0.25">
      <c r="A5" t="s">
        <v>276</v>
      </c>
      <c r="B5" s="31">
        <v>0</v>
      </c>
      <c r="C5" s="31">
        <v>0</v>
      </c>
      <c r="D5" s="31">
        <v>239.14219305463735</v>
      </c>
      <c r="E5" s="60">
        <v>1000</v>
      </c>
      <c r="F5" s="61" t="s">
        <v>63</v>
      </c>
      <c r="G5" s="61" t="s">
        <v>292</v>
      </c>
      <c r="H5">
        <v>5</v>
      </c>
      <c r="I5">
        <v>0</v>
      </c>
      <c r="J5">
        <v>10</v>
      </c>
    </row>
    <row r="6" spans="1:10" x14ac:dyDescent="0.25">
      <c r="A6" t="s">
        <v>274</v>
      </c>
      <c r="B6" s="31">
        <v>3.7493732679210199</v>
      </c>
      <c r="C6" s="31">
        <v>0.22673984649769474</v>
      </c>
      <c r="D6" s="31">
        <v>18.29664790410833</v>
      </c>
      <c r="E6" s="60">
        <v>1000</v>
      </c>
      <c r="F6" s="61" t="s">
        <v>290</v>
      </c>
      <c r="G6" s="61" t="s">
        <v>291</v>
      </c>
      <c r="H6">
        <v>15</v>
      </c>
      <c r="I6">
        <v>1</v>
      </c>
      <c r="J6">
        <v>260</v>
      </c>
    </row>
    <row r="7" spans="1:10" x14ac:dyDescent="0.25">
      <c r="A7" t="s">
        <v>277</v>
      </c>
      <c r="B7" s="31">
        <v>0</v>
      </c>
      <c r="C7" s="31">
        <v>0</v>
      </c>
      <c r="D7" s="31">
        <v>450.7479638946694</v>
      </c>
      <c r="E7" s="60">
        <v>1000</v>
      </c>
      <c r="F7" s="61" t="s">
        <v>63</v>
      </c>
      <c r="G7" s="61" t="s">
        <v>292</v>
      </c>
      <c r="H7">
        <v>3</v>
      </c>
      <c r="I7">
        <v>0</v>
      </c>
      <c r="J7">
        <v>4</v>
      </c>
    </row>
    <row r="8" spans="1:10" x14ac:dyDescent="0.25">
      <c r="A8" t="s">
        <v>275</v>
      </c>
      <c r="B8" s="31">
        <v>0</v>
      </c>
      <c r="C8" s="31">
        <v>0</v>
      </c>
      <c r="D8" s="31">
        <v>192.94759648904622</v>
      </c>
      <c r="E8" s="60">
        <v>1000</v>
      </c>
      <c r="F8" s="61" t="s">
        <v>63</v>
      </c>
      <c r="G8" s="61" t="s">
        <v>292</v>
      </c>
      <c r="H8">
        <v>2</v>
      </c>
      <c r="I8">
        <v>0</v>
      </c>
      <c r="J8">
        <v>10</v>
      </c>
    </row>
    <row r="9" spans="1:10" x14ac:dyDescent="0.25">
      <c r="A9" t="s">
        <v>278</v>
      </c>
      <c r="B9" s="31">
        <v>0</v>
      </c>
      <c r="C9" s="31">
        <v>0</v>
      </c>
      <c r="D9" s="31">
        <v>226.58015539750042</v>
      </c>
      <c r="E9" s="60">
        <v>1000</v>
      </c>
      <c r="F9" s="61" t="s">
        <v>63</v>
      </c>
      <c r="G9" s="61" t="s">
        <v>292</v>
      </c>
      <c r="H9">
        <v>4</v>
      </c>
      <c r="I9">
        <v>0</v>
      </c>
      <c r="J9">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92</v>
      </c>
      <c r="B1" s="63" t="s">
        <v>281</v>
      </c>
      <c r="C1" s="63" t="s">
        <v>282</v>
      </c>
      <c r="D1" s="63" t="s">
        <v>283</v>
      </c>
      <c r="E1" s="62" t="s">
        <v>284</v>
      </c>
      <c r="F1" s="62" t="s">
        <v>285</v>
      </c>
      <c r="G1" s="62" t="s">
        <v>286</v>
      </c>
      <c r="H1" s="62" t="s">
        <v>287</v>
      </c>
      <c r="I1" s="62" t="s">
        <v>288</v>
      </c>
      <c r="J1" s="62" t="s">
        <v>289</v>
      </c>
    </row>
    <row r="2" spans="1:10" x14ac:dyDescent="0.25">
      <c r="A2" t="s">
        <v>269</v>
      </c>
      <c r="B2" s="31">
        <v>4.2335929829177292</v>
      </c>
      <c r="C2" s="31">
        <v>0.75920300144246622</v>
      </c>
      <c r="D2" s="31">
        <v>14.129370289239594</v>
      </c>
      <c r="E2" s="60">
        <v>1000</v>
      </c>
      <c r="F2" s="61" t="s">
        <v>290</v>
      </c>
      <c r="G2" s="61" t="s">
        <v>291</v>
      </c>
      <c r="H2">
        <v>36</v>
      </c>
      <c r="I2">
        <v>2</v>
      </c>
      <c r="J2">
        <v>494</v>
      </c>
    </row>
    <row r="3" spans="1:10" x14ac:dyDescent="0.25">
      <c r="A3" t="s">
        <v>270</v>
      </c>
      <c r="B3" s="31">
        <v>0</v>
      </c>
      <c r="C3" s="31">
        <v>0</v>
      </c>
      <c r="D3" s="31">
        <v>80.194277089199133</v>
      </c>
      <c r="E3" s="60">
        <v>1000</v>
      </c>
      <c r="F3" s="61" t="s">
        <v>63</v>
      </c>
      <c r="G3" s="61" t="s">
        <v>292</v>
      </c>
      <c r="H3">
        <v>21</v>
      </c>
      <c r="I3">
        <v>0</v>
      </c>
      <c r="J3">
        <v>41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workbookViewId="0">
      <selection activeCell="A3" sqref="A3:XFD3"/>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4" x14ac:dyDescent="0.25">
      <c r="A1" s="45" t="s">
        <v>8</v>
      </c>
      <c r="B1" s="45" t="s">
        <v>0</v>
      </c>
      <c r="C1" s="45" t="s">
        <v>67</v>
      </c>
      <c r="D1" s="45" t="s">
        <v>45</v>
      </c>
      <c r="E1" s="45" t="s">
        <v>68</v>
      </c>
      <c r="F1" s="45" t="s">
        <v>69</v>
      </c>
      <c r="G1" s="45" t="s">
        <v>70</v>
      </c>
      <c r="H1" s="45" t="s">
        <v>71</v>
      </c>
      <c r="I1" s="45" t="s">
        <v>72</v>
      </c>
      <c r="J1" s="45" t="s">
        <v>73</v>
      </c>
      <c r="K1" s="45" t="s">
        <v>74</v>
      </c>
      <c r="L1" s="45" t="s">
        <v>44</v>
      </c>
    </row>
    <row r="2" spans="1:14" x14ac:dyDescent="0.25">
      <c r="A2" s="46">
        <v>37</v>
      </c>
      <c r="B2" s="54" t="s">
        <v>268</v>
      </c>
      <c r="C2" s="46" t="s">
        <v>112</v>
      </c>
      <c r="D2" s="46" t="s">
        <v>60</v>
      </c>
      <c r="E2" s="46" t="s">
        <v>113</v>
      </c>
      <c r="F2" s="46" t="s">
        <v>108</v>
      </c>
      <c r="G2" s="46" t="s">
        <v>109</v>
      </c>
      <c r="H2" s="46">
        <v>1</v>
      </c>
      <c r="I2" s="46">
        <v>4</v>
      </c>
      <c r="J2" s="46">
        <v>5</v>
      </c>
      <c r="K2" s="46">
        <v>42</v>
      </c>
    </row>
    <row r="3" spans="1:14" s="68" customFormat="1" x14ac:dyDescent="0.25">
      <c r="A3" s="66">
        <v>37</v>
      </c>
      <c r="B3" s="67" t="s">
        <v>267</v>
      </c>
      <c r="C3" s="66" t="s">
        <v>116</v>
      </c>
      <c r="D3" s="66" t="s">
        <v>60</v>
      </c>
      <c r="E3" s="66" t="s">
        <v>117</v>
      </c>
      <c r="F3" s="66" t="s">
        <v>108</v>
      </c>
      <c r="G3" s="66" t="s">
        <v>109</v>
      </c>
      <c r="H3" s="66">
        <v>0</v>
      </c>
      <c r="I3" s="66">
        <v>0</v>
      </c>
      <c r="J3" s="66">
        <v>0</v>
      </c>
      <c r="K3" s="66">
        <v>1</v>
      </c>
      <c r="N3" s="68" t="s">
        <v>280</v>
      </c>
    </row>
    <row r="4" spans="1:14" x14ac:dyDescent="0.25">
      <c r="A4" s="46">
        <v>37</v>
      </c>
      <c r="B4" s="54" t="s">
        <v>268</v>
      </c>
      <c r="C4" s="46" t="s">
        <v>120</v>
      </c>
      <c r="D4" s="46" t="s">
        <v>60</v>
      </c>
      <c r="E4" s="46" t="s">
        <v>121</v>
      </c>
      <c r="F4" s="46" t="s">
        <v>108</v>
      </c>
      <c r="G4" s="46" t="s">
        <v>109</v>
      </c>
      <c r="H4" s="46">
        <v>1</v>
      </c>
      <c r="I4" s="46">
        <v>4</v>
      </c>
      <c r="J4" s="46">
        <v>5</v>
      </c>
      <c r="K4" s="46">
        <v>17</v>
      </c>
    </row>
    <row r="5" spans="1:14" x14ac:dyDescent="0.25">
      <c r="A5" s="46">
        <v>37</v>
      </c>
      <c r="B5" s="54" t="s">
        <v>268</v>
      </c>
      <c r="C5" s="46" t="s">
        <v>132</v>
      </c>
      <c r="D5" s="46" t="s">
        <v>60</v>
      </c>
      <c r="E5" s="46" t="s">
        <v>133</v>
      </c>
      <c r="F5" s="46" t="s">
        <v>108</v>
      </c>
      <c r="G5" s="46" t="s">
        <v>109</v>
      </c>
      <c r="H5" s="46">
        <v>1</v>
      </c>
      <c r="I5" s="46">
        <v>3</v>
      </c>
      <c r="J5" s="46">
        <v>4</v>
      </c>
      <c r="K5" s="46">
        <v>65</v>
      </c>
    </row>
    <row r="6" spans="1:14" x14ac:dyDescent="0.25">
      <c r="A6" s="46">
        <v>37</v>
      </c>
      <c r="B6" s="54" t="s">
        <v>268</v>
      </c>
      <c r="C6" s="46" t="s">
        <v>138</v>
      </c>
      <c r="D6" s="46" t="s">
        <v>60</v>
      </c>
      <c r="E6" s="46" t="s">
        <v>139</v>
      </c>
      <c r="F6" s="46" t="s">
        <v>108</v>
      </c>
      <c r="G6" s="46" t="s">
        <v>109</v>
      </c>
      <c r="H6" s="46">
        <v>2</v>
      </c>
      <c r="I6" s="46">
        <v>15</v>
      </c>
      <c r="J6" s="46">
        <v>17</v>
      </c>
      <c r="K6" s="46">
        <v>90</v>
      </c>
    </row>
    <row r="7" spans="1:14" x14ac:dyDescent="0.25">
      <c r="A7" s="46">
        <v>37</v>
      </c>
      <c r="B7" s="54" t="s">
        <v>268</v>
      </c>
      <c r="C7" s="46" t="s">
        <v>142</v>
      </c>
      <c r="D7" s="46" t="s">
        <v>60</v>
      </c>
      <c r="E7" s="46" t="s">
        <v>143</v>
      </c>
      <c r="F7" s="46" t="s">
        <v>108</v>
      </c>
      <c r="G7" s="46" t="s">
        <v>109</v>
      </c>
      <c r="H7" s="46">
        <v>0</v>
      </c>
      <c r="I7" s="46">
        <v>12</v>
      </c>
      <c r="J7" s="46">
        <v>12</v>
      </c>
      <c r="K7" s="46">
        <v>61</v>
      </c>
    </row>
    <row r="8" spans="1:14" x14ac:dyDescent="0.25">
      <c r="A8" s="46">
        <v>37</v>
      </c>
      <c r="B8" s="54" t="s">
        <v>268</v>
      </c>
      <c r="C8" s="46" t="s">
        <v>178</v>
      </c>
      <c r="D8" s="46" t="s">
        <v>60</v>
      </c>
      <c r="E8" s="46" t="s">
        <v>179</v>
      </c>
      <c r="F8" s="46" t="s">
        <v>108</v>
      </c>
      <c r="G8" s="46" t="s">
        <v>109</v>
      </c>
      <c r="H8" s="46">
        <v>5</v>
      </c>
      <c r="I8" s="46">
        <v>52</v>
      </c>
      <c r="J8" s="46">
        <v>57</v>
      </c>
      <c r="K8" s="46">
        <v>173</v>
      </c>
    </row>
    <row r="9" spans="1:14" x14ac:dyDescent="0.25">
      <c r="A9" s="46">
        <v>37</v>
      </c>
      <c r="B9" s="54" t="s">
        <v>267</v>
      </c>
      <c r="C9" s="46" t="s">
        <v>181</v>
      </c>
      <c r="D9" s="46" t="s">
        <v>60</v>
      </c>
      <c r="E9" s="46" t="s">
        <v>182</v>
      </c>
      <c r="F9" s="46" t="s">
        <v>108</v>
      </c>
      <c r="G9" s="46" t="s">
        <v>109</v>
      </c>
      <c r="H9" s="46">
        <v>1</v>
      </c>
      <c r="I9" s="46">
        <v>0</v>
      </c>
      <c r="J9" s="46">
        <v>1</v>
      </c>
      <c r="K9" s="46">
        <v>43</v>
      </c>
    </row>
    <row r="10" spans="1:14" x14ac:dyDescent="0.25">
      <c r="A10" s="46">
        <v>37</v>
      </c>
      <c r="B10" s="54" t="s">
        <v>268</v>
      </c>
      <c r="C10" s="46" t="s">
        <v>185</v>
      </c>
      <c r="D10" s="46" t="s">
        <v>60</v>
      </c>
      <c r="E10" s="46" t="s">
        <v>186</v>
      </c>
      <c r="F10" s="46" t="s">
        <v>108</v>
      </c>
      <c r="G10" s="46" t="s">
        <v>109</v>
      </c>
      <c r="H10" s="46">
        <v>1</v>
      </c>
      <c r="I10" s="46">
        <v>1</v>
      </c>
      <c r="J10" s="46">
        <v>2</v>
      </c>
      <c r="K10" s="46">
        <v>131</v>
      </c>
    </row>
    <row r="11" spans="1:14" x14ac:dyDescent="0.25">
      <c r="A11" s="46">
        <v>37</v>
      </c>
      <c r="B11" s="54" t="s">
        <v>268</v>
      </c>
      <c r="C11" s="46" t="s">
        <v>189</v>
      </c>
      <c r="D11" s="46" t="s">
        <v>60</v>
      </c>
      <c r="E11" s="46" t="s">
        <v>190</v>
      </c>
      <c r="F11" s="46" t="s">
        <v>108</v>
      </c>
      <c r="G11" s="46" t="s">
        <v>109</v>
      </c>
      <c r="H11" s="46">
        <v>4</v>
      </c>
      <c r="I11" s="46">
        <v>1</v>
      </c>
      <c r="J11" s="46">
        <v>5</v>
      </c>
      <c r="K11" s="46">
        <v>13</v>
      </c>
    </row>
    <row r="12" spans="1:14" x14ac:dyDescent="0.25">
      <c r="A12" s="46">
        <v>37</v>
      </c>
      <c r="B12" s="54" t="s">
        <v>267</v>
      </c>
      <c r="C12" s="46" t="s">
        <v>114</v>
      </c>
      <c r="D12" s="46" t="s">
        <v>59</v>
      </c>
      <c r="E12" s="46" t="s">
        <v>115</v>
      </c>
      <c r="F12" s="46" t="s">
        <v>108</v>
      </c>
      <c r="G12" s="46" t="s">
        <v>109</v>
      </c>
      <c r="H12" s="46">
        <v>2</v>
      </c>
      <c r="I12" s="46">
        <v>1</v>
      </c>
      <c r="J12" s="46">
        <v>3</v>
      </c>
      <c r="K12" s="46">
        <v>4</v>
      </c>
    </row>
    <row r="13" spans="1:14" x14ac:dyDescent="0.25">
      <c r="A13" s="46">
        <v>37</v>
      </c>
      <c r="B13" s="54" t="s">
        <v>267</v>
      </c>
      <c r="C13" s="46" t="s">
        <v>118</v>
      </c>
      <c r="D13" s="46" t="s">
        <v>59</v>
      </c>
      <c r="E13" s="46" t="s">
        <v>119</v>
      </c>
      <c r="F13" s="46" t="s">
        <v>108</v>
      </c>
      <c r="G13" s="46" t="s">
        <v>109</v>
      </c>
      <c r="H13" s="46">
        <v>0</v>
      </c>
      <c r="I13" s="46">
        <v>0</v>
      </c>
      <c r="J13" s="46">
        <v>0</v>
      </c>
      <c r="K13" s="46">
        <v>1</v>
      </c>
    </row>
    <row r="14" spans="1:14" x14ac:dyDescent="0.25">
      <c r="A14" s="46">
        <v>37</v>
      </c>
      <c r="B14" s="54" t="s">
        <v>268</v>
      </c>
      <c r="C14" s="46" t="s">
        <v>134</v>
      </c>
      <c r="D14" s="46" t="s">
        <v>59</v>
      </c>
      <c r="E14" s="46" t="s">
        <v>135</v>
      </c>
      <c r="F14" s="46" t="s">
        <v>108</v>
      </c>
      <c r="G14" s="46" t="s">
        <v>109</v>
      </c>
      <c r="H14" s="46">
        <v>1</v>
      </c>
      <c r="I14" s="46">
        <v>4</v>
      </c>
      <c r="J14" s="46">
        <v>5</v>
      </c>
      <c r="K14" s="46">
        <v>27</v>
      </c>
    </row>
    <row r="15" spans="1:14" x14ac:dyDescent="0.25">
      <c r="A15" s="46">
        <v>37</v>
      </c>
      <c r="B15" s="54" t="s">
        <v>267</v>
      </c>
      <c r="C15" s="46" t="s">
        <v>145</v>
      </c>
      <c r="D15" s="46" t="s">
        <v>59</v>
      </c>
      <c r="E15" s="46" t="s">
        <v>146</v>
      </c>
      <c r="F15" s="46" t="s">
        <v>108</v>
      </c>
      <c r="G15" s="46" t="s">
        <v>109</v>
      </c>
      <c r="H15" s="46">
        <v>3</v>
      </c>
      <c r="I15" s="46">
        <v>6</v>
      </c>
      <c r="J15" s="46">
        <v>9</v>
      </c>
      <c r="K15" s="46">
        <v>9</v>
      </c>
    </row>
    <row r="16" spans="1:14" x14ac:dyDescent="0.25">
      <c r="A16" s="46">
        <v>37</v>
      </c>
      <c r="B16" s="54" t="s">
        <v>267</v>
      </c>
      <c r="C16" s="46" t="s">
        <v>155</v>
      </c>
      <c r="D16" s="46" t="s">
        <v>59</v>
      </c>
      <c r="E16" s="46" t="s">
        <v>156</v>
      </c>
      <c r="F16" s="46" t="s">
        <v>108</v>
      </c>
      <c r="G16" s="46" t="s">
        <v>109</v>
      </c>
      <c r="H16" s="46">
        <v>0</v>
      </c>
      <c r="I16" s="46">
        <v>0</v>
      </c>
      <c r="J16" s="46">
        <v>0</v>
      </c>
      <c r="K16" s="46">
        <v>4</v>
      </c>
    </row>
    <row r="17" spans="1:14" x14ac:dyDescent="0.25">
      <c r="A17" s="46">
        <v>37</v>
      </c>
      <c r="B17" s="54" t="s">
        <v>267</v>
      </c>
      <c r="C17" s="46" t="s">
        <v>167</v>
      </c>
      <c r="D17" s="46" t="s">
        <v>59</v>
      </c>
      <c r="E17" s="46" t="s">
        <v>168</v>
      </c>
      <c r="F17" s="46" t="s">
        <v>108</v>
      </c>
      <c r="G17" s="46" t="s">
        <v>109</v>
      </c>
      <c r="H17" s="46">
        <v>0</v>
      </c>
      <c r="I17" s="46">
        <v>0</v>
      </c>
      <c r="J17" s="46">
        <v>0</v>
      </c>
      <c r="K17" s="46">
        <v>0</v>
      </c>
    </row>
    <row r="18" spans="1:14" x14ac:dyDescent="0.25">
      <c r="A18" s="46">
        <v>37</v>
      </c>
      <c r="B18" s="54" t="s">
        <v>267</v>
      </c>
      <c r="C18" s="46" t="s">
        <v>169</v>
      </c>
      <c r="D18" s="46" t="s">
        <v>59</v>
      </c>
      <c r="E18" s="46" t="s">
        <v>170</v>
      </c>
      <c r="F18" s="46" t="s">
        <v>108</v>
      </c>
      <c r="G18" s="46" t="s">
        <v>109</v>
      </c>
      <c r="H18" s="46">
        <v>3</v>
      </c>
      <c r="I18" s="46">
        <v>0</v>
      </c>
      <c r="J18" s="46">
        <v>3</v>
      </c>
      <c r="K18" s="46">
        <v>9</v>
      </c>
    </row>
    <row r="19" spans="1:14" x14ac:dyDescent="0.25">
      <c r="A19" s="46">
        <v>37</v>
      </c>
      <c r="B19" s="54" t="s">
        <v>267</v>
      </c>
      <c r="C19" s="46" t="s">
        <v>173</v>
      </c>
      <c r="D19" s="46" t="s">
        <v>59</v>
      </c>
      <c r="E19" s="46" t="s">
        <v>174</v>
      </c>
      <c r="F19" s="46" t="s">
        <v>108</v>
      </c>
      <c r="G19" s="46" t="s">
        <v>109</v>
      </c>
      <c r="H19" s="46">
        <v>0</v>
      </c>
      <c r="I19" s="46">
        <v>0</v>
      </c>
      <c r="J19" s="46">
        <v>0</v>
      </c>
      <c r="K19" s="46">
        <v>3</v>
      </c>
    </row>
    <row r="20" spans="1:14" x14ac:dyDescent="0.25">
      <c r="A20" s="46">
        <v>37</v>
      </c>
      <c r="B20" s="46" t="s">
        <v>267</v>
      </c>
      <c r="C20" s="46" t="s">
        <v>191</v>
      </c>
      <c r="D20" s="46" t="s">
        <v>59</v>
      </c>
      <c r="E20" s="46" t="s">
        <v>192</v>
      </c>
      <c r="F20" s="46" t="s">
        <v>108</v>
      </c>
      <c r="G20" s="46" t="s">
        <v>109</v>
      </c>
      <c r="H20" s="46">
        <v>1</v>
      </c>
      <c r="I20" s="46">
        <v>2</v>
      </c>
      <c r="J20" s="46">
        <v>3</v>
      </c>
      <c r="K20" s="46">
        <v>5</v>
      </c>
    </row>
    <row r="21" spans="1:14" x14ac:dyDescent="0.25">
      <c r="A21" s="46">
        <v>37</v>
      </c>
      <c r="B21" s="54" t="s">
        <v>267</v>
      </c>
      <c r="C21" s="46" t="s">
        <v>110</v>
      </c>
      <c r="D21" s="46" t="s">
        <v>61</v>
      </c>
      <c r="E21" s="46" t="s">
        <v>111</v>
      </c>
      <c r="F21" s="46" t="s">
        <v>108</v>
      </c>
      <c r="G21" s="46" t="s">
        <v>109</v>
      </c>
      <c r="H21" s="46">
        <v>0</v>
      </c>
      <c r="I21" s="46">
        <v>5</v>
      </c>
      <c r="J21" s="46">
        <v>5</v>
      </c>
      <c r="K21" s="46">
        <v>5</v>
      </c>
    </row>
    <row r="22" spans="1:14" x14ac:dyDescent="0.25">
      <c r="A22" s="46">
        <v>37</v>
      </c>
      <c r="B22" s="54" t="s">
        <v>268</v>
      </c>
      <c r="C22" s="46" t="s">
        <v>122</v>
      </c>
      <c r="D22" s="46" t="s">
        <v>61</v>
      </c>
      <c r="E22" s="46" t="s">
        <v>123</v>
      </c>
      <c r="F22" s="46" t="s">
        <v>108</v>
      </c>
      <c r="G22" s="46" t="s">
        <v>109</v>
      </c>
      <c r="H22" s="46">
        <v>0</v>
      </c>
      <c r="I22" s="46">
        <v>0</v>
      </c>
      <c r="J22" s="46">
        <v>0</v>
      </c>
      <c r="K22" s="46">
        <v>1</v>
      </c>
    </row>
    <row r="23" spans="1:14" x14ac:dyDescent="0.25">
      <c r="A23" s="46">
        <v>37</v>
      </c>
      <c r="B23" s="54" t="s">
        <v>268</v>
      </c>
      <c r="C23" s="46" t="s">
        <v>124</v>
      </c>
      <c r="D23" s="46" t="s">
        <v>61</v>
      </c>
      <c r="E23" s="46" t="s">
        <v>125</v>
      </c>
      <c r="F23" s="46" t="s">
        <v>108</v>
      </c>
      <c r="G23" s="46" t="s">
        <v>109</v>
      </c>
      <c r="H23" s="46">
        <v>1</v>
      </c>
      <c r="I23" s="46">
        <v>12</v>
      </c>
      <c r="J23" s="46">
        <v>13</v>
      </c>
      <c r="K23" s="46">
        <v>17</v>
      </c>
    </row>
    <row r="24" spans="1:14" x14ac:dyDescent="0.25">
      <c r="A24" s="46">
        <v>37</v>
      </c>
      <c r="B24" s="54" t="s">
        <v>267</v>
      </c>
      <c r="C24" s="46" t="s">
        <v>126</v>
      </c>
      <c r="D24" s="46" t="s">
        <v>61</v>
      </c>
      <c r="E24" s="46" t="s">
        <v>127</v>
      </c>
      <c r="F24" s="46" t="s">
        <v>108</v>
      </c>
      <c r="G24" s="46" t="s">
        <v>109</v>
      </c>
      <c r="H24" s="46">
        <v>0</v>
      </c>
      <c r="I24" s="46">
        <v>4</v>
      </c>
      <c r="J24" s="46">
        <v>4</v>
      </c>
      <c r="K24" s="46">
        <v>4</v>
      </c>
    </row>
    <row r="25" spans="1:14" x14ac:dyDescent="0.25">
      <c r="A25" s="46">
        <v>37</v>
      </c>
      <c r="B25" s="54" t="s">
        <v>268</v>
      </c>
      <c r="C25" s="46" t="s">
        <v>130</v>
      </c>
      <c r="D25" s="46" t="s">
        <v>61</v>
      </c>
      <c r="E25" s="46" t="s">
        <v>131</v>
      </c>
      <c r="F25" s="46" t="s">
        <v>108</v>
      </c>
      <c r="G25" s="46" t="s">
        <v>109</v>
      </c>
      <c r="H25" s="46">
        <v>0</v>
      </c>
      <c r="I25" s="46">
        <v>0</v>
      </c>
      <c r="J25" s="46">
        <v>0</v>
      </c>
      <c r="K25" s="46">
        <v>0</v>
      </c>
    </row>
    <row r="26" spans="1:14" x14ac:dyDescent="0.25">
      <c r="A26" s="46">
        <v>37</v>
      </c>
      <c r="B26" s="54" t="s">
        <v>268</v>
      </c>
      <c r="C26" s="46" t="s">
        <v>140</v>
      </c>
      <c r="D26" s="46" t="s">
        <v>61</v>
      </c>
      <c r="E26" s="46" t="s">
        <v>141</v>
      </c>
      <c r="F26" s="46" t="s">
        <v>108</v>
      </c>
      <c r="G26" s="46" t="s">
        <v>109</v>
      </c>
      <c r="H26" s="46">
        <v>0</v>
      </c>
      <c r="I26" s="46">
        <v>2</v>
      </c>
      <c r="J26" s="46">
        <v>2</v>
      </c>
      <c r="K26" s="46">
        <v>12</v>
      </c>
    </row>
    <row r="27" spans="1:14" x14ac:dyDescent="0.25">
      <c r="A27" s="46">
        <v>37</v>
      </c>
      <c r="B27" s="54" t="s">
        <v>268</v>
      </c>
      <c r="C27" s="46" t="s">
        <v>147</v>
      </c>
      <c r="D27" s="46" t="s">
        <v>61</v>
      </c>
      <c r="E27" s="46" t="s">
        <v>148</v>
      </c>
      <c r="F27" s="46" t="s">
        <v>108</v>
      </c>
      <c r="G27" s="46" t="s">
        <v>109</v>
      </c>
      <c r="H27" s="46">
        <v>0</v>
      </c>
      <c r="I27" s="46">
        <v>1</v>
      </c>
      <c r="J27" s="46">
        <v>1</v>
      </c>
      <c r="K27" s="46">
        <v>4</v>
      </c>
    </row>
    <row r="28" spans="1:14" x14ac:dyDescent="0.25">
      <c r="A28" s="46">
        <v>37</v>
      </c>
      <c r="B28" s="54" t="s">
        <v>268</v>
      </c>
      <c r="C28" s="46" t="s">
        <v>149</v>
      </c>
      <c r="D28" s="46" t="s">
        <v>61</v>
      </c>
      <c r="E28" s="46" t="s">
        <v>150</v>
      </c>
      <c r="F28" s="46" t="s">
        <v>108</v>
      </c>
      <c r="G28" s="46" t="s">
        <v>109</v>
      </c>
      <c r="H28" s="46">
        <v>0</v>
      </c>
      <c r="I28" s="46">
        <v>0</v>
      </c>
      <c r="J28" s="46">
        <v>0</v>
      </c>
      <c r="K28" s="46">
        <v>2</v>
      </c>
    </row>
    <row r="29" spans="1:14" x14ac:dyDescent="0.25">
      <c r="A29" s="46">
        <v>37</v>
      </c>
      <c r="B29" s="54" t="s">
        <v>268</v>
      </c>
      <c r="C29" s="46" t="s">
        <v>153</v>
      </c>
      <c r="D29" s="46" t="s">
        <v>61</v>
      </c>
      <c r="E29" s="46" t="s">
        <v>154</v>
      </c>
      <c r="F29" s="46" t="s">
        <v>108</v>
      </c>
      <c r="G29" s="46" t="s">
        <v>109</v>
      </c>
      <c r="H29" s="46">
        <v>0</v>
      </c>
      <c r="I29" s="46">
        <v>28</v>
      </c>
      <c r="J29" s="46">
        <v>28</v>
      </c>
      <c r="K29" s="46">
        <v>28</v>
      </c>
    </row>
    <row r="30" spans="1:14" s="68" customFormat="1" x14ac:dyDescent="0.25">
      <c r="A30" s="66">
        <v>37</v>
      </c>
      <c r="B30" s="67" t="s">
        <v>267</v>
      </c>
      <c r="C30" s="66" t="s">
        <v>157</v>
      </c>
      <c r="D30" s="66" t="s">
        <v>61</v>
      </c>
      <c r="E30" s="66" t="s">
        <v>158</v>
      </c>
      <c r="F30" s="66" t="s">
        <v>108</v>
      </c>
      <c r="G30" s="66" t="s">
        <v>109</v>
      </c>
      <c r="H30" s="66">
        <v>0</v>
      </c>
      <c r="I30" s="66">
        <v>9</v>
      </c>
      <c r="J30" s="66">
        <v>9</v>
      </c>
      <c r="K30" s="66">
        <v>10</v>
      </c>
      <c r="N30" s="68" t="s">
        <v>279</v>
      </c>
    </row>
    <row r="31" spans="1:14" x14ac:dyDescent="0.25">
      <c r="A31" s="46">
        <v>37</v>
      </c>
      <c r="B31" s="54" t="s">
        <v>267</v>
      </c>
      <c r="C31" s="46" t="s">
        <v>159</v>
      </c>
      <c r="D31" s="46" t="s">
        <v>61</v>
      </c>
      <c r="E31" s="46" t="s">
        <v>160</v>
      </c>
      <c r="F31" s="46" t="s">
        <v>108</v>
      </c>
      <c r="G31" s="46" t="s">
        <v>109</v>
      </c>
      <c r="H31" s="46">
        <v>0</v>
      </c>
      <c r="I31" s="46">
        <v>0</v>
      </c>
      <c r="J31" s="46">
        <v>0</v>
      </c>
      <c r="K31" s="46">
        <v>0</v>
      </c>
    </row>
    <row r="32" spans="1:14" x14ac:dyDescent="0.25">
      <c r="A32" s="46">
        <v>37</v>
      </c>
      <c r="B32" s="54" t="s">
        <v>268</v>
      </c>
      <c r="C32" s="46" t="s">
        <v>165</v>
      </c>
      <c r="D32" s="46" t="s">
        <v>61</v>
      </c>
      <c r="E32" s="46" t="s">
        <v>166</v>
      </c>
      <c r="F32" s="46" t="s">
        <v>108</v>
      </c>
      <c r="G32" s="46" t="s">
        <v>109</v>
      </c>
      <c r="H32" s="46">
        <v>0</v>
      </c>
      <c r="I32" s="46">
        <v>29</v>
      </c>
      <c r="J32" s="46">
        <v>29</v>
      </c>
      <c r="K32" s="46">
        <v>39</v>
      </c>
    </row>
    <row r="33" spans="1:11" x14ac:dyDescent="0.25">
      <c r="A33" s="46">
        <v>37</v>
      </c>
      <c r="B33" s="54" t="s">
        <v>268</v>
      </c>
      <c r="C33" s="46" t="s">
        <v>176</v>
      </c>
      <c r="D33" s="46" t="s">
        <v>61</v>
      </c>
      <c r="E33" s="46" t="s">
        <v>177</v>
      </c>
      <c r="F33" s="46" t="s">
        <v>108</v>
      </c>
      <c r="G33" s="46" t="s">
        <v>109</v>
      </c>
      <c r="H33" s="46">
        <v>2</v>
      </c>
      <c r="I33" s="46">
        <v>1</v>
      </c>
      <c r="J33" s="46">
        <v>3</v>
      </c>
      <c r="K33" s="46">
        <v>8</v>
      </c>
    </row>
    <row r="34" spans="1:11" x14ac:dyDescent="0.25">
      <c r="A34" s="46">
        <v>37</v>
      </c>
      <c r="B34" s="46" t="s">
        <v>268</v>
      </c>
      <c r="C34" s="46" t="s">
        <v>193</v>
      </c>
      <c r="D34" s="46" t="s">
        <v>61</v>
      </c>
      <c r="E34" s="46" t="s">
        <v>194</v>
      </c>
      <c r="F34" s="46" t="s">
        <v>108</v>
      </c>
      <c r="G34" s="46" t="s">
        <v>109</v>
      </c>
      <c r="H34" s="46">
        <v>0</v>
      </c>
      <c r="I34" s="46">
        <v>1</v>
      </c>
      <c r="J34" s="46">
        <v>1</v>
      </c>
      <c r="K34" s="46">
        <v>9</v>
      </c>
    </row>
    <row r="35" spans="1:11" x14ac:dyDescent="0.25">
      <c r="A35" s="46">
        <v>37</v>
      </c>
      <c r="B35" s="46" t="s">
        <v>268</v>
      </c>
      <c r="C35" s="46" t="s">
        <v>195</v>
      </c>
      <c r="D35" s="46" t="s">
        <v>61</v>
      </c>
      <c r="E35" s="46" t="s">
        <v>196</v>
      </c>
      <c r="F35" s="46" t="s">
        <v>108</v>
      </c>
      <c r="G35" s="46" t="s">
        <v>109</v>
      </c>
      <c r="H35" s="46">
        <v>1</v>
      </c>
      <c r="I35" s="46">
        <v>16</v>
      </c>
      <c r="J35" s="46">
        <v>17</v>
      </c>
      <c r="K35" s="46">
        <v>22</v>
      </c>
    </row>
    <row r="36" spans="1:11" x14ac:dyDescent="0.25">
      <c r="A36" s="46">
        <v>37</v>
      </c>
      <c r="B36" s="54" t="s">
        <v>267</v>
      </c>
      <c r="C36" s="46" t="s">
        <v>106</v>
      </c>
      <c r="D36" s="46" t="s">
        <v>62</v>
      </c>
      <c r="E36" s="46" t="s">
        <v>107</v>
      </c>
      <c r="F36" s="46" t="s">
        <v>108</v>
      </c>
      <c r="G36" s="46" t="s">
        <v>109</v>
      </c>
      <c r="H36" s="46">
        <v>0</v>
      </c>
      <c r="I36" s="46">
        <v>0</v>
      </c>
      <c r="J36" s="46">
        <v>0</v>
      </c>
      <c r="K36" s="46">
        <v>0</v>
      </c>
    </row>
    <row r="37" spans="1:11" x14ac:dyDescent="0.25">
      <c r="A37" s="46">
        <v>37</v>
      </c>
      <c r="B37" s="54" t="s">
        <v>267</v>
      </c>
      <c r="C37" s="46" t="s">
        <v>136</v>
      </c>
      <c r="D37" s="46" t="s">
        <v>62</v>
      </c>
      <c r="E37" s="46" t="s">
        <v>137</v>
      </c>
      <c r="F37" s="46" t="s">
        <v>108</v>
      </c>
      <c r="G37" s="46" t="s">
        <v>109</v>
      </c>
      <c r="H37" s="46">
        <v>3</v>
      </c>
      <c r="I37" s="46">
        <v>0</v>
      </c>
      <c r="J37" s="46">
        <v>3</v>
      </c>
      <c r="K37" s="46">
        <v>3</v>
      </c>
    </row>
    <row r="38" spans="1:11" x14ac:dyDescent="0.25">
      <c r="A38" s="46">
        <v>37</v>
      </c>
      <c r="B38" s="54" t="s">
        <v>267</v>
      </c>
      <c r="C38" s="46" t="s">
        <v>151</v>
      </c>
      <c r="D38" s="46" t="s">
        <v>62</v>
      </c>
      <c r="E38" s="46" t="s">
        <v>152</v>
      </c>
      <c r="F38" s="46" t="s">
        <v>108</v>
      </c>
      <c r="G38" s="46" t="s">
        <v>109</v>
      </c>
      <c r="H38" s="46">
        <v>2</v>
      </c>
      <c r="I38" s="46">
        <v>5</v>
      </c>
      <c r="J38" s="46">
        <v>7</v>
      </c>
      <c r="K38" s="46">
        <v>9</v>
      </c>
    </row>
    <row r="39" spans="1:11" x14ac:dyDescent="0.25">
      <c r="A39" s="46">
        <v>37</v>
      </c>
      <c r="B39" s="54" t="s">
        <v>267</v>
      </c>
      <c r="C39" s="46" t="s">
        <v>161</v>
      </c>
      <c r="D39" s="46" t="s">
        <v>62</v>
      </c>
      <c r="E39" s="46" t="s">
        <v>162</v>
      </c>
      <c r="F39" s="46" t="s">
        <v>108</v>
      </c>
      <c r="G39" s="46" t="s">
        <v>109</v>
      </c>
      <c r="H39" s="46">
        <v>1</v>
      </c>
      <c r="I39" s="46">
        <v>0</v>
      </c>
      <c r="J39" s="46">
        <v>1</v>
      </c>
      <c r="K39" s="46">
        <v>2</v>
      </c>
    </row>
    <row r="40" spans="1:11" x14ac:dyDescent="0.25">
      <c r="A40" s="46">
        <v>37</v>
      </c>
      <c r="B40" s="54" t="s">
        <v>267</v>
      </c>
      <c r="C40" s="46" t="s">
        <v>163</v>
      </c>
      <c r="D40" s="46" t="s">
        <v>62</v>
      </c>
      <c r="E40" s="46" t="s">
        <v>164</v>
      </c>
      <c r="F40" s="46" t="s">
        <v>108</v>
      </c>
      <c r="G40" s="46" t="s">
        <v>109</v>
      </c>
      <c r="H40" s="46">
        <v>0</v>
      </c>
      <c r="I40" s="46">
        <v>0</v>
      </c>
      <c r="J40" s="46">
        <v>0</v>
      </c>
      <c r="K40" s="46">
        <v>2</v>
      </c>
    </row>
    <row r="41" spans="1:11" x14ac:dyDescent="0.25">
      <c r="A41" s="46">
        <v>37</v>
      </c>
      <c r="B41" s="54" t="s">
        <v>267</v>
      </c>
      <c r="C41" s="46" t="s">
        <v>171</v>
      </c>
      <c r="D41" s="46" t="s">
        <v>62</v>
      </c>
      <c r="E41" s="46" t="s">
        <v>172</v>
      </c>
      <c r="F41" s="46" t="s">
        <v>108</v>
      </c>
      <c r="G41" s="46" t="s">
        <v>109</v>
      </c>
      <c r="H41" s="46">
        <v>4</v>
      </c>
      <c r="I41" s="46">
        <v>0</v>
      </c>
      <c r="J41" s="46">
        <v>4</v>
      </c>
      <c r="K41" s="46">
        <v>5</v>
      </c>
    </row>
    <row r="42" spans="1:11" x14ac:dyDescent="0.25">
      <c r="A42" s="46">
        <v>37</v>
      </c>
      <c r="B42" s="54" t="s">
        <v>267</v>
      </c>
      <c r="C42" s="46" t="s">
        <v>183</v>
      </c>
      <c r="D42" s="46" t="s">
        <v>62</v>
      </c>
      <c r="E42" s="46" t="s">
        <v>184</v>
      </c>
      <c r="F42" s="46" t="s">
        <v>108</v>
      </c>
      <c r="G42" s="46" t="s">
        <v>109</v>
      </c>
      <c r="H42" s="46">
        <v>0</v>
      </c>
      <c r="I42" s="46">
        <v>0</v>
      </c>
      <c r="J42" s="46">
        <v>0</v>
      </c>
      <c r="K42" s="46">
        <v>1</v>
      </c>
    </row>
    <row r="43" spans="1:11" x14ac:dyDescent="0.25">
      <c r="A43" s="46">
        <v>37</v>
      </c>
      <c r="B43" s="54" t="s">
        <v>267</v>
      </c>
      <c r="C43" s="46" t="s">
        <v>187</v>
      </c>
      <c r="D43" s="46" t="s">
        <v>62</v>
      </c>
      <c r="E43" s="46" t="s">
        <v>188</v>
      </c>
      <c r="F43" s="46" t="s">
        <v>108</v>
      </c>
      <c r="G43" s="46" t="s">
        <v>109</v>
      </c>
      <c r="H43" s="46">
        <v>0</v>
      </c>
      <c r="I43" s="46">
        <v>0</v>
      </c>
      <c r="J43" s="46">
        <v>0</v>
      </c>
      <c r="K43" s="46">
        <v>0</v>
      </c>
    </row>
    <row r="44" spans="1:11" x14ac:dyDescent="0.25">
      <c r="A44" s="46">
        <v>37</v>
      </c>
      <c r="B44" s="46" t="s">
        <v>267</v>
      </c>
      <c r="C44" s="46" t="s">
        <v>203</v>
      </c>
      <c r="D44" s="46" t="s">
        <v>62</v>
      </c>
      <c r="E44" s="46" t="s">
        <v>204</v>
      </c>
      <c r="F44" s="46" t="s">
        <v>108</v>
      </c>
      <c r="G44" s="46" t="s">
        <v>109</v>
      </c>
      <c r="H44" s="46">
        <v>0</v>
      </c>
      <c r="I44" s="46">
        <v>0</v>
      </c>
      <c r="J44" s="46">
        <v>0</v>
      </c>
      <c r="K44" s="46">
        <v>2</v>
      </c>
    </row>
    <row r="45" spans="1:11" x14ac:dyDescent="0.25">
      <c r="A45" s="46"/>
      <c r="B45" s="46"/>
      <c r="C45" s="46"/>
      <c r="D45" s="46"/>
      <c r="E45" s="46"/>
      <c r="F45" s="46"/>
      <c r="G45" s="46"/>
      <c r="H45" s="46"/>
      <c r="I45" s="46"/>
      <c r="J45" s="46"/>
      <c r="K45" s="46"/>
    </row>
    <row r="46" spans="1:11" x14ac:dyDescent="0.25">
      <c r="A46" s="46"/>
      <c r="B46" s="46"/>
      <c r="C46" s="46"/>
      <c r="D46" s="46"/>
      <c r="E46" s="46"/>
      <c r="F46" s="46"/>
      <c r="G46" s="46"/>
      <c r="H46" s="46"/>
      <c r="I46" s="46"/>
      <c r="J46" s="46"/>
      <c r="K46" s="46"/>
    </row>
    <row r="47" spans="1:11" x14ac:dyDescent="0.25">
      <c r="A47" s="46"/>
      <c r="B47" s="46"/>
      <c r="C47" s="46"/>
      <c r="D47" s="46"/>
      <c r="E47" s="46"/>
      <c r="F47" s="46"/>
      <c r="G47" s="46"/>
      <c r="H47" s="46"/>
      <c r="I47" s="46"/>
      <c r="J47" s="46"/>
      <c r="K47" s="46"/>
    </row>
    <row r="48" spans="1:11" x14ac:dyDescent="0.25">
      <c r="A48" s="46"/>
      <c r="B48" s="46"/>
      <c r="C48" s="46"/>
      <c r="D48" s="46"/>
      <c r="E48" s="46"/>
      <c r="F48" s="46"/>
      <c r="G48" s="46"/>
      <c r="H48" s="46"/>
      <c r="I48" s="46"/>
      <c r="J48" s="46"/>
      <c r="K48" s="46"/>
    </row>
    <row r="49" spans="1:11" x14ac:dyDescent="0.25">
      <c r="A49" s="46"/>
      <c r="B49" s="46"/>
      <c r="C49" s="46"/>
      <c r="D49" s="46"/>
      <c r="E49" s="46"/>
      <c r="F49" s="46"/>
      <c r="G49" s="46"/>
      <c r="H49" s="46"/>
      <c r="I49" s="46"/>
      <c r="J49" s="46"/>
      <c r="K49" s="46"/>
    </row>
    <row r="50" spans="1:11" x14ac:dyDescent="0.25">
      <c r="A50" s="46"/>
      <c r="B50" s="46"/>
      <c r="C50" s="46"/>
      <c r="D50" s="46"/>
      <c r="E50" s="46"/>
      <c r="F50" s="46"/>
      <c r="G50" s="46"/>
      <c r="H50" s="46"/>
      <c r="I50" s="46"/>
      <c r="J50" s="46"/>
      <c r="K50" s="46"/>
    </row>
    <row r="51" spans="1:11" x14ac:dyDescent="0.25">
      <c r="A51" s="46"/>
      <c r="B51" s="46"/>
      <c r="C51" s="46"/>
      <c r="D51" s="46"/>
      <c r="E51" s="46"/>
      <c r="F51" s="46"/>
      <c r="G51" s="46"/>
      <c r="H51" s="46"/>
      <c r="I51" s="46"/>
      <c r="J51" s="46"/>
      <c r="K51" s="46"/>
    </row>
    <row r="52" spans="1:11" x14ac:dyDescent="0.25">
      <c r="A52" s="46"/>
      <c r="B52" s="46"/>
      <c r="C52" s="46"/>
      <c r="D52" s="46"/>
      <c r="E52" s="46"/>
      <c r="F52" s="46"/>
      <c r="G52" s="46"/>
      <c r="H52" s="46"/>
      <c r="I52" s="46"/>
      <c r="J52" s="46"/>
      <c r="K52" s="46"/>
    </row>
    <row r="53" spans="1:11" x14ac:dyDescent="0.25">
      <c r="A53" s="46"/>
      <c r="B53" s="46"/>
      <c r="C53" s="46"/>
      <c r="D53" s="46"/>
      <c r="E53" s="46"/>
      <c r="F53" s="46"/>
      <c r="G53" s="46"/>
      <c r="H53" s="46"/>
      <c r="I53" s="46"/>
      <c r="J53" s="46"/>
      <c r="K53" s="46"/>
    </row>
    <row r="54" spans="1:11" x14ac:dyDescent="0.25">
      <c r="A54" s="46"/>
      <c r="B54" s="46"/>
      <c r="C54" s="46"/>
      <c r="D54" s="46"/>
      <c r="E54" s="46"/>
      <c r="F54" s="46"/>
      <c r="G54" s="46"/>
      <c r="H54" s="46"/>
      <c r="I54" s="46"/>
      <c r="J54" s="46"/>
      <c r="K54" s="46"/>
    </row>
    <row r="55" spans="1:11" x14ac:dyDescent="0.25">
      <c r="A55" s="46"/>
      <c r="B55" s="46"/>
      <c r="C55" s="46"/>
      <c r="D55" s="46"/>
      <c r="E55" s="46"/>
      <c r="F55" s="46"/>
      <c r="G55" s="46"/>
      <c r="H55" s="46"/>
      <c r="I55" s="46"/>
      <c r="J55" s="46"/>
      <c r="K55" s="46"/>
    </row>
    <row r="56" spans="1:11" x14ac:dyDescent="0.25">
      <c r="A56" s="46"/>
      <c r="B56" s="46"/>
      <c r="C56" s="46"/>
      <c r="D56" s="46"/>
      <c r="E56" s="46"/>
      <c r="F56" s="46"/>
      <c r="G56" s="46"/>
      <c r="H56" s="46"/>
      <c r="I56" s="46"/>
      <c r="J56" s="46"/>
      <c r="K56" s="46"/>
    </row>
    <row r="57" spans="1:11" x14ac:dyDescent="0.25">
      <c r="A57" s="46"/>
      <c r="B57" s="46"/>
      <c r="C57" s="46"/>
      <c r="D57" s="46"/>
      <c r="E57" s="46"/>
      <c r="F57" s="46"/>
      <c r="G57" s="46"/>
      <c r="H57" s="46"/>
      <c r="I57" s="46"/>
      <c r="J57" s="46"/>
      <c r="K57" s="46"/>
    </row>
    <row r="58" spans="1:11" x14ac:dyDescent="0.25">
      <c r="A58" s="46"/>
      <c r="B58" s="46"/>
      <c r="C58" s="46"/>
      <c r="D58" s="46"/>
      <c r="E58" s="46"/>
      <c r="F58" s="46"/>
      <c r="G58" s="46"/>
      <c r="H58" s="46"/>
      <c r="I58" s="46"/>
      <c r="J58" s="46"/>
      <c r="K58" s="46"/>
    </row>
    <row r="59" spans="1:11" x14ac:dyDescent="0.25">
      <c r="A59" s="46"/>
      <c r="B59" s="46"/>
      <c r="C59" s="46"/>
      <c r="D59" s="46"/>
      <c r="E59" s="46"/>
      <c r="F59" s="46"/>
      <c r="G59" s="46"/>
      <c r="H59" s="46"/>
      <c r="I59" s="46"/>
      <c r="J59" s="46"/>
      <c r="K59" s="46"/>
    </row>
    <row r="60" spans="1:11" x14ac:dyDescent="0.25">
      <c r="A60" s="46"/>
      <c r="B60" s="46"/>
      <c r="C60" s="46"/>
      <c r="D60" s="46"/>
      <c r="E60" s="46"/>
      <c r="F60" s="46"/>
      <c r="G60" s="46"/>
      <c r="H60" s="46"/>
      <c r="I60" s="46"/>
      <c r="J60" s="46"/>
      <c r="K60" s="46"/>
    </row>
  </sheetData>
  <sortState ref="A2:L80">
    <sortCondition ref="D2:D80"/>
    <sortCondition ref="C2:C8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7" sqref="C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88</v>
      </c>
      <c r="G1" s="33" t="s">
        <v>89</v>
      </c>
    </row>
    <row r="2" spans="1:10" x14ac:dyDescent="0.25">
      <c r="A2" s="3" t="s">
        <v>8</v>
      </c>
      <c r="B2" t="s">
        <v>1</v>
      </c>
    </row>
    <row r="4" spans="1:10" x14ac:dyDescent="0.25">
      <c r="A4" s="3" t="s">
        <v>4</v>
      </c>
      <c r="B4" t="s">
        <v>77</v>
      </c>
      <c r="C4" t="s">
        <v>76</v>
      </c>
      <c r="D4" t="s">
        <v>75</v>
      </c>
      <c r="G4" s="25" t="s">
        <v>4</v>
      </c>
      <c r="H4" s="25" t="s">
        <v>77</v>
      </c>
      <c r="I4" s="25" t="s">
        <v>76</v>
      </c>
      <c r="J4" s="25" t="s">
        <v>75</v>
      </c>
    </row>
    <row r="5" spans="1:10" x14ac:dyDescent="0.25">
      <c r="A5" s="1" t="s">
        <v>60</v>
      </c>
      <c r="B5" s="2">
        <v>92</v>
      </c>
      <c r="C5" s="2">
        <v>16</v>
      </c>
      <c r="D5" s="2">
        <v>108</v>
      </c>
      <c r="G5" s="1" t="s">
        <v>9</v>
      </c>
      <c r="H5" s="2" t="e">
        <f>GETPIVOTDATA("Sum of Cx pipiens",$A$4,"Zone","LV")</f>
        <v>#REF!</v>
      </c>
      <c r="I5" s="2" t="e">
        <f>GETPIVOTDATA("Sum of Cx tarsalis",$A$4,"Zone","LV")</f>
        <v>#REF!</v>
      </c>
      <c r="J5" s="2" t="e">
        <f>GETPIVOTDATA("Sum of Total CX",$A$4,"Zone","LV")</f>
        <v>#REF!</v>
      </c>
    </row>
    <row r="6" spans="1:10" x14ac:dyDescent="0.25">
      <c r="A6" s="1" t="s">
        <v>59</v>
      </c>
      <c r="B6" s="2">
        <v>13</v>
      </c>
      <c r="C6" s="2">
        <v>10</v>
      </c>
      <c r="D6" s="2">
        <v>23</v>
      </c>
      <c r="G6" s="1" t="s">
        <v>60</v>
      </c>
      <c r="H6" s="2">
        <f>GETPIVOTDATA("Sum of Cx pipiens",$A$4,"Zone","NE")</f>
        <v>92</v>
      </c>
      <c r="I6" s="2">
        <f>GETPIVOTDATA("Sum of Cx tarsalis",$A$4,"Zone","NE")</f>
        <v>16</v>
      </c>
      <c r="J6" s="2">
        <f>GETPIVOTDATA("Sum of Total CX",$A$4,"Zone","NE")</f>
        <v>108</v>
      </c>
    </row>
    <row r="7" spans="1:10" x14ac:dyDescent="0.25">
      <c r="A7" s="1" t="s">
        <v>61</v>
      </c>
      <c r="B7" s="2">
        <v>108</v>
      </c>
      <c r="C7" s="2">
        <v>4</v>
      </c>
      <c r="D7" s="2">
        <v>112</v>
      </c>
      <c r="G7" s="1" t="s">
        <v>59</v>
      </c>
      <c r="H7" s="2">
        <f>GETPIVOTDATA("Sum of Cx pipiens",$A$4,"Zone","NW")</f>
        <v>13</v>
      </c>
      <c r="I7" s="2">
        <f>GETPIVOTDATA("Sum of Cx tarsalis",$A$4,"Zone","NW")</f>
        <v>10</v>
      </c>
      <c r="J7" s="2">
        <f>GETPIVOTDATA("Sum of Total CX",$A$4,"Zone","NW")</f>
        <v>23</v>
      </c>
    </row>
    <row r="8" spans="1:10" x14ac:dyDescent="0.25">
      <c r="A8" s="1" t="s">
        <v>62</v>
      </c>
      <c r="B8" s="2">
        <v>5</v>
      </c>
      <c r="C8" s="2">
        <v>10</v>
      </c>
      <c r="D8" s="2">
        <v>15</v>
      </c>
      <c r="G8" s="1" t="s">
        <v>61</v>
      </c>
      <c r="H8" s="2">
        <f>GETPIVOTDATA("Sum of Cx pipiens",$A$4,"Zone","SE")</f>
        <v>108</v>
      </c>
      <c r="I8" s="2">
        <f>GETPIVOTDATA("Sum of Cx tarsalis",$A$4,"Zone","SE")</f>
        <v>4</v>
      </c>
      <c r="J8" s="2">
        <f>GETPIVOTDATA("Sum of Total CX",$A$4,"Zone","SE")</f>
        <v>112</v>
      </c>
    </row>
    <row r="9" spans="1:10" x14ac:dyDescent="0.25">
      <c r="A9" s="1" t="s">
        <v>7</v>
      </c>
      <c r="B9" s="2">
        <v>218</v>
      </c>
      <c r="C9" s="2">
        <v>40</v>
      </c>
      <c r="D9" s="2">
        <v>258</v>
      </c>
      <c r="G9" s="1" t="s">
        <v>62</v>
      </c>
      <c r="H9" s="2">
        <f>GETPIVOTDATA("Sum of Cx pipiens",$A$4,"Zone","SW")</f>
        <v>5</v>
      </c>
      <c r="I9" s="2">
        <f>GETPIVOTDATA("Sum of Cx tarsalis",$A$4,"Zone","SW")</f>
        <v>10</v>
      </c>
      <c r="J9" s="2">
        <f>GETPIVOTDATA("Sum of Total CX",$A$4,"Zone","SW")</f>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B10" sqref="B10"/>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7" t="s">
        <v>78</v>
      </c>
      <c r="B1" s="77"/>
      <c r="H1" s="77" t="s">
        <v>54</v>
      </c>
      <c r="I1" s="77"/>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60</v>
      </c>
      <c r="B6" s="2">
        <v>194</v>
      </c>
      <c r="C6" s="2">
        <v>17</v>
      </c>
      <c r="D6" s="2">
        <v>211</v>
      </c>
      <c r="H6" s="1" t="s">
        <v>9</v>
      </c>
      <c r="I6" s="2" t="e">
        <f>GETPIVOTDATA("Total",$A$4,"Zone","LV","Spp","pipiens")</f>
        <v>#REF!</v>
      </c>
      <c r="J6" s="2" t="e">
        <f>GETPIVOTDATA("Total",$A$4,"Zone","LV","Spp","tarsalis")</f>
        <v>#REF!</v>
      </c>
      <c r="K6" s="2" t="e">
        <f>GETPIVOTDATA("Total",$A$4,"Zone","LV")</f>
        <v>#REF!</v>
      </c>
    </row>
    <row r="7" spans="1:11" x14ac:dyDescent="0.25">
      <c r="A7" s="1" t="s">
        <v>59</v>
      </c>
      <c r="B7" s="2">
        <v>30</v>
      </c>
      <c r="C7" s="2">
        <v>10</v>
      </c>
      <c r="D7" s="2">
        <v>40</v>
      </c>
      <c r="H7" s="1" t="s">
        <v>60</v>
      </c>
      <c r="I7" s="2">
        <f>GETPIVOTDATA("Total",$A$4,"Zone","NE","Spp","pipiens")</f>
        <v>194</v>
      </c>
      <c r="J7" s="2">
        <f>GETPIVOTDATA("Total",$A$4,"Zone","NE","Spp","tarsalis")</f>
        <v>17</v>
      </c>
      <c r="K7" s="2">
        <f>GETPIVOTDATA("Total",$A$4,"Zone","NE")</f>
        <v>211</v>
      </c>
    </row>
    <row r="8" spans="1:11" x14ac:dyDescent="0.25">
      <c r="A8" s="1" t="s">
        <v>61</v>
      </c>
      <c r="B8" s="2">
        <v>260</v>
      </c>
      <c r="C8" s="2">
        <v>4</v>
      </c>
      <c r="D8" s="2">
        <v>264</v>
      </c>
      <c r="H8" s="1" t="s">
        <v>59</v>
      </c>
      <c r="I8" s="2">
        <f>GETPIVOTDATA("Total",$A$4,"Zone","NW","Spp","pipiens")</f>
        <v>30</v>
      </c>
      <c r="J8" s="2">
        <f>GETPIVOTDATA("Total",$A$4,"Zone","NW","Spp","tarsalis")</f>
        <v>10</v>
      </c>
      <c r="K8" s="2">
        <f>GETPIVOTDATA("Total",$A$4,"Zone","NW")</f>
        <v>40</v>
      </c>
    </row>
    <row r="9" spans="1:11" x14ac:dyDescent="0.25">
      <c r="A9" s="1" t="s">
        <v>62</v>
      </c>
      <c r="B9" s="2">
        <v>10</v>
      </c>
      <c r="C9" s="2">
        <v>10</v>
      </c>
      <c r="D9" s="2">
        <v>20</v>
      </c>
      <c r="H9" s="1" t="s">
        <v>61</v>
      </c>
      <c r="I9" s="2">
        <f>GETPIVOTDATA("Total",$A$4,"Zone","SE","Spp","pipiens")</f>
        <v>260</v>
      </c>
      <c r="J9" s="2">
        <f>GETPIVOTDATA("Total",$A$4,"Zone","SE","Spp","tarsalis")</f>
        <v>4</v>
      </c>
      <c r="K9" s="2">
        <f>GETPIVOTDATA("Total",$A$4,"Zone","SE")</f>
        <v>264</v>
      </c>
    </row>
    <row r="10" spans="1:11" x14ac:dyDescent="0.25">
      <c r="A10" s="1" t="s">
        <v>7</v>
      </c>
      <c r="B10" s="2">
        <v>494</v>
      </c>
      <c r="C10" s="2">
        <v>41</v>
      </c>
      <c r="D10" s="2">
        <v>535</v>
      </c>
      <c r="H10" s="1" t="s">
        <v>62</v>
      </c>
      <c r="I10" s="2">
        <f>GETPIVOTDATA("Total",$A$4,"Zone","SW","Spp","pipiens")</f>
        <v>10</v>
      </c>
      <c r="J10" s="2">
        <f>GETPIVOTDATA("Total",$A$4,"Zone","SW","Spp","tarsalis")</f>
        <v>10</v>
      </c>
      <c r="K10" s="2">
        <f>GETPIVOTDATA("Total",$A$4,"Zone","SW")</f>
        <v>20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426D7E6-5A00-4348-9D99-25F8080BE99A}"/>
</file>

<file path=customXml/itemProps2.xml><?xml version="1.0" encoding="utf-8"?>
<ds:datastoreItem xmlns:ds="http://schemas.openxmlformats.org/officeDocument/2006/customXml" ds:itemID="{C9A62AFE-BD9C-4E71-ADAF-597B98EBB8B2}"/>
</file>

<file path=customXml/itemProps3.xml><?xml version="1.0" encoding="utf-8"?>
<ds:datastoreItem xmlns:ds="http://schemas.openxmlformats.org/officeDocument/2006/customXml" ds:itemID="{589FEE14-908B-4F1D-B099-46C17B23DE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InfRateZonel</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2017-05-19T14:52:03Z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25383000</vt:r8>
  </property>
</Properties>
</file>